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345" windowWidth="19440" windowHeight="7800" tabRatio="798" activeTab="3"/>
  </bookViews>
  <sheets>
    <sheet name="Титульный лист" sheetId="1" r:id="rId1"/>
    <sheet name="Учебный план" sheetId="2" r:id="rId2"/>
    <sheet name="Титул лист (заочная)" sheetId="3" r:id="rId3"/>
    <sheet name="Учебный план (заочная) " sheetId="4" r:id="rId4"/>
    <sheet name="ПРОВЕРКА" sheetId="5" state="hidden" r:id="rId5"/>
    <sheet name="Нормы" sheetId="6" state="hidden" r:id="rId6"/>
    <sheet name="Компетенции" sheetId="7" r:id="rId7"/>
    <sheet name="Примечание" sheetId="8" r:id="rId8"/>
    <sheet name="Материально-техническая база" sheetId="9" r:id="rId9"/>
    <sheet name="Пояснения" sheetId="10" r:id="rId10"/>
  </sheets>
  <externalReferences>
    <externalReference r:id="rId13"/>
  </externalReferences>
  <definedNames>
    <definedName name="_xlnm._FilterDatabase" localSheetId="1" hidden="1">'Учебный план'!$A$10:$CO$121</definedName>
    <definedName name="_xlnm._FilterDatabase" localSheetId="1" hidden="1">'Учебный план'!$A$10:$CO$105</definedName>
    <definedName name="_xlnm._FilterDatabase" localSheetId="3" hidden="1">'Учебный план (заочная) '!$A$8:$BS$85</definedName>
    <definedName name="_xlnm.Print_Area" localSheetId="1">'Учебный план'!$A$3:$CO$121</definedName>
    <definedName name="_xlnm.Print_Titles" localSheetId="1">'Учебный план'!$3:$9</definedName>
    <definedName name="_xlnm.Print_Area" localSheetId="9">'Пояснения'!$A$1:$D$8</definedName>
  </definedNames>
  <calcPr fullCalcOnLoad="1" fullPrecision="0"/>
</workbook>
</file>

<file path=xl/sharedStrings.xml><?xml version="1.0" encoding="utf-8"?>
<sst xmlns="http://schemas.openxmlformats.org/spreadsheetml/2006/main" count="2204" uniqueCount="708">
  <si>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</si>
  <si>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</si>
  <si>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</si>
  <si>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</si>
  <si>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</si>
  <si>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</si>
  <si>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</si>
  <si>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</si>
  <si>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</si>
  <si>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</si>
  <si>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</si>
  <si>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</si>
  <si>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</si>
  <si>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</si>
  <si>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</si>
  <si>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</si>
  <si>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</si>
  <si>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</si>
  <si>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</si>
  <si>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</si>
  <si>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</si>
  <si>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</si>
  <si>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</si>
  <si>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</si>
  <si>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</si>
  <si>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</si>
  <si>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</si>
  <si>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</si>
  <si>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</si>
  <si>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</si>
  <si>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</si>
  <si>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</si>
  <si>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</si>
  <si>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</si>
  <si>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</si>
  <si>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</si>
  <si>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</si>
  <si>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</si>
  <si>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</si>
  <si>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</si>
  <si>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</si>
  <si>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</si>
  <si>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</si>
  <si>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</si>
  <si>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</si>
  <si>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</si>
  <si>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</si>
  <si>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</si>
  <si>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</si>
  <si>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у</t>
  </si>
  <si>
    <t>п</t>
  </si>
  <si>
    <t>ИТОГО</t>
  </si>
  <si>
    <t>недель</t>
  </si>
  <si>
    <t>Гос. экзамены</t>
  </si>
  <si>
    <t>итог</t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</si>
  <si>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</si>
  <si>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</si>
  <si>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</si>
  <si>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</si>
  <si>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</si>
  <si>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</si>
  <si>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</si>
  <si>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</si>
  <si>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</si>
  <si>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лабораторных</t>
  </si>
  <si>
    <t>самостоятельной работы</t>
  </si>
  <si>
    <t>семестр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</si>
  <si>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</si>
  <si>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</si>
  <si>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</si>
  <si>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</si>
  <si>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</si>
  <si>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</si>
  <si>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</si>
  <si>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</si>
  <si>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</si>
  <si>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</si>
  <si>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</si>
  <si>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</si>
  <si>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</si>
  <si>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</si>
  <si>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</si>
  <si>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</si>
  <si>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</si>
  <si>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</si>
  <si>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</si>
  <si>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</si>
  <si>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</si>
  <si>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</si>
  <si>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</si>
  <si>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</si>
  <si>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</si>
  <si>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</si>
  <si>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</si>
  <si>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</si>
  <si>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</si>
  <si>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</si>
  <si>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</si>
  <si>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</si>
  <si>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</si>
  <si>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</si>
  <si>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</si>
  <si>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10 семестр</t>
  </si>
  <si>
    <t>Х (русский алфавит, заглавная буква)</t>
  </si>
  <si>
    <t>11 семестр</t>
  </si>
  <si>
    <t>12 семестр</t>
  </si>
  <si>
    <t>О (русский алфавит, заглавная буква)</t>
  </si>
  <si>
    <t>Д (русский алфавит, заглавная буква)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</si>
  <si>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</si>
  <si>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</si>
  <si>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</si>
  <si>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</si>
  <si>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</si>
  <si>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</si>
  <si>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</si>
  <si>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</si>
  <si>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</si>
  <si>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</si>
  <si>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</si>
  <si>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</si>
  <si>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</si>
  <si>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5"/>
        <rFont val="Times New Roman"/>
        <family val="1"/>
      </rPr>
      <t>VIII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</si>
  <si>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</si>
  <si>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</si>
  <si>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>27</t>
    </r>
    <r>
      <rPr>
        <sz val="6"/>
        <rFont val="Times New Roman"/>
        <family val="1"/>
      </rPr>
      <t>VII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</si>
  <si>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</si>
  <si>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VII</t>
    </r>
  </si>
  <si>
    <r>
      <t>29</t>
    </r>
    <r>
      <rPr>
        <sz val="6"/>
        <rFont val="Times New Roman"/>
        <family val="1"/>
      </rPr>
      <t>VI</t>
    </r>
  </si>
  <si>
    <r>
      <t>29</t>
    </r>
    <r>
      <rPr>
        <sz val="6"/>
        <rFont val="Times New Roman"/>
        <family val="1"/>
      </rPr>
      <t>XII</t>
    </r>
  </si>
  <si>
    <r>
      <t>27</t>
    </r>
    <r>
      <rPr>
        <sz val="6"/>
        <rFont val="Times New Roman"/>
        <family val="1"/>
      </rPr>
      <t>X</t>
    </r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</si>
  <si>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</si>
  <si>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</si>
  <si>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</si>
  <si>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</si>
  <si>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</si>
  <si>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</si>
  <si>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</si>
  <si>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</si>
  <si>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</si>
  <si>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</si>
  <si>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</si>
  <si>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</si>
  <si>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</si>
  <si>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</si>
  <si>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</si>
  <si>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</si>
  <si>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</si>
  <si>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</si>
  <si>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</si>
  <si>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</si>
  <si>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</si>
  <si>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</si>
  <si>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</si>
  <si>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</si>
  <si>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</si>
  <si>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</si>
  <si>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</si>
  <si>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</si>
  <si>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</si>
  <si>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</si>
  <si>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</si>
  <si>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</si>
  <si>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</si>
  <si>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</si>
  <si>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</si>
  <si>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</si>
  <si>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</si>
  <si>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</si>
  <si>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</si>
  <si>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</si>
  <si>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</si>
  <si>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</si>
  <si>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ЕН.03</t>
  </si>
  <si>
    <t>ПМ.00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</si>
  <si>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</si>
  <si>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</si>
  <si>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</si>
  <si>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</si>
  <si>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ОП.01</t>
  </si>
  <si>
    <t>Инженерная графика</t>
  </si>
  <si>
    <t>ОП.02</t>
  </si>
  <si>
    <t>Механика</t>
  </si>
  <si>
    <t>ОП.03</t>
  </si>
  <si>
    <t>Электроника и электротехника</t>
  </si>
  <si>
    <t>ОП.04</t>
  </si>
  <si>
    <t>ОП.05</t>
  </si>
  <si>
    <t>Метрология и стандартизация</t>
  </si>
  <si>
    <t>ОП.06</t>
  </si>
  <si>
    <t>Теория и устройство судна</t>
  </si>
  <si>
    <t>ОП.07</t>
  </si>
  <si>
    <t>П.00</t>
  </si>
  <si>
    <t>ПМ.01</t>
  </si>
  <si>
    <t>ПМ.02</t>
  </si>
  <si>
    <t>Обеспечение безопасности плавания</t>
  </si>
  <si>
    <t>МДК.02.01</t>
  </si>
  <si>
    <t>ПМ.03</t>
  </si>
  <si>
    <t>Обработка и размещение груза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</si>
  <si>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</si>
  <si>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</si>
  <si>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</si>
  <si>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</si>
  <si>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</si>
  <si>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УП.02</t>
  </si>
  <si>
    <t>ПП.00</t>
  </si>
  <si>
    <t>ПП.01</t>
  </si>
  <si>
    <t>ПП.02</t>
  </si>
  <si>
    <t>ГИА.00</t>
  </si>
  <si>
    <t>Государственная (итоговая) аттестация</t>
  </si>
  <si>
    <t>ГИА.01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</si>
  <si>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</si>
  <si>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</si>
  <si>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</si>
  <si>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</si>
  <si>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</si>
  <si>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</si>
  <si>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</si>
  <si>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</si>
  <si>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</si>
  <si>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</si>
  <si>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</si>
  <si>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</si>
  <si>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Экологических основ природопользования</t>
  </si>
  <si>
    <t>Инженерной графики</t>
  </si>
  <si>
    <t>Механики</t>
  </si>
  <si>
    <t>Метрологии и стандартизации</t>
  </si>
  <si>
    <t>Теории и устройства судна</t>
  </si>
  <si>
    <t>Безопасности жизнедеятельности на судне</t>
  </si>
  <si>
    <t>Управления судном</t>
  </si>
  <si>
    <t>Технологии перевозки грузов</t>
  </si>
  <si>
    <t>Навигации и лоции</t>
  </si>
  <si>
    <t>Лаборатория</t>
  </si>
  <si>
    <t>Электроники и электротехники</t>
  </si>
  <si>
    <t>Информатики</t>
  </si>
  <si>
    <t>Материаловедения</t>
  </si>
  <si>
    <t>Электрооборудования судов</t>
  </si>
  <si>
    <t>Судового радиооборудования</t>
  </si>
  <si>
    <t>Радионавигационных и электрорадионавигационных приборов и систем технических средств судовождения</t>
  </si>
  <si>
    <t>Судовых энергетических установок</t>
  </si>
  <si>
    <t>Мастерская</t>
  </si>
  <si>
    <t>Слесарная</t>
  </si>
  <si>
    <t>Такелажная</t>
  </si>
  <si>
    <t>Тренажер (комплекс (модуль))</t>
  </si>
  <si>
    <t>Глобальной морской системы связи при бедствии</t>
  </si>
  <si>
    <t>Судовой энергетической установки</t>
  </si>
  <si>
    <t>Навигационный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</si>
  <si>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</si>
  <si>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</si>
  <si>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</si>
  <si>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</si>
  <si>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</si>
  <si>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</si>
  <si>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</si>
  <si>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</si>
  <si>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</si>
  <si>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</si>
  <si>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</si>
  <si>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</si>
  <si>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</si>
  <si>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</si>
  <si>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</si>
  <si>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</si>
  <si>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</si>
  <si>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</si>
  <si>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</si>
  <si>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</si>
  <si>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</si>
  <si>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</si>
  <si>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</si>
  <si>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</si>
  <si>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</si>
  <si>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</si>
  <si>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</si>
  <si>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</si>
  <si>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</si>
  <si>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</si>
  <si>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</si>
  <si>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</si>
  <si>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</si>
  <si>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</si>
  <si>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</si>
  <si>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</si>
  <si>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</si>
  <si>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</si>
  <si>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</si>
  <si>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</si>
  <si>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</si>
  <si>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</si>
  <si>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</si>
  <si>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</si>
  <si>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</si>
  <si>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</si>
  <si>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</si>
  <si>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</si>
  <si>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</si>
  <si>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</si>
  <si>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</si>
  <si>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</si>
  <si>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</si>
  <si>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</si>
  <si>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</si>
  <si>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</si>
  <si>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</si>
  <si>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</si>
  <si>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</si>
  <si>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</si>
  <si>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</si>
  <si>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Навигационная гидрометеорология</t>
  </si>
  <si>
    <t>Мореходная астрономия</t>
  </si>
  <si>
    <t>Техника безопасности на судах</t>
  </si>
  <si>
    <t>Ориентироваться в условиях частой смены технологий в профессиональной деятельности.</t>
  </si>
  <si>
    <t>ПК-1.1.</t>
  </si>
  <si>
    <t>ПК-1.2.</t>
  </si>
  <si>
    <t>ПК-1.3.</t>
  </si>
  <si>
    <t>ПК-2.1.</t>
  </si>
  <si>
    <t>ПК-2.2.</t>
  </si>
  <si>
    <t>ПК-2.3.</t>
  </si>
  <si>
    <t>ПК-2.5.</t>
  </si>
  <si>
    <t>ПК-2.6.</t>
  </si>
  <si>
    <t>ПК-2.7.</t>
  </si>
  <si>
    <t>ПК-3.1.</t>
  </si>
  <si>
    <t>ПК-3.2.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</si>
  <si>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пожара.</t>
  </si>
  <si>
    <t>Организовывать и обеспечивать действия подчиненных членов экипажа судна по предупреждению и предотвращению загрязнения водной среды.</t>
  </si>
  <si>
    <t>Планировать и обеспечивать безопасную погрузку, размещение, крепление груза и уход за ним в течение рейса и выгрузки.</t>
  </si>
  <si>
    <t>Соблюдать меры предосторожности во время погрузки и выгрузки и обращения с опасными и вредными грузами во время рейса.</t>
  </si>
  <si>
    <t>ОК 1-10; ПК 1.1-1.3; 2.1-2.7; 3.2.</t>
  </si>
  <si>
    <t>Навигация, навигационная гидрометеорология и лоция</t>
  </si>
  <si>
    <t>Навигация и лоция</t>
  </si>
  <si>
    <t>Управление судном и технические средства судовождения</t>
  </si>
  <si>
    <t>ВЧ.00</t>
  </si>
  <si>
    <t>Подготовка по данному учебному плану</t>
  </si>
  <si>
    <t>Коммерческая эксплуатация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</si>
  <si>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</si>
  <si>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</si>
  <si>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</si>
  <si>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</si>
  <si>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</si>
  <si>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</si>
  <si>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</si>
  <si>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26.02.03 Судовождение</t>
  </si>
  <si>
    <t>2016-17 год</t>
  </si>
  <si>
    <t>2017-18 год</t>
  </si>
  <si>
    <t>2018-19 год</t>
  </si>
  <si>
    <t>2019-20 год</t>
  </si>
  <si>
    <t>Ректор</t>
  </si>
  <si>
    <t>07.05.2014 № 441</t>
  </si>
  <si>
    <t>Безопасность жизнедеятельности на судне и транспортная безопасность</t>
  </si>
  <si>
    <t>МДК 03.01</t>
  </si>
  <si>
    <t>Технология перевозки груза</t>
  </si>
  <si>
    <t>Технология перевозок</t>
  </si>
  <si>
    <t>Использование РЛС на ВВП</t>
  </si>
  <si>
    <t>УП.03</t>
  </si>
  <si>
    <t>УП.04</t>
  </si>
  <si>
    <t>Государственная итоговая аттестация</t>
  </si>
  <si>
    <t>Экологические основы природопользования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</si>
  <si>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</si>
  <si>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</si>
  <si>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</si>
  <si>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МДК.01.01</t>
  </si>
  <si>
    <t>МДК.01.02</t>
  </si>
  <si>
    <t>ОК 1-10; ПК 2.1-2.7</t>
  </si>
  <si>
    <t>ОК 1-10; ПК 3.1 - 3.2</t>
  </si>
  <si>
    <t>Вариативная часть циклов ППССЗ</t>
  </si>
  <si>
    <t>Всего часов обучения по циклам ППССЗ</t>
  </si>
  <si>
    <t xml:space="preserve"> Экзамен квалификационный</t>
  </si>
  <si>
    <t>Управление и эксплуатация судов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</si>
  <si>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</si>
  <si>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</si>
  <si>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Перенос часов по блокам</t>
  </si>
  <si>
    <t>Добавлено часов</t>
  </si>
  <si>
    <t>ОК 1-10; ПК 1.1-1.3, 2.1-2.7, 3.1-3.2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</si>
  <si>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</si>
  <si>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Нормативный срок освоения  ППССЗ, недель</t>
  </si>
  <si>
    <t>Дополнительный срок освоения  ППССЗ на базе основного общего образования, недель</t>
  </si>
  <si>
    <t>Теоретическое обучение при дополнительном сроке освоения  ППССЗ на базе основного общего образования, недель</t>
  </si>
  <si>
    <t>Промежуточная аттестация при дополнительном сроке освоения 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</si>
  <si>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</si>
  <si>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Психология общения</t>
  </si>
  <si>
    <t>Основы картографии и навигационные карты</t>
  </si>
  <si>
    <t>Электронавигационные приборы и системы</t>
  </si>
  <si>
    <t>МДК.01.03</t>
  </si>
  <si>
    <t>Судовые вспомогательные механизмы и системы</t>
  </si>
  <si>
    <t>Электрооборудование судов</t>
  </si>
  <si>
    <t>Анализ эффективности работы судна</t>
  </si>
  <si>
    <t>МДК.04.01</t>
  </si>
  <si>
    <t>Основы анализа эффективности работы судна с применением информационных технологий</t>
  </si>
  <si>
    <t>Судовые энергетические установки и электрооборудование судов</t>
  </si>
  <si>
    <t>Х</t>
  </si>
  <si>
    <t>Решать проблемы, оценивать риски и принимать решения в нестандартных ситуациях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</si>
  <si>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</si>
  <si>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</si>
  <si>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</si>
  <si>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информационнокоммуникационные технологии для совершенствования профессиональной деятельности.</t>
  </si>
  <si>
    <t>Работать в команде, обеспечивать её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</si>
  <si>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</si>
  <si>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</si>
  <si>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Владеть письменной и устной коммуникацией на государственном и (или)
иностранном (английском) языке.</t>
  </si>
  <si>
    <t>Планировать и осуществлять переход в точку назначения, определять местоположение судна.</t>
  </si>
  <si>
    <t>Маневрировать и управлять судном.</t>
  </si>
  <si>
    <t>Эксплуатировать судовые энергетические установки.</t>
  </si>
  <si>
    <t>Обеспечивать использование и техническую эксплуатацию технических средств судовождения и судовых систем связи.</t>
  </si>
  <si>
    <t>ПК-1.4.</t>
  </si>
  <si>
    <t>Организовывать мероприятия по обеспечению транспортной безопасности.</t>
  </si>
  <si>
    <t>Применять средства по борьбе за живучесть судна.</t>
  </si>
  <si>
    <t>ПК-2.4.</t>
  </si>
  <si>
    <t>Организовывать и обеспечивать действия подчиненных членов экипажа судна при авариях.</t>
  </si>
  <si>
    <t>Оказывать первую медицинскую помощь пострадавшим.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</si>
  <si>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средства.</t>
  </si>
  <si>
    <t>ПК-4.1.</t>
  </si>
  <si>
    <t>Оценивать эффективность и качество работы судна.</t>
  </si>
  <si>
    <t>ПК-4.2.</t>
  </si>
  <si>
    <t>Находить оптимальные варианты планирования рейса судна, техникоэкономических характеристик эксплуатации судна.</t>
  </si>
  <si>
    <t>ПК-4.3.</t>
  </si>
  <si>
    <t>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эксплуатацией судна.</t>
  </si>
  <si>
    <t>ОК-1-10</t>
  </si>
  <si>
    <t>Принято Ученым советом университета</t>
  </si>
  <si>
    <t>ОК-2,3,6,7</t>
  </si>
  <si>
    <t>ОК 1-10; ПК-1.3</t>
  </si>
  <si>
    <t>ОК-1-10; ПК-1.1</t>
  </si>
  <si>
    <t>ОК-1-10; ПК-1.1,1.2</t>
  </si>
  <si>
    <t>ОК-1-10; ПК-1.4</t>
  </si>
  <si>
    <t>ОК-1-10; ПК-1.3</t>
  </si>
  <si>
    <t>ОК 1-10; ПК 2.1</t>
  </si>
  <si>
    <t>Тренажерная подготовка. Использование ЭКНИС</t>
  </si>
  <si>
    <t>Судовая автоматика и контрольно-измерительные приборы</t>
  </si>
  <si>
    <t>Обслуживание и ремонт судовых энергетических установок</t>
  </si>
  <si>
    <t>Судовождение на внутренних водных путях</t>
  </si>
  <si>
    <t>Правила плавания и управление судами на ВВП</t>
  </si>
  <si>
    <t>Лоция внутренних водных путей</t>
  </si>
  <si>
    <t>Безопасность жизнедеятельности на судне</t>
  </si>
  <si>
    <t>Транспортная безопасность</t>
  </si>
  <si>
    <t>Эксплуатация судовых энергетических установок на вспомогательном уровне</t>
  </si>
  <si>
    <t>3гр 6 п.гр</t>
  </si>
  <si>
    <t>3гр 5 п.гр</t>
  </si>
  <si>
    <t>сумма часов</t>
  </si>
  <si>
    <t>кол-во ставок</t>
  </si>
  <si>
    <t>кол-во курсантов</t>
  </si>
  <si>
    <t>отношение</t>
  </si>
  <si>
    <t>ОК 1-10; ПК 4.1 - 4.3</t>
  </si>
  <si>
    <t>Судовые энергетические установки (включая тренажер вахтенного механика)</t>
  </si>
  <si>
    <t>Количество курсантов</t>
  </si>
  <si>
    <t>Количество часов по курсам</t>
  </si>
  <si>
    <t>Количество ставок преподавателей</t>
  </si>
  <si>
    <t>Отношение кол-ва курсантов к кол-ву ставок</t>
  </si>
  <si>
    <t>ИТОГО по часам:</t>
  </si>
  <si>
    <t>Ставок:</t>
  </si>
  <si>
    <t>Обслуживание и ремонт судового электрического и электронного оборудования</t>
  </si>
  <si>
    <t>Тренажерная подготовка. Использование РЛС и САРП</t>
  </si>
  <si>
    <t>Управление судном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</si>
  <si>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</si>
  <si>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</si>
  <si>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</si>
  <si>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</si>
  <si>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дней</t>
  </si>
  <si>
    <t>6 курс</t>
  </si>
  <si>
    <t>Шлюпочно-такелажная практика</t>
  </si>
  <si>
    <t>Слесарная практика</t>
  </si>
  <si>
    <t>Основы безопасности жизнедеятельности</t>
  </si>
  <si>
    <t>Учебная плавательная (групповая)</t>
  </si>
  <si>
    <t>64-1</t>
  </si>
  <si>
    <t>64-2</t>
  </si>
  <si>
    <t>ОК 1-10, ПК 1.1</t>
  </si>
  <si>
    <t>ОК 1-10</t>
  </si>
  <si>
    <t>ОК 1-10; ПК 2.4,2.6,2.7</t>
  </si>
  <si>
    <t>ОК 1-10; ПК 1.1, 1.3. 3.1</t>
  </si>
  <si>
    <t>ОК-1-10, ПК 1.3, 3.1, 4.2,4.3</t>
  </si>
  <si>
    <t>ОК-1-10 ПК 2.7, 3.2</t>
  </si>
  <si>
    <t>ОК-1-10 ПК 1.2 - 1.4</t>
  </si>
  <si>
    <t>64-5</t>
  </si>
  <si>
    <t>64-4</t>
  </si>
  <si>
    <t>ОК-1-10 ПК 1.1 - 1.4, 2.1 - 2.7, 3.1, 3.2, 4.1-4.3</t>
  </si>
  <si>
    <t>64-3</t>
  </si>
  <si>
    <t>ОК 1-10, ПК 1.1 - 1.4, 3.1, 3.2,4.1-4.3</t>
  </si>
  <si>
    <t>ОК 1-10 ПК 1.1 - 1.4, 2.1-2.7, 3.1, 3.2, 4.1-4.3</t>
  </si>
  <si>
    <t>ОК-1-10, ПК 1.1-1.4. 2.1-2.7, 3.1, 3.2, 4.1-4.3</t>
  </si>
  <si>
    <t>64-6</t>
  </si>
  <si>
    <t>ОК 2,3,6,9; ПК-1.3</t>
  </si>
  <si>
    <t>ОК-2,3,5,7; ПК-1.3</t>
  </si>
  <si>
    <t>64-4, 64-5</t>
  </si>
  <si>
    <t>ОК 1-10, ПК 1.1 - 1.4, 2.1 - 2.7, 3.1- 3.2, 4.1 - 4.3</t>
  </si>
  <si>
    <t>Общего гуманитарного и социально-экономического цикла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</si>
  <si>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</si>
  <si>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</si>
  <si>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</si>
  <si>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</si>
  <si>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</si>
  <si>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Профессионального цикла специальности "Судовождение"</t>
  </si>
  <si>
    <t>64 - 4</t>
  </si>
  <si>
    <t>Профессионального цикла специальности "Эксплуатация судовых энергетических установок"</t>
  </si>
  <si>
    <t>64 - 5</t>
  </si>
  <si>
    <t xml:space="preserve">Профессионального цикла специальности "Эксплуатация судового электрооборудования и средств автоматики" </t>
  </si>
  <si>
    <t>64 - 6</t>
  </si>
  <si>
    <t>Профессионального цикла специальности "Эксплуатация внутренних водных путей"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</si>
  <si>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</si>
  <si>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</si>
  <si>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</si>
  <si>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</si>
  <si>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</si>
  <si>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</si>
  <si>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</si>
  <si>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Нижегородское речное училище им.И.П.Кулибина</t>
  </si>
  <si>
    <t>Управление конвенционной подготовки и повышения квалификации</t>
  </si>
  <si>
    <t>ВЧ.01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</si>
  <si>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</si>
  <si>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</si>
  <si>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</si>
  <si>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ОГСЭ.05</t>
  </si>
  <si>
    <t xml:space="preserve">Правовые основы профессиональной деятельности                                               </t>
  </si>
  <si>
    <t>МДК.01.04</t>
  </si>
  <si>
    <t>Судоводительское отделение</t>
  </si>
  <si>
    <t>4,5</t>
  </si>
  <si>
    <t>Общеобразовательных учебных дисциплин</t>
  </si>
  <si>
    <t>Иностранного языка</t>
  </si>
  <si>
    <t>ПОПД</t>
  </si>
  <si>
    <t>ТУС</t>
  </si>
  <si>
    <t>ЭКНИС</t>
  </si>
  <si>
    <t>РЛС и САРП</t>
  </si>
  <si>
    <t>ГМССБ</t>
  </si>
  <si>
    <t>ЭНПиС</t>
  </si>
  <si>
    <t xml:space="preserve">Радионавигационные системы </t>
  </si>
  <si>
    <t>РНС</t>
  </si>
  <si>
    <t>СВМиС</t>
  </si>
  <si>
    <t>СЭУ</t>
  </si>
  <si>
    <t>САиКИП</t>
  </si>
  <si>
    <t>РЛС на ВВП</t>
  </si>
  <si>
    <t>Лоция ВВП</t>
  </si>
  <si>
    <t>БЖС</t>
  </si>
  <si>
    <t>ЭСЭУ</t>
  </si>
  <si>
    <t>6,7</t>
  </si>
  <si>
    <t>ОК-1-10 ПК 1.1-1.4, 3.1</t>
  </si>
  <si>
    <t>ОК 1-10, ПК 2.3-2.7</t>
  </si>
  <si>
    <t>Электроника</t>
  </si>
  <si>
    <t>Формы промежуточной аттестации</t>
  </si>
  <si>
    <t>Количество курсовых проектов (работ)</t>
  </si>
  <si>
    <t>Всего часов на государственную итоговую аттестацию</t>
  </si>
  <si>
    <t>Количество других форм контроля</t>
  </si>
  <si>
    <t>Дата утверждения ФГОС СПО</t>
  </si>
  <si>
    <t>Радиооборудование судов</t>
  </si>
  <si>
    <t>7,Х</t>
  </si>
  <si>
    <t>5,6,8,9</t>
  </si>
  <si>
    <t>7,9</t>
  </si>
  <si>
    <t>Всего часов обучения по циклам</t>
  </si>
  <si>
    <t>Базовые дисциплины</t>
  </si>
  <si>
    <t>Астрономия</t>
  </si>
  <si>
    <t>Профильные дисциплины</t>
  </si>
  <si>
    <t xml:space="preserve">Количество учебных занятий (часов) в неделю </t>
  </si>
  <si>
    <t>Общеобразовательные дисциплины</t>
  </si>
  <si>
    <t>Управление и эксплуатация судна с правом эксплуатации судовых энергетических установок</t>
  </si>
  <si>
    <t>ОП.00</t>
  </si>
  <si>
    <t>Количество учебных занятий (часов) в неделю</t>
  </si>
  <si>
    <t>Государственная итоговая аттестация, недель</t>
  </si>
  <si>
    <t>2,4</t>
  </si>
  <si>
    <t>3,4,5,6,7,8,9,Х</t>
  </si>
  <si>
    <t>4,Х</t>
  </si>
  <si>
    <t>ОК 1-10, ПК1.1-1.4</t>
  </si>
  <si>
    <t>ОК-1-10; ПК 2.1-2.7</t>
  </si>
  <si>
    <t>4,5,7</t>
  </si>
  <si>
    <t>Оператор связи ГМССБ</t>
  </si>
  <si>
    <t>Матрос</t>
  </si>
  <si>
    <t>ОК 1-10, ПК1.1-1.5</t>
  </si>
  <si>
    <t>ОК 1-10, ПК1.1-1.6</t>
  </si>
  <si>
    <t>ОК 1-10, ПК1.1-1.7</t>
  </si>
  <si>
    <t>ОК 1-10, ПК1.1-1.8</t>
  </si>
  <si>
    <t>ОК 1-10, ПК1.1-1.9</t>
  </si>
  <si>
    <t>ОК 1-10; 
ПК-1.1,1.2,1.4</t>
  </si>
  <si>
    <t>ОК 1-10; 
ПК-1.1,1.2,1.4
ПК-4.2,4.3</t>
  </si>
  <si>
    <t>ОК 1-10, ПК-1.3</t>
  </si>
  <si>
    <t>производственная практика (преддипломная)</t>
  </si>
  <si>
    <t>производственная практика (по профилю специальности)</t>
  </si>
  <si>
    <t>6,Х</t>
  </si>
  <si>
    <t>Пояснения:</t>
  </si>
  <si>
    <t>1.</t>
  </si>
  <si>
    <t>2.</t>
  </si>
  <si>
    <t>3.</t>
  </si>
  <si>
    <t>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 и уточнений Научно-методического совета Центра профессионального образования и систем квалификации ФГАУ "ФИРО" Протокол № 3 от 25 мая 2017 г.. Экзамены проводятся по дисциплинам: математика (письменно), русский язык (письменно) и физика (письменно).                                                                                                                                                                                                                  Индивидуальные проекты выполняются каждым обучающимся в течение года по одной  дисциплин общеобразовательного цикла по выбору, под руководством преподавателя.</t>
  </si>
  <si>
    <t>4.</t>
  </si>
  <si>
    <t>5.</t>
  </si>
  <si>
    <t xml:space="preserve">Промежуточная аттестация проводится по окончании каждого семестра, форма промежуточной аттестации отражена в учебном плане, рабочих программах дисциплин и профессиональных модулей.  </t>
  </si>
  <si>
    <t>6.</t>
  </si>
  <si>
    <t xml:space="preserve">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
Согласно ФГОС СПО специальности 26.02.03 Судовождение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</t>
  </si>
  <si>
    <t>При реализации ППССЗ предусмотрена практика в количестве 55 недель, которая включает в себя учебную и производственную. Производственная практика состоит и производственной практики (по профилю специальности) и преддипломной практики.</t>
  </si>
  <si>
    <t xml:space="preserve">Настоящий учебный план программы подготовки специалистов среднего звена (ППССЗ) специальности 26.02.03 Судовождение очной формы разработан в соответствии с ФГОС СПО по специальности 26.02.03 Судовождение, утвержденного приказом Министерства образования и науки Российской Федерации № 441 от 07.05.2014 г., с учетом требований Положения о дипломировании членов экипажей морских судов (утв.приказом Минтранса РФ  от 15.03.2012 г. № 62), МК ПДМНВ 78 с поправками,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</si>
  <si>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>ПМ.05</t>
  </si>
  <si>
    <t>Учебная практика - 2 курс -  7 недель</t>
  </si>
  <si>
    <t>Учебная практика - 2 курс -  2 недель</t>
  </si>
  <si>
    <t>Производственная практика (по профилю специальности) - 3 курс - 3 недели</t>
  </si>
  <si>
    <t>Производственная практика (по профилю специальности) - 3 курс - 12 недель</t>
  </si>
  <si>
    <t>Производственная практика (по профилю специальности) - 4 курс - 6 недель</t>
  </si>
  <si>
    <t>Производственная практика (по профилю специальности) - 4 курс  - 2 недели</t>
  </si>
  <si>
    <t>Производственная практика (по профилю специальности) - 4 курс - 3 недели</t>
  </si>
  <si>
    <t>Производственная практика (по профилю специальности) - 5 курс  - 2 недели</t>
  </si>
  <si>
    <t>Производственная практика (преддипломная) - 5 курс - 4 недель</t>
  </si>
  <si>
    <t>____________________ И.К. Кузьмичев</t>
  </si>
  <si>
    <t>_________________ И.К. Кузьмичев</t>
  </si>
  <si>
    <t>Старший техник-судоводитель с правом эксплуатации судовых энергетических установок</t>
  </si>
  <si>
    <t>7.</t>
  </si>
  <si>
    <t>Распределение часов из вариативной части указаны в таблице "Перенос часов по блокам".</t>
  </si>
  <si>
    <t>ПМ. 05</t>
  </si>
  <si>
    <t>Производственная практика (по профилю специальности) - 4 курс - 7 недель</t>
  </si>
  <si>
    <t>Производственная практика (по профилю специальности) - 5 курс - 7 недель</t>
  </si>
  <si>
    <t>Срок обучения:</t>
  </si>
  <si>
    <t>ОК 1-10; ПК 1.1-1.4, 2.1-2.7, 3.1-3.2, 4.1-4.3</t>
  </si>
  <si>
    <t>Наименование учебных циклов, разделов, дисциплин,                                                                                                   профессиональных модулей, МДК, практик</t>
  </si>
  <si>
    <t>экзамен</t>
  </si>
  <si>
    <t>дифференцированный зачет</t>
  </si>
  <si>
    <t>курсовая работа</t>
  </si>
  <si>
    <t>другая форма</t>
  </si>
  <si>
    <t>зачет</t>
  </si>
  <si>
    <t>курсовой проект</t>
  </si>
  <si>
    <t>Объем часов по учебному плану</t>
  </si>
  <si>
    <t>ВСЕГО ЧАСОВ</t>
  </si>
  <si>
    <t>в том числе</t>
  </si>
  <si>
    <t>самостоятельная работа</t>
  </si>
  <si>
    <t>урок, практическое занятие, лекция, семинар</t>
  </si>
  <si>
    <t>лабораторное занятие</t>
  </si>
  <si>
    <t>выполнение курсового проекта (работы)</t>
  </si>
  <si>
    <t>консультация</t>
  </si>
  <si>
    <t>практика</t>
  </si>
  <si>
    <t>Код предметной цикловой комиссии (кафедры)</t>
  </si>
  <si>
    <t>Коды формируемых компетенций</t>
  </si>
  <si>
    <t>Русский язык</t>
  </si>
  <si>
    <t>Литература</t>
  </si>
  <si>
    <t>Химия</t>
  </si>
  <si>
    <r>
      <t xml:space="preserve"> 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</si>
  <si>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t>Уровень подготовки</t>
  </si>
  <si>
    <t xml:space="preserve">Судовождение 
</t>
  </si>
  <si>
    <t>Календарный учебный график</t>
  </si>
  <si>
    <t>Федеральный государственный образовательный стандарт утвержден приказом Министерства образования и науки Российской Федерации</t>
  </si>
  <si>
    <t>Судовождение</t>
  </si>
  <si>
    <t>29 IX</t>
  </si>
  <si>
    <t>27X</t>
  </si>
  <si>
    <t>29XII</t>
  </si>
  <si>
    <t>26 I</t>
  </si>
  <si>
    <t>30 III</t>
  </si>
  <si>
    <t>27 IV</t>
  </si>
  <si>
    <t>29VI</t>
  </si>
  <si>
    <t>27VII</t>
  </si>
  <si>
    <t xml:space="preserve"> 5  X</t>
  </si>
  <si>
    <t xml:space="preserve"> 2 XI</t>
  </si>
  <si>
    <t xml:space="preserve"> 4  I</t>
  </si>
  <si>
    <t xml:space="preserve"> 1 II</t>
  </si>
  <si>
    <t xml:space="preserve"> 1 III</t>
  </si>
  <si>
    <t xml:space="preserve"> 5 IV</t>
  </si>
  <si>
    <t xml:space="preserve"> 3 V</t>
  </si>
  <si>
    <t xml:space="preserve"> 5 VII</t>
  </si>
  <si>
    <t xml:space="preserve"> 1 VIII</t>
  </si>
  <si>
    <t>23 II</t>
  </si>
  <si>
    <t>на базе среднего общего образования</t>
  </si>
  <si>
    <t>Государственная  итоговая аттестация выпускников проводится в соответствии с программой государственной итоговой аттестации, ФГОС СПО и учебным планом специальности 26.02.03 Судовождение в виде подготовки и защиты выпускной квалификационной работы продолжительностью 4 недели.   Формой проведения выпускной квалификационной работы является дипломная работа.</t>
  </si>
  <si>
    <t>ОГСЭ.00 Общий гуманитарный и социально-экономический цикл</t>
  </si>
  <si>
    <t>ОП. 00 Общепрофессиональные дисциплины</t>
  </si>
  <si>
    <t>ПМ. 00 Профессиональные модули</t>
  </si>
  <si>
    <t>Перечень предметных цикловых комиссий (или кафедр)</t>
  </si>
  <si>
    <t xml:space="preserve">Предметная цикловая комиссия общего гуманитарного и социально-экономического цикла </t>
  </si>
  <si>
    <t>Предметная цикловая комиссия математического и общего естественнонаучного цикла</t>
  </si>
  <si>
    <t>Предметная цикловая комиссия профессионального  цикла специальности «Судовождение»</t>
  </si>
  <si>
    <t>Предметная цикловая комиссия профессионального  цикла специальности «Эксплуатация судовых энергетических установок»</t>
  </si>
  <si>
    <t>Предметная цикловая комиссия профессионального  цикла специальности «Эксплуатация судового электрооборудования и средств автоматики»</t>
  </si>
  <si>
    <t xml:space="preserve">Предметная цикловая комиссия профессионального  цикла гидротехнических и  общепрофессиональных дисциплин </t>
  </si>
  <si>
    <t>Предметная цикловая комиссия профессионального  цикла специальности «Организация перевозок и управление на транспорте (по видам)»</t>
  </si>
  <si>
    <t>64-3, 64-5</t>
  </si>
  <si>
    <t>Производственная практика (преддипломная)</t>
  </si>
  <si>
    <t>4,5,7,8,9</t>
  </si>
  <si>
    <t>Производственная практика (практика по профилю специальности)</t>
  </si>
  <si>
    <t>64-7</t>
  </si>
  <si>
    <t>64-3, 64-4</t>
  </si>
  <si>
    <t>Подготовка и защита  выпускной квалификационной работы</t>
  </si>
  <si>
    <t>1,2,3,,4</t>
  </si>
  <si>
    <t>8.</t>
  </si>
  <si>
    <t>По дисциплинам "Матрос" (ПМ. 05 Выполнение работ по одной или нескольким профессиям рабочих, должностям служащих) и Эксплуатация судовых энергетических установок на вспомогательном уровне (Вариативная часть циклов ППССЗ) проводится комплексный экзамен.</t>
  </si>
  <si>
    <t>1,2,3,4</t>
  </si>
  <si>
    <t>Обучение по пассажирским судам</t>
  </si>
  <si>
    <t>3,4,6,7,8,9</t>
  </si>
  <si>
    <t>84 ч из ВЧ</t>
  </si>
  <si>
    <t>70 ч занятий из ВЧ</t>
  </si>
  <si>
    <t>1398 ч занятий из ВЧ</t>
  </si>
  <si>
    <t>ОК-1-10, ПК 2.1,2.2, 3.1,3.2</t>
  </si>
  <si>
    <t>ОК 1-10; ПК 1.1-1.3, 2.1-2.7, 3.1-3.2, 4.1-4.3</t>
  </si>
  <si>
    <t>2,3</t>
  </si>
  <si>
    <t>3,,5</t>
  </si>
  <si>
    <t>1 курс 2019-2020</t>
  </si>
  <si>
    <t>2 курс 2020-2021</t>
  </si>
  <si>
    <t>3 курс 2021-2022</t>
  </si>
  <si>
    <t>4 курс 2022-2023</t>
  </si>
  <si>
    <t>5 курс 2023-2024</t>
  </si>
  <si>
    <t>Протокол №11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</si>
  <si>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</si>
  <si>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</si>
  <si>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</si>
  <si>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</si>
  <si>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</si>
  <si>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</si>
  <si>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</si>
  <si>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</si>
  <si>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</si>
  <si>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Обществознание</t>
  </si>
  <si>
    <t>ОДб.10</t>
  </si>
  <si>
    <t>Биология</t>
  </si>
  <si>
    <t>ОДб.11</t>
  </si>
  <si>
    <t>География</t>
  </si>
  <si>
    <t>ОДп.01</t>
  </si>
  <si>
    <t>ОДп.02</t>
  </si>
  <si>
    <t>ОДп.03</t>
  </si>
  <si>
    <t>28</t>
  </si>
  <si>
    <t>20</t>
  </si>
  <si>
    <t>УТС "Академик"</t>
  </si>
  <si>
    <t>месяца</t>
  </si>
  <si>
    <t>в ред.30.03.2021 Протокол №7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</si>
</sst>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 style="thick"/>
      <top/>
      <bottom style="thin"/>
    </border>
    <border>
      <left style="thick"/>
      <right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ck"/>
      <top/>
      <bottom/>
    </border>
    <border>
      <left style="medium"/>
      <right/>
      <top/>
      <bottom/>
    </border>
    <border>
      <left style="thick"/>
      <right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1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9" fillId="10" borderId="13" xfId="0" applyFont="1" applyFill="1" applyBorder="1" applyAlignment="1">
      <alignment horizontal="center" vertical="top" wrapText="1"/>
    </xf>
    <xf numFmtId="0" fontId="9" fillId="25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" fontId="9" fillId="20" borderId="10" xfId="0" applyNumberFormat="1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Alignment="1">
      <alignment horizontal="center" vertical="top" wrapText="1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27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  <protection/>
    </xf>
    <xf numFmtId="0" fontId="3" fillId="7" borderId="14" xfId="0" applyFont="1" applyFill="1" applyBorder="1" applyAlignment="1" applyProtection="1">
      <alignment horizontal="center" vertical="top" wrapText="1"/>
      <protection/>
    </xf>
    <xf numFmtId="0" fontId="0" fillId="27" borderId="0" xfId="0" applyFont="1" applyFill="1" applyAlignment="1">
      <alignment vertical="top"/>
    </xf>
    <xf numFmtId="0" fontId="0" fillId="27" borderId="0" xfId="0" applyFont="1" applyFill="1" applyAlignment="1">
      <alignment vertical="top" wrapText="1"/>
    </xf>
    <xf numFmtId="0" fontId="0" fillId="28" borderId="0" xfId="0" applyFont="1" applyFill="1" applyAlignment="1">
      <alignment vertical="top"/>
    </xf>
    <xf numFmtId="0" fontId="0" fillId="28" borderId="0" xfId="0" applyFont="1" applyFill="1" applyAlignment="1">
      <alignment vertical="top" wrapText="1"/>
    </xf>
    <xf numFmtId="0" fontId="9" fillId="29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30" borderId="0" xfId="0" applyFont="1" applyFill="1" applyBorder="1" applyAlignment="1" applyProtection="1">
      <alignment vertical="center" wrapText="1"/>
      <protection/>
    </xf>
    <xf numFmtId="49" fontId="0" fillId="30" borderId="13" xfId="0" applyNumberFormat="1" applyFont="1" applyFill="1" applyBorder="1" applyAlignment="1" applyProtection="1">
      <alignment horizontal="center" vertical="center" wrapText="1"/>
      <protection/>
    </xf>
    <xf numFmtId="1" fontId="3" fillId="15" borderId="15" xfId="0" applyNumberFormat="1" applyFont="1" applyFill="1" applyBorder="1" applyAlignment="1" applyProtection="1">
      <alignment horizontal="center" vertical="center" wrapText="1"/>
      <protection/>
    </xf>
    <xf numFmtId="3" fontId="3" fillId="5" borderId="15" xfId="0" applyNumberFormat="1" applyFont="1" applyFill="1" applyBorder="1" applyAlignment="1" applyProtection="1">
      <alignment horizontal="center" vertical="center" wrapText="1"/>
      <protection/>
    </xf>
    <xf numFmtId="1" fontId="3" fillId="15" borderId="13" xfId="0" applyNumberFormat="1" applyFont="1" applyFill="1" applyBorder="1" applyAlignment="1" applyProtection="1">
      <alignment horizontal="center"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3" fillId="22" borderId="16" xfId="53" applyNumberFormat="1" applyFont="1" applyFill="1" applyBorder="1" applyAlignment="1" applyProtection="1">
      <alignment horizontal="justify" vertical="center" wrapText="1"/>
      <protection/>
    </xf>
    <xf numFmtId="0" fontId="0" fillId="22" borderId="17" xfId="53" applyFont="1" applyFill="1" applyBorder="1" applyAlignment="1" applyProtection="1">
      <alignment horizontal="center" vertical="center" wrapText="1"/>
      <protection/>
    </xf>
    <xf numFmtId="0" fontId="0" fillId="22" borderId="18" xfId="53" applyFont="1" applyFill="1" applyBorder="1" applyAlignment="1" applyProtection="1">
      <alignment horizontal="center" vertical="center" wrapText="1"/>
      <protection/>
    </xf>
    <xf numFmtId="0" fontId="3" fillId="22" borderId="19" xfId="53" applyNumberFormat="1" applyFont="1" applyFill="1" applyBorder="1" applyAlignment="1" applyProtection="1">
      <alignment horizontal="justify" vertical="center" wrapText="1"/>
      <protection/>
    </xf>
    <xf numFmtId="0" fontId="0" fillId="22" borderId="20" xfId="53" applyFont="1" applyFill="1" applyBorder="1" applyAlignment="1" applyProtection="1">
      <alignment horizontal="center" vertical="center" wrapText="1"/>
      <protection/>
    </xf>
    <xf numFmtId="49" fontId="0" fillId="22" borderId="20" xfId="53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0" xfId="53" applyNumberFormat="1" applyFont="1" applyFill="1" applyBorder="1" applyAlignment="1" applyProtection="1">
      <alignment horizontal="center" vertical="center" wrapText="1" shrinkToFit="1"/>
      <protection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3" fillId="20" borderId="13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2" fontId="28" fillId="24" borderId="13" xfId="53" applyNumberFormat="1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0" fontId="3" fillId="24" borderId="13" xfId="53" applyFont="1" applyFill="1" applyBorder="1" applyAlignment="1" applyProtection="1">
      <alignment horizontal="center" vertical="center" wrapText="1"/>
      <protection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1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3" fillId="20" borderId="13" xfId="53" applyNumberFormat="1" applyFont="1" applyFill="1" applyBorder="1" applyAlignment="1" applyProtection="1">
      <alignment horizontal="center" vertical="center" wrapText="1"/>
      <protection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3" fillId="20" borderId="13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25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vertical="center" wrapText="1"/>
      <protection/>
    </xf>
    <xf numFmtId="0" fontId="31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vertical="center" wrapText="1"/>
      <protection/>
    </xf>
    <xf numFmtId="0" fontId="4" fillId="31" borderId="13" xfId="0" applyFont="1" applyFill="1" applyBorder="1" applyAlignment="1" applyProtection="1">
      <alignment vertical="center" wrapText="1"/>
      <protection/>
    </xf>
    <xf numFmtId="180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4" fillId="31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" fontId="0" fillId="30" borderId="13" xfId="0" applyNumberFormat="1" applyFont="1" applyFill="1" applyBorder="1" applyAlignment="1" applyProtection="1">
      <alignment horizontal="center" vertical="center" wrapText="1"/>
      <protection/>
    </xf>
    <xf numFmtId="1" fontId="3" fillId="3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top" wrapText="1"/>
    </xf>
    <xf numFmtId="0" fontId="0" fillId="7" borderId="13" xfId="0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7" borderId="13" xfId="0" applyFont="1" applyFill="1" applyBorder="1" applyAlignment="1" applyProtection="1">
      <alignment horizontal="center" vertical="center" wrapText="1"/>
      <protection/>
    </xf>
    <xf numFmtId="0" fontId="0" fillId="22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 applyProtection="1">
      <alignment horizontal="justify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5" fillId="30" borderId="0" xfId="0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  <protection/>
    </xf>
    <xf numFmtId="49" fontId="3" fillId="10" borderId="17" xfId="0" applyNumberFormat="1" applyFont="1" applyFill="1" applyBorder="1" applyAlignment="1" applyProtection="1">
      <alignment horizontal="center" vertical="top" wrapText="1"/>
      <protection/>
    </xf>
    <xf numFmtId="49" fontId="3" fillId="10" borderId="14" xfId="0" applyNumberFormat="1" applyFont="1" applyFill="1" applyBorder="1" applyAlignment="1" applyProtection="1">
      <alignment horizontal="left" vertical="top" wrapText="1"/>
      <protection/>
    </xf>
    <xf numFmtId="0" fontId="3" fillId="10" borderId="16" xfId="0" applyFont="1" applyFill="1" applyBorder="1" applyAlignment="1" applyProtection="1">
      <alignment horizontal="left" vertical="top" wrapText="1"/>
      <protection/>
    </xf>
    <xf numFmtId="0" fontId="3" fillId="10" borderId="17" xfId="0" applyFont="1" applyFill="1" applyBorder="1" applyAlignment="1" applyProtection="1">
      <alignment horizontal="left" vertical="top" wrapText="1"/>
      <protection/>
    </xf>
    <xf numFmtId="49" fontId="3" fillId="10" borderId="13" xfId="0" applyNumberFormat="1" applyFont="1" applyFill="1" applyBorder="1" applyAlignment="1" applyProtection="1">
      <alignment horizontal="center" vertical="top" wrapText="1"/>
      <protection/>
    </xf>
    <xf numFmtId="1" fontId="3" fillId="15" borderId="15" xfId="0" applyNumberFormat="1" applyFont="1" applyFill="1" applyBorder="1" applyAlignment="1" applyProtection="1">
      <alignment horizontal="center" vertical="top" wrapText="1"/>
      <protection/>
    </xf>
    <xf numFmtId="3" fontId="3" fillId="5" borderId="15" xfId="0" applyNumberFormat="1" applyFont="1" applyFill="1" applyBorder="1" applyAlignment="1" applyProtection="1">
      <alignment horizontal="center" vertical="top" wrapText="1"/>
      <protection/>
    </xf>
    <xf numFmtId="1" fontId="3" fillId="1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13" xfId="0" applyNumberFormat="1" applyFont="1" applyFill="1" applyBorder="1" applyAlignment="1" applyProtection="1">
      <alignment horizontal="center" vertical="top" wrapText="1"/>
      <protection/>
    </xf>
    <xf numFmtId="0" fontId="0" fillId="28" borderId="22" xfId="0" applyFill="1" applyBorder="1" applyAlignment="1">
      <alignment vertical="top" wrapText="1"/>
    </xf>
    <xf numFmtId="49" fontId="0" fillId="28" borderId="22" xfId="0" applyNumberFormat="1" applyFill="1" applyBorder="1" applyAlignment="1">
      <alignment vertical="top"/>
    </xf>
    <xf numFmtId="0" fontId="0" fillId="0" borderId="22" xfId="0" applyBorder="1" applyAlignment="1">
      <alignment vertical="top" wrapText="1"/>
    </xf>
    <xf numFmtId="49" fontId="0" fillId="0" borderId="22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28" borderId="0" xfId="0" applyFill="1" applyBorder="1" applyAlignment="1">
      <alignment vertical="top"/>
    </xf>
    <xf numFmtId="1" fontId="3" fillId="10" borderId="13" xfId="0" applyNumberFormat="1" applyFont="1" applyFill="1" applyBorder="1" applyAlignment="1" applyProtection="1">
      <alignment horizontal="center" vertical="top" wrapText="1"/>
      <protection/>
    </xf>
    <xf numFmtId="0" fontId="3" fillId="15" borderId="15" xfId="0" applyFont="1" applyFill="1" applyBorder="1" applyAlignment="1" applyProtection="1">
      <alignment horizontal="left" vertical="top" wrapText="1"/>
      <protection/>
    </xf>
    <xf numFmtId="0" fontId="3" fillId="15" borderId="23" xfId="0" applyFont="1" applyFill="1" applyBorder="1" applyAlignment="1" applyProtection="1">
      <alignment horizontal="left" vertical="top" wrapText="1"/>
      <protection/>
    </xf>
    <xf numFmtId="0" fontId="9" fillId="28" borderId="13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 applyProtection="1">
      <alignment horizontal="justify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>
      <alignment horizontal="justify" vertical="top" wrapText="1"/>
    </xf>
    <xf numFmtId="0" fontId="4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0" fillId="20" borderId="13" xfId="53" applyNumberFormat="1" applyFont="1" applyFill="1" applyBorder="1" applyAlignment="1" applyProtection="1">
      <alignment horizontal="center" vertical="top" wrapText="1"/>
      <protection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180" fontId="0" fillId="2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1" fontId="3" fillId="30" borderId="13" xfId="0" applyNumberFormat="1" applyFont="1" applyFill="1" applyBorder="1" applyAlignment="1" applyProtection="1">
      <alignment horizontal="center" vertical="top" wrapText="1"/>
      <protection/>
    </xf>
    <xf numFmtId="1" fontId="3" fillId="10" borderId="17" xfId="0" applyNumberFormat="1" applyFont="1" applyFill="1" applyBorder="1" applyAlignment="1" applyProtection="1">
      <alignment horizontal="center" vertical="top" wrapText="1"/>
      <protection/>
    </xf>
    <xf numFmtId="1" fontId="3" fillId="15" borderId="15" xfId="0" applyNumberFormat="1" applyFont="1" applyFill="1" applyBorder="1" applyAlignment="1" applyProtection="1">
      <alignment horizontal="left" vertical="top" wrapText="1"/>
      <protection/>
    </xf>
    <xf numFmtId="1" fontId="3" fillId="15" borderId="23" xfId="0" applyNumberFormat="1" applyFont="1" applyFill="1" applyBorder="1" applyAlignment="1" applyProtection="1">
      <alignment horizontal="left" vertical="top" wrapText="1"/>
      <protection/>
    </xf>
    <xf numFmtId="0" fontId="0" fillId="30" borderId="22" xfId="0" applyFill="1" applyBorder="1" applyAlignment="1">
      <alignment vertical="top" wrapText="1"/>
    </xf>
    <xf numFmtId="0" fontId="0" fillId="30" borderId="0" xfId="0" applyFill="1" applyBorder="1" applyAlignment="1">
      <alignment vertical="top"/>
    </xf>
    <xf numFmtId="49" fontId="0" fillId="30" borderId="22" xfId="0" applyNumberFormat="1" applyFill="1" applyBorder="1" applyAlignment="1">
      <alignment vertical="top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0" borderId="13" xfId="0" applyFill="1" applyBorder="1" applyAlignment="1" applyProtection="1">
      <alignment vertical="center" wrapText="1"/>
      <protection locked="0"/>
    </xf>
    <xf numFmtId="0" fontId="0" fillId="30" borderId="13" xfId="0" applyFill="1" applyBorder="1" applyAlignment="1" applyProtection="1">
      <alignment horizontal="center" vertical="center" wrapText="1"/>
      <protection locked="0"/>
    </xf>
    <xf numFmtId="0" fontId="0" fillId="22" borderId="13" xfId="0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0" borderId="14" xfId="0" applyFont="1" applyFill="1" applyBorder="1" applyAlignment="1" applyProtection="1">
      <alignment horizontal="left" vertical="top" wrapText="1"/>
      <protection/>
    </xf>
    <xf numFmtId="0" fontId="0" fillId="10" borderId="13" xfId="0" applyFont="1" applyFill="1" applyBorder="1" applyAlignment="1" applyProtection="1">
      <alignment horizontal="left" vertical="center" wrapText="1"/>
      <protection/>
    </xf>
    <xf numFmtId="1" fontId="0" fillId="10" borderId="13" xfId="0" applyNumberFormat="1" applyFont="1" applyFill="1" applyBorder="1" applyAlignment="1" applyProtection="1">
      <alignment horizontal="center" vertical="center" wrapText="1"/>
      <protection/>
    </xf>
    <xf numFmtId="1" fontId="3" fillId="10" borderId="15" xfId="0" applyNumberFormat="1" applyFont="1" applyFill="1" applyBorder="1" applyAlignment="1" applyProtection="1">
      <alignment horizontal="center" vertical="center" wrapText="1"/>
      <protection/>
    </xf>
    <xf numFmtId="1" fontId="3" fillId="10" borderId="13" xfId="0" applyNumberFormat="1" applyFont="1" applyFill="1" applyBorder="1" applyAlignment="1" applyProtection="1">
      <alignment horizontal="center" vertical="center" wrapText="1"/>
      <protection/>
    </xf>
    <xf numFmtId="1" fontId="3" fillId="10" borderId="21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1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3" fillId="24" borderId="15" xfId="0" applyNumberFormat="1" applyFont="1" applyFill="1" applyBorder="1" applyAlignment="1" applyProtection="1">
      <alignment horizontal="center" vertical="center" wrapText="1"/>
      <protection/>
    </xf>
    <xf numFmtId="1" fontId="3" fillId="24" borderId="13" xfId="0" applyNumberFormat="1" applyFont="1" applyFill="1" applyBorder="1" applyAlignment="1" applyProtection="1">
      <alignment horizontal="center" vertical="center" wrapText="1"/>
      <protection/>
    </xf>
    <xf numFmtId="1" fontId="3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0" fillId="3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0" borderId="15" xfId="0" applyNumberFormat="1" applyFont="1" applyFill="1" applyBorder="1" applyAlignment="1" applyProtection="1">
      <alignment horizontal="center" vertical="center" wrapText="1"/>
      <protection/>
    </xf>
    <xf numFmtId="1" fontId="3" fillId="30" borderId="21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3" xfId="0" applyNumberFormat="1" applyFont="1" applyFill="1" applyBorder="1" applyAlignment="1" applyProtection="1">
      <alignment horizontal="center" vertical="center" wrapText="1"/>
      <protection/>
    </xf>
    <xf numFmtId="180" fontId="0" fillId="30" borderId="13" xfId="0" applyNumberFormat="1" applyFont="1" applyFill="1" applyBorder="1" applyAlignment="1" applyProtection="1">
      <alignment horizontal="center" vertical="center" wrapText="1"/>
      <protection/>
    </xf>
    <xf numFmtId="1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>
      <alignment vertical="top"/>
    </xf>
    <xf numFmtId="0" fontId="0" fillId="28" borderId="13" xfId="0" applyFont="1" applyFill="1" applyBorder="1" applyAlignment="1">
      <alignment vertical="top"/>
    </xf>
    <xf numFmtId="49" fontId="0" fillId="10" borderId="13" xfId="0" applyNumberFormat="1" applyFont="1" applyFill="1" applyBorder="1" applyAlignment="1" applyProtection="1">
      <alignment horizontal="center" vertical="center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41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/>
    </xf>
    <xf numFmtId="49" fontId="0" fillId="3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49" fontId="0" fillId="1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3" fontId="3" fillId="5" borderId="23" xfId="0" applyNumberFormat="1" applyFont="1" applyFill="1" applyBorder="1" applyAlignment="1" applyProtection="1">
      <alignment horizontal="center" vertical="center" wrapText="1"/>
      <protection/>
    </xf>
    <xf numFmtId="3" fontId="3" fillId="5" borderId="21" xfId="0" applyNumberFormat="1" applyFont="1" applyFill="1" applyBorder="1" applyAlignment="1" applyProtection="1">
      <alignment horizontal="center" vertical="center" wrapText="1"/>
      <protection/>
    </xf>
    <xf numFmtId="0" fontId="30" fillId="28" borderId="13" xfId="0" applyFont="1" applyFill="1" applyBorder="1" applyAlignment="1" applyProtection="1">
      <alignment horizontal="left" vertical="center" wrapText="1"/>
      <protection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3" xfId="0" applyNumberFormat="1" applyFont="1" applyFill="1" applyBorder="1" applyAlignment="1" applyProtection="1">
      <alignment horizontal="center" vertical="center" wrapText="1"/>
      <protection/>
    </xf>
    <xf numFmtId="49" fontId="0" fillId="36" borderId="13" xfId="0" applyNumberFormat="1" applyFont="1" applyFill="1" applyBorder="1" applyAlignment="1" applyProtection="1">
      <alignment horizontal="center" vertical="center" wrapText="1"/>
      <protection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3" xfId="0" applyFont="1" applyFill="1" applyBorder="1" applyAlignment="1" applyProtection="1">
      <alignment horizontal="left" vertical="center" wrapText="1"/>
      <protection locked="0"/>
    </xf>
    <xf numFmtId="49" fontId="0" fillId="3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center" vertical="center"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3" fontId="3" fillId="5" borderId="23" xfId="0" applyNumberFormat="1" applyFont="1" applyFill="1" applyBorder="1" applyAlignment="1" applyProtection="1">
      <alignment horizontal="center" vertical="top" wrapText="1"/>
      <protection/>
    </xf>
    <xf numFmtId="3" fontId="3" fillId="5" borderId="21" xfId="0" applyNumberFormat="1" applyFont="1" applyFill="1" applyBorder="1" applyAlignment="1" applyProtection="1">
      <alignment horizontal="center" vertical="top" wrapText="1"/>
      <protection/>
    </xf>
    <xf numFmtId="1" fontId="0" fillId="37" borderId="13" xfId="0" applyNumberFormat="1" applyFont="1" applyFill="1" applyBorder="1" applyAlignment="1" applyProtection="1">
      <alignment horizontal="center" vertical="center" wrapText="1"/>
      <protection/>
    </xf>
    <xf numFmtId="1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left" vertical="center" wrapText="1"/>
      <protection locked="0"/>
    </xf>
    <xf numFmtId="1" fontId="0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23" xfId="0" applyNumberFormat="1" applyFont="1" applyFill="1" applyBorder="1" applyAlignment="1" applyProtection="1">
      <alignment horizontal="center" vertical="center" wrapText="1"/>
      <protection/>
    </xf>
    <xf numFmtId="49" fontId="3" fillId="3" borderId="14" xfId="0" applyNumberFormat="1" applyFont="1" applyFill="1" applyBorder="1" applyAlignment="1" applyProtection="1">
      <alignment horizontal="center" textRotation="90" wrapText="1"/>
      <protection/>
    </xf>
    <xf numFmtId="49" fontId="3" fillId="3" borderId="24" xfId="0" applyNumberFormat="1" applyFont="1" applyFill="1" applyBorder="1" applyAlignment="1" applyProtection="1">
      <alignment horizontal="center" textRotation="90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13" xfId="0" applyFont="1" applyFill="1" applyBorder="1" applyAlignment="1" applyProtection="1">
      <alignment vertical="center"/>
      <protection locked="0"/>
    </xf>
    <xf numFmtId="49" fontId="3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40" borderId="13" xfId="0" applyFont="1" applyFill="1" applyBorder="1" applyAlignment="1" applyProtection="1">
      <alignment vertical="center"/>
      <protection locked="0"/>
    </xf>
    <xf numFmtId="49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3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27" fillId="35" borderId="13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49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1" fontId="3" fillId="32" borderId="13" xfId="0" applyNumberFormat="1" applyFont="1" applyFill="1" applyBorder="1" applyAlignment="1" applyProtection="1">
      <alignment horizontal="center" vertical="center" wrapText="1"/>
      <protection/>
    </xf>
    <xf numFmtId="49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3" fillId="10" borderId="13" xfId="0" applyFont="1" applyFill="1" applyBorder="1" applyAlignment="1" applyProtection="1">
      <alignment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3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0" borderId="13" xfId="0" applyFont="1" applyFill="1" applyBorder="1" applyAlignment="1" applyProtection="1">
      <alignment horizontal="left" vertical="center" wrapText="1"/>
      <protection locked="0"/>
    </xf>
    <xf numFmtId="49" fontId="3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vertical="center" wrapText="1"/>
      <protection locked="0"/>
    </xf>
    <xf numFmtId="0" fontId="3" fillId="10" borderId="15" xfId="0" applyFont="1" applyFill="1" applyBorder="1" applyAlignment="1" applyProtection="1">
      <alignment vertical="center" wrapText="1"/>
      <protection/>
    </xf>
    <xf numFmtId="0" fontId="3" fillId="3" borderId="13" xfId="0" applyFont="1" applyFill="1" applyBorder="1" applyAlignment="1" applyProtection="1">
      <alignment vertical="top" wrapText="1"/>
      <protection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49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26" borderId="13" xfId="0" applyNumberFormat="1" applyFont="1" applyFill="1" applyBorder="1" applyAlignment="1" applyProtection="1">
      <alignment horizontal="center" vertical="center" wrapText="1"/>
      <protection/>
    </xf>
    <xf numFmtId="1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1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10" borderId="13" xfId="0" applyFont="1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32" fillId="28" borderId="13" xfId="0" applyFont="1" applyFill="1" applyBorder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top" wrapText="1"/>
      <protection locked="0"/>
    </xf>
    <xf numFmtId="0" fontId="34" fillId="3" borderId="13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26" borderId="0" xfId="0" applyFont="1" applyFill="1" applyAlignment="1">
      <alignment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34" fillId="24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34" fillId="26" borderId="0" xfId="0" applyFont="1" applyFill="1" applyAlignment="1">
      <alignment horizontal="center" vertical="top" wrapText="1"/>
    </xf>
    <xf numFmtId="0" fontId="34" fillId="26" borderId="0" xfId="0" applyFont="1" applyFill="1" applyAlignment="1">
      <alignment horizontal="justify" vertical="top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26" borderId="0" xfId="0" applyFont="1" applyFill="1" applyAlignment="1">
      <alignment wrapText="1"/>
    </xf>
    <xf numFmtId="0" fontId="34" fillId="26" borderId="0" xfId="0" applyFont="1" applyFill="1" applyAlignment="1">
      <alignment horizontal="justify" wrapText="1"/>
    </xf>
    <xf numFmtId="0" fontId="34" fillId="10" borderId="13" xfId="0" applyFont="1" applyFill="1" applyBorder="1" applyAlignment="1">
      <alignment horizontal="center" vertical="top" wrapText="1"/>
    </xf>
    <xf numFmtId="0" fontId="32" fillId="28" borderId="13" xfId="0" applyFont="1" applyFill="1" applyBorder="1" applyAlignment="1">
      <alignment horizontal="center" vertical="top"/>
    </xf>
    <xf numFmtId="0" fontId="34" fillId="7" borderId="10" xfId="0" applyFont="1" applyFill="1" applyBorder="1" applyAlignment="1">
      <alignment horizontal="center" vertical="top" wrapText="1"/>
    </xf>
    <xf numFmtId="1" fontId="34" fillId="20" borderId="10" xfId="0" applyNumberFormat="1" applyFont="1" applyFill="1" applyBorder="1" applyAlignment="1">
      <alignment horizontal="center" vertical="top" wrapText="1"/>
    </xf>
    <xf numFmtId="1" fontId="34" fillId="20" borderId="13" xfId="0" applyNumberFormat="1" applyFont="1" applyFill="1" applyBorder="1" applyAlignment="1">
      <alignment horizontal="center" vertical="top" wrapText="1"/>
    </xf>
    <xf numFmtId="0" fontId="34" fillId="7" borderId="11" xfId="0" applyFont="1" applyFill="1" applyBorder="1" applyAlignment="1">
      <alignment horizontal="center" vertical="top" wrapText="1"/>
    </xf>
    <xf numFmtId="0" fontId="34" fillId="7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7" fillId="28" borderId="13" xfId="0" applyFont="1" applyFill="1" applyBorder="1" applyAlignment="1" applyProtection="1">
      <alignment horizontal="left" vertical="center" wrapText="1"/>
      <protection/>
    </xf>
    <xf numFmtId="1" fontId="3" fillId="28" borderId="13" xfId="0" applyNumberFormat="1" applyFont="1" applyFill="1" applyBorder="1" applyAlignment="1" applyProtection="1">
      <alignment horizontal="center" vertical="center" wrapText="1"/>
      <protection/>
    </xf>
    <xf numFmtId="180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1" fontId="27" fillId="28" borderId="13" xfId="0" applyNumberFormat="1" applyFont="1" applyFill="1" applyBorder="1" applyAlignment="1" applyProtection="1">
      <alignment horizontal="center" vertical="center" wrapText="1"/>
      <protection/>
    </xf>
    <xf numFmtId="180" fontId="27" fillId="28" borderId="13" xfId="0" applyNumberFormat="1" applyFont="1" applyFill="1" applyBorder="1" applyAlignment="1" applyProtection="1">
      <alignment horizontal="center" vertical="center" wrapText="1"/>
      <protection/>
    </xf>
    <xf numFmtId="49" fontId="3" fillId="28" borderId="13" xfId="0" applyNumberFormat="1" applyFont="1" applyFill="1" applyBorder="1" applyAlignment="1" applyProtection="1">
      <alignment horizontal="center" vertical="center" wrapText="1"/>
      <protection/>
    </xf>
    <xf numFmtId="180" fontId="3" fillId="24" borderId="13" xfId="0" applyNumberFormat="1" applyFont="1" applyFill="1" applyBorder="1" applyAlignment="1" applyProtection="1">
      <alignment horizontal="left" vertical="center" wrapText="1"/>
      <protection/>
    </xf>
    <xf numFmtId="180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32" fillId="28" borderId="13" xfId="0" applyFont="1" applyFill="1" applyBorder="1" applyAlignment="1">
      <alignment horizontal="center"/>
    </xf>
    <xf numFmtId="0" fontId="31" fillId="26" borderId="0" xfId="0" applyFont="1" applyFill="1" applyAlignment="1">
      <alignment vertical="top" wrapText="1"/>
    </xf>
    <xf numFmtId="0" fontId="36" fillId="28" borderId="13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41" borderId="15" xfId="0" applyFont="1" applyFill="1" applyBorder="1" applyAlignment="1" applyProtection="1">
      <alignment horizontal="left" vertical="center" wrapText="1"/>
      <protection/>
    </xf>
    <xf numFmtId="181" fontId="5" fillId="41" borderId="15" xfId="0" applyNumberFormat="1" applyFont="1" applyFill="1" applyBorder="1" applyAlignment="1" applyProtection="1">
      <alignment horizontal="left" vertical="center" wrapText="1"/>
      <protection/>
    </xf>
    <xf numFmtId="49" fontId="3" fillId="41" borderId="17" xfId="0" applyNumberFormat="1" applyFont="1" applyFill="1" applyBorder="1" applyAlignment="1" applyProtection="1">
      <alignment horizontal="center" vertical="top" wrapText="1"/>
      <protection/>
    </xf>
    <xf numFmtId="49" fontId="3" fillId="41" borderId="0" xfId="0" applyNumberFormat="1" applyFont="1" applyFill="1" applyBorder="1" applyAlignment="1" applyProtection="1">
      <alignment horizontal="center" vertical="top" wrapText="1"/>
      <protection/>
    </xf>
    <xf numFmtId="49" fontId="3" fillId="41" borderId="25" xfId="0" applyNumberFormat="1" applyFont="1" applyFill="1" applyBorder="1" applyAlignment="1" applyProtection="1">
      <alignment horizontal="center" textRotation="90" wrapText="1"/>
      <protection/>
    </xf>
    <xf numFmtId="49" fontId="3" fillId="41" borderId="12" xfId="0" applyNumberFormat="1" applyFont="1" applyFill="1" applyBorder="1" applyAlignment="1" applyProtection="1">
      <alignment horizontal="center" textRotation="90" wrapText="1"/>
      <protection/>
    </xf>
    <xf numFmtId="0" fontId="5" fillId="41" borderId="13" xfId="0" applyFont="1" applyFill="1" applyBorder="1" applyAlignment="1" applyProtection="1">
      <alignment horizontal="left" vertical="center" wrapText="1"/>
      <protection/>
    </xf>
    <xf numFmtId="49" fontId="32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5" xfId="0" applyFont="1" applyFill="1" applyBorder="1" applyAlignment="1" applyProtection="1">
      <alignment horizontal="left" vertical="center" wrapText="1"/>
      <protection locked="0"/>
    </xf>
    <xf numFmtId="0" fontId="0" fillId="41" borderId="15" xfId="0" applyFont="1" applyFill="1" applyBorder="1" applyAlignment="1" applyProtection="1">
      <alignment horizontal="left" vertical="center" wrapText="1"/>
      <protection locked="0"/>
    </xf>
    <xf numFmtId="49" fontId="3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41" borderId="13" xfId="0" applyNumberFormat="1" applyFont="1" applyFill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3" fillId="41" borderId="15" xfId="0" applyFont="1" applyFill="1" applyBorder="1" applyAlignment="1" applyProtection="1">
      <alignment horizontal="left" vertical="center" wrapText="1"/>
      <protection/>
    </xf>
    <xf numFmtId="49" fontId="0" fillId="41" borderId="13" xfId="0" applyNumberFormat="1" applyFont="1" applyFill="1" applyBorder="1" applyAlignment="1" applyProtection="1">
      <alignment horizontal="center" vertical="center" wrapText="1"/>
      <protection/>
    </xf>
    <xf numFmtId="49" fontId="0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2" fillId="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  <protection/>
    </xf>
    <xf numFmtId="1" fontId="30" fillId="24" borderId="13" xfId="0" applyNumberFormat="1" applyFont="1" applyFill="1" applyBorder="1" applyAlignment="1" applyProtection="1">
      <alignment horizontal="center" vertical="center" wrapText="1"/>
      <protection/>
    </xf>
    <xf numFmtId="1" fontId="30" fillId="3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1" fontId="0" fillId="8" borderId="12" xfId="0" applyNumberFormat="1" applyFont="1" applyFill="1" applyBorder="1" applyAlignment="1" applyProtection="1">
      <alignment horizontal="center" vertical="center" wrapText="1"/>
      <protection/>
    </xf>
    <xf numFmtId="1" fontId="0" fillId="26" borderId="12" xfId="0" applyNumberFormat="1" applyFont="1" applyFill="1" applyBorder="1" applyAlignment="1" applyProtection="1">
      <alignment horizontal="center" vertical="center" wrapText="1"/>
      <protection/>
    </xf>
    <xf numFmtId="1" fontId="0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vertical="center" wrapText="1"/>
      <protection/>
    </xf>
    <xf numFmtId="1" fontId="0" fillId="0" borderId="13" xfId="0" applyNumberFormat="1" applyFont="1" applyBorder="1" applyAlignment="1">
      <alignment vertical="center"/>
    </xf>
    <xf numFmtId="0" fontId="0" fillId="30" borderId="13" xfId="0" applyFont="1" applyFill="1" applyBorder="1" applyAlignment="1">
      <alignment vertical="center"/>
    </xf>
    <xf numFmtId="0" fontId="0" fillId="43" borderId="24" xfId="0" applyFont="1" applyFill="1" applyBorder="1" applyAlignment="1" applyProtection="1">
      <alignment horizontal="left" vertical="center" wrapText="1"/>
      <protection/>
    </xf>
    <xf numFmtId="0" fontId="0" fillId="43" borderId="25" xfId="0" applyFont="1" applyFill="1" applyBorder="1" applyAlignment="1" applyProtection="1">
      <alignment horizontal="left" vertical="center" wrapText="1"/>
      <protection/>
    </xf>
    <xf numFmtId="0" fontId="3" fillId="43" borderId="12" xfId="0" applyFont="1" applyFill="1" applyBorder="1" applyAlignment="1" applyProtection="1">
      <alignment horizontal="left" vertical="center" wrapText="1"/>
      <protection/>
    </xf>
    <xf numFmtId="49" fontId="3" fillId="43" borderId="12" xfId="0" applyNumberFormat="1" applyFont="1" applyFill="1" applyBorder="1" applyAlignment="1" applyProtection="1">
      <alignment horizontal="center" vertical="center" wrapText="1"/>
      <protection/>
    </xf>
    <xf numFmtId="1" fontId="3" fillId="43" borderId="0" xfId="0" applyNumberFormat="1" applyFont="1" applyFill="1" applyBorder="1" applyAlignment="1" applyProtection="1">
      <alignment horizontal="center" vertical="center" wrapText="1"/>
      <protection/>
    </xf>
    <xf numFmtId="49" fontId="3" fillId="43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1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8" borderId="13" xfId="0" applyNumberFormat="1" applyFont="1" applyFill="1" applyBorder="1" applyAlignment="1" applyProtection="1">
      <alignment horizontal="center" vertical="center" wrapText="1"/>
      <protection/>
    </xf>
    <xf numFmtId="1" fontId="3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 wrapText="1"/>
      <protection locked="0"/>
    </xf>
    <xf numFmtId="49" fontId="3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10" borderId="13" xfId="0" applyFont="1" applyFill="1" applyBorder="1" applyAlignment="1" applyProtection="1">
      <alignment horizontal="left" vertical="center" wrapText="1"/>
      <protection locked="0"/>
    </xf>
    <xf numFmtId="0" fontId="3" fillId="10" borderId="13" xfId="0" applyFont="1" applyFill="1" applyBorder="1" applyAlignment="1" applyProtection="1">
      <alignment horizontal="justify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0" applyFont="1" applyFill="1" applyAlignment="1" applyProtection="1">
      <alignment vertical="top" wrapText="1"/>
      <protection locked="0"/>
    </xf>
    <xf numFmtId="0" fontId="0" fillId="30" borderId="21" xfId="0" applyFont="1" applyFill="1" applyBorder="1" applyAlignment="1" applyProtection="1">
      <alignment vertical="top" wrapText="1"/>
      <protection/>
    </xf>
    <xf numFmtId="0" fontId="0" fillId="30" borderId="13" xfId="0" applyFill="1" applyBorder="1" applyAlignment="1" applyProtection="1">
      <alignment horizontal="justify" vertical="top" wrapText="1"/>
      <protection locked="0"/>
    </xf>
    <xf numFmtId="0" fontId="0" fillId="30" borderId="13" xfId="0" applyFill="1" applyBorder="1" applyAlignment="1" applyProtection="1">
      <alignment vertical="top" wrapText="1"/>
      <protection/>
    </xf>
    <xf numFmtId="0" fontId="0" fillId="30" borderId="0" xfId="0" applyFill="1" applyAlignment="1" applyProtection="1">
      <alignment vertical="top" wrapText="1"/>
      <protection locked="0"/>
    </xf>
    <xf numFmtId="0" fontId="0" fillId="30" borderId="0" xfId="0" applyFont="1" applyFill="1" applyBorder="1" applyAlignment="1" applyProtection="1">
      <alignment vertical="top" wrapText="1"/>
      <protection locked="0"/>
    </xf>
    <xf numFmtId="0" fontId="0" fillId="30" borderId="0" xfId="0" applyFont="1" applyFill="1" applyBorder="1" applyAlignment="1" applyProtection="1">
      <alignment horizontal="justify" vertical="top" wrapText="1"/>
      <protection locked="0"/>
    </xf>
    <xf numFmtId="0" fontId="27" fillId="30" borderId="0" xfId="0" applyFont="1" applyFill="1" applyBorder="1" applyAlignment="1" applyProtection="1">
      <alignment horizontal="justify" vertical="top" wrapText="1"/>
      <protection locked="0"/>
    </xf>
    <xf numFmtId="49" fontId="4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Fill="1" applyBorder="1" applyAlignment="1" applyProtection="1">
      <alignment horizontal="left" vertical="center" wrapText="1"/>
      <protection locked="0"/>
    </xf>
    <xf numFmtId="49" fontId="41" fillId="41" borderId="13" xfId="0" applyNumberFormat="1" applyFont="1" applyFill="1" applyBorder="1" applyAlignment="1" applyProtection="1">
      <alignment horizontal="center" vertical="center" wrapText="1"/>
      <protection locked="0"/>
    </xf>
    <xf numFmtId="1" fontId="41" fillId="33" borderId="13" xfId="0" applyNumberFormat="1" applyFont="1" applyFill="1" applyBorder="1" applyAlignment="1" applyProtection="1">
      <alignment horizontal="center" vertical="center" wrapText="1"/>
      <protection/>
    </xf>
    <xf numFmtId="1" fontId="41" fillId="26" borderId="13" xfId="0" applyNumberFormat="1" applyFont="1" applyFill="1" applyBorder="1" applyAlignment="1" applyProtection="1">
      <alignment horizontal="center" vertical="center" wrapText="1"/>
      <protection/>
    </xf>
    <xf numFmtId="1" fontId="41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49" fontId="41" fillId="0" borderId="13" xfId="0" applyNumberFormat="1" applyFont="1" applyFill="1" applyBorder="1" applyAlignment="1" applyProtection="1">
      <alignment horizontal="left" vertical="center" wrapText="1"/>
      <protection/>
    </xf>
    <xf numFmtId="1" fontId="41" fillId="8" borderId="13" xfId="0" applyNumberFormat="1" applyFont="1" applyFill="1" applyBorder="1" applyAlignment="1" applyProtection="1">
      <alignment horizontal="center" vertical="center" wrapText="1"/>
      <protection/>
    </xf>
    <xf numFmtId="1" fontId="41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30" borderId="13" xfId="0" applyFont="1" applyFill="1" applyBorder="1" applyAlignment="1" applyProtection="1">
      <alignment horizontal="left" vertical="center" wrapText="1"/>
      <protection locked="0"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41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18" xfId="0" applyNumberFormat="1" applyFont="1" applyFill="1" applyBorder="1" applyAlignment="1" applyProtection="1">
      <alignment horizontal="center" vertical="top" wrapText="1"/>
      <protection/>
    </xf>
    <xf numFmtId="0" fontId="3" fillId="3" borderId="26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0" fillId="3" borderId="17" xfId="0" applyNumberFormat="1" applyFont="1" applyFill="1" applyBorder="1" applyAlignment="1" applyProtection="1">
      <alignment horizontal="left" vertical="top" wrapText="1"/>
      <protection/>
    </xf>
    <xf numFmtId="180" fontId="0" fillId="3" borderId="17" xfId="0" applyNumberFormat="1" applyFont="1" applyFill="1" applyBorder="1" applyAlignment="1" applyProtection="1">
      <alignment horizontal="center" vertical="top" wrapText="1"/>
      <protection/>
    </xf>
    <xf numFmtId="49" fontId="0" fillId="3" borderId="18" xfId="0" applyNumberFormat="1" applyFont="1" applyFill="1" applyBorder="1" applyAlignment="1" applyProtection="1">
      <alignment horizontal="center" vertical="top" wrapText="1"/>
      <protection/>
    </xf>
    <xf numFmtId="49" fontId="0" fillId="3" borderId="17" xfId="0" applyNumberFormat="1" applyFont="1" applyFill="1" applyBorder="1" applyAlignment="1" applyProtection="1">
      <alignment horizontal="center" vertical="top" wrapText="1"/>
      <protection/>
    </xf>
    <xf numFmtId="49" fontId="0" fillId="3" borderId="18" xfId="0" applyNumberFormat="1" applyFont="1" applyFill="1" applyBorder="1" applyAlignment="1" applyProtection="1">
      <alignment vertical="top" wrapText="1"/>
      <protection/>
    </xf>
    <xf numFmtId="1" fontId="0" fillId="3" borderId="20" xfId="0" applyNumberFormat="1" applyFont="1" applyFill="1" applyBorder="1" applyAlignment="1" applyProtection="1">
      <alignment vertical="top" wrapText="1"/>
      <protection/>
    </xf>
    <xf numFmtId="180" fontId="0" fillId="3" borderId="20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20" xfId="0" applyNumberFormat="1" applyFont="1" applyFill="1" applyBorder="1" applyAlignment="1" applyProtection="1">
      <alignment horizontal="center" vertical="top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0" fontId="3" fillId="3" borderId="27" xfId="0" applyFont="1" applyFill="1" applyBorder="1" applyAlignment="1" applyProtection="1">
      <alignment horizontal="center" vertical="top" wrapText="1"/>
      <protection/>
    </xf>
    <xf numFmtId="0" fontId="3" fillId="3" borderId="14" xfId="0" applyFont="1" applyFill="1" applyBorder="1" applyAlignment="1" applyProtection="1">
      <alignment horizontal="center" vertical="top" wrapText="1"/>
      <protection/>
    </xf>
    <xf numFmtId="0" fontId="3" fillId="41" borderId="14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3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/>
    </xf>
    <xf numFmtId="0" fontId="0" fillId="30" borderId="0" xfId="0" applyFont="1" applyFill="1" applyAlignment="1">
      <alignment/>
    </xf>
    <xf numFmtId="0" fontId="0" fillId="3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0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3" fillId="15" borderId="25" xfId="0" applyNumberFormat="1" applyFont="1" applyFill="1" applyBorder="1" applyAlignment="1" applyProtection="1">
      <alignment horizontal="left" vertical="center" wrapText="1"/>
      <protection/>
    </xf>
    <xf numFmtId="49" fontId="3" fillId="15" borderId="0" xfId="0" applyNumberFormat="1" applyFont="1" applyFill="1" applyBorder="1" applyAlignment="1" applyProtection="1">
      <alignment horizontal="left" vertical="center" wrapText="1"/>
      <protection/>
    </xf>
    <xf numFmtId="49" fontId="3" fillId="41" borderId="0" xfId="0" applyNumberFormat="1" applyFont="1" applyFill="1" applyBorder="1" applyAlignment="1" applyProtection="1">
      <alignment horizontal="left" vertical="center" wrapText="1"/>
      <protection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15" borderId="20" xfId="0" applyNumberFormat="1" applyFont="1" applyFill="1" applyBorder="1" applyAlignment="1" applyProtection="1">
      <alignment horizontal="left" vertical="center" wrapText="1"/>
      <protection/>
    </xf>
    <xf numFmtId="49" fontId="3" fillId="41" borderId="20" xfId="0" applyNumberFormat="1" applyFont="1" applyFill="1" applyBorder="1" applyAlignment="1" applyProtection="1">
      <alignment horizontal="left" vertical="center" wrapText="1"/>
      <protection/>
    </xf>
    <xf numFmtId="1" fontId="3" fillId="15" borderId="20" xfId="0" applyNumberFormat="1" applyFont="1" applyFill="1" applyBorder="1" applyAlignment="1" applyProtection="1">
      <alignment horizontal="left" vertical="center" wrapText="1"/>
      <protection/>
    </xf>
    <xf numFmtId="1" fontId="3" fillId="5" borderId="13" xfId="0" applyNumberFormat="1" applyFont="1" applyFill="1" applyBorder="1" applyAlignment="1" applyProtection="1">
      <alignment horizontal="center" vertical="center" wrapText="1"/>
      <protection/>
    </xf>
    <xf numFmtId="3" fontId="0" fillId="5" borderId="13" xfId="0" applyNumberFormat="1" applyFont="1" applyFill="1" applyBorder="1" applyAlignment="1" applyProtection="1">
      <alignment horizontal="center" vertical="center" wrapText="1"/>
      <protection/>
    </xf>
    <xf numFmtId="1" fontId="3" fillId="5" borderId="15" xfId="0" applyNumberFormat="1" applyFont="1" applyFill="1" applyBorder="1" applyAlignment="1" applyProtection="1">
      <alignment horizontal="center" vertical="center" wrapText="1"/>
      <protection/>
    </xf>
    <xf numFmtId="3" fontId="0" fillId="5" borderId="21" xfId="0" applyNumberFormat="1" applyFont="1" applyFill="1" applyBorder="1" applyAlignment="1" applyProtection="1">
      <alignment horizontal="center" vertical="center" wrapText="1"/>
      <protection/>
    </xf>
    <xf numFmtId="3" fontId="0" fillId="5" borderId="15" xfId="0" applyNumberFormat="1" applyFont="1" applyFill="1" applyBorder="1" applyAlignment="1" applyProtection="1">
      <alignment horizontal="center" vertical="center" wrapText="1"/>
      <protection/>
    </xf>
    <xf numFmtId="3" fontId="0" fillId="5" borderId="23" xfId="0" applyNumberFormat="1" applyFont="1" applyFill="1" applyBorder="1" applyAlignment="1" applyProtection="1">
      <alignment horizontal="center" vertical="center" wrapText="1"/>
      <protection/>
    </xf>
    <xf numFmtId="0" fontId="0" fillId="15" borderId="25" xfId="0" applyNumberFormat="1" applyFont="1" applyFill="1" applyBorder="1" applyAlignment="1" applyProtection="1">
      <alignment horizontal="left" vertical="center" wrapText="1"/>
      <protection/>
    </xf>
    <xf numFmtId="0" fontId="0" fillId="41" borderId="15" xfId="0" applyFont="1" applyFill="1" applyBorder="1" applyAlignment="1" applyProtection="1">
      <alignment horizontal="left" vertical="center" wrapText="1"/>
      <protection/>
    </xf>
    <xf numFmtId="1" fontId="0" fillId="15" borderId="15" xfId="0" applyNumberFormat="1" applyFont="1" applyFill="1" applyBorder="1" applyAlignment="1" applyProtection="1">
      <alignment horizontal="center" vertical="center" wrapText="1"/>
      <protection/>
    </xf>
    <xf numFmtId="1" fontId="0" fillId="5" borderId="13" xfId="0" applyNumberFormat="1" applyFont="1" applyFill="1" applyBorder="1" applyAlignment="1" applyProtection="1">
      <alignment horizontal="center" vertical="center" wrapText="1"/>
      <protection/>
    </xf>
    <xf numFmtId="1" fontId="0" fillId="5" borderId="15" xfId="0" applyNumberFormat="1" applyFont="1" applyFill="1" applyBorder="1" applyAlignment="1" applyProtection="1">
      <alignment horizontal="center" vertical="center" wrapText="1"/>
      <protection/>
    </xf>
    <xf numFmtId="49" fontId="0" fillId="15" borderId="24" xfId="0" applyNumberFormat="1" applyFont="1" applyFill="1" applyBorder="1" applyAlignment="1" applyProtection="1">
      <alignment horizontal="center" vertical="center" wrapText="1"/>
      <protection/>
    </xf>
    <xf numFmtId="1" fontId="0" fillId="5" borderId="23" xfId="0" applyNumberFormat="1" applyFont="1" applyFill="1" applyBorder="1" applyAlignment="1" applyProtection="1">
      <alignment horizontal="center" vertical="center" wrapText="1"/>
      <protection/>
    </xf>
    <xf numFmtId="49" fontId="3" fillId="15" borderId="24" xfId="0" applyNumberFormat="1" applyFont="1" applyFill="1" applyBorder="1" applyAlignment="1" applyProtection="1">
      <alignment horizontal="left" vertic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24" xfId="0" applyNumberFormat="1" applyFont="1" applyFill="1" applyBorder="1" applyAlignment="1" applyProtection="1">
      <alignment horizontal="left" vertical="center" wrapText="1"/>
      <protection/>
    </xf>
    <xf numFmtId="49" fontId="0" fillId="1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41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41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right" vertical="top" wrapText="1"/>
      <protection/>
    </xf>
    <xf numFmtId="18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30" borderId="0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Border="1" applyAlignment="1" applyProtection="1">
      <alignment horizontal="left" vertical="top" wrapText="1"/>
      <protection/>
    </xf>
    <xf numFmtId="1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30" borderId="0" xfId="0" applyFont="1" applyFill="1" applyBorder="1" applyAlignment="1" applyProtection="1">
      <alignment horizontal="left" vertical="top" wrapText="1"/>
      <protection/>
    </xf>
    <xf numFmtId="0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" borderId="16" xfId="0" applyNumberFormat="1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1" fontId="3" fillId="5" borderId="21" xfId="0" applyNumberFormat="1" applyFont="1" applyFill="1" applyBorder="1" applyAlignment="1" applyProtection="1">
      <alignment horizontal="center" vertical="top" wrapText="1"/>
      <protection/>
    </xf>
    <xf numFmtId="1" fontId="3" fillId="5" borderId="28" xfId="0" applyNumberFormat="1" applyFont="1" applyFill="1" applyBorder="1" applyAlignment="1" applyProtection="1">
      <alignment horizontal="center" vertical="top" wrapText="1"/>
      <protection/>
    </xf>
    <xf numFmtId="0" fontId="41" fillId="0" borderId="13" xfId="52" applyFont="1" applyFill="1" applyBorder="1" applyAlignment="1">
      <alignment horizontal="left" vertical="center" wrapText="1"/>
      <protection/>
    </xf>
    <xf numFmtId="0" fontId="41" fillId="30" borderId="13" xfId="52" applyFont="1" applyFill="1" applyBorder="1" applyAlignment="1">
      <alignment horizontal="left" vertical="center" wrapText="1"/>
      <protection/>
    </xf>
    <xf numFmtId="0" fontId="41" fillId="30" borderId="13" xfId="0" applyFont="1" applyFill="1" applyBorder="1" applyAlignment="1" applyProtection="1">
      <alignment horizontal="center" vertical="center" wrapText="1"/>
      <protection locked="0"/>
    </xf>
    <xf numFmtId="1" fontId="41" fillId="30" borderId="13" xfId="0" applyNumberFormat="1" applyFont="1" applyFill="1" applyBorder="1" applyAlignment="1" applyProtection="1">
      <alignment horizontal="center" vertical="center" wrapText="1"/>
      <protection/>
    </xf>
    <xf numFmtId="0" fontId="41" fillId="30" borderId="0" xfId="0" applyFont="1" applyFill="1" applyBorder="1" applyAlignment="1" applyProtection="1">
      <alignment vertical="center" wrapText="1"/>
      <protection locked="0"/>
    </xf>
    <xf numFmtId="49" fontId="41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41" fillId="36" borderId="13" xfId="0" applyFont="1" applyFill="1" applyBorder="1" applyAlignment="1">
      <alignment vertical="center"/>
    </xf>
    <xf numFmtId="0" fontId="41" fillId="38" borderId="13" xfId="0" applyFont="1" applyFill="1" applyBorder="1" applyAlignment="1" applyProtection="1">
      <alignment horizontal="left" vertical="center" wrapText="1"/>
      <protection locked="0"/>
    </xf>
    <xf numFmtId="49" fontId="41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38" borderId="13" xfId="0" applyFont="1" applyFill="1" applyBorder="1" applyAlignment="1" applyProtection="1">
      <alignment horizontal="center" vertical="center" wrapText="1"/>
      <protection locked="0"/>
    </xf>
    <xf numFmtId="49" fontId="41" fillId="38" borderId="13" xfId="0" applyNumberFormat="1" applyFont="1" applyFill="1" applyBorder="1" applyAlignment="1" applyProtection="1">
      <alignment horizontal="center" vertical="center" wrapText="1"/>
      <protection/>
    </xf>
    <xf numFmtId="1" fontId="41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41" fillId="3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8" xfId="0" applyFont="1" applyFill="1" applyBorder="1" applyAlignment="1">
      <alignment horizontal="center" vertical="top" wrapText="1"/>
    </xf>
    <xf numFmtId="0" fontId="4" fillId="7" borderId="19" xfId="0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26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26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4" fillId="26" borderId="0" xfId="0" applyFont="1" applyFill="1" applyAlignment="1">
      <alignment horizontal="left" vertical="top"/>
    </xf>
    <xf numFmtId="0" fontId="4" fillId="26" borderId="11" xfId="0" applyFont="1" applyFill="1" applyBorder="1" applyAlignment="1">
      <alignment horizontal="left" vertical="top"/>
    </xf>
    <xf numFmtId="0" fontId="4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6" borderId="0" xfId="0" applyFill="1" applyBorder="1" applyAlignment="1">
      <alignment horizontal="justify" vertical="top" wrapText="1"/>
    </xf>
    <xf numFmtId="0" fontId="4" fillId="7" borderId="14" xfId="0" applyFont="1" applyFill="1" applyBorder="1" applyAlignment="1">
      <alignment vertical="center" textRotation="90" wrapText="1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7" borderId="14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26" borderId="0" xfId="0" applyFont="1" applyFill="1" applyAlignment="1">
      <alignment horizontal="justify" vertical="top" wrapText="1"/>
    </xf>
    <xf numFmtId="0" fontId="4" fillId="26" borderId="11" xfId="0" applyFont="1" applyFill="1" applyBorder="1" applyAlignment="1">
      <alignment vertical="top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ill="1" applyAlignment="1">
      <alignment vertical="top" wrapText="1"/>
    </xf>
    <xf numFmtId="0" fontId="0" fillId="26" borderId="0" xfId="0" applyFont="1" applyFill="1" applyAlignment="1">
      <alignment vertical="top" wrapText="1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0" fillId="26" borderId="0" xfId="0" applyFont="1" applyFill="1" applyBorder="1" applyAlignment="1">
      <alignment horizontal="justify" vertical="top" wrapText="1"/>
    </xf>
    <xf numFmtId="0" fontId="42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Alignment="1" applyProtection="1">
      <alignment horizontal="justify" vertical="top" wrapText="1"/>
      <protection locked="0"/>
    </xf>
    <xf numFmtId="0" fontId="4" fillId="26" borderId="11" xfId="0" applyFont="1" applyFill="1" applyBorder="1" applyAlignment="1">
      <alignment horizontal="justify" vertical="top" wrapText="1"/>
    </xf>
    <xf numFmtId="0" fontId="4" fillId="7" borderId="21" xfId="0" applyFont="1" applyFill="1" applyBorder="1" applyAlignment="1">
      <alignment horizontal="center" vertical="top" wrapText="1"/>
    </xf>
    <xf numFmtId="0" fontId="4" fillId="7" borderId="23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textRotation="90" wrapText="1"/>
    </xf>
    <xf numFmtId="0" fontId="9" fillId="7" borderId="24" xfId="0" applyFont="1" applyFill="1" applyBorder="1" applyAlignment="1">
      <alignment horizontal="center" textRotation="90" wrapText="1"/>
    </xf>
    <xf numFmtId="0" fontId="9" fillId="7" borderId="12" xfId="0" applyFont="1" applyFill="1" applyBorder="1" applyAlignment="1">
      <alignment horizontal="center" textRotation="90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0" borderId="13" xfId="0" applyFont="1" applyFill="1" applyBorder="1" applyAlignment="1">
      <alignment vertical="top" wrapText="1"/>
    </xf>
    <xf numFmtId="0" fontId="0" fillId="26" borderId="0" xfId="0" applyFill="1" applyAlignment="1">
      <alignment horizontal="center" vertical="top" wrapText="1"/>
    </xf>
    <xf numFmtId="0" fontId="0" fillId="26" borderId="0" xfId="0" applyFont="1" applyFill="1" applyAlignment="1">
      <alignment horizontal="center" vertical="top" wrapText="1"/>
    </xf>
    <xf numFmtId="0" fontId="0" fillId="26" borderId="0" xfId="0" applyFill="1" applyBorder="1" applyAlignment="1">
      <alignment horizontal="left" vertical="top" wrapText="1"/>
    </xf>
    <xf numFmtId="0" fontId="9" fillId="7" borderId="16" xfId="0" applyFont="1" applyFill="1" applyBorder="1" applyAlignment="1">
      <alignment horizontal="center" vertical="center" textRotation="90" wrapText="1"/>
    </xf>
    <xf numFmtId="0" fontId="9" fillId="7" borderId="17" xfId="0" applyFont="1" applyFill="1" applyBorder="1" applyAlignment="1">
      <alignment horizontal="center" vertical="center" textRotation="90" wrapText="1"/>
    </xf>
    <xf numFmtId="0" fontId="9" fillId="7" borderId="18" xfId="0" applyFont="1" applyFill="1" applyBorder="1" applyAlignment="1">
      <alignment horizontal="center" vertical="center" textRotation="90" wrapText="1"/>
    </xf>
    <xf numFmtId="0" fontId="9" fillId="7" borderId="25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textRotation="90" wrapText="1"/>
    </xf>
    <xf numFmtId="0" fontId="9" fillId="7" borderId="19" xfId="0" applyFont="1" applyFill="1" applyBorder="1" applyAlignment="1">
      <alignment horizontal="center" vertical="center" textRotation="90" wrapText="1"/>
    </xf>
    <xf numFmtId="0" fontId="9" fillId="7" borderId="20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1" fontId="3" fillId="5" borderId="23" xfId="0" applyNumberFormat="1" applyFont="1" applyFill="1" applyBorder="1" applyAlignment="1" applyProtection="1">
      <alignment horizontal="center" vertical="center" wrapText="1"/>
      <protection/>
    </xf>
    <xf numFmtId="0" fontId="3" fillId="15" borderId="21" xfId="0" applyFont="1" applyFill="1" applyBorder="1" applyAlignment="1" applyProtection="1">
      <alignment horizontal="left" vertical="center" wrapText="1"/>
      <protection/>
    </xf>
    <xf numFmtId="0" fontId="3" fillId="15" borderId="23" xfId="0" applyFont="1" applyFill="1" applyBorder="1" applyAlignment="1" applyProtection="1">
      <alignment horizontal="left" vertical="center" wrapText="1"/>
      <protection/>
    </xf>
    <xf numFmtId="0" fontId="3" fillId="15" borderId="15" xfId="0" applyFont="1" applyFill="1" applyBorder="1" applyAlignment="1" applyProtection="1">
      <alignment horizontal="left" vertical="center" wrapText="1"/>
      <protection/>
    </xf>
    <xf numFmtId="0" fontId="0" fillId="15" borderId="21" xfId="0" applyFont="1" applyFill="1" applyBorder="1" applyAlignment="1" applyProtection="1">
      <alignment horizontal="left" vertical="center" wrapText="1"/>
      <protection/>
    </xf>
    <xf numFmtId="0" fontId="0" fillId="15" borderId="23" xfId="0" applyFont="1" applyFill="1" applyBorder="1" applyAlignment="1" applyProtection="1">
      <alignment horizontal="left" vertical="center" wrapText="1"/>
      <protection/>
    </xf>
    <xf numFmtId="0" fontId="0" fillId="15" borderId="15" xfId="0" applyFont="1" applyFill="1" applyBorder="1" applyAlignment="1" applyProtection="1">
      <alignment horizontal="left" vertical="center" wrapText="1"/>
      <protection/>
    </xf>
    <xf numFmtId="0" fontId="3" fillId="15" borderId="25" xfId="0" applyNumberFormat="1" applyFont="1" applyFill="1" applyBorder="1" applyAlignment="1" applyProtection="1">
      <alignment horizontal="left" vertical="center" wrapText="1"/>
      <protection/>
    </xf>
    <xf numFmtId="0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3" xfId="0" applyFont="1" applyBorder="1" applyAlignment="1">
      <alignment vertical="center"/>
    </xf>
    <xf numFmtId="180" fontId="3" fillId="5" borderId="29" xfId="0" applyNumberFormat="1" applyFont="1" applyFill="1" applyBorder="1" applyAlignment="1" applyProtection="1">
      <alignment horizontal="center" vertical="center" wrapText="1"/>
      <protection/>
    </xf>
    <xf numFmtId="180" fontId="3" fillId="5" borderId="30" xfId="0" applyNumberFormat="1" applyFont="1" applyFill="1" applyBorder="1" applyAlignment="1" applyProtection="1">
      <alignment horizontal="center" vertical="center" wrapText="1"/>
      <protection/>
    </xf>
    <xf numFmtId="180" fontId="3" fillId="5" borderId="28" xfId="0" applyNumberFormat="1" applyFont="1" applyFill="1" applyBorder="1" applyAlignment="1" applyProtection="1">
      <alignment horizontal="center" vertical="center" wrapText="1"/>
      <protection/>
    </xf>
    <xf numFmtId="0" fontId="0" fillId="25" borderId="20" xfId="0" applyFont="1" applyFill="1" applyBorder="1" applyAlignment="1" applyProtection="1">
      <alignment horizontal="left" vertical="top" wrapText="1"/>
      <protection/>
    </xf>
    <xf numFmtId="1" fontId="3" fillId="5" borderId="21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vertical="center" wrapText="1"/>
      <protection/>
    </xf>
    <xf numFmtId="49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45" borderId="14" xfId="0" applyFont="1" applyFill="1" applyBorder="1" applyAlignment="1" applyProtection="1">
      <alignment horizontal="center" vertical="center" wrapText="1"/>
      <protection/>
    </xf>
    <xf numFmtId="0" fontId="3" fillId="45" borderId="24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top" wrapText="1"/>
      <protection/>
    </xf>
    <xf numFmtId="0" fontId="3" fillId="3" borderId="23" xfId="0" applyFont="1" applyFill="1" applyBorder="1" applyAlignment="1" applyProtection="1">
      <alignment horizontal="center" vertical="top" wrapText="1"/>
      <protection/>
    </xf>
    <xf numFmtId="0" fontId="3" fillId="3" borderId="15" xfId="0" applyFont="1" applyFill="1" applyBorder="1" applyAlignment="1" applyProtection="1">
      <alignment horizontal="center" vertical="top" wrapText="1"/>
      <protection/>
    </xf>
    <xf numFmtId="0" fontId="3" fillId="3" borderId="14" xfId="0" applyFont="1" applyFill="1" applyBorder="1" applyAlignment="1" applyProtection="1">
      <alignment horizontal="center" textRotation="90" wrapText="1"/>
      <protection/>
    </xf>
    <xf numFmtId="0" fontId="3" fillId="3" borderId="24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49" fontId="3" fillId="3" borderId="31" xfId="0" applyNumberFormat="1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33" xfId="0" applyNumberFormat="1" applyFont="1" applyFill="1" applyBorder="1" applyAlignment="1" applyProtection="1">
      <alignment horizontal="center" vertical="top" wrapText="1"/>
      <protection/>
    </xf>
    <xf numFmtId="49" fontId="3" fillId="3" borderId="34" xfId="0" applyNumberFormat="1" applyFont="1" applyFill="1" applyBorder="1" applyAlignment="1" applyProtection="1">
      <alignment horizontal="center" vertical="top" wrapText="1"/>
      <protection/>
    </xf>
    <xf numFmtId="49" fontId="3" fillId="3" borderId="35" xfId="0" applyNumberFormat="1" applyFont="1" applyFill="1" applyBorder="1" applyAlignment="1" applyProtection="1">
      <alignment horizontal="center" vertical="top" wrapText="1"/>
      <protection/>
    </xf>
    <xf numFmtId="49" fontId="3" fillId="3" borderId="36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0" fillId="3" borderId="16" xfId="0" applyNumberFormat="1" applyFont="1" applyFill="1" applyBorder="1" applyAlignment="1" applyProtection="1">
      <alignment horizontal="left" vertical="top" wrapText="1"/>
      <protection/>
    </xf>
    <xf numFmtId="49" fontId="0" fillId="3" borderId="17" xfId="0" applyNumberFormat="1" applyFont="1" applyFill="1" applyBorder="1" applyAlignment="1" applyProtection="1">
      <alignment horizontal="left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textRotation="90" wrapText="1"/>
      <protection/>
    </xf>
    <xf numFmtId="49" fontId="3" fillId="3" borderId="24" xfId="0" applyNumberFormat="1" applyFont="1" applyFill="1" applyBorder="1" applyAlignment="1" applyProtection="1">
      <alignment horizontal="center" textRotation="90" wrapText="1"/>
      <protection/>
    </xf>
    <xf numFmtId="49" fontId="3" fillId="3" borderId="12" xfId="0" applyNumberFormat="1" applyFont="1" applyFill="1" applyBorder="1" applyAlignment="1" applyProtection="1">
      <alignment horizontal="center" textRotation="90" wrapText="1"/>
      <protection/>
    </xf>
    <xf numFmtId="49" fontId="3" fillId="3" borderId="37" xfId="0" applyNumberFormat="1" applyFont="1" applyFill="1" applyBorder="1" applyAlignment="1" applyProtection="1">
      <alignment horizontal="center" vertical="top" wrapText="1"/>
      <protection/>
    </xf>
    <xf numFmtId="49" fontId="3" fillId="3" borderId="38" xfId="0" applyNumberFormat="1" applyFont="1" applyFill="1" applyBorder="1" applyAlignment="1" applyProtection="1">
      <alignment horizontal="center" vertical="top" wrapText="1"/>
      <protection/>
    </xf>
    <xf numFmtId="1" fontId="0" fillId="5" borderId="23" xfId="0" applyNumberFormat="1" applyFont="1" applyFill="1" applyBorder="1" applyAlignment="1" applyProtection="1">
      <alignment horizontal="center" vertical="center" wrapText="1"/>
      <protection/>
    </xf>
    <xf numFmtId="1" fontId="0" fillId="5" borderId="21" xfId="0" applyNumberFormat="1" applyFont="1" applyFill="1" applyBorder="1" applyAlignment="1" applyProtection="1">
      <alignment horizontal="center" vertical="center" wrapText="1"/>
      <protection/>
    </xf>
    <xf numFmtId="2" fontId="0" fillId="5" borderId="39" xfId="0" applyNumberFormat="1" applyFont="1" applyFill="1" applyBorder="1" applyAlignment="1" applyProtection="1">
      <alignment horizontal="center" vertical="center" wrapText="1"/>
      <protection/>
    </xf>
    <xf numFmtId="2" fontId="0" fillId="5" borderId="30" xfId="0" applyNumberFormat="1" applyFont="1" applyFill="1" applyBorder="1" applyAlignment="1" applyProtection="1">
      <alignment horizontal="center" vertical="center" wrapText="1"/>
      <protection/>
    </xf>
    <xf numFmtId="2" fontId="0" fillId="5" borderId="28" xfId="0" applyNumberFormat="1" applyFont="1" applyFill="1" applyBorder="1" applyAlignment="1" applyProtection="1">
      <alignment horizontal="center" vertical="center" wrapText="1"/>
      <protection/>
    </xf>
    <xf numFmtId="2" fontId="0" fillId="5" borderId="29" xfId="0" applyNumberFormat="1" applyFont="1" applyFill="1" applyBorder="1" applyAlignment="1" applyProtection="1">
      <alignment horizontal="center" vertical="center" wrapText="1"/>
      <protection/>
    </xf>
    <xf numFmtId="2" fontId="0" fillId="5" borderId="40" xfId="0" applyNumberFormat="1" applyFont="1" applyFill="1" applyBorder="1" applyAlignment="1" applyProtection="1">
      <alignment horizontal="center" vertical="center" wrapText="1"/>
      <protection/>
    </xf>
    <xf numFmtId="1" fontId="0" fillId="5" borderId="15" xfId="0" applyNumberFormat="1" applyFont="1" applyFill="1" applyBorder="1" applyAlignment="1" applyProtection="1">
      <alignment horizontal="center" vertical="center" wrapText="1"/>
      <protection/>
    </xf>
    <xf numFmtId="1" fontId="0" fillId="5" borderId="39" xfId="0" applyNumberFormat="1" applyFont="1" applyFill="1" applyBorder="1" applyAlignment="1" applyProtection="1">
      <alignment horizontal="center" vertical="center" wrapText="1"/>
      <protection/>
    </xf>
    <xf numFmtId="1" fontId="0" fillId="5" borderId="30" xfId="0" applyNumberFormat="1" applyFont="1" applyFill="1" applyBorder="1" applyAlignment="1" applyProtection="1">
      <alignment horizontal="center" vertical="center" wrapText="1"/>
      <protection/>
    </xf>
    <xf numFmtId="1" fontId="0" fillId="5" borderId="28" xfId="0" applyNumberFormat="1" applyFont="1" applyFill="1" applyBorder="1" applyAlignment="1" applyProtection="1">
      <alignment horizontal="center" vertical="center" wrapText="1"/>
      <protection/>
    </xf>
    <xf numFmtId="1" fontId="0" fillId="5" borderId="29" xfId="0" applyNumberFormat="1" applyFont="1" applyFill="1" applyBorder="1" applyAlignment="1" applyProtection="1">
      <alignment horizontal="center" vertical="center" wrapText="1"/>
      <protection/>
    </xf>
    <xf numFmtId="1" fontId="0" fillId="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21" xfId="0" applyNumberFormat="1" applyFont="1" applyFill="1" applyBorder="1" applyAlignment="1" applyProtection="1">
      <alignment horizontal="center" vertical="center" wrapText="1"/>
      <protection/>
    </xf>
    <xf numFmtId="1" fontId="0" fillId="35" borderId="23" xfId="0" applyNumberFormat="1" applyFont="1" applyFill="1" applyBorder="1" applyAlignment="1" applyProtection="1">
      <alignment horizontal="center" vertical="center" wrapText="1"/>
      <protection/>
    </xf>
    <xf numFmtId="1" fontId="0" fillId="40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0" fontId="3" fillId="32" borderId="21" xfId="0" applyFont="1" applyFill="1" applyBorder="1" applyAlignment="1" applyProtection="1">
      <alignment horizontal="left" vertical="center"/>
      <protection/>
    </xf>
    <xf numFmtId="0" fontId="3" fillId="32" borderId="23" xfId="0" applyFont="1" applyFill="1" applyBorder="1" applyAlignment="1" applyProtection="1">
      <alignment horizontal="left" vertical="center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3" fillId="24" borderId="21" xfId="0" applyFont="1" applyFill="1" applyBorder="1" applyAlignment="1" applyProtection="1">
      <alignment horizontal="left" vertical="center" wrapText="1"/>
      <protection/>
    </xf>
    <xf numFmtId="0" fontId="3" fillId="24" borderId="23" xfId="0" applyFont="1" applyFill="1" applyBorder="1" applyAlignment="1" applyProtection="1">
      <alignment horizontal="left"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5" fillId="28" borderId="13" xfId="0" applyFont="1" applyFill="1" applyBorder="1" applyAlignment="1" applyProtection="1">
      <alignment horizontal="left" vertical="center" wrapText="1"/>
      <protection/>
    </xf>
    <xf numFmtId="0" fontId="27" fillId="28" borderId="21" xfId="0" applyFont="1" applyFill="1" applyBorder="1" applyAlignment="1" applyProtection="1">
      <alignment horizontal="left" vertical="center" wrapText="1"/>
      <protection/>
    </xf>
    <xf numFmtId="0" fontId="27" fillId="28" borderId="23" xfId="0" applyFont="1" applyFill="1" applyBorder="1" applyAlignment="1" applyProtection="1">
      <alignment horizontal="left" vertical="center" wrapText="1"/>
      <protection/>
    </xf>
    <xf numFmtId="0" fontId="27" fillId="28" borderId="15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locked="0"/>
    </xf>
    <xf numFmtId="0" fontId="3" fillId="34" borderId="15" xfId="0" applyFont="1" applyFill="1" applyBorder="1" applyAlignment="1" applyProtection="1">
      <alignment horizontal="left" vertical="center" wrapText="1"/>
      <protection locked="0"/>
    </xf>
    <xf numFmtId="0" fontId="3" fillId="36" borderId="21" xfId="0" applyFont="1" applyFill="1" applyBorder="1" applyAlignment="1" applyProtection="1">
      <alignment horizontal="left" vertical="center" wrapText="1"/>
      <protection locked="0"/>
    </xf>
    <xf numFmtId="0" fontId="3" fillId="36" borderId="23" xfId="0" applyFont="1" applyFill="1" applyBorder="1" applyAlignment="1" applyProtection="1">
      <alignment horizontal="left" vertical="center" wrapText="1"/>
      <protection locked="0"/>
    </xf>
    <xf numFmtId="0" fontId="3" fillId="36" borderId="15" xfId="0" applyFont="1" applyFill="1" applyBorder="1" applyAlignment="1" applyProtection="1">
      <alignment horizontal="left" vertical="center" wrapText="1"/>
      <protection locked="0"/>
    </xf>
    <xf numFmtId="0" fontId="0" fillId="36" borderId="21" xfId="0" applyFont="1" applyFill="1" applyBorder="1" applyAlignment="1" applyProtection="1">
      <alignment horizontal="left" vertical="center" wrapText="1"/>
      <protection locked="0"/>
    </xf>
    <xf numFmtId="0" fontId="0" fillId="36" borderId="23" xfId="0" applyFont="1" applyFill="1" applyBorder="1" applyAlignment="1" applyProtection="1">
      <alignment horizontal="left" vertical="center" wrapText="1"/>
      <protection locked="0"/>
    </xf>
    <xf numFmtId="0" fontId="0" fillId="36" borderId="15" xfId="0" applyFont="1" applyFill="1" applyBorder="1" applyAlignment="1" applyProtection="1">
      <alignment horizontal="left" vertical="center" wrapText="1"/>
      <protection locked="0"/>
    </xf>
    <xf numFmtId="0" fontId="3" fillId="15" borderId="19" xfId="0" applyNumberFormat="1" applyFont="1" applyFill="1" applyBorder="1" applyAlignment="1" applyProtection="1">
      <alignment horizontal="left" vertical="center" wrapText="1"/>
      <protection/>
    </xf>
    <xf numFmtId="0" fontId="3" fillId="15" borderId="20" xfId="0" applyNumberFormat="1" applyFont="1" applyFill="1" applyBorder="1" applyAlignment="1" applyProtection="1">
      <alignment horizontal="left" vertical="center" wrapText="1"/>
      <protection/>
    </xf>
    <xf numFmtId="0" fontId="3" fillId="10" borderId="21" xfId="0" applyFont="1" applyFill="1" applyBorder="1" applyAlignment="1" applyProtection="1">
      <alignment horizontal="left" vertical="center" wrapText="1"/>
      <protection/>
    </xf>
    <xf numFmtId="0" fontId="3" fillId="10" borderId="23" xfId="0" applyFont="1" applyFill="1" applyBorder="1" applyAlignment="1" applyProtection="1">
      <alignment horizontal="left" vertical="center" wrapText="1"/>
      <protection/>
    </xf>
    <xf numFmtId="0" fontId="3" fillId="10" borderId="15" xfId="0" applyFont="1" applyFill="1" applyBorder="1" applyAlignment="1" applyProtection="1">
      <alignment horizontal="left" vertical="center" wrapText="1"/>
      <protection/>
    </xf>
    <xf numFmtId="1" fontId="3" fillId="5" borderId="29" xfId="0" applyNumberFormat="1" applyFont="1" applyFill="1" applyBorder="1" applyAlignment="1" applyProtection="1">
      <alignment horizontal="center" vertical="center" wrapText="1"/>
      <protection/>
    </xf>
    <xf numFmtId="1" fontId="3" fillId="5" borderId="30" xfId="0" applyNumberFormat="1" applyFont="1" applyFill="1" applyBorder="1" applyAlignment="1" applyProtection="1">
      <alignment horizontal="center" vertical="center" wrapText="1"/>
      <protection/>
    </xf>
    <xf numFmtId="1" fontId="3" fillId="5" borderId="28" xfId="0" applyNumberFormat="1" applyFont="1" applyFill="1" applyBorder="1" applyAlignment="1" applyProtection="1">
      <alignment horizontal="center" vertical="center" wrapText="1"/>
      <protection/>
    </xf>
    <xf numFmtId="1" fontId="0" fillId="3" borderId="19" xfId="0" applyNumberFormat="1" applyFont="1" applyFill="1" applyBorder="1" applyAlignment="1" applyProtection="1">
      <alignment horizontal="left" vertical="top" wrapText="1"/>
      <protection/>
    </xf>
    <xf numFmtId="1" fontId="0" fillId="3" borderId="2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" fontId="3" fillId="3" borderId="16" xfId="0" applyNumberFormat="1" applyFont="1" applyFill="1" applyBorder="1" applyAlignment="1" applyProtection="1">
      <alignment horizontal="center" vertical="top" wrapText="1"/>
      <protection/>
    </xf>
    <xf numFmtId="1" fontId="3" fillId="3" borderId="18" xfId="0" applyNumberFormat="1" applyFont="1" applyFill="1" applyBorder="1" applyAlignment="1" applyProtection="1">
      <alignment horizontal="center" vertical="top" wrapText="1"/>
      <protection/>
    </xf>
    <xf numFmtId="1" fontId="3" fillId="3" borderId="25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1" fontId="3" fillId="3" borderId="19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3" fillId="45" borderId="14" xfId="0" applyNumberFormat="1" applyFont="1" applyFill="1" applyBorder="1" applyAlignment="1" applyProtection="1">
      <alignment horizontal="center" textRotation="90" wrapText="1"/>
      <protection/>
    </xf>
    <xf numFmtId="49" fontId="3" fillId="45" borderId="24" xfId="0" applyNumberFormat="1" applyFont="1" applyFill="1" applyBorder="1" applyAlignment="1" applyProtection="1">
      <alignment horizontal="center" textRotation="90" wrapText="1"/>
      <protection/>
    </xf>
    <xf numFmtId="49" fontId="3" fillId="45" borderId="12" xfId="0" applyNumberFormat="1" applyFont="1" applyFill="1" applyBorder="1" applyAlignment="1" applyProtection="1">
      <alignment horizontal="center" textRotation="90" wrapText="1"/>
      <protection/>
    </xf>
    <xf numFmtId="0" fontId="5" fillId="24" borderId="21" xfId="0" applyFont="1" applyFill="1" applyBorder="1" applyAlignment="1" applyProtection="1">
      <alignment horizontal="left" vertical="center" wrapText="1"/>
      <protection/>
    </xf>
    <xf numFmtId="0" fontId="5" fillId="24" borderId="23" xfId="0" applyFont="1" applyFill="1" applyBorder="1" applyAlignment="1" applyProtection="1">
      <alignment horizontal="left" vertical="center" wrapText="1"/>
      <protection/>
    </xf>
    <xf numFmtId="0" fontId="5" fillId="24" borderId="15" xfId="0" applyFont="1" applyFill="1" applyBorder="1" applyAlignment="1" applyProtection="1">
      <alignment horizontal="left" vertical="center" wrapText="1"/>
      <protection/>
    </xf>
    <xf numFmtId="0" fontId="3" fillId="24" borderId="21" xfId="0" applyFont="1" applyFill="1" applyBorder="1" applyAlignment="1" applyProtection="1">
      <alignment horizontal="left" vertical="center"/>
      <protection/>
    </xf>
    <xf numFmtId="0" fontId="3" fillId="24" borderId="23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1" fontId="0" fillId="30" borderId="0" xfId="0" applyNumberFormat="1" applyFont="1" applyFill="1" applyBorder="1" applyAlignment="1" applyProtection="1">
      <alignment horizontal="center" vertical="top" wrapText="1"/>
      <protection locked="0"/>
    </xf>
    <xf numFmtId="2" fontId="0" fillId="26" borderId="0" xfId="0" applyNumberFormat="1" applyFill="1" applyBorder="1" applyAlignment="1" applyProtection="1">
      <alignment horizontal="justify" vertical="top" wrapText="1"/>
      <protection locked="0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34" fillId="7" borderId="14" xfId="0" applyFont="1" applyFill="1" applyBorder="1" applyAlignment="1">
      <alignment vertical="center" textRotation="90" wrapText="1"/>
    </xf>
    <xf numFmtId="0" fontId="35" fillId="0" borderId="24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4" fillId="7" borderId="16" xfId="0" applyFont="1" applyFill="1" applyBorder="1" applyAlignment="1">
      <alignment horizontal="center" vertical="top" wrapText="1"/>
    </xf>
    <xf numFmtId="0" fontId="34" fillId="7" borderId="17" xfId="0" applyFont="1" applyFill="1" applyBorder="1" applyAlignment="1">
      <alignment horizontal="center" vertical="top" wrapText="1"/>
    </xf>
    <xf numFmtId="0" fontId="34" fillId="7" borderId="18" xfId="0" applyFont="1" applyFill="1" applyBorder="1" applyAlignment="1">
      <alignment horizontal="center" vertical="top" wrapText="1"/>
    </xf>
    <xf numFmtId="0" fontId="34" fillId="7" borderId="19" xfId="0" applyFont="1" applyFill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4" fillId="7" borderId="10" xfId="0" applyFont="1" applyFill="1" applyBorder="1" applyAlignment="1">
      <alignment horizontal="center" vertical="top" wrapText="1"/>
    </xf>
    <xf numFmtId="0" fontId="34" fillId="7" borderId="14" xfId="0" applyFont="1" applyFill="1" applyBorder="1" applyAlignment="1">
      <alignment horizontal="center" vertical="center" wrapText="1"/>
    </xf>
    <xf numFmtId="0" fontId="34" fillId="7" borderId="24" xfId="0" applyFont="1" applyFill="1" applyBorder="1" applyAlignment="1">
      <alignment horizontal="center" vertical="center" wrapText="1"/>
    </xf>
    <xf numFmtId="0" fontId="34" fillId="26" borderId="0" xfId="0" applyFont="1" applyFill="1" applyAlignment="1">
      <alignment vertical="top" wrapText="1"/>
    </xf>
    <xf numFmtId="0" fontId="34" fillId="26" borderId="11" xfId="0" applyFont="1" applyFill="1" applyBorder="1" applyAlignment="1">
      <alignment vertical="top" wrapText="1"/>
    </xf>
    <xf numFmtId="0" fontId="34" fillId="26" borderId="0" xfId="0" applyFont="1" applyFill="1" applyAlignment="1">
      <alignment horizontal="justify" vertical="top" wrapText="1"/>
    </xf>
    <xf numFmtId="0" fontId="34" fillId="7" borderId="14" xfId="0" applyFont="1" applyFill="1" applyBorder="1" applyAlignment="1">
      <alignment horizontal="center" textRotation="90" wrapText="1"/>
    </xf>
    <xf numFmtId="0" fontId="34" fillId="7" borderId="24" xfId="0" applyFont="1" applyFill="1" applyBorder="1" applyAlignment="1">
      <alignment horizontal="center" textRotation="90" wrapText="1"/>
    </xf>
    <xf numFmtId="0" fontId="34" fillId="7" borderId="12" xfId="0" applyFont="1" applyFill="1" applyBorder="1" applyAlignment="1">
      <alignment horizontal="center" textRotation="90" wrapText="1"/>
    </xf>
    <xf numFmtId="0" fontId="34" fillId="7" borderId="16" xfId="0" applyFont="1" applyFill="1" applyBorder="1" applyAlignment="1">
      <alignment horizontal="center" vertical="center" textRotation="90" wrapText="1"/>
    </xf>
    <xf numFmtId="0" fontId="34" fillId="7" borderId="17" xfId="0" applyFont="1" applyFill="1" applyBorder="1" applyAlignment="1">
      <alignment horizontal="center" vertical="center" textRotation="90" wrapText="1"/>
    </xf>
    <xf numFmtId="0" fontId="34" fillId="7" borderId="18" xfId="0" applyFont="1" applyFill="1" applyBorder="1" applyAlignment="1">
      <alignment horizontal="center" vertical="center" textRotation="90" wrapText="1"/>
    </xf>
    <xf numFmtId="0" fontId="34" fillId="7" borderId="25" xfId="0" applyFont="1" applyFill="1" applyBorder="1" applyAlignment="1">
      <alignment horizontal="center" vertical="center" textRotation="90" wrapText="1"/>
    </xf>
    <xf numFmtId="0" fontId="34" fillId="7" borderId="0" xfId="0" applyFont="1" applyFill="1" applyBorder="1" applyAlignment="1">
      <alignment horizontal="center" vertical="center" textRotation="90" wrapText="1"/>
    </xf>
    <xf numFmtId="0" fontId="34" fillId="7" borderId="11" xfId="0" applyFont="1" applyFill="1" applyBorder="1" applyAlignment="1">
      <alignment horizontal="center" vertical="center" textRotation="90" wrapText="1"/>
    </xf>
    <xf numFmtId="0" fontId="34" fillId="7" borderId="19" xfId="0" applyFont="1" applyFill="1" applyBorder="1" applyAlignment="1">
      <alignment horizontal="center" vertical="center" textRotation="90" wrapText="1"/>
    </xf>
    <xf numFmtId="0" fontId="34" fillId="7" borderId="20" xfId="0" applyFont="1" applyFill="1" applyBorder="1" applyAlignment="1">
      <alignment horizontal="center" vertical="center" textRotation="90" wrapText="1"/>
    </xf>
    <xf numFmtId="0" fontId="34" fillId="7" borderId="10" xfId="0" applyFont="1" applyFill="1" applyBorder="1" applyAlignment="1">
      <alignment horizontal="center" vertical="center" textRotation="90" wrapText="1"/>
    </xf>
    <xf numFmtId="0" fontId="4" fillId="26" borderId="17" xfId="0" applyFont="1" applyFill="1" applyBorder="1" applyAlignment="1">
      <alignment horizontal="left" vertical="top" wrapText="1"/>
    </xf>
    <xf numFmtId="0" fontId="34" fillId="26" borderId="0" xfId="0" applyFont="1" applyFill="1" applyAlignment="1">
      <alignment horizontal="left" vertical="top" wrapText="1"/>
    </xf>
    <xf numFmtId="0" fontId="34" fillId="7" borderId="12" xfId="0" applyFont="1" applyFill="1" applyBorder="1" applyAlignment="1">
      <alignment horizontal="center" vertical="center" wrapText="1"/>
    </xf>
    <xf numFmtId="49" fontId="0" fillId="35" borderId="21" xfId="0" applyNumberFormat="1" applyFont="1" applyFill="1" applyBorder="1" applyAlignment="1" applyProtection="1">
      <alignment horizontal="left" vertical="center" wrapText="1"/>
      <protection/>
    </xf>
    <xf numFmtId="49" fontId="0" fillId="35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21" xfId="0" applyNumberFormat="1" applyFont="1" applyFill="1" applyBorder="1" applyAlignment="1" applyProtection="1">
      <alignment horizontal="left" vertical="center" wrapText="1"/>
      <protection/>
    </xf>
    <xf numFmtId="49" fontId="0" fillId="34" borderId="23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6" borderId="21" xfId="0" applyNumberFormat="1" applyFont="1" applyFill="1" applyBorder="1" applyAlignment="1" applyProtection="1">
      <alignment horizontal="left" vertical="center" wrapText="1"/>
      <protection/>
    </xf>
    <xf numFmtId="49" fontId="0" fillId="36" borderId="23" xfId="0" applyNumberFormat="1" applyFont="1" applyFill="1" applyBorder="1" applyAlignment="1" applyProtection="1">
      <alignment horizontal="left" vertical="center" wrapText="1"/>
      <protection/>
    </xf>
    <xf numFmtId="49" fontId="0" fillId="36" borderId="15" xfId="0" applyNumberFormat="1" applyFont="1" applyFill="1" applyBorder="1" applyAlignment="1" applyProtection="1">
      <alignment horizontal="left" vertical="center" wrapText="1"/>
      <protection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0" fontId="0" fillId="34" borderId="23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30" fillId="28" borderId="21" xfId="0" applyFont="1" applyFill="1" applyBorder="1" applyAlignment="1" applyProtection="1">
      <alignment horizontal="left" vertical="center" wrapText="1"/>
      <protection/>
    </xf>
    <xf numFmtId="0" fontId="30" fillId="28" borderId="23" xfId="0" applyFont="1" applyFill="1" applyBorder="1" applyAlignment="1" applyProtection="1">
      <alignment horizontal="left" vertical="center" wrapText="1"/>
      <protection/>
    </xf>
    <xf numFmtId="0" fontId="30" fillId="28" borderId="15" xfId="0" applyFont="1" applyFill="1" applyBorder="1" applyAlignment="1" applyProtection="1">
      <alignment horizontal="left" vertical="center" wrapText="1"/>
      <protection/>
    </xf>
    <xf numFmtId="0" fontId="0" fillId="24" borderId="21" xfId="0" applyFont="1" applyFill="1" applyBorder="1" applyAlignment="1" applyProtection="1">
      <alignment horizontal="left" vertical="center" wrapText="1"/>
      <protection/>
    </xf>
    <xf numFmtId="0" fontId="0" fillId="24" borderId="23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3" fillId="32" borderId="21" xfId="0" applyFont="1" applyFill="1" applyBorder="1" applyAlignment="1" applyProtection="1">
      <alignment horizontal="left" vertical="center" wrapText="1"/>
      <protection/>
    </xf>
    <xf numFmtId="0" fontId="3" fillId="32" borderId="23" xfId="0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horizontal="left" vertical="center" wrapText="1"/>
      <protection/>
    </xf>
    <xf numFmtId="0" fontId="0" fillId="36" borderId="21" xfId="0" applyFont="1" applyFill="1" applyBorder="1" applyAlignment="1" applyProtection="1">
      <alignment horizontal="left" vertical="center" wrapText="1"/>
      <protection/>
    </xf>
    <xf numFmtId="0" fontId="0" fillId="36" borderId="23" xfId="0" applyFont="1" applyFill="1" applyBorder="1" applyAlignment="1" applyProtection="1">
      <alignment horizontal="left" vertical="center" wrapText="1"/>
      <protection/>
    </xf>
    <xf numFmtId="0" fontId="0" fillId="36" borderId="15" xfId="0" applyFont="1" applyFill="1" applyBorder="1" applyAlignment="1" applyProtection="1">
      <alignment horizontal="left" vertical="center" wrapText="1"/>
      <protection/>
    </xf>
    <xf numFmtId="0" fontId="0" fillId="36" borderId="21" xfId="0" applyNumberFormat="1" applyFont="1" applyFill="1" applyBorder="1" applyAlignment="1" applyProtection="1">
      <alignment horizontal="left" vertical="center" wrapText="1"/>
      <protection/>
    </xf>
    <xf numFmtId="0" fontId="0" fillId="36" borderId="23" xfId="0" applyNumberFormat="1" applyFont="1" applyFill="1" applyBorder="1" applyAlignment="1" applyProtection="1">
      <alignment horizontal="left" vertical="center" wrapText="1"/>
      <protection/>
    </xf>
    <xf numFmtId="0" fontId="0" fillId="36" borderId="15" xfId="0" applyNumberFormat="1" applyFont="1" applyFill="1" applyBorder="1" applyAlignment="1" applyProtection="1">
      <alignment horizontal="left" vertical="center" wrapText="1"/>
      <protection/>
    </xf>
    <xf numFmtId="0" fontId="3" fillId="15" borderId="21" xfId="0" applyFont="1" applyFill="1" applyBorder="1" applyAlignment="1" applyProtection="1">
      <alignment horizontal="left" vertical="top" wrapText="1"/>
      <protection/>
    </xf>
    <xf numFmtId="0" fontId="3" fillId="15" borderId="23" xfId="0" applyFont="1" applyFill="1" applyBorder="1" applyAlignment="1" applyProtection="1">
      <alignment horizontal="left" vertical="top" wrapText="1"/>
      <protection/>
    </xf>
    <xf numFmtId="0" fontId="3" fillId="15" borderId="15" xfId="0" applyFont="1" applyFill="1" applyBorder="1" applyAlignment="1" applyProtection="1">
      <alignment horizontal="left" vertical="top" wrapText="1"/>
      <protection/>
    </xf>
    <xf numFmtId="1" fontId="3" fillId="5" borderId="21" xfId="0" applyNumberFormat="1" applyFont="1" applyFill="1" applyBorder="1" applyAlignment="1" applyProtection="1">
      <alignment horizontal="center" vertical="top" wrapText="1"/>
      <protection/>
    </xf>
    <xf numFmtId="1" fontId="3" fillId="5" borderId="23" xfId="0" applyNumberFormat="1" applyFont="1" applyFill="1" applyBorder="1" applyAlignment="1" applyProtection="1">
      <alignment horizontal="center" vertical="top" wrapText="1"/>
      <protection/>
    </xf>
    <xf numFmtId="180" fontId="3" fillId="5" borderId="29" xfId="0" applyNumberFormat="1" applyFont="1" applyFill="1" applyBorder="1" applyAlignment="1" applyProtection="1">
      <alignment horizontal="center" vertical="top" wrapText="1"/>
      <protection/>
    </xf>
    <xf numFmtId="180" fontId="3" fillId="5" borderId="30" xfId="0" applyNumberFormat="1" applyFont="1" applyFill="1" applyBorder="1" applyAlignment="1" applyProtection="1">
      <alignment horizontal="center" vertical="top" wrapText="1"/>
      <protection/>
    </xf>
    <xf numFmtId="180" fontId="3" fillId="5" borderId="28" xfId="0" applyNumberFormat="1" applyFont="1" applyFill="1" applyBorder="1" applyAlignment="1" applyProtection="1">
      <alignment horizontal="center" vertical="top" wrapText="1"/>
      <protection/>
    </xf>
    <xf numFmtId="1" fontId="3" fillId="5" borderId="29" xfId="0" applyNumberFormat="1" applyFont="1" applyFill="1" applyBorder="1" applyAlignment="1" applyProtection="1">
      <alignment horizontal="center" vertical="top" wrapText="1"/>
      <protection/>
    </xf>
    <xf numFmtId="1" fontId="3" fillId="5" borderId="30" xfId="0" applyNumberFormat="1" applyFont="1" applyFill="1" applyBorder="1" applyAlignment="1" applyProtection="1">
      <alignment horizontal="center" vertical="top" wrapText="1"/>
      <protection/>
    </xf>
    <xf numFmtId="1" fontId="3" fillId="5" borderId="28" xfId="0" applyNumberFormat="1" applyFont="1" applyFill="1" applyBorder="1" applyAlignment="1" applyProtection="1">
      <alignment horizontal="center" vertical="top" wrapText="1"/>
      <protection/>
    </xf>
    <xf numFmtId="49" fontId="3" fillId="3" borderId="22" xfId="0" applyNumberFormat="1" applyFont="1" applyFill="1" applyBorder="1" applyAlignment="1" applyProtection="1">
      <alignment horizontal="center" textRotation="90" wrapText="1"/>
      <protection/>
    </xf>
    <xf numFmtId="0" fontId="3" fillId="3" borderId="22" xfId="0" applyFont="1" applyFill="1" applyBorder="1" applyAlignment="1" applyProtection="1">
      <alignment horizontal="center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top" wrapText="1"/>
      <protection/>
    </xf>
    <xf numFmtId="0" fontId="0" fillId="22" borderId="21" xfId="53" applyFont="1" applyFill="1" applyBorder="1" applyAlignment="1" applyProtection="1">
      <alignment vertical="center" wrapText="1"/>
      <protection/>
    </xf>
    <xf numFmtId="0" fontId="0" fillId="22" borderId="23" xfId="53" applyFont="1" applyFill="1" applyBorder="1" applyAlignment="1" applyProtection="1">
      <alignment vertical="center" wrapText="1"/>
      <protection/>
    </xf>
    <xf numFmtId="0" fontId="0" fillId="22" borderId="15" xfId="53" applyFont="1" applyFill="1" applyBorder="1" applyAlignment="1" applyProtection="1">
      <alignment vertical="center" wrapText="1"/>
      <protection/>
    </xf>
    <xf numFmtId="0" fontId="0" fillId="24" borderId="21" xfId="53" applyFont="1" applyFill="1" applyBorder="1" applyAlignment="1" applyProtection="1">
      <alignment vertical="center" wrapText="1"/>
      <protection/>
    </xf>
    <xf numFmtId="0" fontId="0" fillId="24" borderId="23" xfId="53" applyFont="1" applyFill="1" applyBorder="1" applyAlignment="1" applyProtection="1">
      <alignment vertical="center" wrapText="1"/>
      <protection/>
    </xf>
    <xf numFmtId="0" fontId="0" fillId="24" borderId="15" xfId="53" applyFont="1" applyFill="1" applyBorder="1" applyAlignment="1" applyProtection="1">
      <alignment vertical="center" wrapText="1"/>
      <protection/>
    </xf>
    <xf numFmtId="49" fontId="0" fillId="22" borderId="21" xfId="53" applyNumberFormat="1" applyFont="1" applyFill="1" applyBorder="1" applyAlignment="1" applyProtection="1">
      <alignment horizontal="left" vertical="center" wrapText="1"/>
      <protection/>
    </xf>
    <xf numFmtId="49" fontId="0" fillId="22" borderId="23" xfId="53" applyNumberFormat="1" applyFont="1" applyFill="1" applyBorder="1" applyAlignment="1" applyProtection="1">
      <alignment horizontal="left" vertical="center" wrapText="1"/>
      <protection/>
    </xf>
    <xf numFmtId="49" fontId="0" fillId="22" borderId="15" xfId="53" applyNumberFormat="1" applyFont="1" applyFill="1" applyBorder="1" applyAlignment="1" applyProtection="1">
      <alignment horizontal="left" vertical="center" wrapText="1"/>
      <protection/>
    </xf>
    <xf numFmtId="49" fontId="0" fillId="22" borderId="21" xfId="53" applyNumberFormat="1" applyFont="1" applyFill="1" applyBorder="1" applyAlignment="1" applyProtection="1">
      <alignment horizontal="left" vertical="center" wrapText="1"/>
      <protection/>
    </xf>
    <xf numFmtId="49" fontId="0" fillId="20" borderId="21" xfId="53" applyNumberFormat="1" applyFont="1" applyFill="1" applyBorder="1" applyAlignment="1" applyProtection="1">
      <alignment horizontal="left" vertical="center" wrapText="1"/>
      <protection/>
    </xf>
    <xf numFmtId="49" fontId="0" fillId="20" borderId="23" xfId="53" applyNumberFormat="1" applyFont="1" applyFill="1" applyBorder="1" applyAlignment="1" applyProtection="1">
      <alignment horizontal="left" vertical="center" wrapText="1"/>
      <protection/>
    </xf>
    <xf numFmtId="49" fontId="0" fillId="20" borderId="15" xfId="53" applyNumberFormat="1" applyFont="1" applyFill="1" applyBorder="1" applyAlignment="1" applyProtection="1">
      <alignment horizontal="left" vertical="center" wrapText="1"/>
      <protection/>
    </xf>
    <xf numFmtId="0" fontId="0" fillId="22" borderId="21" xfId="53" applyFont="1" applyFill="1" applyBorder="1" applyAlignment="1" applyProtection="1">
      <alignment vertical="center" wrapText="1"/>
      <protection/>
    </xf>
    <xf numFmtId="14" fontId="0" fillId="26" borderId="21" xfId="53" applyNumberFormat="1" applyFont="1" applyFill="1" applyBorder="1" applyAlignment="1" applyProtection="1">
      <alignment horizontal="center" vertical="center" wrapText="1"/>
      <protection/>
    </xf>
    <xf numFmtId="14" fontId="0" fillId="26" borderId="23" xfId="53" applyNumberFormat="1" applyFont="1" applyFill="1" applyBorder="1" applyAlignment="1" applyProtection="1">
      <alignment horizontal="center" vertical="center" wrapText="1"/>
      <protection/>
    </xf>
    <xf numFmtId="14" fontId="0" fillId="26" borderId="15" xfId="53" applyNumberFormat="1" applyFont="1" applyFill="1" applyBorder="1" applyAlignment="1" applyProtection="1">
      <alignment horizontal="center" vertical="center" wrapText="1"/>
      <protection/>
    </xf>
    <xf numFmtId="0" fontId="0" fillId="22" borderId="21" xfId="53" applyFont="1" applyFill="1" applyBorder="1" applyAlignment="1" applyProtection="1">
      <alignment horizontal="left" vertical="center" wrapText="1" shrinkToFit="1"/>
      <protection/>
    </xf>
    <xf numFmtId="0" fontId="0" fillId="22" borderId="23" xfId="53" applyFont="1" applyFill="1" applyBorder="1" applyAlignment="1" applyProtection="1">
      <alignment horizontal="left" vertical="center" wrapText="1" shrinkToFit="1"/>
      <protection/>
    </xf>
    <xf numFmtId="0" fontId="0" fillId="22" borderId="15" xfId="53" applyFont="1" applyFill="1" applyBorder="1" applyAlignment="1" applyProtection="1">
      <alignment horizontal="left" vertical="center" wrapText="1" shrinkToFit="1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0" fillId="7" borderId="21" xfId="53" applyFont="1" applyFill="1" applyBorder="1" applyAlignment="1" applyProtection="1">
      <alignment horizontal="center" vertical="center" wrapText="1"/>
      <protection/>
    </xf>
    <xf numFmtId="0" fontId="0" fillId="7" borderId="15" xfId="53" applyFont="1" applyFill="1" applyBorder="1" applyAlignment="1" applyProtection="1">
      <alignment horizontal="center" vertical="center" wrapText="1"/>
      <protection/>
    </xf>
    <xf numFmtId="0" fontId="3" fillId="7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center" vertical="center" wrapText="1" shrinkToFit="1"/>
      <protection locked="0"/>
    </xf>
    <xf numFmtId="0" fontId="0" fillId="0" borderId="23" xfId="53" applyFont="1" applyFill="1" applyBorder="1" applyAlignment="1" applyProtection="1">
      <alignment horizontal="center" vertical="center" wrapText="1" shrinkToFit="1"/>
      <protection locked="0"/>
    </xf>
    <xf numFmtId="0" fontId="0" fillId="0" borderId="15" xfId="53" applyFont="1" applyFill="1" applyBorder="1" applyAlignment="1" applyProtection="1">
      <alignment horizontal="center" vertical="center" wrapText="1" shrinkToFit="1"/>
      <protection locked="0"/>
    </xf>
    <xf numFmtId="0" fontId="31" fillId="25" borderId="21" xfId="0" applyFont="1" applyFill="1" applyBorder="1" applyAlignment="1" applyProtection="1">
      <alignment horizontal="center" vertical="center" wrapText="1"/>
      <protection/>
    </xf>
    <xf numFmtId="0" fontId="31" fillId="25" borderId="15" xfId="0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center" vertical="center" wrapText="1" shrinkToFit="1"/>
      <protection/>
    </xf>
    <xf numFmtId="0" fontId="0" fillId="0" borderId="23" xfId="53" applyFont="1" applyFill="1" applyBorder="1" applyAlignment="1" applyProtection="1">
      <alignment horizontal="center" vertical="center" wrapText="1" shrinkToFit="1"/>
      <protection/>
    </xf>
    <xf numFmtId="0" fontId="0" fillId="0" borderId="15" xfId="53" applyFont="1" applyFill="1" applyBorder="1" applyAlignment="1" applyProtection="1">
      <alignment horizontal="center" vertical="center" wrapText="1" shrinkToFit="1"/>
      <protection/>
    </xf>
    <xf numFmtId="49" fontId="0" fillId="22" borderId="16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7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3" xfId="53" applyNumberFormat="1" applyFont="1" applyFill="1" applyBorder="1" applyAlignment="1" applyProtection="1">
      <alignment horizontal="center" vertical="center" wrapText="1" shrinkToFit="1"/>
      <protection/>
    </xf>
    <xf numFmtId="0" fontId="3" fillId="0" borderId="20" xfId="53" applyFont="1" applyFill="1" applyBorder="1" applyAlignment="1" applyProtection="1">
      <alignment horizontal="center" vertical="center" wrapText="1"/>
      <protection/>
    </xf>
    <xf numFmtId="0" fontId="0" fillId="22" borderId="21" xfId="53" applyFont="1" applyFill="1" applyBorder="1" applyAlignment="1" applyProtection="1">
      <alignment horizontal="left" vertical="center" wrapText="1" shrinkToFit="1"/>
      <protection/>
    </xf>
    <xf numFmtId="49" fontId="0" fillId="22" borderId="19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20" xfId="53" applyNumberFormat="1" applyFont="1" applyFill="1" applyBorder="1" applyAlignment="1" applyProtection="1">
      <alignment horizontal="left" vertical="center" wrapText="1" shrinkToFit="1"/>
      <protection/>
    </xf>
    <xf numFmtId="0" fontId="0" fillId="26" borderId="21" xfId="53" applyNumberFormat="1" applyFont="1" applyFill="1" applyBorder="1" applyAlignment="1" applyProtection="1">
      <alignment horizontal="center" vertical="center" wrapText="1"/>
      <protection/>
    </xf>
    <xf numFmtId="0" fontId="0" fillId="26" borderId="23" xfId="53" applyNumberFormat="1" applyFont="1" applyFill="1" applyBorder="1" applyAlignment="1" applyProtection="1">
      <alignment horizontal="center" vertical="center" wrapText="1"/>
      <protection/>
    </xf>
    <xf numFmtId="0" fontId="0" fillId="26" borderId="15" xfId="53" applyNumberFormat="1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/>
    </xf>
    <xf numFmtId="0" fontId="4" fillId="25" borderId="15" xfId="0" applyFont="1" applyFill="1" applyBorder="1" applyAlignment="1" applyProtection="1">
      <alignment horizontal="center" vertical="center" wrapText="1"/>
      <protection/>
    </xf>
    <xf numFmtId="180" fontId="4" fillId="25" borderId="21" xfId="0" applyNumberFormat="1" applyFont="1" applyFill="1" applyBorder="1" applyAlignment="1" applyProtection="1">
      <alignment horizontal="center" vertical="center" wrapText="1"/>
      <protection/>
    </xf>
    <xf numFmtId="180" fontId="4" fillId="25" borderId="15" xfId="0" applyNumberFormat="1" applyFont="1" applyFill="1" applyBorder="1" applyAlignment="1" applyProtection="1">
      <alignment horizontal="center" vertical="center" wrapText="1"/>
      <protection/>
    </xf>
    <xf numFmtId="0" fontId="0" fillId="7" borderId="23" xfId="53" applyFont="1" applyFill="1" applyBorder="1" applyAlignment="1" applyProtection="1">
      <alignment horizontal="center" vertical="center" wrapText="1"/>
      <protection/>
    </xf>
    <xf numFmtId="49" fontId="0" fillId="7" borderId="21" xfId="53" applyNumberFormat="1" applyFont="1" applyFill="1" applyBorder="1" applyAlignment="1" applyProtection="1">
      <alignment horizontal="center" vertical="center" wrapText="1" shrinkToFit="1"/>
      <protection/>
    </xf>
    <xf numFmtId="49" fontId="0" fillId="7" borderId="15" xfId="53" applyNumberFormat="1" applyFont="1" applyFill="1" applyBorder="1" applyAlignment="1" applyProtection="1">
      <alignment horizontal="center" vertical="center" wrapText="1" shrinkToFit="1"/>
      <protection/>
    </xf>
    <xf numFmtId="0" fontId="0" fillId="7" borderId="16" xfId="53" applyFont="1" applyFill="1" applyBorder="1" applyAlignment="1" applyProtection="1">
      <alignment horizontal="center" vertical="center" wrapText="1"/>
      <protection/>
    </xf>
    <xf numFmtId="0" fontId="0" fillId="7" borderId="17" xfId="53" applyFont="1" applyFill="1" applyBorder="1" applyAlignment="1" applyProtection="1">
      <alignment horizontal="center" vertical="center" wrapText="1"/>
      <protection/>
    </xf>
    <xf numFmtId="0" fontId="0" fillId="7" borderId="18" xfId="53" applyFont="1" applyFill="1" applyBorder="1" applyAlignment="1" applyProtection="1">
      <alignment horizontal="center" vertical="center" wrapText="1"/>
      <protection/>
    </xf>
    <xf numFmtId="0" fontId="0" fillId="7" borderId="19" xfId="53" applyFont="1" applyFill="1" applyBorder="1" applyAlignment="1" applyProtection="1">
      <alignment horizontal="center" vertical="center" wrapText="1"/>
      <protection/>
    </xf>
    <xf numFmtId="0" fontId="0" fillId="7" borderId="20" xfId="53" applyFont="1" applyFill="1" applyBorder="1" applyAlignment="1" applyProtection="1">
      <alignment horizontal="center" vertical="center" wrapText="1"/>
      <protection/>
    </xf>
    <xf numFmtId="0" fontId="0" fillId="7" borderId="10" xfId="53" applyFont="1" applyFill="1" applyBorder="1" applyAlignment="1" applyProtection="1">
      <alignment horizontal="center" vertical="center" wrapText="1"/>
      <protection/>
    </xf>
    <xf numFmtId="0" fontId="3" fillId="30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33" fillId="46" borderId="0" xfId="0" applyNumberFormat="1" applyFont="1" applyFill="1" applyBorder="1" applyAlignment="1" applyProtection="1">
      <alignment horizontal="left" vertical="top" wrapText="1"/>
      <protection locked="0"/>
    </xf>
    <xf numFmtId="1" fontId="3" fillId="3" borderId="16" xfId="0" applyNumberFormat="1" applyFont="1" applyFill="1" applyBorder="1" applyAlignment="1" applyProtection="1">
      <alignment horizontal="center" vertical="center" wrapText="1"/>
      <protection/>
    </xf>
    <xf numFmtId="1" fontId="3" fillId="3" borderId="18" xfId="0" applyNumberFormat="1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3" fillId="3" borderId="39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top" wrapText="1"/>
      <protection/>
    </xf>
    <xf numFmtId="0" fontId="3" fillId="30" borderId="17" xfId="0" applyFont="1" applyFill="1" applyBorder="1" applyAlignment="1" applyProtection="1">
      <alignment horizontal="center" vertical="top" wrapText="1"/>
      <protection/>
    </xf>
    <xf numFmtId="1" fontId="3" fillId="3" borderId="25" xfId="0" applyNumberFormat="1" applyFont="1" applyFill="1" applyBorder="1" applyAlignment="1" applyProtection="1">
      <alignment horizontal="center" vertical="center" wrapText="1"/>
      <protection/>
    </xf>
    <xf numFmtId="1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1" fontId="3" fillId="3" borderId="17" xfId="0" applyNumberFormat="1" applyFont="1" applyFill="1" applyBorder="1" applyAlignment="1" applyProtection="1">
      <alignment horizontal="center" vertical="top" wrapText="1"/>
      <protection/>
    </xf>
    <xf numFmtId="0" fontId="3" fillId="17" borderId="41" xfId="0" applyFont="1" applyFill="1" applyBorder="1" applyAlignment="1" applyProtection="1">
      <alignment horizontal="center" textRotation="90" wrapText="1"/>
      <protection/>
    </xf>
    <xf numFmtId="49" fontId="3" fillId="3" borderId="42" xfId="0" applyNumberFormat="1" applyFont="1" applyFill="1" applyBorder="1" applyAlignment="1" applyProtection="1">
      <alignment horizontal="center" vertical="top" wrapText="1"/>
      <protection/>
    </xf>
    <xf numFmtId="49" fontId="3" fillId="3" borderId="0" xfId="0" applyNumberFormat="1" applyFont="1" applyFill="1" applyBorder="1" applyAlignment="1" applyProtection="1">
      <alignment horizontal="center" vertical="top" wrapText="1"/>
      <protection/>
    </xf>
    <xf numFmtId="49" fontId="3" fillId="3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41" xfId="0" applyNumberFormat="1" applyFont="1" applyFill="1" applyBorder="1" applyAlignment="1" applyProtection="1">
      <alignment horizontal="center" vertical="top" wrapText="1"/>
      <protection/>
    </xf>
    <xf numFmtId="0" fontId="3" fillId="30" borderId="43" xfId="0" applyFont="1" applyFill="1" applyBorder="1" applyAlignment="1" applyProtection="1">
      <alignment horizontal="center" textRotation="90" wrapText="1"/>
      <protection/>
    </xf>
    <xf numFmtId="0" fontId="3" fillId="17" borderId="39" xfId="0" applyFont="1" applyFill="1" applyBorder="1" applyAlignment="1" applyProtection="1">
      <alignment horizontal="center" textRotation="90" wrapText="1"/>
      <protection/>
    </xf>
    <xf numFmtId="49" fontId="3" fillId="3" borderId="44" xfId="0" applyNumberFormat="1" applyFont="1" applyFill="1" applyBorder="1" applyAlignment="1" applyProtection="1">
      <alignment horizontal="center" vertical="top" wrapText="1"/>
      <protection/>
    </xf>
    <xf numFmtId="0" fontId="3" fillId="17" borderId="37" xfId="0" applyFont="1" applyFill="1" applyBorder="1" applyAlignment="1" applyProtection="1">
      <alignment horizontal="center" textRotation="90" wrapText="1"/>
      <protection/>
    </xf>
    <xf numFmtId="1" fontId="0" fillId="3" borderId="34" xfId="0" applyNumberFormat="1" applyFont="1" applyFill="1" applyBorder="1" applyAlignment="1" applyProtection="1">
      <alignment horizontal="center" vertical="top" wrapText="1"/>
      <protection/>
    </xf>
    <xf numFmtId="1" fontId="0" fillId="3" borderId="17" xfId="0" applyNumberFormat="1" applyFont="1" applyFill="1" applyBorder="1" applyAlignment="1" applyProtection="1">
      <alignment horizontal="left" vertical="top" wrapText="1"/>
      <protection/>
    </xf>
    <xf numFmtId="49" fontId="0" fillId="3" borderId="17" xfId="0" applyNumberFormat="1" applyFont="1" applyFill="1" applyBorder="1" applyAlignment="1" applyProtection="1">
      <alignment vertical="top" wrapText="1"/>
      <protection/>
    </xf>
    <xf numFmtId="1" fontId="3" fillId="3" borderId="19" xfId="0" applyNumberFormat="1" applyFont="1" applyFill="1" applyBorder="1" applyAlignment="1" applyProtection="1">
      <alignment horizontal="center" vertical="center" wrapText="1"/>
      <protection/>
    </xf>
    <xf numFmtId="1" fontId="3" fillId="3" borderId="10" xfId="0" applyNumberFormat="1" applyFont="1" applyFill="1" applyBorder="1" applyAlignment="1" applyProtection="1">
      <alignment horizontal="center" vertical="center" wrapText="1"/>
      <protection/>
    </xf>
    <xf numFmtId="1" fontId="0" fillId="3" borderId="36" xfId="0" applyNumberFormat="1" applyFont="1" applyFill="1" applyBorder="1" applyAlignment="1" applyProtection="1">
      <alignment horizontal="center" vertical="top" wrapText="1"/>
      <protection/>
    </xf>
    <xf numFmtId="49" fontId="0" fillId="3" borderId="31" xfId="0" applyNumberFormat="1" applyFont="1" applyFill="1" applyBorder="1" applyAlignment="1" applyProtection="1">
      <alignment horizontal="center" vertical="top" wrapText="1"/>
      <protection/>
    </xf>
    <xf numFmtId="1" fontId="3" fillId="3" borderId="13" xfId="0" applyNumberFormat="1" applyFont="1" applyFill="1" applyBorder="1" applyAlignment="1" applyProtection="1">
      <alignment horizontal="center" textRotation="90" wrapText="1"/>
      <protection/>
    </xf>
    <xf numFmtId="0" fontId="3" fillId="3" borderId="18" xfId="0" applyFont="1" applyFill="1" applyBorder="1" applyAlignment="1" applyProtection="1">
      <alignment horizontal="center" textRotation="90" wrapText="1"/>
      <protection/>
    </xf>
    <xf numFmtId="0" fontId="0" fillId="3" borderId="29" xfId="0" applyFont="1" applyFill="1" applyBorder="1" applyAlignment="1" applyProtection="1">
      <alignment horizontal="center" textRotation="90" wrapText="1"/>
      <protection/>
    </xf>
    <xf numFmtId="0" fontId="3" fillId="30" borderId="32" xfId="0" applyFont="1" applyFill="1" applyBorder="1" applyAlignment="1" applyProtection="1">
      <alignment horizontal="center" textRotation="90" wrapText="1"/>
      <protection/>
    </xf>
    <xf numFmtId="49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Font="1" applyFill="1" applyBorder="1" applyAlignment="1" applyProtection="1">
      <alignment horizontal="justify" vertical="top" wrapText="1"/>
      <protection/>
    </xf>
    <xf numFmtId="49" fontId="0" fillId="0" borderId="23" xfId="0" applyNumberFormat="1" applyFont="1" applyFill="1" applyBorder="1" applyAlignment="1" applyProtection="1">
      <alignment horizontal="center" vertical="top" wrapText="1"/>
      <protection/>
    </xf>
    <xf numFmtId="1" fontId="0" fillId="0" borderId="23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30" borderId="0" xfId="0" applyNumberFormat="1" applyFont="1" applyFill="1" applyBorder="1" applyAlignment="1" applyProtection="1">
      <alignment horizontal="center" vertical="top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3" fillId="15" borderId="17" xfId="0" applyNumberFormat="1" applyFont="1" applyFill="1" applyBorder="1" applyAlignment="1" applyProtection="1">
      <alignment horizontal="left" vertical="center" wrapText="1"/>
      <protection/>
    </xf>
    <xf numFmtId="49" fontId="3" fillId="15" borderId="17" xfId="0" applyNumberFormat="1" applyFont="1" applyFill="1" applyBorder="1" applyAlignment="1" applyProtection="1">
      <alignment horizontal="left" vertical="center" wrapText="1"/>
      <protection/>
    </xf>
    <xf numFmtId="49" fontId="3" fillId="15" borderId="17" xfId="0" applyNumberFormat="1" applyFont="1" applyFill="1" applyBorder="1" applyAlignment="1" applyProtection="1">
      <alignment horizontal="left" vertical="top" wrapText="1"/>
      <protection/>
    </xf>
    <xf numFmtId="1" fontId="3" fillId="15" borderId="17" xfId="0" applyNumberFormat="1" applyFont="1" applyFill="1" applyBorder="1" applyAlignment="1" applyProtection="1">
      <alignment horizontal="left" vertical="center" wrapText="1"/>
      <protection/>
    </xf>
    <xf numFmtId="0" fontId="0" fillId="15" borderId="17" xfId="0" applyFont="1" applyFill="1" applyBorder="1" applyAlignment="1" applyProtection="1">
      <alignment horizontal="center" vertical="top" wrapText="1"/>
      <protection/>
    </xf>
    <xf numFmtId="1" fontId="3" fillId="30" borderId="0" xfId="0" applyNumberFormat="1" applyFont="1" applyFill="1" applyBorder="1" applyAlignment="1" applyProtection="1">
      <alignment horizontal="left" vertical="center" wrapText="1"/>
      <protection/>
    </xf>
    <xf numFmtId="49" fontId="3" fillId="15" borderId="20" xfId="0" applyNumberFormat="1" applyFont="1" applyFill="1" applyBorder="1" applyAlignment="1" applyProtection="1">
      <alignment horizontal="left" vertical="top" wrapText="1"/>
      <protection/>
    </xf>
    <xf numFmtId="0" fontId="0" fillId="15" borderId="20" xfId="0" applyFont="1" applyFill="1" applyBorder="1" applyAlignment="1" applyProtection="1">
      <alignment horizontal="center" vertical="top" wrapText="1"/>
      <protection/>
    </xf>
    <xf numFmtId="1" fontId="3" fillId="5" borderId="13" xfId="0" applyNumberFormat="1" applyFont="1" applyFill="1" applyBorder="1" applyAlignment="1" applyProtection="1">
      <alignment horizontal="center" vertical="top" wrapText="1"/>
      <protection/>
    </xf>
    <xf numFmtId="3" fontId="0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15" xfId="0" applyNumberFormat="1" applyFont="1" applyFill="1" applyBorder="1" applyAlignment="1" applyProtection="1">
      <alignment horizontal="center" vertical="top" wrapText="1"/>
      <protection/>
    </xf>
    <xf numFmtId="3" fontId="0" fillId="5" borderId="21" xfId="0" applyNumberFormat="1" applyFont="1" applyFill="1" applyBorder="1" applyAlignment="1" applyProtection="1">
      <alignment horizontal="center" vertical="top" wrapText="1"/>
      <protection/>
    </xf>
    <xf numFmtId="1" fontId="3" fillId="17" borderId="23" xfId="0" applyNumberFormat="1" applyFont="1" applyFill="1" applyBorder="1" applyAlignment="1" applyProtection="1">
      <alignment horizontal="center" vertical="top" wrapText="1"/>
      <protection/>
    </xf>
    <xf numFmtId="1" fontId="3" fillId="5" borderId="40" xfId="0" applyNumberFormat="1" applyFont="1" applyFill="1" applyBorder="1" applyAlignment="1" applyProtection="1">
      <alignment horizontal="center" vertical="top" wrapText="1"/>
      <protection/>
    </xf>
    <xf numFmtId="1" fontId="3" fillId="30" borderId="0" xfId="0" applyNumberFormat="1" applyFont="1" applyFill="1" applyBorder="1" applyAlignment="1" applyProtection="1">
      <alignment horizontal="center" vertical="top" wrapText="1"/>
      <protection/>
    </xf>
    <xf numFmtId="3" fontId="0" fillId="5" borderId="15" xfId="0" applyNumberFormat="1" applyFont="1" applyFill="1" applyBorder="1" applyAlignment="1" applyProtection="1">
      <alignment horizontal="center" vertical="top" wrapText="1"/>
      <protection/>
    </xf>
    <xf numFmtId="3" fontId="0" fillId="30" borderId="0" xfId="0" applyNumberFormat="1" applyFont="1" applyFill="1" applyBorder="1" applyAlignment="1" applyProtection="1">
      <alignment horizontal="center" vertical="top" wrapText="1"/>
      <protection/>
    </xf>
    <xf numFmtId="0" fontId="0" fillId="15" borderId="21" xfId="0" applyFont="1" applyFill="1" applyBorder="1" applyAlignment="1" applyProtection="1">
      <alignment horizontal="left" vertical="top" wrapText="1"/>
      <protection/>
    </xf>
    <xf numFmtId="0" fontId="0" fillId="15" borderId="23" xfId="0" applyFont="1" applyFill="1" applyBorder="1" applyAlignment="1" applyProtection="1">
      <alignment horizontal="left" vertical="top" wrapText="1"/>
      <protection/>
    </xf>
    <xf numFmtId="0" fontId="0" fillId="15" borderId="15" xfId="0" applyFont="1" applyFill="1" applyBorder="1" applyAlignment="1" applyProtection="1">
      <alignment horizontal="left" vertical="top" wrapText="1"/>
      <protection/>
    </xf>
    <xf numFmtId="1" fontId="0" fillId="15" borderId="15" xfId="0" applyNumberFormat="1" applyFont="1" applyFill="1" applyBorder="1" applyAlignment="1" applyProtection="1">
      <alignment horizontal="left" vertical="top" wrapText="1"/>
      <protection/>
    </xf>
    <xf numFmtId="0" fontId="0" fillId="15" borderId="15" xfId="0" applyFont="1" applyFill="1" applyBorder="1" applyAlignment="1" applyProtection="1">
      <alignment horizontal="left" vertical="top" wrapText="1"/>
      <protection/>
    </xf>
    <xf numFmtId="1" fontId="0" fillId="15" borderId="15" xfId="0" applyNumberFormat="1" applyFont="1" applyFill="1" applyBorder="1" applyAlignment="1" applyProtection="1">
      <alignment horizontal="center" vertical="top" wrapText="1"/>
      <protection/>
    </xf>
    <xf numFmtId="3" fontId="0" fillId="5" borderId="23" xfId="0" applyNumberFormat="1" applyFont="1" applyFill="1" applyBorder="1" applyAlignment="1" applyProtection="1">
      <alignment horizontal="center" vertical="top" wrapText="1"/>
      <protection/>
    </xf>
    <xf numFmtId="1" fontId="0" fillId="5" borderId="13" xfId="0" applyNumberFormat="1" applyFont="1" applyFill="1" applyBorder="1" applyAlignment="1" applyProtection="1">
      <alignment horizontal="center" vertical="top" wrapText="1"/>
      <protection/>
    </xf>
    <xf numFmtId="1" fontId="0" fillId="5" borderId="15" xfId="0" applyNumberFormat="1" applyFont="1" applyFill="1" applyBorder="1" applyAlignment="1" applyProtection="1">
      <alignment horizontal="center" vertical="top" wrapText="1"/>
      <protection/>
    </xf>
    <xf numFmtId="1" fontId="0" fillId="17" borderId="23" xfId="0" applyNumberFormat="1" applyFont="1" applyFill="1" applyBorder="1" applyAlignment="1" applyProtection="1">
      <alignment horizontal="center" vertical="top" wrapText="1"/>
      <protection/>
    </xf>
    <xf numFmtId="1" fontId="0" fillId="5" borderId="40" xfId="0" applyNumberFormat="1" applyFont="1" applyFill="1" applyBorder="1" applyAlignment="1" applyProtection="1">
      <alignment horizontal="center" vertical="top" wrapText="1"/>
      <protection/>
    </xf>
    <xf numFmtId="49" fontId="0" fillId="15" borderId="24" xfId="0" applyNumberFormat="1" applyFont="1" applyFill="1" applyBorder="1" applyAlignment="1" applyProtection="1">
      <alignment horizontal="center" vertical="top" wrapText="1"/>
      <protection/>
    </xf>
    <xf numFmtId="1" fontId="0" fillId="5" borderId="21" xfId="0" applyNumberFormat="1" applyFont="1" applyFill="1" applyBorder="1" applyAlignment="1" applyProtection="1">
      <alignment horizontal="center" vertical="top" wrapText="1"/>
      <protection/>
    </xf>
    <xf numFmtId="1" fontId="0" fillId="5" borderId="23" xfId="0" applyNumberFormat="1" applyFont="1" applyFill="1" applyBorder="1" applyAlignment="1" applyProtection="1">
      <alignment horizontal="center" vertical="top" wrapText="1"/>
      <protection/>
    </xf>
    <xf numFmtId="1" fontId="0" fillId="5" borderId="15" xfId="0" applyNumberFormat="1" applyFont="1" applyFill="1" applyBorder="1" applyAlignment="1" applyProtection="1">
      <alignment horizontal="center" vertical="top" wrapText="1"/>
      <protection/>
    </xf>
    <xf numFmtId="1" fontId="3" fillId="17" borderId="39" xfId="0" applyNumberFormat="1" applyFont="1" applyFill="1" applyBorder="1" applyAlignment="1" applyProtection="1">
      <alignment horizontal="center" vertical="top" wrapText="1"/>
      <protection/>
    </xf>
    <xf numFmtId="1" fontId="0" fillId="5" borderId="28" xfId="0" applyNumberFormat="1" applyFont="1" applyFill="1" applyBorder="1" applyAlignment="1" applyProtection="1">
      <alignment horizontal="center" vertical="top" wrapText="1"/>
      <protection/>
    </xf>
    <xf numFmtId="1" fontId="0" fillId="5" borderId="45" xfId="0" applyNumberFormat="1" applyFont="1" applyFill="1" applyBorder="1" applyAlignment="1" applyProtection="1">
      <alignment horizontal="center" vertical="top" wrapText="1"/>
      <protection/>
    </xf>
    <xf numFmtId="1" fontId="0" fillId="5" borderId="29" xfId="0" applyNumberFormat="1" applyFont="1" applyFill="1" applyBorder="1" applyAlignment="1" applyProtection="1">
      <alignment horizontal="center" vertical="top" wrapText="1"/>
      <protection/>
    </xf>
    <xf numFmtId="1" fontId="0" fillId="5" borderId="30" xfId="0" applyNumberFormat="1" applyFont="1" applyFill="1" applyBorder="1" applyAlignment="1" applyProtection="1">
      <alignment horizontal="center" vertical="top" wrapText="1"/>
      <protection/>
    </xf>
    <xf numFmtId="1" fontId="0" fillId="5" borderId="40" xfId="0" applyNumberFormat="1" applyFont="1" applyFill="1" applyBorder="1" applyAlignment="1" applyProtection="1">
      <alignment horizontal="center" vertical="top" wrapText="1"/>
      <protection/>
    </xf>
    <xf numFmtId="1" fontId="0" fillId="5" borderId="39" xfId="0" applyNumberFormat="1" applyFont="1" applyFill="1" applyBorder="1" applyAlignment="1" applyProtection="1">
      <alignment horizontal="center" vertical="top" wrapText="1"/>
      <protection/>
    </xf>
    <xf numFmtId="49" fontId="3" fillId="15" borderId="24" xfId="0" applyNumberFormat="1" applyFont="1" applyFill="1" applyBorder="1" applyAlignment="1" applyProtection="1">
      <alignment horizontal="left" vertical="top" wrapText="1"/>
      <protection/>
    </xf>
    <xf numFmtId="180" fontId="0" fillId="5" borderId="29" xfId="0" applyNumberFormat="1" applyFont="1" applyFill="1" applyBorder="1" applyAlignment="1" applyProtection="1">
      <alignment horizontal="center" vertical="top" wrapText="1"/>
      <protection/>
    </xf>
    <xf numFmtId="180" fontId="0" fillId="5" borderId="30" xfId="0" applyNumberFormat="1" applyFont="1" applyFill="1" applyBorder="1" applyAlignment="1" applyProtection="1">
      <alignment horizontal="center" vertical="top" wrapText="1"/>
      <protection/>
    </xf>
    <xf numFmtId="180" fontId="0" fillId="5" borderId="40" xfId="0" applyNumberFormat="1" applyFont="1" applyFill="1" applyBorder="1" applyAlignment="1" applyProtection="1">
      <alignment horizontal="center" vertical="top" wrapText="1"/>
      <protection/>
    </xf>
    <xf numFmtId="180" fontId="0" fillId="5" borderId="39" xfId="0" applyNumberFormat="1" applyFont="1" applyFill="1" applyBorder="1" applyAlignment="1" applyProtection="1">
      <alignment horizontal="center" vertical="top" wrapText="1"/>
      <protection/>
    </xf>
    <xf numFmtId="180" fontId="0" fillId="5" borderId="28" xfId="0" applyNumberFormat="1" applyFont="1" applyFill="1" applyBorder="1" applyAlignment="1" applyProtection="1">
      <alignment horizontal="center" vertical="top" wrapText="1"/>
      <protection/>
    </xf>
    <xf numFmtId="49" fontId="0" fillId="15" borderId="24" xfId="0" applyNumberFormat="1" applyFont="1" applyFill="1" applyBorder="1" applyAlignment="1" applyProtection="1">
      <alignment horizontal="left" vertical="top" wrapText="1"/>
      <protection/>
    </xf>
    <xf numFmtId="180" fontId="0" fillId="5" borderId="21" xfId="0" applyNumberFormat="1" applyFont="1" applyFill="1" applyBorder="1" applyAlignment="1" applyProtection="1">
      <alignment horizontal="center" vertical="top" wrapText="1"/>
      <protection/>
    </xf>
    <xf numFmtId="180" fontId="0" fillId="5" borderId="23" xfId="0" applyNumberFormat="1" applyFont="1" applyFill="1" applyBorder="1" applyAlignment="1" applyProtection="1">
      <alignment horizontal="center" vertical="top" wrapText="1"/>
      <protection/>
    </xf>
    <xf numFmtId="180" fontId="0" fillId="5" borderId="15" xfId="0" applyNumberFormat="1" applyFont="1" applyFill="1" applyBorder="1" applyAlignment="1" applyProtection="1">
      <alignment horizontal="center" vertical="top" wrapText="1"/>
      <protection/>
    </xf>
    <xf numFmtId="1" fontId="3" fillId="17" borderId="39" xfId="0" applyNumberFormat="1" applyFont="1" applyFill="1" applyBorder="1" applyAlignment="1" applyProtection="1">
      <alignment horizontal="left" vertical="top" wrapText="1"/>
      <protection/>
    </xf>
    <xf numFmtId="1" fontId="3" fillId="30" borderId="0" xfId="0" applyNumberFormat="1" applyFont="1" applyFill="1" applyBorder="1" applyAlignment="1" applyProtection="1">
      <alignment horizontal="left" vertical="top" wrapText="1"/>
      <protection/>
    </xf>
    <xf numFmtId="1" fontId="0" fillId="5" borderId="45" xfId="0" applyNumberFormat="1" applyFont="1" applyFill="1" applyBorder="1" applyAlignment="1" applyProtection="1">
      <alignment horizontal="center" vertical="center" wrapText="1"/>
      <protection/>
    </xf>
    <xf numFmtId="49" fontId="0" fillId="15" borderId="12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left" vertical="top" wrapText="1"/>
      <protection/>
    </xf>
    <xf numFmtId="1" fontId="41" fillId="42" borderId="13" xfId="0" applyNumberFormat="1" applyFont="1" applyFill="1" applyBorder="1" applyAlignment="1" applyProtection="1">
      <alignment horizontal="center" vertical="center" wrapText="1"/>
      <protection/>
    </xf>
    <xf numFmtId="1" fontId="41" fillId="44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4" xfId="0" applyNumberFormat="1" applyFont="1" applyFill="1" applyBorder="1" applyAlignment="1" applyProtection="1">
      <alignment horizontal="left" vertical="center" wrapText="1"/>
      <protection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1" fillId="30" borderId="14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1" fillId="8" borderId="14" xfId="0" applyNumberFormat="1" applyFont="1" applyFill="1" applyBorder="1" applyAlignment="1" applyProtection="1">
      <alignment horizontal="center" vertical="center" wrapText="1"/>
      <protection/>
    </xf>
    <xf numFmtId="1" fontId="41" fillId="26" borderId="14" xfId="0" applyNumberFormat="1" applyFont="1" applyFill="1" applyBorder="1" applyAlignment="1" applyProtection="1">
      <alignment horizontal="center" vertical="center" wrapText="1"/>
      <protection/>
    </xf>
    <xf numFmtId="1" fontId="41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41" fillId="30" borderId="14" xfId="0" applyNumberFormat="1" applyFont="1" applyFill="1" applyBorder="1" applyAlignment="1" applyProtection="1">
      <alignment horizontal="center" vertical="center" wrapText="1"/>
      <protection locked="0"/>
    </xf>
    <xf numFmtId="1" fontId="41" fillId="42" borderId="14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0" applyNumberFormat="1" applyFont="1" applyFill="1" applyBorder="1" applyAlignment="1" applyProtection="1">
      <alignment horizontal="left" vertical="center" wrapText="1"/>
      <protection/>
    </xf>
    <xf numFmtId="49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0" borderId="12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1" fillId="8" borderId="12" xfId="0" applyNumberFormat="1" applyFont="1" applyFill="1" applyBorder="1" applyAlignment="1" applyProtection="1">
      <alignment horizontal="center" vertical="center" wrapText="1"/>
      <protection/>
    </xf>
    <xf numFmtId="1" fontId="41" fillId="26" borderId="12" xfId="0" applyNumberFormat="1" applyFont="1" applyFill="1" applyBorder="1" applyAlignment="1" applyProtection="1">
      <alignment horizontal="center" vertical="center" wrapText="1"/>
      <protection/>
    </xf>
    <xf numFmtId="1" fontId="41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41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0" borderId="13" xfId="0" applyNumberFormat="1" applyFont="1" applyFill="1" applyBorder="1" applyAlignment="1" applyProtection="1">
      <alignment horizontal="left" vertical="center" wrapText="1"/>
      <protection/>
    </xf>
    <xf numFmtId="0" fontId="41" fillId="36" borderId="13" xfId="0" applyNumberFormat="1" applyFont="1" applyFill="1" applyBorder="1" applyAlignment="1" applyProtection="1">
      <alignment horizontal="left" vertical="center" wrapText="1"/>
      <protection/>
    </xf>
    <xf numFmtId="49" fontId="4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47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2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190500</xdr:colOff>
      <xdr:row>25</xdr:row>
      <xdr:rowOff>28575</xdr:rowOff>
    </xdr:from>
    <xdr:to>
      <xdr:col>35</xdr:col>
      <xdr:colOff>142875</xdr:colOff>
      <xdr:row>25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877050" y="50577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877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43050" y="661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43050" y="661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5" name="Rectangle 115"/>
        <xdr:cNvSpPr>
          <a:spLocks/>
        </xdr:cNvSpPr>
      </xdr:nvSpPr>
      <xdr:spPr>
        <a:xfrm>
          <a:off x="7067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6" name="Rectangle 116"/>
        <xdr:cNvSpPr>
          <a:spLocks/>
        </xdr:cNvSpPr>
      </xdr:nvSpPr>
      <xdr:spPr>
        <a:xfrm>
          <a:off x="7258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7" name="Rectangle 117"/>
        <xdr:cNvSpPr>
          <a:spLocks/>
        </xdr:cNvSpPr>
      </xdr:nvSpPr>
      <xdr:spPr>
        <a:xfrm>
          <a:off x="7448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190500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8" name="Rectangle 118"/>
        <xdr:cNvSpPr>
          <a:spLocks/>
        </xdr:cNvSpPr>
      </xdr:nvSpPr>
      <xdr:spPr>
        <a:xfrm>
          <a:off x="7639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" name="Rectangle 120"/>
        <xdr:cNvSpPr>
          <a:spLocks/>
        </xdr:cNvSpPr>
      </xdr:nvSpPr>
      <xdr:spPr>
        <a:xfrm>
          <a:off x="70675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" name="Rectangle 121"/>
        <xdr:cNvSpPr>
          <a:spLocks/>
        </xdr:cNvSpPr>
      </xdr:nvSpPr>
      <xdr:spPr>
        <a:xfrm>
          <a:off x="72580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" name="Rectangle 122"/>
        <xdr:cNvSpPr>
          <a:spLocks/>
        </xdr:cNvSpPr>
      </xdr:nvSpPr>
      <xdr:spPr>
        <a:xfrm>
          <a:off x="74485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190500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" name="Rectangle 123"/>
        <xdr:cNvSpPr>
          <a:spLocks/>
        </xdr:cNvSpPr>
      </xdr:nvSpPr>
      <xdr:spPr>
        <a:xfrm>
          <a:off x="7639050" y="507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13" name="Rectangle 2"/>
        <xdr:cNvSpPr>
          <a:spLocks/>
        </xdr:cNvSpPr>
      </xdr:nvSpPr>
      <xdr:spPr>
        <a:xfrm>
          <a:off x="6877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14" name="Rectangle 115"/>
        <xdr:cNvSpPr>
          <a:spLocks/>
        </xdr:cNvSpPr>
      </xdr:nvSpPr>
      <xdr:spPr>
        <a:xfrm>
          <a:off x="7067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15" name="Rectangle 116"/>
        <xdr:cNvSpPr>
          <a:spLocks/>
        </xdr:cNvSpPr>
      </xdr:nvSpPr>
      <xdr:spPr>
        <a:xfrm>
          <a:off x="7258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190500</xdr:colOff>
      <xdr:row>27</xdr:row>
      <xdr:rowOff>47625</xdr:rowOff>
    </xdr:from>
    <xdr:to>
      <xdr:col>40</xdr:col>
      <xdr:colOff>142875</xdr:colOff>
      <xdr:row>27</xdr:row>
      <xdr:rowOff>142875</xdr:rowOff>
    </xdr:to>
    <xdr:sp>
      <xdr:nvSpPr>
        <xdr:cNvPr id="16" name="Rectangle 116"/>
        <xdr:cNvSpPr>
          <a:spLocks/>
        </xdr:cNvSpPr>
      </xdr:nvSpPr>
      <xdr:spPr>
        <a:xfrm>
          <a:off x="7829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17" name="Rectangle 2"/>
        <xdr:cNvSpPr>
          <a:spLocks/>
        </xdr:cNvSpPr>
      </xdr:nvSpPr>
      <xdr:spPr>
        <a:xfrm>
          <a:off x="6877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18" name="Rectangle 115"/>
        <xdr:cNvSpPr>
          <a:spLocks/>
        </xdr:cNvSpPr>
      </xdr:nvSpPr>
      <xdr:spPr>
        <a:xfrm>
          <a:off x="7067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19" name="Rectangle 116"/>
        <xdr:cNvSpPr>
          <a:spLocks/>
        </xdr:cNvSpPr>
      </xdr:nvSpPr>
      <xdr:spPr>
        <a:xfrm>
          <a:off x="7258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190500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20" name="Rectangle 2"/>
        <xdr:cNvSpPr>
          <a:spLocks/>
        </xdr:cNvSpPr>
      </xdr:nvSpPr>
      <xdr:spPr>
        <a:xfrm>
          <a:off x="9163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26</xdr:row>
      <xdr:rowOff>47625</xdr:rowOff>
    </xdr:from>
    <xdr:to>
      <xdr:col>48</xdr:col>
      <xdr:colOff>142875</xdr:colOff>
      <xdr:row>26</xdr:row>
      <xdr:rowOff>142875</xdr:rowOff>
    </xdr:to>
    <xdr:sp>
      <xdr:nvSpPr>
        <xdr:cNvPr id="21" name="Rectangle 115"/>
        <xdr:cNvSpPr>
          <a:spLocks/>
        </xdr:cNvSpPr>
      </xdr:nvSpPr>
      <xdr:spPr>
        <a:xfrm>
          <a:off x="9353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26</xdr:row>
      <xdr:rowOff>47625</xdr:rowOff>
    </xdr:from>
    <xdr:to>
      <xdr:col>49</xdr:col>
      <xdr:colOff>142875</xdr:colOff>
      <xdr:row>26</xdr:row>
      <xdr:rowOff>142875</xdr:rowOff>
    </xdr:to>
    <xdr:sp>
      <xdr:nvSpPr>
        <xdr:cNvPr id="22" name="Rectangle 116"/>
        <xdr:cNvSpPr>
          <a:spLocks/>
        </xdr:cNvSpPr>
      </xdr:nvSpPr>
      <xdr:spPr>
        <a:xfrm>
          <a:off x="9544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23" name="Rectangle 117"/>
        <xdr:cNvSpPr>
          <a:spLocks/>
        </xdr:cNvSpPr>
      </xdr:nvSpPr>
      <xdr:spPr>
        <a:xfrm>
          <a:off x="97345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51</xdr:col>
      <xdr:colOff>190500</xdr:colOff>
      <xdr:row>26</xdr:row>
      <xdr:rowOff>47625</xdr:rowOff>
    </xdr:from>
    <xdr:to>
      <xdr:col>51</xdr:col>
      <xdr:colOff>142875</xdr:colOff>
      <xdr:row>26</xdr:row>
      <xdr:rowOff>142875</xdr:rowOff>
    </xdr:to>
    <xdr:sp>
      <xdr:nvSpPr>
        <xdr:cNvPr id="24" name="Rectangle 118"/>
        <xdr:cNvSpPr>
          <a:spLocks/>
        </xdr:cNvSpPr>
      </xdr:nvSpPr>
      <xdr:spPr>
        <a:xfrm>
          <a:off x="9925050" y="527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27</xdr:row>
      <xdr:rowOff>47625</xdr:rowOff>
    </xdr:from>
    <xdr:to>
      <xdr:col>48</xdr:col>
      <xdr:colOff>142875</xdr:colOff>
      <xdr:row>27</xdr:row>
      <xdr:rowOff>142875</xdr:rowOff>
    </xdr:to>
    <xdr:sp>
      <xdr:nvSpPr>
        <xdr:cNvPr id="25" name="Rectangle 2"/>
        <xdr:cNvSpPr>
          <a:spLocks/>
        </xdr:cNvSpPr>
      </xdr:nvSpPr>
      <xdr:spPr>
        <a:xfrm>
          <a:off x="9353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47625</xdr:rowOff>
    </xdr:from>
    <xdr:to>
      <xdr:col>49</xdr:col>
      <xdr:colOff>142875</xdr:colOff>
      <xdr:row>27</xdr:row>
      <xdr:rowOff>142875</xdr:rowOff>
    </xdr:to>
    <xdr:sp>
      <xdr:nvSpPr>
        <xdr:cNvPr id="26" name="Rectangle 115"/>
        <xdr:cNvSpPr>
          <a:spLocks/>
        </xdr:cNvSpPr>
      </xdr:nvSpPr>
      <xdr:spPr>
        <a:xfrm>
          <a:off x="9544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27</xdr:row>
      <xdr:rowOff>47625</xdr:rowOff>
    </xdr:from>
    <xdr:to>
      <xdr:col>50</xdr:col>
      <xdr:colOff>142875</xdr:colOff>
      <xdr:row>27</xdr:row>
      <xdr:rowOff>142875</xdr:rowOff>
    </xdr:to>
    <xdr:sp>
      <xdr:nvSpPr>
        <xdr:cNvPr id="27" name="Rectangle 116"/>
        <xdr:cNvSpPr>
          <a:spLocks/>
        </xdr:cNvSpPr>
      </xdr:nvSpPr>
      <xdr:spPr>
        <a:xfrm>
          <a:off x="9734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51</xdr:col>
      <xdr:colOff>190500</xdr:colOff>
      <xdr:row>27</xdr:row>
      <xdr:rowOff>47625</xdr:rowOff>
    </xdr:from>
    <xdr:to>
      <xdr:col>51</xdr:col>
      <xdr:colOff>142875</xdr:colOff>
      <xdr:row>27</xdr:row>
      <xdr:rowOff>142875</xdr:rowOff>
    </xdr:to>
    <xdr:sp>
      <xdr:nvSpPr>
        <xdr:cNvPr id="28" name="Rectangle 116"/>
        <xdr:cNvSpPr>
          <a:spLocks/>
        </xdr:cNvSpPr>
      </xdr:nvSpPr>
      <xdr:spPr>
        <a:xfrm>
          <a:off x="9925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27</xdr:row>
      <xdr:rowOff>47625</xdr:rowOff>
    </xdr:from>
    <xdr:to>
      <xdr:col>48</xdr:col>
      <xdr:colOff>142875</xdr:colOff>
      <xdr:row>27</xdr:row>
      <xdr:rowOff>142875</xdr:rowOff>
    </xdr:to>
    <xdr:sp>
      <xdr:nvSpPr>
        <xdr:cNvPr id="29" name="Rectangle 2"/>
        <xdr:cNvSpPr>
          <a:spLocks/>
        </xdr:cNvSpPr>
      </xdr:nvSpPr>
      <xdr:spPr>
        <a:xfrm>
          <a:off x="9353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47625</xdr:rowOff>
    </xdr:from>
    <xdr:to>
      <xdr:col>49</xdr:col>
      <xdr:colOff>142875</xdr:colOff>
      <xdr:row>27</xdr:row>
      <xdr:rowOff>142875</xdr:rowOff>
    </xdr:to>
    <xdr:sp>
      <xdr:nvSpPr>
        <xdr:cNvPr id="30" name="Rectangle 115"/>
        <xdr:cNvSpPr>
          <a:spLocks/>
        </xdr:cNvSpPr>
      </xdr:nvSpPr>
      <xdr:spPr>
        <a:xfrm>
          <a:off x="9544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27</xdr:row>
      <xdr:rowOff>47625</xdr:rowOff>
    </xdr:from>
    <xdr:to>
      <xdr:col>50</xdr:col>
      <xdr:colOff>142875</xdr:colOff>
      <xdr:row>27</xdr:row>
      <xdr:rowOff>142875</xdr:rowOff>
    </xdr:to>
    <xdr:sp>
      <xdr:nvSpPr>
        <xdr:cNvPr id="31" name="Rectangle 116"/>
        <xdr:cNvSpPr>
          <a:spLocks/>
        </xdr:cNvSpPr>
      </xdr:nvSpPr>
      <xdr:spPr>
        <a:xfrm>
          <a:off x="9734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32" name="Rectangle 2"/>
        <xdr:cNvSpPr>
          <a:spLocks/>
        </xdr:cNvSpPr>
      </xdr:nvSpPr>
      <xdr:spPr>
        <a:xfrm>
          <a:off x="6877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33" name="Rectangle 115"/>
        <xdr:cNvSpPr>
          <a:spLocks/>
        </xdr:cNvSpPr>
      </xdr:nvSpPr>
      <xdr:spPr>
        <a:xfrm>
          <a:off x="70675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34" name="Rectangle 116"/>
        <xdr:cNvSpPr>
          <a:spLocks/>
        </xdr:cNvSpPr>
      </xdr:nvSpPr>
      <xdr:spPr>
        <a:xfrm>
          <a:off x="7258050" y="54768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4">
        <row r="21">
          <cell r="E2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6"/>
  <sheetViews>
    <sheetView showZeros="0" zoomScalePageLayoutView="0" workbookViewId="0" topLeftCell="A1">
      <selection activeCell="AL27" sqref="AL27"/>
    </sheetView>
  </sheetViews>
  <sheetFormatPr defaultColWidth="2.83203125" defaultRowHeight="12.75"/>
  <cols>
    <col min="1" max="1" width="3.66015625" style="6" customWidth="1"/>
    <col min="2" max="53" width="3.33203125" style="6" customWidth="1"/>
    <col min="54" max="54" width="3.5" style="6" customWidth="1"/>
    <col min="55" max="55" width="3.16015625" style="6" customWidth="1"/>
    <col min="56" max="56" width="4" style="6" customWidth="1"/>
    <col min="57" max="60" width="3.33203125" style="6" customWidth="1"/>
    <col min="61" max="61" width="4.5" style="6" customWidth="1"/>
    <col min="62" max="63" width="3.33203125" style="6" hidden="1" customWidth="1"/>
    <col min="64" max="64" width="5.16015625" style="6" customWidth="1"/>
    <col min="65" max="65" width="3.33203125" style="6" customWidth="1"/>
    <col min="66" max="66" width="4.16015625" style="6" customWidth="1"/>
    <col min="67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72" t="s">
        <v>33</v>
      </c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558" t="s">
        <v>415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73" t="s">
        <v>337</v>
      </c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61" t="s">
        <v>46</v>
      </c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ht="15.75" customHeight="1">
      <c r="A3" s="564">
        <v>43643</v>
      </c>
      <c r="B3" s="564"/>
      <c r="C3" s="564"/>
      <c r="D3" s="564"/>
      <c r="E3" s="564"/>
      <c r="F3" s="564"/>
      <c r="G3" s="564"/>
      <c r="H3" s="564" t="s">
        <v>685</v>
      </c>
      <c r="I3" s="564"/>
      <c r="J3" s="564"/>
      <c r="K3" s="564"/>
      <c r="L3" s="564"/>
      <c r="M3" s="564"/>
      <c r="N3" s="564"/>
      <c r="O3" s="573" t="s">
        <v>338</v>
      </c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63" t="s">
        <v>344</v>
      </c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</row>
    <row r="4" spans="1:66" ht="15.75" customHeight="1">
      <c r="A4" s="559" t="s">
        <v>707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557" t="s">
        <v>593</v>
      </c>
      <c r="BD4" s="557"/>
      <c r="BE4" s="557"/>
      <c r="BF4" s="557"/>
      <c r="BG4" s="557"/>
      <c r="BH4" s="557"/>
      <c r="BI4" s="557"/>
      <c r="BJ4" s="557"/>
      <c r="BK4" s="557"/>
      <c r="BL4" s="557"/>
      <c r="BM4" s="557"/>
      <c r="BN4" s="557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36"/>
      <c r="BE5" s="236"/>
      <c r="BF5" s="28"/>
      <c r="BG5" s="29"/>
      <c r="BH5" s="29"/>
      <c r="BI5" s="29"/>
      <c r="BJ5" s="29"/>
      <c r="BK5" s="29"/>
      <c r="BL5" s="29"/>
      <c r="BM5" s="29"/>
      <c r="BN5" s="236"/>
    </row>
    <row r="6" spans="1:66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562">
        <v>44286</v>
      </c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</row>
    <row r="7" spans="1:66" ht="25.5">
      <c r="A7" s="560" t="s">
        <v>355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78" t="s">
        <v>356</v>
      </c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580" t="s">
        <v>47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47" t="s">
        <v>625</v>
      </c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s="3" customFormat="1" ht="15.75" customHeight="1">
      <c r="A10" s="534" t="s">
        <v>157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47" t="s">
        <v>339</v>
      </c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8" t="s">
        <v>627</v>
      </c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</row>
    <row r="11" spans="1:66" s="3" customFormat="1" ht="15.75" customHeight="1">
      <c r="A11" s="534" t="s">
        <v>154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46" t="s">
        <v>594</v>
      </c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6"/>
      <c r="BA11" s="546"/>
      <c r="BB11" s="546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</row>
    <row r="12" spans="1:66" s="3" customFormat="1" ht="15.75" customHeight="1">
      <c r="A12" s="534" t="s">
        <v>199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50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</row>
    <row r="13" spans="1:66" s="3" customFormat="1" ht="15.75" customHeight="1">
      <c r="A13" s="555" t="s">
        <v>624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2" t="s">
        <v>156</v>
      </c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49"/>
      <c r="BD13" s="549"/>
      <c r="BE13" s="549"/>
      <c r="BF13" s="549"/>
      <c r="BG13" s="549"/>
      <c r="BH13" s="549"/>
      <c r="BI13" s="549"/>
      <c r="BJ13" s="549"/>
      <c r="BK13" s="549"/>
      <c r="BL13" s="549"/>
      <c r="BM13" s="549"/>
      <c r="BN13" s="549"/>
    </row>
    <row r="14" spans="1:66" s="3" customFormat="1" ht="15.75" customHeight="1">
      <c r="A14" s="536"/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  <c r="BB14" s="535"/>
      <c r="BC14" s="553" t="s">
        <v>345</v>
      </c>
      <c r="BD14" s="554"/>
      <c r="BE14" s="554"/>
      <c r="BF14" s="554"/>
      <c r="BG14" s="554"/>
      <c r="BH14" s="554"/>
      <c r="BI14" s="554"/>
      <c r="BJ14" s="554"/>
      <c r="BK14" s="554"/>
      <c r="BL14" s="554"/>
      <c r="BM14" s="554"/>
      <c r="BN14" s="554"/>
    </row>
    <row r="15" spans="1:66" s="3" customFormat="1" ht="15.75" customHeight="1">
      <c r="A15" s="534" t="s">
        <v>158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 t="s">
        <v>160</v>
      </c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5"/>
      <c r="BA15" s="535"/>
      <c r="BB15" s="5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" customFormat="1" ht="15.75" customHeight="1">
      <c r="A16" s="534" t="s">
        <v>48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46" t="s">
        <v>108</v>
      </c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546"/>
      <c r="AL16" s="546"/>
      <c r="AM16" s="546"/>
      <c r="AN16" s="546"/>
      <c r="AO16" s="546"/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26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.75" customHeight="1">
      <c r="A17" s="536" t="s">
        <v>600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74">
        <v>4</v>
      </c>
      <c r="P17" s="574"/>
      <c r="Q17" s="575" t="s">
        <v>275</v>
      </c>
      <c r="R17" s="575"/>
      <c r="S17" s="575"/>
      <c r="T17" s="574">
        <v>10</v>
      </c>
      <c r="U17" s="574"/>
      <c r="V17" s="576" t="s">
        <v>276</v>
      </c>
      <c r="W17" s="576"/>
      <c r="X17" s="576"/>
      <c r="Y17" s="576"/>
      <c r="Z17" s="576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24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78" t="s">
        <v>626</v>
      </c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79"/>
      <c r="AQ18" s="579"/>
      <c r="AR18" s="579"/>
      <c r="AS18" s="579"/>
      <c r="AT18" s="579"/>
      <c r="AU18" s="579"/>
      <c r="AV18" s="579"/>
      <c r="AW18" s="579"/>
      <c r="AX18" s="579"/>
      <c r="AY18" s="579"/>
      <c r="AZ18" s="579"/>
      <c r="BA18" s="579"/>
      <c r="BB18" s="579"/>
      <c r="BC18" s="30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9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ht="12.75" customHeight="1">
      <c r="A20" s="537" t="s">
        <v>10</v>
      </c>
      <c r="B20" s="520" t="s">
        <v>11</v>
      </c>
      <c r="C20" s="521"/>
      <c r="D20" s="521"/>
      <c r="E20" s="522"/>
      <c r="F20" s="540" t="s">
        <v>58</v>
      </c>
      <c r="G20" s="520" t="s">
        <v>25</v>
      </c>
      <c r="H20" s="521"/>
      <c r="I20" s="522"/>
      <c r="J20" s="540" t="s">
        <v>129</v>
      </c>
      <c r="K20" s="520" t="s">
        <v>12</v>
      </c>
      <c r="L20" s="521"/>
      <c r="M20" s="521"/>
      <c r="N20" s="522"/>
      <c r="O20" s="520" t="s">
        <v>13</v>
      </c>
      <c r="P20" s="521"/>
      <c r="Q20" s="521"/>
      <c r="R20" s="522"/>
      <c r="S20" s="540" t="s">
        <v>128</v>
      </c>
      <c r="T20" s="520" t="s">
        <v>14</v>
      </c>
      <c r="U20" s="521"/>
      <c r="V20" s="522"/>
      <c r="W20" s="540" t="s">
        <v>57</v>
      </c>
      <c r="X20" s="520" t="s">
        <v>15</v>
      </c>
      <c r="Y20" s="521"/>
      <c r="Z20" s="522"/>
      <c r="AA20" s="540" t="s">
        <v>623</v>
      </c>
      <c r="AB20" s="520" t="s">
        <v>16</v>
      </c>
      <c r="AC20" s="521"/>
      <c r="AD20" s="521"/>
      <c r="AE20" s="522"/>
      <c r="AF20" s="540" t="s">
        <v>56</v>
      </c>
      <c r="AG20" s="520" t="s">
        <v>17</v>
      </c>
      <c r="AH20" s="521"/>
      <c r="AI20" s="522"/>
      <c r="AJ20" s="540" t="s">
        <v>55</v>
      </c>
      <c r="AK20" s="520" t="s">
        <v>18</v>
      </c>
      <c r="AL20" s="521"/>
      <c r="AM20" s="521"/>
      <c r="AN20" s="522"/>
      <c r="AO20" s="520" t="s">
        <v>19</v>
      </c>
      <c r="AP20" s="521"/>
      <c r="AQ20" s="521"/>
      <c r="AR20" s="522"/>
      <c r="AS20" s="540" t="s">
        <v>127</v>
      </c>
      <c r="AT20" s="520" t="s">
        <v>20</v>
      </c>
      <c r="AU20" s="521"/>
      <c r="AV20" s="522"/>
      <c r="AW20" s="540" t="s">
        <v>124</v>
      </c>
      <c r="AX20" s="520" t="s">
        <v>21</v>
      </c>
      <c r="AY20" s="521"/>
      <c r="AZ20" s="521"/>
      <c r="BA20" s="522"/>
      <c r="BB20" s="566" t="s">
        <v>52</v>
      </c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8"/>
    </row>
    <row r="21" spans="1:66" ht="15.75" customHeight="1">
      <c r="A21" s="538"/>
      <c r="B21" s="523"/>
      <c r="C21" s="524"/>
      <c r="D21" s="524"/>
      <c r="E21" s="525"/>
      <c r="F21" s="541"/>
      <c r="G21" s="523"/>
      <c r="H21" s="524"/>
      <c r="I21" s="525"/>
      <c r="J21" s="541"/>
      <c r="K21" s="523"/>
      <c r="L21" s="524"/>
      <c r="M21" s="524"/>
      <c r="N21" s="525"/>
      <c r="O21" s="523"/>
      <c r="P21" s="524"/>
      <c r="Q21" s="524"/>
      <c r="R21" s="525"/>
      <c r="S21" s="541"/>
      <c r="T21" s="523"/>
      <c r="U21" s="524"/>
      <c r="V21" s="525"/>
      <c r="W21" s="541"/>
      <c r="X21" s="523"/>
      <c r="Y21" s="524"/>
      <c r="Z21" s="525"/>
      <c r="AA21" s="541"/>
      <c r="AB21" s="523"/>
      <c r="AC21" s="524"/>
      <c r="AD21" s="524"/>
      <c r="AE21" s="525"/>
      <c r="AF21" s="541"/>
      <c r="AG21" s="523"/>
      <c r="AH21" s="524"/>
      <c r="AI21" s="525"/>
      <c r="AJ21" s="541"/>
      <c r="AK21" s="523"/>
      <c r="AL21" s="524"/>
      <c r="AM21" s="524"/>
      <c r="AN21" s="525"/>
      <c r="AO21" s="523"/>
      <c r="AP21" s="524"/>
      <c r="AQ21" s="524"/>
      <c r="AR21" s="525"/>
      <c r="AS21" s="541"/>
      <c r="AT21" s="523"/>
      <c r="AU21" s="524"/>
      <c r="AV21" s="525"/>
      <c r="AW21" s="541"/>
      <c r="AX21" s="523"/>
      <c r="AY21" s="524"/>
      <c r="AZ21" s="524"/>
      <c r="BA21" s="525"/>
      <c r="BB21" s="581" t="s">
        <v>8</v>
      </c>
      <c r="BC21" s="582"/>
      <c r="BD21" s="583"/>
      <c r="BE21" s="581" t="s">
        <v>298</v>
      </c>
      <c r="BF21" s="582"/>
      <c r="BG21" s="583"/>
      <c r="BH21" s="569" t="s">
        <v>6</v>
      </c>
      <c r="BI21" s="569" t="s">
        <v>137</v>
      </c>
      <c r="BJ21" s="569" t="s">
        <v>44</v>
      </c>
      <c r="BK21" s="569" t="s">
        <v>53</v>
      </c>
      <c r="BL21" s="569" t="s">
        <v>353</v>
      </c>
      <c r="BM21" s="569" t="s">
        <v>45</v>
      </c>
      <c r="BN21" s="569" t="s">
        <v>1</v>
      </c>
    </row>
    <row r="22" spans="1:66" ht="15.75" customHeight="1">
      <c r="A22" s="538"/>
      <c r="B22" s="7">
        <v>1</v>
      </c>
      <c r="C22" s="7">
        <v>8</v>
      </c>
      <c r="D22" s="7">
        <v>15</v>
      </c>
      <c r="E22" s="7">
        <v>22</v>
      </c>
      <c r="F22" s="544" t="s">
        <v>117</v>
      </c>
      <c r="G22" s="7">
        <v>6</v>
      </c>
      <c r="H22" s="7">
        <v>13</v>
      </c>
      <c r="I22" s="7">
        <v>20</v>
      </c>
      <c r="J22" s="544" t="s">
        <v>118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544" t="s">
        <v>119</v>
      </c>
      <c r="T22" s="7">
        <v>5</v>
      </c>
      <c r="U22" s="7">
        <v>12</v>
      </c>
      <c r="V22" s="7">
        <v>19</v>
      </c>
      <c r="W22" s="544" t="s">
        <v>120</v>
      </c>
      <c r="X22" s="7">
        <v>2</v>
      </c>
      <c r="Y22" s="7">
        <v>9</v>
      </c>
      <c r="Z22" s="7">
        <v>16</v>
      </c>
      <c r="AA22" s="544" t="s">
        <v>125</v>
      </c>
      <c r="AB22" s="7">
        <v>2</v>
      </c>
      <c r="AC22" s="7">
        <v>9</v>
      </c>
      <c r="AD22" s="7">
        <v>16</v>
      </c>
      <c r="AE22" s="7">
        <v>23</v>
      </c>
      <c r="AF22" s="544" t="s">
        <v>122</v>
      </c>
      <c r="AG22" s="7">
        <v>6</v>
      </c>
      <c r="AH22" s="7">
        <v>13</v>
      </c>
      <c r="AI22" s="7">
        <v>20</v>
      </c>
      <c r="AJ22" s="544" t="s">
        <v>123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544" t="s">
        <v>126</v>
      </c>
      <c r="AT22" s="7">
        <v>6</v>
      </c>
      <c r="AU22" s="7">
        <v>13</v>
      </c>
      <c r="AV22" s="7">
        <v>20</v>
      </c>
      <c r="AW22" s="544" t="s">
        <v>121</v>
      </c>
      <c r="AX22" s="7">
        <v>2</v>
      </c>
      <c r="AY22" s="7">
        <v>9</v>
      </c>
      <c r="AZ22" s="7">
        <v>16</v>
      </c>
      <c r="BA22" s="7">
        <v>23</v>
      </c>
      <c r="BB22" s="584"/>
      <c r="BC22" s="585"/>
      <c r="BD22" s="586"/>
      <c r="BE22" s="584"/>
      <c r="BF22" s="585"/>
      <c r="BG22" s="586"/>
      <c r="BH22" s="570"/>
      <c r="BI22" s="570"/>
      <c r="BJ22" s="570"/>
      <c r="BK22" s="570"/>
      <c r="BL22" s="570"/>
      <c r="BM22" s="570"/>
      <c r="BN22" s="570"/>
    </row>
    <row r="23" spans="1:66" ht="18" customHeight="1">
      <c r="A23" s="538"/>
      <c r="B23" s="4">
        <v>7</v>
      </c>
      <c r="C23" s="4">
        <v>14</v>
      </c>
      <c r="D23" s="4">
        <v>21</v>
      </c>
      <c r="E23" s="4">
        <v>28</v>
      </c>
      <c r="F23" s="545"/>
      <c r="G23" s="4">
        <v>12</v>
      </c>
      <c r="H23" s="4">
        <v>19</v>
      </c>
      <c r="I23" s="4">
        <v>26</v>
      </c>
      <c r="J23" s="545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545"/>
      <c r="T23" s="4">
        <v>11</v>
      </c>
      <c r="U23" s="4">
        <v>18</v>
      </c>
      <c r="V23" s="4">
        <v>25</v>
      </c>
      <c r="W23" s="545"/>
      <c r="X23" s="4">
        <v>8</v>
      </c>
      <c r="Y23" s="4">
        <v>15</v>
      </c>
      <c r="Z23" s="4">
        <v>22</v>
      </c>
      <c r="AA23" s="545"/>
      <c r="AB23" s="4">
        <v>8</v>
      </c>
      <c r="AC23" s="4">
        <v>15</v>
      </c>
      <c r="AD23" s="4">
        <v>22</v>
      </c>
      <c r="AE23" s="4">
        <v>29</v>
      </c>
      <c r="AF23" s="545"/>
      <c r="AG23" s="4">
        <v>12</v>
      </c>
      <c r="AH23" s="4">
        <v>19</v>
      </c>
      <c r="AI23" s="4">
        <v>26</v>
      </c>
      <c r="AJ23" s="545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545"/>
      <c r="AT23" s="4">
        <v>12</v>
      </c>
      <c r="AU23" s="4">
        <v>19</v>
      </c>
      <c r="AV23" s="4">
        <v>26</v>
      </c>
      <c r="AW23" s="545"/>
      <c r="AX23" s="4">
        <v>8</v>
      </c>
      <c r="AY23" s="4">
        <v>15</v>
      </c>
      <c r="AZ23" s="4">
        <v>22</v>
      </c>
      <c r="BA23" s="4">
        <v>31</v>
      </c>
      <c r="BB23" s="587"/>
      <c r="BC23" s="588"/>
      <c r="BD23" s="589"/>
      <c r="BE23" s="587"/>
      <c r="BF23" s="588"/>
      <c r="BG23" s="589"/>
      <c r="BH23" s="570"/>
      <c r="BI23" s="570"/>
      <c r="BJ23" s="570"/>
      <c r="BK23" s="570"/>
      <c r="BL23" s="570"/>
      <c r="BM23" s="570"/>
      <c r="BN23" s="570"/>
    </row>
    <row r="24" spans="1:66" ht="15.75" customHeight="1">
      <c r="A24" s="539"/>
      <c r="B24" s="46">
        <v>1</v>
      </c>
      <c r="C24" s="46">
        <v>2</v>
      </c>
      <c r="D24" s="46">
        <v>3</v>
      </c>
      <c r="E24" s="46">
        <v>4</v>
      </c>
      <c r="F24" s="46">
        <v>5</v>
      </c>
      <c r="G24" s="46">
        <v>6</v>
      </c>
      <c r="H24" s="46">
        <v>7</v>
      </c>
      <c r="I24" s="46">
        <v>8</v>
      </c>
      <c r="J24" s="46">
        <v>9</v>
      </c>
      <c r="K24" s="46">
        <v>10</v>
      </c>
      <c r="L24" s="46">
        <v>11</v>
      </c>
      <c r="M24" s="46">
        <v>12</v>
      </c>
      <c r="N24" s="46">
        <v>13</v>
      </c>
      <c r="O24" s="46">
        <v>14</v>
      </c>
      <c r="P24" s="46">
        <v>15</v>
      </c>
      <c r="Q24" s="46">
        <v>16</v>
      </c>
      <c r="R24" s="46">
        <v>17</v>
      </c>
      <c r="S24" s="46">
        <v>18</v>
      </c>
      <c r="T24" s="46">
        <v>19</v>
      </c>
      <c r="U24" s="46">
        <v>20</v>
      </c>
      <c r="V24" s="46">
        <v>21</v>
      </c>
      <c r="W24" s="46">
        <v>22</v>
      </c>
      <c r="X24" s="46">
        <v>23</v>
      </c>
      <c r="Y24" s="46">
        <v>24</v>
      </c>
      <c r="Z24" s="46">
        <v>25</v>
      </c>
      <c r="AA24" s="46">
        <v>26</v>
      </c>
      <c r="AB24" s="46">
        <v>27</v>
      </c>
      <c r="AC24" s="46">
        <v>28</v>
      </c>
      <c r="AD24" s="46">
        <v>29</v>
      </c>
      <c r="AE24" s="46">
        <v>30</v>
      </c>
      <c r="AF24" s="46">
        <v>31</v>
      </c>
      <c r="AG24" s="46">
        <v>32</v>
      </c>
      <c r="AH24" s="46">
        <v>33</v>
      </c>
      <c r="AI24" s="46">
        <v>34</v>
      </c>
      <c r="AJ24" s="46">
        <v>35</v>
      </c>
      <c r="AK24" s="46">
        <v>36</v>
      </c>
      <c r="AL24" s="46">
        <v>37</v>
      </c>
      <c r="AM24" s="46">
        <v>38</v>
      </c>
      <c r="AN24" s="46">
        <v>39</v>
      </c>
      <c r="AO24" s="46">
        <v>40</v>
      </c>
      <c r="AP24" s="46">
        <v>41</v>
      </c>
      <c r="AQ24" s="46">
        <v>42</v>
      </c>
      <c r="AR24" s="46">
        <v>43</v>
      </c>
      <c r="AS24" s="46">
        <v>44</v>
      </c>
      <c r="AT24" s="46">
        <v>45</v>
      </c>
      <c r="AU24" s="46">
        <v>46</v>
      </c>
      <c r="AV24" s="46">
        <v>47</v>
      </c>
      <c r="AW24" s="46">
        <v>48</v>
      </c>
      <c r="AX24" s="46">
        <v>49</v>
      </c>
      <c r="AY24" s="46">
        <v>50</v>
      </c>
      <c r="AZ24" s="46">
        <v>51</v>
      </c>
      <c r="BA24" s="46">
        <v>52</v>
      </c>
      <c r="BB24" s="9" t="s">
        <v>70</v>
      </c>
      <c r="BC24" s="9" t="s">
        <v>32</v>
      </c>
      <c r="BD24" s="10" t="s">
        <v>54</v>
      </c>
      <c r="BE24" s="9" t="s">
        <v>70</v>
      </c>
      <c r="BF24" s="9" t="s">
        <v>32</v>
      </c>
      <c r="BG24" s="10" t="s">
        <v>54</v>
      </c>
      <c r="BH24" s="571"/>
      <c r="BI24" s="571"/>
      <c r="BJ24" s="571"/>
      <c r="BK24" s="571"/>
      <c r="BL24" s="571"/>
      <c r="BM24" s="571"/>
      <c r="BN24" s="571"/>
    </row>
    <row r="25" spans="1:66" ht="15.75" customHeight="1">
      <c r="A25" s="8">
        <v>1</v>
      </c>
      <c r="B25" s="298" t="s">
        <v>70</v>
      </c>
      <c r="C25" s="298" t="s">
        <v>70</v>
      </c>
      <c r="D25" s="298" t="s">
        <v>70</v>
      </c>
      <c r="E25" s="298" t="s">
        <v>70</v>
      </c>
      <c r="F25" s="298" t="s">
        <v>70</v>
      </c>
      <c r="G25" s="298" t="s">
        <v>70</v>
      </c>
      <c r="H25" s="298" t="s">
        <v>70</v>
      </c>
      <c r="I25" s="298" t="s">
        <v>70</v>
      </c>
      <c r="J25" s="298" t="s">
        <v>70</v>
      </c>
      <c r="K25" s="298" t="s">
        <v>70</v>
      </c>
      <c r="L25" s="298" t="s">
        <v>70</v>
      </c>
      <c r="M25" s="298" t="s">
        <v>70</v>
      </c>
      <c r="N25" s="298" t="s">
        <v>70</v>
      </c>
      <c r="O25" s="298" t="s">
        <v>70</v>
      </c>
      <c r="P25" s="298" t="s">
        <v>70</v>
      </c>
      <c r="Q25" s="298" t="s">
        <v>70</v>
      </c>
      <c r="R25" s="298" t="s">
        <v>70</v>
      </c>
      <c r="S25" s="298" t="s">
        <v>28</v>
      </c>
      <c r="T25" s="298" t="s">
        <v>28</v>
      </c>
      <c r="U25" s="298" t="s">
        <v>32</v>
      </c>
      <c r="V25" s="298" t="s">
        <v>32</v>
      </c>
      <c r="W25" s="298" t="s">
        <v>32</v>
      </c>
      <c r="X25" s="298" t="s">
        <v>32</v>
      </c>
      <c r="Y25" s="298" t="s">
        <v>32</v>
      </c>
      <c r="Z25" s="298" t="s">
        <v>32</v>
      </c>
      <c r="AA25" s="298" t="s">
        <v>32</v>
      </c>
      <c r="AB25" s="298" t="s">
        <v>32</v>
      </c>
      <c r="AC25" s="298" t="s">
        <v>32</v>
      </c>
      <c r="AD25" s="298" t="s">
        <v>32</v>
      </c>
      <c r="AE25" s="298" t="s">
        <v>32</v>
      </c>
      <c r="AF25" s="298" t="s">
        <v>32</v>
      </c>
      <c r="AG25" s="298" t="s">
        <v>32</v>
      </c>
      <c r="AH25" s="298" t="s">
        <v>32</v>
      </c>
      <c r="AI25" s="298" t="s">
        <v>32</v>
      </c>
      <c r="AJ25" s="298" t="s">
        <v>32</v>
      </c>
      <c r="AK25" s="298" t="s">
        <v>32</v>
      </c>
      <c r="AL25" s="298" t="s">
        <v>32</v>
      </c>
      <c r="AM25" s="298" t="s">
        <v>32</v>
      </c>
      <c r="AN25" s="298" t="s">
        <v>32</v>
      </c>
      <c r="AO25" s="298" t="s">
        <v>32</v>
      </c>
      <c r="AP25" s="298" t="s">
        <v>32</v>
      </c>
      <c r="AQ25" s="299" t="s">
        <v>212</v>
      </c>
      <c r="AR25" s="299" t="s">
        <v>212</v>
      </c>
      <c r="AS25" s="298" t="s">
        <v>28</v>
      </c>
      <c r="AT25" s="298" t="s">
        <v>28</v>
      </c>
      <c r="AU25" s="298" t="s">
        <v>28</v>
      </c>
      <c r="AV25" s="298" t="s">
        <v>28</v>
      </c>
      <c r="AW25" s="298" t="s">
        <v>28</v>
      </c>
      <c r="AX25" s="298" t="s">
        <v>28</v>
      </c>
      <c r="AY25" s="298" t="s">
        <v>28</v>
      </c>
      <c r="AZ25" s="298" t="s">
        <v>28</v>
      </c>
      <c r="BA25" s="298" t="s">
        <v>28</v>
      </c>
      <c r="BB25" s="21">
        <f>COUNTIF(B25:BA25,"о")</f>
        <v>17</v>
      </c>
      <c r="BC25" s="21">
        <f>COUNTIF(B25:BA25,"в")</f>
        <v>22</v>
      </c>
      <c r="BD25" s="22">
        <f>SUM(BB25:BC25)</f>
        <v>39</v>
      </c>
      <c r="BE25" s="21">
        <f>COUNTIF(B25:BA25,$R$32)</f>
        <v>0</v>
      </c>
      <c r="BF25" s="21">
        <f>COUNTIF(B25:BA25,$R$34)</f>
        <v>2</v>
      </c>
      <c r="BG25" s="22">
        <f>SUM(BE25:BF25)</f>
        <v>2</v>
      </c>
      <c r="BH25" s="22">
        <f>COUNTIF(B25:BA25,$AF$32)</f>
        <v>0</v>
      </c>
      <c r="BI25" s="22">
        <f>COUNTIF(B25:BA25,$AF$34)</f>
        <v>0</v>
      </c>
      <c r="BJ25" s="22">
        <f>COUNTIF(B25:BA25,#REF!)</f>
        <v>0</v>
      </c>
      <c r="BK25" s="22">
        <f>COUNTIF(B25:BA25,$AZ$32)</f>
        <v>0</v>
      </c>
      <c r="BL25" s="22">
        <f>COUNTIF(B25:BA25,$AQ$34)</f>
        <v>0</v>
      </c>
      <c r="BM25" s="22">
        <f>COUNTIF(B25:BA25,$AZ$34)</f>
        <v>11</v>
      </c>
      <c r="BN25" s="22">
        <f>SUM(BG25:BM25)+BD25</f>
        <v>52</v>
      </c>
    </row>
    <row r="26" spans="1:66" ht="15.75" customHeight="1">
      <c r="A26" s="8">
        <v>2</v>
      </c>
      <c r="B26" s="298" t="s">
        <v>70</v>
      </c>
      <c r="C26" s="298" t="s">
        <v>70</v>
      </c>
      <c r="D26" s="298" t="s">
        <v>70</v>
      </c>
      <c r="E26" s="298" t="s">
        <v>70</v>
      </c>
      <c r="F26" s="298" t="s">
        <v>70</v>
      </c>
      <c r="G26" s="298" t="s">
        <v>70</v>
      </c>
      <c r="H26" s="298" t="s">
        <v>70</v>
      </c>
      <c r="I26" s="298" t="s">
        <v>70</v>
      </c>
      <c r="J26" s="298" t="s">
        <v>70</v>
      </c>
      <c r="K26" s="298" t="s">
        <v>70</v>
      </c>
      <c r="L26" s="298" t="s">
        <v>70</v>
      </c>
      <c r="M26" s="298" t="s">
        <v>70</v>
      </c>
      <c r="N26" s="298" t="s">
        <v>70</v>
      </c>
      <c r="O26" s="298" t="s">
        <v>70</v>
      </c>
      <c r="P26" s="298" t="s">
        <v>70</v>
      </c>
      <c r="Q26" s="298" t="s">
        <v>70</v>
      </c>
      <c r="R26" s="299" t="s">
        <v>211</v>
      </c>
      <c r="S26" s="298" t="s">
        <v>28</v>
      </c>
      <c r="T26" s="298" t="s">
        <v>28</v>
      </c>
      <c r="U26" s="298" t="s">
        <v>32</v>
      </c>
      <c r="V26" s="298" t="s">
        <v>32</v>
      </c>
      <c r="W26" s="298" t="s">
        <v>32</v>
      </c>
      <c r="X26" s="298" t="s">
        <v>32</v>
      </c>
      <c r="Y26" s="298" t="s">
        <v>32</v>
      </c>
      <c r="Z26" s="298" t="s">
        <v>32</v>
      </c>
      <c r="AA26" s="298" t="s">
        <v>32</v>
      </c>
      <c r="AB26" s="298" t="s">
        <v>32</v>
      </c>
      <c r="AC26" s="298" t="s">
        <v>32</v>
      </c>
      <c r="AD26" s="298" t="s">
        <v>32</v>
      </c>
      <c r="AE26" s="298" t="s">
        <v>32</v>
      </c>
      <c r="AF26" s="298" t="s">
        <v>32</v>
      </c>
      <c r="AG26" s="298" t="s">
        <v>32</v>
      </c>
      <c r="AH26" s="298" t="s">
        <v>32</v>
      </c>
      <c r="AI26" s="298" t="s">
        <v>32</v>
      </c>
      <c r="AJ26" s="298" t="s">
        <v>32</v>
      </c>
      <c r="AK26" s="298" t="s">
        <v>32</v>
      </c>
      <c r="AL26" s="299" t="s">
        <v>212</v>
      </c>
      <c r="AM26" s="298" t="s">
        <v>49</v>
      </c>
      <c r="AN26" s="298" t="s">
        <v>49</v>
      </c>
      <c r="AO26" s="298" t="s">
        <v>49</v>
      </c>
      <c r="AP26" s="298" t="s">
        <v>49</v>
      </c>
      <c r="AQ26" s="298" t="s">
        <v>49</v>
      </c>
      <c r="AR26" s="298" t="s">
        <v>49</v>
      </c>
      <c r="AS26" s="298" t="s">
        <v>49</v>
      </c>
      <c r="AT26" s="298" t="s">
        <v>49</v>
      </c>
      <c r="AU26" s="298" t="s">
        <v>49</v>
      </c>
      <c r="AV26" s="298" t="s">
        <v>28</v>
      </c>
      <c r="AW26" s="298" t="s">
        <v>28</v>
      </c>
      <c r="AX26" s="298" t="s">
        <v>28</v>
      </c>
      <c r="AY26" s="298" t="s">
        <v>28</v>
      </c>
      <c r="AZ26" s="298" t="s">
        <v>28</v>
      </c>
      <c r="BA26" s="298" t="s">
        <v>28</v>
      </c>
      <c r="BB26" s="21">
        <f>COUNTIF(B26:BA26,"о")</f>
        <v>16</v>
      </c>
      <c r="BC26" s="21">
        <f>COUNTIF(B26:BA26,"в")</f>
        <v>17</v>
      </c>
      <c r="BD26" s="22">
        <f>SUM(BB26:BC26)</f>
        <v>33</v>
      </c>
      <c r="BE26" s="21">
        <f>COUNTIF(B26:BA26,$R$32)</f>
        <v>1</v>
      </c>
      <c r="BF26" s="21">
        <f>COUNTIF(B26:BA26,$R$34)</f>
        <v>1</v>
      </c>
      <c r="BG26" s="22">
        <f>SUM(BE26:BF26)</f>
        <v>2</v>
      </c>
      <c r="BH26" s="22">
        <f>COUNTIF(B26:BA26,$AF$32)</f>
        <v>9</v>
      </c>
      <c r="BI26" s="22">
        <f>COUNTIF(B26:BA26,$AF$34)</f>
        <v>0</v>
      </c>
      <c r="BJ26" s="22">
        <f>COUNTIF(B26:BA26,#REF!)</f>
        <v>0</v>
      </c>
      <c r="BK26" s="22">
        <f>COUNTIF(B26:BA26,$AZ$32)</f>
        <v>0</v>
      </c>
      <c r="BL26" s="22">
        <f>COUNTIF(B26:BA26,$AQ$34)</f>
        <v>0</v>
      </c>
      <c r="BM26" s="22">
        <f>COUNTIF(B26:BA26,$AZ$34)</f>
        <v>8</v>
      </c>
      <c r="BN26" s="22">
        <f>SUM(BG26:BM26)+BD26</f>
        <v>52</v>
      </c>
    </row>
    <row r="27" spans="1:66" ht="15.75" customHeight="1">
      <c r="A27" s="8">
        <v>3</v>
      </c>
      <c r="B27" s="298" t="s">
        <v>70</v>
      </c>
      <c r="C27" s="298" t="s">
        <v>70</v>
      </c>
      <c r="D27" s="298" t="s">
        <v>70</v>
      </c>
      <c r="E27" s="298" t="s">
        <v>70</v>
      </c>
      <c r="F27" s="298" t="s">
        <v>70</v>
      </c>
      <c r="G27" s="298" t="s">
        <v>70</v>
      </c>
      <c r="H27" s="298" t="s">
        <v>70</v>
      </c>
      <c r="I27" s="298" t="s">
        <v>70</v>
      </c>
      <c r="J27" s="298" t="s">
        <v>70</v>
      </c>
      <c r="K27" s="298" t="s">
        <v>70</v>
      </c>
      <c r="L27" s="298" t="s">
        <v>70</v>
      </c>
      <c r="M27" s="298" t="s">
        <v>70</v>
      </c>
      <c r="N27" s="298" t="s">
        <v>70</v>
      </c>
      <c r="O27" s="298" t="s">
        <v>70</v>
      </c>
      <c r="P27" s="298" t="s">
        <v>70</v>
      </c>
      <c r="Q27" s="298" t="s">
        <v>70</v>
      </c>
      <c r="R27" s="299" t="s">
        <v>211</v>
      </c>
      <c r="S27" s="298" t="s">
        <v>28</v>
      </c>
      <c r="T27" s="298" t="s">
        <v>28</v>
      </c>
      <c r="U27" s="298" t="s">
        <v>32</v>
      </c>
      <c r="V27" s="298" t="s">
        <v>32</v>
      </c>
      <c r="W27" s="298" t="s">
        <v>32</v>
      </c>
      <c r="X27" s="298" t="s">
        <v>32</v>
      </c>
      <c r="Y27" s="298" t="s">
        <v>32</v>
      </c>
      <c r="Z27" s="298" t="s">
        <v>32</v>
      </c>
      <c r="AA27" s="298" t="s">
        <v>32</v>
      </c>
      <c r="AB27" s="298" t="s">
        <v>32</v>
      </c>
      <c r="AC27" s="298" t="s">
        <v>32</v>
      </c>
      <c r="AD27" s="298" t="s">
        <v>32</v>
      </c>
      <c r="AE27" s="298" t="s">
        <v>32</v>
      </c>
      <c r="AF27" s="299" t="s">
        <v>212</v>
      </c>
      <c r="AG27" s="298" t="s">
        <v>28</v>
      </c>
      <c r="AH27" s="298" t="s">
        <v>28</v>
      </c>
      <c r="AI27" s="298" t="s">
        <v>28</v>
      </c>
      <c r="AJ27" s="298" t="s">
        <v>28</v>
      </c>
      <c r="AK27" s="298" t="s">
        <v>28</v>
      </c>
      <c r="AL27" s="298" t="s">
        <v>28</v>
      </c>
      <c r="AM27" s="298" t="s">
        <v>50</v>
      </c>
      <c r="AN27" s="298" t="s">
        <v>50</v>
      </c>
      <c r="AO27" s="298" t="s">
        <v>50</v>
      </c>
      <c r="AP27" s="298" t="s">
        <v>50</v>
      </c>
      <c r="AQ27" s="298" t="s">
        <v>50</v>
      </c>
      <c r="AR27" s="298" t="s">
        <v>50</v>
      </c>
      <c r="AS27" s="298" t="s">
        <v>50</v>
      </c>
      <c r="AT27" s="298" t="s">
        <v>50</v>
      </c>
      <c r="AU27" s="298" t="s">
        <v>50</v>
      </c>
      <c r="AV27" s="298" t="s">
        <v>50</v>
      </c>
      <c r="AW27" s="298" t="s">
        <v>50</v>
      </c>
      <c r="AX27" s="298" t="s">
        <v>50</v>
      </c>
      <c r="AY27" s="298" t="s">
        <v>50</v>
      </c>
      <c r="AZ27" s="298" t="s">
        <v>50</v>
      </c>
      <c r="BA27" s="298" t="s">
        <v>50</v>
      </c>
      <c r="BB27" s="21">
        <f>COUNTIF(B27:BA27,"о")</f>
        <v>16</v>
      </c>
      <c r="BC27" s="21">
        <f>COUNTIF(B27:BA27,"в")</f>
        <v>11</v>
      </c>
      <c r="BD27" s="22">
        <f>SUM(BB27:BC27)</f>
        <v>27</v>
      </c>
      <c r="BE27" s="21">
        <f>COUNTIF(B27:BA27,$R$32)</f>
        <v>1</v>
      </c>
      <c r="BF27" s="21">
        <f>COUNTIF(B27:BA27,$R$34)</f>
        <v>1</v>
      </c>
      <c r="BG27" s="22">
        <f>SUM(BE27:BF27)</f>
        <v>2</v>
      </c>
      <c r="BH27" s="22">
        <f>COUNTIF(B27:BA27,$AF$32)</f>
        <v>0</v>
      </c>
      <c r="BI27" s="22">
        <f>COUNTIF(B27:BA27,$AF$34)</f>
        <v>15</v>
      </c>
      <c r="BJ27" s="22">
        <f>COUNTIF(B27:BA27,#REF!)</f>
        <v>0</v>
      </c>
      <c r="BK27" s="22">
        <f>COUNTIF(B27:BA27,$AZ$32)</f>
        <v>0</v>
      </c>
      <c r="BL27" s="22">
        <f>COUNTIF(B27:BA27,$AQ$34)</f>
        <v>0</v>
      </c>
      <c r="BM27" s="22">
        <f>COUNTIF(B27:BA27,$AZ$34)</f>
        <v>8</v>
      </c>
      <c r="BN27" s="22">
        <f>SUM(BG27:BM27)+BD27</f>
        <v>52</v>
      </c>
    </row>
    <row r="28" spans="1:66" ht="15.75" customHeight="1">
      <c r="A28" s="8">
        <v>4</v>
      </c>
      <c r="B28" s="298" t="s">
        <v>50</v>
      </c>
      <c r="C28" s="298" t="s">
        <v>50</v>
      </c>
      <c r="D28" s="298" t="s">
        <v>50</v>
      </c>
      <c r="E28" s="298" t="s">
        <v>50</v>
      </c>
      <c r="F28" s="298" t="s">
        <v>50</v>
      </c>
      <c r="G28" s="298" t="s">
        <v>50</v>
      </c>
      <c r="H28" s="298" t="s">
        <v>70</v>
      </c>
      <c r="I28" s="298" t="s">
        <v>70</v>
      </c>
      <c r="J28" s="298" t="s">
        <v>70</v>
      </c>
      <c r="K28" s="298" t="s">
        <v>70</v>
      </c>
      <c r="L28" s="298" t="s">
        <v>70</v>
      </c>
      <c r="M28" s="298" t="s">
        <v>70</v>
      </c>
      <c r="N28" s="298" t="s">
        <v>70</v>
      </c>
      <c r="O28" s="298" t="s">
        <v>70</v>
      </c>
      <c r="P28" s="298" t="s">
        <v>70</v>
      </c>
      <c r="Q28" s="298" t="s">
        <v>70</v>
      </c>
      <c r="R28" s="298" t="s">
        <v>70</v>
      </c>
      <c r="S28" s="298" t="s">
        <v>28</v>
      </c>
      <c r="T28" s="298" t="s">
        <v>28</v>
      </c>
      <c r="U28" s="298" t="s">
        <v>32</v>
      </c>
      <c r="V28" s="298" t="s">
        <v>32</v>
      </c>
      <c r="W28" s="298" t="s">
        <v>32</v>
      </c>
      <c r="X28" s="298" t="s">
        <v>32</v>
      </c>
      <c r="Y28" s="298" t="s">
        <v>32</v>
      </c>
      <c r="Z28" s="298" t="s">
        <v>32</v>
      </c>
      <c r="AA28" s="298" t="s">
        <v>32</v>
      </c>
      <c r="AB28" s="298" t="s">
        <v>32</v>
      </c>
      <c r="AC28" s="298" t="s">
        <v>32</v>
      </c>
      <c r="AD28" s="298" t="s">
        <v>32</v>
      </c>
      <c r="AE28" s="298" t="s">
        <v>32</v>
      </c>
      <c r="AF28" s="299" t="s">
        <v>212</v>
      </c>
      <c r="AG28" s="298" t="s">
        <v>28</v>
      </c>
      <c r="AH28" s="298" t="s">
        <v>28</v>
      </c>
      <c r="AI28" s="298" t="s">
        <v>28</v>
      </c>
      <c r="AJ28" s="298" t="s">
        <v>28</v>
      </c>
      <c r="AK28" s="298" t="s">
        <v>28</v>
      </c>
      <c r="AL28" s="298" t="s">
        <v>28</v>
      </c>
      <c r="AM28" s="298" t="s">
        <v>28</v>
      </c>
      <c r="AN28" s="298" t="s">
        <v>28</v>
      </c>
      <c r="AO28" s="298" t="s">
        <v>28</v>
      </c>
      <c r="AP28" s="298" t="s">
        <v>50</v>
      </c>
      <c r="AQ28" s="298" t="s">
        <v>50</v>
      </c>
      <c r="AR28" s="298" t="s">
        <v>50</v>
      </c>
      <c r="AS28" s="298" t="s">
        <v>50</v>
      </c>
      <c r="AT28" s="298" t="s">
        <v>50</v>
      </c>
      <c r="AU28" s="298" t="s">
        <v>50</v>
      </c>
      <c r="AV28" s="298" t="s">
        <v>50</v>
      </c>
      <c r="AW28" s="298" t="s">
        <v>50</v>
      </c>
      <c r="AX28" s="298" t="s">
        <v>50</v>
      </c>
      <c r="AY28" s="298" t="s">
        <v>50</v>
      </c>
      <c r="AZ28" s="298" t="s">
        <v>50</v>
      </c>
      <c r="BA28" s="298" t="s">
        <v>50</v>
      </c>
      <c r="BB28" s="21">
        <f>COUNTIF(B28:BA28,"о")</f>
        <v>11</v>
      </c>
      <c r="BC28" s="21">
        <f>COUNTIF(B28:BA28,"в")</f>
        <v>11</v>
      </c>
      <c r="BD28" s="22">
        <f>SUM(BB28:BC28)</f>
        <v>22</v>
      </c>
      <c r="BE28" s="21">
        <f>COUNTIF(B28:BA28,$R$32)</f>
        <v>0</v>
      </c>
      <c r="BF28" s="21">
        <f>COUNTIF(B28:BA28,$R$34)</f>
        <v>1</v>
      </c>
      <c r="BG28" s="22">
        <f>SUM(BE28:BF28)</f>
        <v>1</v>
      </c>
      <c r="BH28" s="22">
        <f>COUNTIF(B28:BA28,$AF$32)</f>
        <v>0</v>
      </c>
      <c r="BI28" s="22">
        <f>COUNTIF(B28:BA28,$AF$34)</f>
        <v>18</v>
      </c>
      <c r="BJ28" s="22">
        <f>COUNTIF(B28:BA28,#REF!)</f>
        <v>0</v>
      </c>
      <c r="BK28" s="22">
        <f>COUNTIF(A28:AZ28,$AQ$34)</f>
        <v>0</v>
      </c>
      <c r="BL28" s="22"/>
      <c r="BM28" s="22">
        <f>COUNTIF(B28:BA28,$AZ$34)</f>
        <v>11</v>
      </c>
      <c r="BN28" s="22">
        <f>SUM(BG28:BM28)+BD28</f>
        <v>52</v>
      </c>
    </row>
    <row r="29" spans="1:66" ht="15.75" customHeight="1">
      <c r="A29" s="8">
        <v>5</v>
      </c>
      <c r="B29" s="298" t="s">
        <v>50</v>
      </c>
      <c r="C29" s="298" t="s">
        <v>50</v>
      </c>
      <c r="D29" s="298" t="s">
        <v>50</v>
      </c>
      <c r="E29" s="298" t="s">
        <v>50</v>
      </c>
      <c r="F29" s="298" t="s">
        <v>50</v>
      </c>
      <c r="G29" s="298" t="s">
        <v>50</v>
      </c>
      <c r="H29" s="298" t="s">
        <v>50</v>
      </c>
      <c r="I29" s="298" t="s">
        <v>50</v>
      </c>
      <c r="J29" s="298" t="s">
        <v>50</v>
      </c>
      <c r="K29" s="298" t="s">
        <v>70</v>
      </c>
      <c r="L29" s="298" t="s">
        <v>70</v>
      </c>
      <c r="M29" s="298" t="s">
        <v>70</v>
      </c>
      <c r="N29" s="298" t="s">
        <v>70</v>
      </c>
      <c r="O29" s="298" t="s">
        <v>70</v>
      </c>
      <c r="P29" s="298" t="s">
        <v>70</v>
      </c>
      <c r="Q29" s="298" t="s">
        <v>70</v>
      </c>
      <c r="R29" s="298" t="s">
        <v>70</v>
      </c>
      <c r="S29" s="298" t="s">
        <v>28</v>
      </c>
      <c r="T29" s="298" t="s">
        <v>28</v>
      </c>
      <c r="U29" s="298" t="s">
        <v>32</v>
      </c>
      <c r="V29" s="298" t="s">
        <v>32</v>
      </c>
      <c r="W29" s="298" t="s">
        <v>32</v>
      </c>
      <c r="X29" s="298" t="s">
        <v>32</v>
      </c>
      <c r="Y29" s="298" t="s">
        <v>32</v>
      </c>
      <c r="Z29" s="298" t="s">
        <v>32</v>
      </c>
      <c r="AA29" s="298" t="s">
        <v>32</v>
      </c>
      <c r="AB29" s="298" t="s">
        <v>32</v>
      </c>
      <c r="AC29" s="298" t="s">
        <v>32</v>
      </c>
      <c r="AD29" s="298" t="s">
        <v>32</v>
      </c>
      <c r="AE29" s="298" t="s">
        <v>32</v>
      </c>
      <c r="AF29" s="298" t="s">
        <v>32</v>
      </c>
      <c r="AG29" s="298" t="s">
        <v>32</v>
      </c>
      <c r="AH29" s="298" t="s">
        <v>32</v>
      </c>
      <c r="AI29" s="299" t="s">
        <v>212</v>
      </c>
      <c r="AJ29" s="299" t="s">
        <v>212</v>
      </c>
      <c r="AK29" s="334" t="s">
        <v>50</v>
      </c>
      <c r="AL29" s="334" t="s">
        <v>50</v>
      </c>
      <c r="AM29" s="334" t="s">
        <v>50</v>
      </c>
      <c r="AN29" s="334" t="s">
        <v>50</v>
      </c>
      <c r="AO29" s="299" t="s">
        <v>31</v>
      </c>
      <c r="AP29" s="299" t="s">
        <v>31</v>
      </c>
      <c r="AQ29" s="299" t="s">
        <v>31</v>
      </c>
      <c r="AR29" s="299" t="s">
        <v>31</v>
      </c>
      <c r="AS29" s="300" t="s">
        <v>22</v>
      </c>
      <c r="AT29" s="300" t="s">
        <v>22</v>
      </c>
      <c r="AU29" s="300" t="s">
        <v>22</v>
      </c>
      <c r="AV29" s="300" t="s">
        <v>22</v>
      </c>
      <c r="AW29" s="300" t="s">
        <v>22</v>
      </c>
      <c r="AX29" s="300" t="s">
        <v>22</v>
      </c>
      <c r="AY29" s="300" t="s">
        <v>22</v>
      </c>
      <c r="AZ29" s="300" t="s">
        <v>22</v>
      </c>
      <c r="BA29" s="300" t="s">
        <v>22</v>
      </c>
      <c r="BB29" s="21">
        <f>COUNTIF(B29:BA29,"о")</f>
        <v>8</v>
      </c>
      <c r="BC29" s="21">
        <f>COUNTIF(B29:BA29,"в")</f>
        <v>14</v>
      </c>
      <c r="BD29" s="22">
        <f>SUM(BB29:BC29)</f>
        <v>22</v>
      </c>
      <c r="BE29" s="21">
        <f>COUNTIF(B29:BA29,$R$32)</f>
        <v>0</v>
      </c>
      <c r="BF29" s="21">
        <f>COUNTIF(B29:BA29,$R$34)</f>
        <v>2</v>
      </c>
      <c r="BG29" s="22">
        <f>SUM(BE29:BF29)</f>
        <v>2</v>
      </c>
      <c r="BH29" s="22">
        <f>COUNTIF(B29:BA29,$AF$32)</f>
        <v>0</v>
      </c>
      <c r="BI29" s="22">
        <f>COUNTIF(B29:BA29,$AF$34)</f>
        <v>13</v>
      </c>
      <c r="BJ29" s="22">
        <f>COUNTIF(B29:BA29,#REF!)</f>
        <v>0</v>
      </c>
      <c r="BK29" s="22">
        <f>COUNTIF(B29:BA29,$AZ$32)</f>
        <v>0</v>
      </c>
      <c r="BL29" s="22">
        <f>COUNTIF(B29:BA29,$AQ$34)</f>
        <v>4</v>
      </c>
      <c r="BM29" s="22">
        <f>COUNTIF(B29:BA29,$AZ$34)</f>
        <v>2</v>
      </c>
      <c r="BN29" s="22">
        <f>SUM(BG29:BM29)+BD29</f>
        <v>43</v>
      </c>
    </row>
    <row r="30" spans="1:6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3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34"/>
      <c r="AG30" s="234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32"/>
      <c r="AV30" s="32"/>
      <c r="AW30" s="32"/>
      <c r="AX30" s="32"/>
      <c r="AY30" s="577" t="s">
        <v>51</v>
      </c>
      <c r="AZ30" s="577"/>
      <c r="BA30" s="577"/>
      <c r="BB30" s="12">
        <f aca="true" t="shared" si="0" ref="BB30:BN30">SUM(BB25:BB29)</f>
        <v>68</v>
      </c>
      <c r="BC30" s="12">
        <f t="shared" si="0"/>
        <v>75</v>
      </c>
      <c r="BD30" s="12">
        <f>SUM(BD25:BD29)</f>
        <v>143</v>
      </c>
      <c r="BE30" s="12">
        <f t="shared" si="0"/>
        <v>2</v>
      </c>
      <c r="BF30" s="12">
        <f t="shared" si="0"/>
        <v>7</v>
      </c>
      <c r="BG30" s="12">
        <f t="shared" si="0"/>
        <v>9</v>
      </c>
      <c r="BH30" s="12">
        <f t="shared" si="0"/>
        <v>9</v>
      </c>
      <c r="BI30" s="12">
        <f t="shared" si="0"/>
        <v>46</v>
      </c>
      <c r="BJ30" s="12">
        <f t="shared" si="0"/>
        <v>0</v>
      </c>
      <c r="BK30" s="12">
        <f t="shared" si="0"/>
        <v>0</v>
      </c>
      <c r="BL30" s="12">
        <f t="shared" si="0"/>
        <v>4</v>
      </c>
      <c r="BM30" s="12">
        <f t="shared" si="0"/>
        <v>40</v>
      </c>
      <c r="BN30" s="12">
        <f t="shared" si="0"/>
        <v>251</v>
      </c>
    </row>
    <row r="31" spans="1:66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</row>
    <row r="32" spans="1:66" s="5" customFormat="1" ht="11.25" customHeight="1">
      <c r="A32" s="32"/>
      <c r="B32" s="300" t="s">
        <v>70</v>
      </c>
      <c r="C32" s="33" t="s">
        <v>22</v>
      </c>
      <c r="D32" s="528" t="s">
        <v>71</v>
      </c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43"/>
      <c r="R32" s="15" t="s">
        <v>211</v>
      </c>
      <c r="S32" s="33" t="s">
        <v>22</v>
      </c>
      <c r="T32" s="528" t="s">
        <v>209</v>
      </c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336" t="s">
        <v>49</v>
      </c>
      <c r="AG32" s="33" t="s">
        <v>22</v>
      </c>
      <c r="AH32" s="542" t="s">
        <v>23</v>
      </c>
      <c r="AI32" s="542"/>
      <c r="AJ32" s="542"/>
      <c r="AK32" s="542"/>
      <c r="AL32" s="542"/>
      <c r="AM32" s="542"/>
      <c r="AN32" s="542"/>
      <c r="AO32" s="542"/>
      <c r="AP32" s="542"/>
      <c r="AQ32" s="332" t="s">
        <v>50</v>
      </c>
      <c r="AR32" s="234" t="s">
        <v>22</v>
      </c>
      <c r="AS32" s="533" t="s">
        <v>567</v>
      </c>
      <c r="AT32" s="533"/>
      <c r="AU32" s="533"/>
      <c r="AV32" s="533"/>
      <c r="AW32" s="533"/>
      <c r="AX32" s="533"/>
      <c r="AY32" s="533"/>
      <c r="AZ32" s="533"/>
      <c r="BA32" s="533"/>
      <c r="BB32" s="533"/>
      <c r="BC32" s="533"/>
      <c r="BD32" s="533"/>
      <c r="BE32" s="533"/>
      <c r="BF32" s="533"/>
      <c r="BG32" s="533"/>
      <c r="BH32" s="32"/>
      <c r="BI32" s="32"/>
      <c r="BJ32" s="32"/>
      <c r="BK32" s="32"/>
      <c r="BL32" s="32"/>
      <c r="BM32" s="32"/>
      <c r="BN32" s="32"/>
    </row>
    <row r="33" spans="1:66" s="5" customFormat="1" ht="12">
      <c r="A33" s="32"/>
      <c r="B33" s="30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  <c r="V33" s="33"/>
      <c r="W33" s="34"/>
      <c r="X33" s="34"/>
      <c r="Y33" s="33"/>
      <c r="Z33" s="34"/>
      <c r="AA33" s="34"/>
      <c r="AB33" s="33"/>
      <c r="AC33" s="34"/>
      <c r="AD33" s="34"/>
      <c r="AE33" s="33"/>
      <c r="AF33" s="307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2.75" customHeight="1">
      <c r="A34" s="32"/>
      <c r="B34" s="300" t="s">
        <v>32</v>
      </c>
      <c r="C34" s="33" t="s">
        <v>22</v>
      </c>
      <c r="D34" s="528" t="s">
        <v>72</v>
      </c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30"/>
      <c r="R34" s="15" t="s">
        <v>212</v>
      </c>
      <c r="S34" s="33" t="s">
        <v>22</v>
      </c>
      <c r="T34" s="531" t="s">
        <v>210</v>
      </c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2"/>
      <c r="AF34" s="335" t="s">
        <v>50</v>
      </c>
      <c r="AG34" s="33" t="s">
        <v>22</v>
      </c>
      <c r="AH34" s="526" t="s">
        <v>568</v>
      </c>
      <c r="AI34" s="526"/>
      <c r="AJ34" s="526"/>
      <c r="AK34" s="526"/>
      <c r="AL34" s="526"/>
      <c r="AM34" s="526"/>
      <c r="AN34" s="526"/>
      <c r="AO34" s="526"/>
      <c r="AP34" s="526"/>
      <c r="AQ34" s="15" t="s">
        <v>31</v>
      </c>
      <c r="AR34" s="33" t="s">
        <v>22</v>
      </c>
      <c r="AS34" s="526" t="s">
        <v>353</v>
      </c>
      <c r="AT34" s="526"/>
      <c r="AU34" s="526"/>
      <c r="AV34" s="526"/>
      <c r="AW34" s="526"/>
      <c r="AX34" s="526"/>
      <c r="AY34" s="526"/>
      <c r="AZ34" s="313" t="s">
        <v>28</v>
      </c>
      <c r="BA34" s="33" t="s">
        <v>22</v>
      </c>
      <c r="BB34" s="542" t="s">
        <v>24</v>
      </c>
      <c r="BC34" s="542"/>
      <c r="BD34" s="542"/>
      <c r="BE34" s="542"/>
      <c r="BF34" s="542"/>
      <c r="BG34" s="565"/>
      <c r="BH34" s="11" t="s">
        <v>22</v>
      </c>
      <c r="BI34" s="33" t="s">
        <v>22</v>
      </c>
      <c r="BJ34" s="526" t="s">
        <v>43</v>
      </c>
      <c r="BK34" s="526"/>
      <c r="BL34" s="526"/>
      <c r="BM34" s="526"/>
      <c r="BN34" s="526"/>
    </row>
    <row r="35" spans="1:6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526"/>
      <c r="AI35" s="526"/>
      <c r="AJ35" s="526"/>
      <c r="AK35" s="526"/>
      <c r="AL35" s="526"/>
      <c r="AM35" s="526"/>
      <c r="AN35" s="526"/>
      <c r="AO35" s="526"/>
      <c r="AP35" s="526"/>
      <c r="AQ35" s="25"/>
      <c r="AR35" s="25"/>
      <c r="AS35" s="526"/>
      <c r="AT35" s="526"/>
      <c r="AU35" s="526"/>
      <c r="AV35" s="526"/>
      <c r="AW35" s="526"/>
      <c r="AX35" s="526"/>
      <c r="AY35" s="526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526"/>
      <c r="BK35" s="526"/>
      <c r="BL35" s="526"/>
      <c r="BM35" s="526"/>
      <c r="BN35" s="526"/>
    </row>
    <row r="36" spans="1:21" ht="12.75" customHeight="1" hidden="1">
      <c r="A36" s="14"/>
      <c r="B36" s="16" t="str">
        <f>B32</f>
        <v>о</v>
      </c>
      <c r="D36" s="13" t="s">
        <v>108</v>
      </c>
      <c r="L36" s="527" t="s">
        <v>155</v>
      </c>
      <c r="M36" s="527"/>
      <c r="N36" s="527"/>
      <c r="O36" s="527"/>
      <c r="P36" s="527"/>
      <c r="Q36" s="527"/>
      <c r="R36" s="527"/>
      <c r="S36" s="527"/>
      <c r="T36" s="527"/>
      <c r="U36" s="527"/>
    </row>
    <row r="37" spans="1:64" ht="21" customHeight="1" hidden="1">
      <c r="A37" s="14"/>
      <c r="B37" s="16" t="str">
        <f>R32</f>
        <v>оа</v>
      </c>
      <c r="D37" s="13" t="s">
        <v>109</v>
      </c>
      <c r="L37" s="527" t="s">
        <v>156</v>
      </c>
      <c r="M37" s="527"/>
      <c r="N37" s="527"/>
      <c r="O37" s="527"/>
      <c r="P37" s="527"/>
      <c r="Q37" s="527"/>
      <c r="R37" s="527"/>
      <c r="S37" s="527"/>
      <c r="T37" s="527"/>
      <c r="U37" s="527"/>
      <c r="BA37" s="5"/>
      <c r="BK37" s="1"/>
      <c r="BL37" s="1"/>
    </row>
    <row r="38" spans="1:64" ht="12.75" customHeight="1" hidden="1">
      <c r="A38" s="14"/>
      <c r="B38" s="15" t="str">
        <f>B34</f>
        <v>в</v>
      </c>
      <c r="D38" s="13" t="s">
        <v>110</v>
      </c>
      <c r="L38" s="527" t="s">
        <v>159</v>
      </c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 customHeight="1" hidden="1">
      <c r="A39" s="14"/>
      <c r="B39" s="15" t="str">
        <f>R34</f>
        <v>ва</v>
      </c>
      <c r="D39" s="13"/>
      <c r="L39" s="527" t="s">
        <v>160</v>
      </c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53" ht="12.75" hidden="1">
      <c r="A40" s="14"/>
      <c r="B40" s="17" t="str">
        <f>AF32</f>
        <v>у</v>
      </c>
      <c r="D40" s="13" t="s">
        <v>111</v>
      </c>
      <c r="AQ40" s="5"/>
      <c r="BA40" s="5"/>
    </row>
    <row r="41" spans="1:2" ht="12.75" hidden="1">
      <c r="A41" s="14"/>
      <c r="B41" s="17" t="str">
        <f>AF34</f>
        <v>п</v>
      </c>
    </row>
    <row r="42" spans="1:2" ht="12.75" hidden="1">
      <c r="A42" s="14"/>
      <c r="B42" s="18" t="str">
        <f>AZ34</f>
        <v>к</v>
      </c>
    </row>
    <row r="43" spans="1:2" ht="12.75" hidden="1">
      <c r="A43" s="14"/>
      <c r="B43" s="19" t="e">
        <f>#REF!</f>
        <v>#REF!</v>
      </c>
    </row>
    <row r="44" spans="1:2" ht="12.75" hidden="1">
      <c r="A44" s="14"/>
      <c r="B44" s="19" t="str">
        <f>AQ34</f>
        <v>А</v>
      </c>
    </row>
    <row r="45" spans="1:2" ht="12.75" hidden="1">
      <c r="A45" s="14"/>
      <c r="B45" s="20" t="str">
        <f>BH34</f>
        <v>-</v>
      </c>
    </row>
    <row r="46" ht="12.75" hidden="1">
      <c r="K46" s="13" t="s">
        <v>330</v>
      </c>
    </row>
    <row r="47" spans="11:18" ht="12.75" hidden="1">
      <c r="K47" s="42" t="s">
        <v>73</v>
      </c>
      <c r="L47" s="43"/>
      <c r="N47" s="44" t="s">
        <v>340</v>
      </c>
      <c r="O47" s="45"/>
      <c r="P47" s="45"/>
      <c r="Q47" s="45"/>
      <c r="R47" s="45"/>
    </row>
    <row r="48" spans="11:18" ht="12.75" hidden="1">
      <c r="K48" s="42" t="s">
        <v>74</v>
      </c>
      <c r="L48" s="43"/>
      <c r="N48" s="44" t="s">
        <v>341</v>
      </c>
      <c r="O48" s="45"/>
      <c r="P48" s="45"/>
      <c r="Q48" s="45"/>
      <c r="R48" s="45"/>
    </row>
    <row r="49" spans="11:18" ht="12.75" hidden="1">
      <c r="K49" s="42" t="s">
        <v>75</v>
      </c>
      <c r="L49" s="43"/>
      <c r="N49" s="44" t="s">
        <v>342</v>
      </c>
      <c r="O49" s="45"/>
      <c r="P49" s="45"/>
      <c r="Q49" s="45"/>
      <c r="R49" s="45"/>
    </row>
    <row r="50" spans="11:18" ht="12.75" hidden="1">
      <c r="K50" s="42" t="s">
        <v>76</v>
      </c>
      <c r="L50" s="43"/>
      <c r="N50" s="44" t="s">
        <v>343</v>
      </c>
      <c r="O50" s="45"/>
      <c r="P50" s="45"/>
      <c r="Q50" s="45"/>
      <c r="R50" s="45"/>
    </row>
    <row r="52" spans="1:66" ht="12.75" customHeight="1">
      <c r="A52" s="519" t="s">
        <v>680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19"/>
      <c r="BL52" s="519"/>
      <c r="BM52" s="519"/>
      <c r="BN52" s="519"/>
    </row>
    <row r="53" spans="1:66" ht="12.75" customHeight="1">
      <c r="A53" s="519" t="s">
        <v>681</v>
      </c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</row>
    <row r="54" spans="1:66" ht="12.75" customHeight="1">
      <c r="A54" s="519" t="s">
        <v>682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</row>
    <row r="55" spans="1:66" ht="12.75" customHeight="1">
      <c r="A55" s="519" t="s">
        <v>683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19"/>
      <c r="AU55" s="519"/>
      <c r="AV55" s="519"/>
      <c r="AW55" s="519"/>
      <c r="AX55" s="519"/>
      <c r="AY55" s="519"/>
      <c r="AZ55" s="519"/>
      <c r="BA55" s="519"/>
      <c r="BB55" s="519"/>
      <c r="BC55" s="519"/>
      <c r="BD55" s="519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</row>
    <row r="56" spans="1:66" ht="12.75" customHeight="1">
      <c r="A56" s="519" t="s">
        <v>684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519"/>
      <c r="BN56" s="519"/>
    </row>
  </sheetData>
  <sheetProtection selectLockedCells="1" sort="0" autoFilter="0" pivotTables="0" selectUnlockedCells="1"/>
  <mergeCells count="98">
    <mergeCell ref="BJ34:BN35"/>
    <mergeCell ref="O8:BB8"/>
    <mergeCell ref="BE21:BG23"/>
    <mergeCell ref="AX20:BA21"/>
    <mergeCell ref="AA22:AA23"/>
    <mergeCell ref="AJ22:AJ23"/>
    <mergeCell ref="AA20:AA21"/>
    <mergeCell ref="BB21:BD23"/>
    <mergeCell ref="AS20:AS21"/>
    <mergeCell ref="AS22:AS23"/>
    <mergeCell ref="BI21:BI24"/>
    <mergeCell ref="BJ21:BJ24"/>
    <mergeCell ref="BK21:BK24"/>
    <mergeCell ref="BL21:BL24"/>
    <mergeCell ref="O9:BB9"/>
    <mergeCell ref="A9:N9"/>
    <mergeCell ref="AW20:AW21"/>
    <mergeCell ref="W22:W23"/>
    <mergeCell ref="AF22:AF23"/>
    <mergeCell ref="X20:Z21"/>
    <mergeCell ref="AY30:BA30"/>
    <mergeCell ref="O18:BB18"/>
    <mergeCell ref="AB20:AE21"/>
    <mergeCell ref="AG20:AI21"/>
    <mergeCell ref="AK20:AN21"/>
    <mergeCell ref="W20:W21"/>
    <mergeCell ref="S22:S23"/>
    <mergeCell ref="AJ20:AJ21"/>
    <mergeCell ref="AW22:AW23"/>
    <mergeCell ref="O1:BB1"/>
    <mergeCell ref="O2:BB2"/>
    <mergeCell ref="O3:BB3"/>
    <mergeCell ref="O20:R21"/>
    <mergeCell ref="O17:P17"/>
    <mergeCell ref="Q17:S17"/>
    <mergeCell ref="T17:U17"/>
    <mergeCell ref="AF20:AF21"/>
    <mergeCell ref="T20:V21"/>
    <mergeCell ref="V17:Z17"/>
    <mergeCell ref="H3:N3"/>
    <mergeCell ref="A3:G3"/>
    <mergeCell ref="BB34:BG34"/>
    <mergeCell ref="AO20:AR21"/>
    <mergeCell ref="AT20:AV21"/>
    <mergeCell ref="AS34:AY35"/>
    <mergeCell ref="BB20:BN20"/>
    <mergeCell ref="BH21:BH24"/>
    <mergeCell ref="BM21:BM24"/>
    <mergeCell ref="BN21:BN24"/>
    <mergeCell ref="O13:BB13"/>
    <mergeCell ref="BC14:BN14"/>
    <mergeCell ref="A13:N13"/>
    <mergeCell ref="BC4:BN4"/>
    <mergeCell ref="A2:N2"/>
    <mergeCell ref="A4:N4"/>
    <mergeCell ref="A7:BN7"/>
    <mergeCell ref="BC2:BN2"/>
    <mergeCell ref="BC6:BN6"/>
    <mergeCell ref="BC3:BN3"/>
    <mergeCell ref="O14:BB14"/>
    <mergeCell ref="O16:BB16"/>
    <mergeCell ref="A10:N10"/>
    <mergeCell ref="O10:BB10"/>
    <mergeCell ref="BC10:BN13"/>
    <mergeCell ref="A14:N14"/>
    <mergeCell ref="A11:N11"/>
    <mergeCell ref="A12:N12"/>
    <mergeCell ref="O11:BB11"/>
    <mergeCell ref="O12:BB12"/>
    <mergeCell ref="AH32:AP32"/>
    <mergeCell ref="T32:AE32"/>
    <mergeCell ref="D32:Q32"/>
    <mergeCell ref="B20:E21"/>
    <mergeCell ref="S20:S21"/>
    <mergeCell ref="F22:F23"/>
    <mergeCell ref="J22:J23"/>
    <mergeCell ref="J20:J21"/>
    <mergeCell ref="G20:I21"/>
    <mergeCell ref="L36:U36"/>
    <mergeCell ref="D34:Q34"/>
    <mergeCell ref="T34:AE34"/>
    <mergeCell ref="AS32:BG32"/>
    <mergeCell ref="A15:N15"/>
    <mergeCell ref="O15:BB15"/>
    <mergeCell ref="A17:N17"/>
    <mergeCell ref="A16:N16"/>
    <mergeCell ref="A20:A24"/>
    <mergeCell ref="F20:F21"/>
    <mergeCell ref="A52:BN52"/>
    <mergeCell ref="A53:BN53"/>
    <mergeCell ref="A54:BN54"/>
    <mergeCell ref="A55:BN55"/>
    <mergeCell ref="A56:BN56"/>
    <mergeCell ref="K20:N21"/>
    <mergeCell ref="AH34:AP35"/>
    <mergeCell ref="L39:AD39"/>
    <mergeCell ref="L38:AD38"/>
    <mergeCell ref="L37:U37"/>
  </mergeCells>
  <conditionalFormatting sqref="A36:A37">
    <cfRule type="cellIs" priority="17" dxfId="8" operator="equal" stopIfTrue="1">
      <formula>#REF!</formula>
    </cfRule>
  </conditionalFormatting>
  <conditionalFormatting sqref="A38:A39">
    <cfRule type="expression" priority="18" dxfId="300" stopIfTrue="1">
      <formula>$R$32</formula>
    </cfRule>
  </conditionalFormatting>
  <conditionalFormatting sqref="B36">
    <cfRule type="cellIs" priority="19" dxfId="8" operator="equal" stopIfTrue="1">
      <formula>$B$32</formula>
    </cfRule>
  </conditionalFormatting>
  <conditionalFormatting sqref="B37">
    <cfRule type="cellIs" priority="20" dxfId="6" operator="equal" stopIfTrue="1">
      <formula>$R$32</formula>
    </cfRule>
  </conditionalFormatting>
  <conditionalFormatting sqref="B38">
    <cfRule type="cellIs" priority="21" dxfId="301" operator="equal" stopIfTrue="1">
      <formula>$B$34</formula>
    </cfRule>
  </conditionalFormatting>
  <conditionalFormatting sqref="B39">
    <cfRule type="cellIs" priority="22" dxfId="300" operator="equal" stopIfTrue="1">
      <formula>$R$34</formula>
    </cfRule>
  </conditionalFormatting>
  <conditionalFormatting sqref="B40">
    <cfRule type="cellIs" priority="23" dxfId="8" operator="equal" stopIfTrue="1">
      <formula>$AF$32</formula>
    </cfRule>
  </conditionalFormatting>
  <conditionalFormatting sqref="B41">
    <cfRule type="cellIs" priority="24" dxfId="5" operator="equal" stopIfTrue="1">
      <formula>$AF$34</formula>
    </cfRule>
  </conditionalFormatting>
  <conditionalFormatting sqref="B42">
    <cfRule type="cellIs" priority="25" dxfId="0" operator="equal" stopIfTrue="1">
      <formula>$AZ$34</formula>
    </cfRule>
  </conditionalFormatting>
  <conditionalFormatting sqref="B44">
    <cfRule type="cellIs" priority="28" dxfId="6" operator="equal" stopIfTrue="1">
      <formula>$AQ$34</formula>
    </cfRule>
  </conditionalFormatting>
  <conditionalFormatting sqref="B45">
    <cfRule type="cellIs" priority="29" dxfId="8" operator="equal" stopIfTrue="1">
      <formula>$BH$34</formula>
    </cfRule>
  </conditionalFormatting>
  <conditionalFormatting sqref="B43">
    <cfRule type="cellIs" priority="42" dxfId="6" operator="equal" stopIfTrue="1">
      <formula>#REF!</formula>
    </cfRule>
  </conditionalFormatting>
  <conditionalFormatting sqref="R28:R29 B25:G29 H25:N28 O25:Q29 AI25:AK28 S25:AE29 AF25:AF26 AS25:BA28 AQ26:AR28 AL25 AM25:AP28 AG25:AH29 AL27:AL28 B29:AH29">
    <cfRule type="expression" priority="45" dxfId="7" stopIfTrue="1">
      <formula>OR(B25=$R$32,B25=$R$34,B25=#REF!,B25=$AZ$32,B25=$AQ$34)</formula>
    </cfRule>
    <cfRule type="expression" priority="46" dxfId="5" stopIfTrue="1">
      <formula>OR(B25=$AF$32,B25=$AF$34)</formula>
    </cfRule>
    <cfRule type="cellIs" priority="47" dxfId="0" operator="equal" stopIfTrue="1">
      <formula>$AZ$34</formula>
    </cfRule>
  </conditionalFormatting>
  <conditionalFormatting sqref="R25">
    <cfRule type="expression" priority="1" dxfId="7" stopIfTrue="1">
      <formula>OR(R25=$R$32,R25=$R$34,R25=#REF!,R25=$AZ$32,R25=$AQ$34)</formula>
    </cfRule>
    <cfRule type="expression" priority="2" dxfId="5" stopIfTrue="1">
      <formula>OR(R25=$AF$32,R25=$AF$34)</formula>
    </cfRule>
    <cfRule type="cellIs" priority="3" dxfId="0" operator="equal" stopIfTrue="1">
      <formula>$AZ$34</formula>
    </cfRule>
  </conditionalFormatting>
  <dataValidations count="5">
    <dataValidation type="list" allowBlank="1" showInputMessage="1" showErrorMessage="1" prompt="выберите из списка" sqref="AQ32 AK29:AN29">
      <formula1>$B$36:$B$46</formula1>
    </dataValidation>
    <dataValidation type="list" allowBlank="1" showInputMessage="1" showErrorMessage="1" prompt="выберите из списка" sqref="O14:BB14">
      <formula1>$L$36:$L$37</formula1>
    </dataValidation>
    <dataValidation type="list" allowBlank="1" showInputMessage="1" showErrorMessage="1" prompt="выберите из списка" sqref="R28:R29 AF29 S25:AE29 AF25:AF26 AI25:AK28 AS25:BA28 R25 AL25 AM25:AP28 AQ26:AR28 AG25:AH29 AL27:AL28 B25:Q29">
      <formula1>$B$36:$B$45</formula1>
    </dataValidation>
    <dataValidation type="list" allowBlank="1" showInputMessage="1" showErrorMessage="1" prompt="выберите из списка" sqref="O16:BB16">
      <formula1>$D$36:$D$40</formula1>
    </dataValidation>
    <dataValidation type="list" allowBlank="1" showInputMessage="1" showErrorMessage="1" prompt="выберите из списка" sqref="O15:BB15">
      <formula1>$L$38:$L$39</formula1>
    </dataValidation>
  </dataValidations>
  <printOptions horizontalCentered="1" verticalCentered="1"/>
  <pageMargins left="0" right="0" top="0.5905511811023623" bottom="0.3937007874015748" header="0.11811023622047245" footer="0.11811023622047245"/>
  <pageSetup fitToHeight="1" fitToWidth="1" horizontalDpi="300" verticalDpi="300" orientation="landscape" paperSize="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"/>
    </sheetView>
  </sheetViews>
  <sheetFormatPr defaultColWidth="9.33203125" defaultRowHeight="12.75"/>
  <cols>
    <col min="1" max="1" width="7.16015625" style="0" customWidth="1"/>
    <col min="2" max="2" width="136.16015625" style="0" customWidth="1"/>
  </cols>
  <sheetData>
    <row r="1" ht="12.75">
      <c r="B1" t="s">
        <v>570</v>
      </c>
    </row>
    <row r="2" spans="1:4" ht="97.5" customHeight="1">
      <c r="A2" s="235" t="s">
        <v>571</v>
      </c>
      <c r="B2" s="842" t="s">
        <v>581</v>
      </c>
      <c r="C2" s="842"/>
      <c r="D2" s="842"/>
    </row>
    <row r="3" spans="1:4" ht="96.75" customHeight="1">
      <c r="A3" s="235" t="s">
        <v>572</v>
      </c>
      <c r="B3" s="842" t="s">
        <v>579</v>
      </c>
      <c r="C3" s="842"/>
      <c r="D3" s="842"/>
    </row>
    <row r="4" spans="1:4" ht="107.25" customHeight="1">
      <c r="A4" s="235" t="s">
        <v>573</v>
      </c>
      <c r="B4" s="842" t="s">
        <v>574</v>
      </c>
      <c r="C4" s="842"/>
      <c r="D4" s="842"/>
    </row>
    <row r="5" spans="1:4" ht="26.25" customHeight="1">
      <c r="A5" s="235" t="s">
        <v>575</v>
      </c>
      <c r="B5" s="841" t="s">
        <v>580</v>
      </c>
      <c r="C5" s="841"/>
      <c r="D5" s="841"/>
    </row>
    <row r="6" spans="1:4" ht="30.75" customHeight="1">
      <c r="A6" s="235" t="s">
        <v>576</v>
      </c>
      <c r="B6" s="841" t="s">
        <v>577</v>
      </c>
      <c r="C6" s="841"/>
      <c r="D6" s="841"/>
    </row>
    <row r="7" spans="1:4" ht="40.5" customHeight="1">
      <c r="A7" s="235" t="s">
        <v>578</v>
      </c>
      <c r="B7" s="841" t="s">
        <v>648</v>
      </c>
      <c r="C7" s="841"/>
      <c r="D7" s="841"/>
    </row>
    <row r="8" spans="1:2" ht="19.5" customHeight="1">
      <c r="A8" s="235" t="s">
        <v>595</v>
      </c>
      <c r="B8" t="s">
        <v>596</v>
      </c>
    </row>
    <row r="9" spans="1:4" ht="38.25" customHeight="1">
      <c r="A9" s="235" t="s">
        <v>668</v>
      </c>
      <c r="B9" s="841" t="s">
        <v>669</v>
      </c>
      <c r="C9" s="841"/>
      <c r="D9" s="841"/>
    </row>
  </sheetData>
  <sheetProtection password="CF88" sheet="1"/>
  <mergeCells count="7">
    <mergeCell ref="B9:D9"/>
    <mergeCell ref="B7:D7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79"/>
  <sheetViews>
    <sheetView showZeros="0" zoomScale="75" zoomScaleNormal="75" zoomScalePageLayoutView="0" workbookViewId="0" topLeftCell="A3">
      <pane xSplit="21" ySplit="7" topLeftCell="BB10" activePane="bottomRight" state="frozen"/>
      <selection pane="topLeft" activeCell="A3" sqref="A3"/>
      <selection pane="topRight" activeCell="U3" sqref="U3"/>
      <selection pane="bottomLeft" activeCell="A10" sqref="A10"/>
      <selection pane="bottomRight" activeCell="A65" sqref="A65:IV65"/>
    </sheetView>
  </sheetViews>
  <sheetFormatPr defaultColWidth="9.33203125" defaultRowHeight="12.75"/>
  <cols>
    <col min="1" max="1" width="16" style="422" customWidth="1"/>
    <col min="2" max="2" width="45.83203125" style="422" customWidth="1"/>
    <col min="3" max="3" width="16" style="422" hidden="1" customWidth="1"/>
    <col min="4" max="4" width="8" style="484" customWidth="1"/>
    <col min="5" max="8" width="7.66015625" style="484" customWidth="1"/>
    <col min="9" max="9" width="9.66015625" style="484" customWidth="1"/>
    <col min="10" max="11" width="9.66015625" style="485" hidden="1" customWidth="1"/>
    <col min="12" max="12" width="8.66015625" style="486" customWidth="1"/>
    <col min="13" max="13" width="9.16015625" style="486" customWidth="1"/>
    <col min="14" max="14" width="10" style="422" customWidth="1"/>
    <col min="15" max="15" width="8.16015625" style="422" customWidth="1"/>
    <col min="16" max="16" width="7.83203125" style="422" customWidth="1"/>
    <col min="17" max="17" width="7.33203125" style="422" customWidth="1"/>
    <col min="18" max="19" width="6.5" style="422" customWidth="1"/>
    <col min="20" max="20" width="8.16015625" style="422" customWidth="1"/>
    <col min="21" max="21" width="10.16015625" style="422" customWidth="1"/>
    <col min="22" max="23" width="6.83203125" style="422" customWidth="1"/>
    <col min="24" max="24" width="7.66015625" style="422" customWidth="1"/>
    <col min="25" max="27" width="6.83203125" style="422" customWidth="1"/>
    <col min="28" max="28" width="7.83203125" style="422" customWidth="1"/>
    <col min="29" max="36" width="6.83203125" style="422" customWidth="1"/>
    <col min="37" max="37" width="7.33203125" style="422" customWidth="1"/>
    <col min="38" max="41" width="6.83203125" style="422" customWidth="1"/>
    <col min="42" max="42" width="7.16015625" style="422" customWidth="1"/>
    <col min="43" max="63" width="6.83203125" style="422" customWidth="1"/>
    <col min="64" max="64" width="6" style="422" customWidth="1"/>
    <col min="65" max="65" width="7" style="422" customWidth="1"/>
    <col min="66" max="66" width="6.66015625" style="422" customWidth="1"/>
    <col min="67" max="68" width="6.83203125" style="422" customWidth="1"/>
    <col min="69" max="69" width="6.66015625" style="422" customWidth="1"/>
    <col min="70" max="70" width="7.5" style="422" customWidth="1"/>
    <col min="71" max="71" width="7" style="422" customWidth="1"/>
    <col min="72" max="79" width="6.83203125" style="422" customWidth="1"/>
    <col min="80" max="80" width="6.5" style="422" customWidth="1"/>
    <col min="81" max="87" width="6.83203125" style="422" customWidth="1"/>
    <col min="88" max="89" width="7" style="422" customWidth="1"/>
    <col min="90" max="91" width="6.83203125" style="422" customWidth="1"/>
    <col min="92" max="92" width="13" style="427" customWidth="1"/>
    <col min="93" max="93" width="26.16015625" style="427" customWidth="1"/>
    <col min="94" max="98" width="9.33203125" style="423" hidden="1" customWidth="1"/>
    <col min="99" max="99" width="9.33203125" style="423" customWidth="1"/>
    <col min="100" max="100" width="0" style="423" hidden="1" customWidth="1"/>
    <col min="101" max="16384" width="9.33203125" style="423" customWidth="1"/>
  </cols>
  <sheetData>
    <row r="1" spans="1:93" ht="15.75">
      <c r="A1" s="607" t="s">
        <v>36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  <c r="AT1" s="607"/>
      <c r="AU1" s="607"/>
      <c r="AV1" s="607"/>
      <c r="AW1" s="607"/>
      <c r="AX1" s="607"/>
      <c r="AY1" s="607"/>
      <c r="AZ1" s="607"/>
      <c r="BA1" s="607"/>
      <c r="BB1" s="607"/>
      <c r="BC1" s="607"/>
      <c r="BD1" s="607"/>
      <c r="BE1" s="607"/>
      <c r="BF1" s="607"/>
      <c r="BG1" s="607"/>
      <c r="BH1" s="607"/>
      <c r="BI1" s="607"/>
      <c r="BJ1" s="607"/>
      <c r="BK1" s="607"/>
      <c r="BL1" s="607"/>
      <c r="BM1" s="607"/>
      <c r="BN1" s="607"/>
      <c r="BO1" s="607"/>
      <c r="BP1" s="607"/>
      <c r="BQ1" s="607"/>
      <c r="BR1" s="607"/>
      <c r="BS1" s="607"/>
      <c r="BT1" s="607"/>
      <c r="BU1" s="607"/>
      <c r="BV1" s="607"/>
      <c r="BW1" s="607"/>
      <c r="BX1" s="607"/>
      <c r="BY1" s="607"/>
      <c r="BZ1" s="607"/>
      <c r="CA1" s="607"/>
      <c r="CB1" s="607"/>
      <c r="CC1" s="607"/>
      <c r="CD1" s="607"/>
      <c r="CE1" s="607"/>
      <c r="CF1" s="607"/>
      <c r="CG1" s="607"/>
      <c r="CH1" s="607"/>
      <c r="CI1" s="607"/>
      <c r="CJ1" s="607"/>
      <c r="CK1" s="607"/>
      <c r="CL1" s="607"/>
      <c r="CM1" s="607"/>
      <c r="CN1" s="608"/>
      <c r="CO1" s="607"/>
    </row>
    <row r="2" spans="2:20" ht="13.5" thickBot="1">
      <c r="B2" s="424"/>
      <c r="C2" s="424"/>
      <c r="D2" s="424"/>
      <c r="E2" s="424"/>
      <c r="F2" s="424"/>
      <c r="G2" s="424"/>
      <c r="H2" s="424"/>
      <c r="I2" s="424"/>
      <c r="J2" s="425"/>
      <c r="K2" s="425"/>
      <c r="L2" s="426"/>
      <c r="M2" s="426"/>
      <c r="N2" s="424"/>
      <c r="O2" s="424"/>
      <c r="P2" s="424"/>
      <c r="Q2" s="424"/>
      <c r="R2" s="424"/>
      <c r="S2" s="424"/>
      <c r="T2" s="424"/>
    </row>
    <row r="3" spans="1:93" s="430" customFormat="1" ht="12.75" customHeight="1">
      <c r="A3" s="612" t="s">
        <v>35</v>
      </c>
      <c r="B3" s="612" t="s">
        <v>602</v>
      </c>
      <c r="C3" s="612" t="s">
        <v>68</v>
      </c>
      <c r="D3" s="631" t="s">
        <v>532</v>
      </c>
      <c r="E3" s="632"/>
      <c r="F3" s="632"/>
      <c r="G3" s="632"/>
      <c r="H3" s="632"/>
      <c r="I3" s="691"/>
      <c r="J3" s="344"/>
      <c r="K3" s="344"/>
      <c r="L3" s="685" t="s">
        <v>213</v>
      </c>
      <c r="M3" s="686"/>
      <c r="N3" s="615" t="s">
        <v>609</v>
      </c>
      <c r="O3" s="616"/>
      <c r="P3" s="616"/>
      <c r="Q3" s="616"/>
      <c r="R3" s="616"/>
      <c r="S3" s="616"/>
      <c r="T3" s="616"/>
      <c r="U3" s="617"/>
      <c r="V3" s="429"/>
      <c r="W3" s="615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7"/>
      <c r="CN3" s="609" t="s">
        <v>618</v>
      </c>
      <c r="CO3" s="609" t="s">
        <v>619</v>
      </c>
    </row>
    <row r="4" spans="1:93" s="430" customFormat="1" ht="12.75" customHeight="1">
      <c r="A4" s="613"/>
      <c r="B4" s="613"/>
      <c r="C4" s="613"/>
      <c r="D4" s="627"/>
      <c r="E4" s="628"/>
      <c r="F4" s="628"/>
      <c r="G4" s="628"/>
      <c r="H4" s="628"/>
      <c r="I4" s="692"/>
      <c r="J4" s="345"/>
      <c r="K4" s="345"/>
      <c r="L4" s="687"/>
      <c r="M4" s="688"/>
      <c r="N4" s="618" t="s">
        <v>610</v>
      </c>
      <c r="O4" s="615" t="s">
        <v>3</v>
      </c>
      <c r="P4" s="616"/>
      <c r="Q4" s="616"/>
      <c r="R4" s="616"/>
      <c r="S4" s="616"/>
      <c r="T4" s="616"/>
      <c r="U4" s="617"/>
      <c r="V4" s="615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7"/>
      <c r="AJ4" s="615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7"/>
      <c r="AX4" s="615"/>
      <c r="AY4" s="616"/>
      <c r="AZ4" s="616"/>
      <c r="BA4" s="616"/>
      <c r="BB4" s="616"/>
      <c r="BC4" s="616"/>
      <c r="BD4" s="616"/>
      <c r="BE4" s="616"/>
      <c r="BF4" s="616"/>
      <c r="BG4" s="616"/>
      <c r="BH4" s="616"/>
      <c r="BI4" s="616"/>
      <c r="BJ4" s="616"/>
      <c r="BK4" s="617"/>
      <c r="BL4" s="615"/>
      <c r="BM4" s="616"/>
      <c r="BN4" s="616"/>
      <c r="BO4" s="616"/>
      <c r="BP4" s="616"/>
      <c r="BQ4" s="616"/>
      <c r="BR4" s="616"/>
      <c r="BS4" s="616"/>
      <c r="BT4" s="616"/>
      <c r="BU4" s="616"/>
      <c r="BV4" s="616"/>
      <c r="BW4" s="616"/>
      <c r="BX4" s="616"/>
      <c r="BY4" s="617"/>
      <c r="BZ4" s="615"/>
      <c r="CA4" s="616"/>
      <c r="CB4" s="616"/>
      <c r="CC4" s="616"/>
      <c r="CD4" s="616"/>
      <c r="CE4" s="616"/>
      <c r="CF4" s="616"/>
      <c r="CG4" s="616"/>
      <c r="CH4" s="616"/>
      <c r="CI4" s="616"/>
      <c r="CJ4" s="616"/>
      <c r="CK4" s="616"/>
      <c r="CL4" s="616"/>
      <c r="CM4" s="617"/>
      <c r="CN4" s="610"/>
      <c r="CO4" s="610"/>
    </row>
    <row r="5" spans="1:93" s="430" customFormat="1" ht="12.75" customHeight="1">
      <c r="A5" s="613"/>
      <c r="B5" s="613"/>
      <c r="C5" s="613"/>
      <c r="D5" s="633" t="s">
        <v>603</v>
      </c>
      <c r="E5" s="633" t="s">
        <v>604</v>
      </c>
      <c r="F5" s="243"/>
      <c r="G5" s="243"/>
      <c r="H5" s="633" t="s">
        <v>605</v>
      </c>
      <c r="I5" s="693" t="s">
        <v>606</v>
      </c>
      <c r="J5" s="346"/>
      <c r="K5" s="346"/>
      <c r="L5" s="687"/>
      <c r="M5" s="688"/>
      <c r="N5" s="619"/>
      <c r="O5" s="618" t="s">
        <v>79</v>
      </c>
      <c r="P5" s="615" t="s">
        <v>611</v>
      </c>
      <c r="Q5" s="616"/>
      <c r="R5" s="617"/>
      <c r="S5" s="245"/>
      <c r="T5" s="285"/>
      <c r="U5" s="618" t="s">
        <v>612</v>
      </c>
      <c r="V5" s="631" t="s">
        <v>27</v>
      </c>
      <c r="W5" s="632"/>
      <c r="X5" s="431"/>
      <c r="Y5" s="431"/>
      <c r="Z5" s="431"/>
      <c r="AA5" s="431">
        <f>'Титульный лист'!BB25</f>
        <v>17</v>
      </c>
      <c r="AB5" s="428">
        <f>'Титульный лист'!BE25</f>
        <v>0</v>
      </c>
      <c r="AC5" s="631" t="s">
        <v>30</v>
      </c>
      <c r="AD5" s="632"/>
      <c r="AE5" s="419"/>
      <c r="AF5" s="419"/>
      <c r="AG5" s="419"/>
      <c r="AH5" s="431">
        <f>'Титульный лист'!BC25</f>
        <v>22</v>
      </c>
      <c r="AI5" s="428">
        <f>'Титульный лист'!BF25</f>
        <v>2</v>
      </c>
      <c r="AJ5" s="631" t="s">
        <v>29</v>
      </c>
      <c r="AK5" s="632"/>
      <c r="AL5" s="419"/>
      <c r="AM5" s="419"/>
      <c r="AN5" s="419"/>
      <c r="AO5" s="431">
        <f>'Титульный лист'!BB26</f>
        <v>16</v>
      </c>
      <c r="AP5" s="431">
        <f>'Титульный лист'!BE26</f>
        <v>1</v>
      </c>
      <c r="AQ5" s="631" t="s">
        <v>39</v>
      </c>
      <c r="AR5" s="632"/>
      <c r="AS5" s="419"/>
      <c r="AT5" s="419"/>
      <c r="AU5" s="419"/>
      <c r="AV5" s="431">
        <f>'Титульный лист'!BC26</f>
        <v>17</v>
      </c>
      <c r="AW5" s="428">
        <f>'Титульный лист'!BF26</f>
        <v>1</v>
      </c>
      <c r="AX5" s="631" t="s">
        <v>40</v>
      </c>
      <c r="AY5" s="632"/>
      <c r="AZ5" s="419"/>
      <c r="BA5" s="419"/>
      <c r="BB5" s="419"/>
      <c r="BC5" s="431">
        <f>'Титульный лист'!BB27</f>
        <v>16</v>
      </c>
      <c r="BD5" s="431">
        <f>'Титульный лист'!BE27</f>
        <v>1</v>
      </c>
      <c r="BE5" s="631" t="s">
        <v>41</v>
      </c>
      <c r="BF5" s="632"/>
      <c r="BG5" s="419"/>
      <c r="BH5" s="419"/>
      <c r="BI5" s="419"/>
      <c r="BJ5" s="431">
        <f>'Титульный лист'!BC27</f>
        <v>11</v>
      </c>
      <c r="BK5" s="428">
        <f>'Титульный лист'!BF27</f>
        <v>1</v>
      </c>
      <c r="BL5" s="631" t="s">
        <v>42</v>
      </c>
      <c r="BM5" s="632"/>
      <c r="BN5" s="419"/>
      <c r="BO5" s="419"/>
      <c r="BP5" s="419"/>
      <c r="BQ5" s="431">
        <f>'Титульный лист'!BB28</f>
        <v>11</v>
      </c>
      <c r="BR5" s="431">
        <f>'Титульный лист'!BE28</f>
        <v>0</v>
      </c>
      <c r="BS5" s="631" t="s">
        <v>37</v>
      </c>
      <c r="BT5" s="632"/>
      <c r="BU5" s="419"/>
      <c r="BV5" s="419"/>
      <c r="BW5" s="419"/>
      <c r="BX5" s="431">
        <f>'Титульный лист'!BC28</f>
        <v>11</v>
      </c>
      <c r="BY5" s="428">
        <f>'Титульный лист'!BF28</f>
        <v>1</v>
      </c>
      <c r="BZ5" s="636" t="s">
        <v>38</v>
      </c>
      <c r="CA5" s="637"/>
      <c r="CB5" s="419"/>
      <c r="CC5" s="419"/>
      <c r="CD5" s="419"/>
      <c r="CE5" s="431">
        <f>'Титульный лист'!BB29</f>
        <v>8</v>
      </c>
      <c r="CF5" s="431">
        <f>'Титульный лист'!BE29</f>
        <v>0</v>
      </c>
      <c r="CG5" s="623" t="s">
        <v>78</v>
      </c>
      <c r="CH5" s="624"/>
      <c r="CI5" s="419"/>
      <c r="CJ5" s="419"/>
      <c r="CK5" s="419"/>
      <c r="CL5" s="431">
        <f>'Титульный лист'!BC29</f>
        <v>14</v>
      </c>
      <c r="CM5" s="428">
        <f>'Титульный лист'!BF29</f>
        <v>2</v>
      </c>
      <c r="CN5" s="610"/>
      <c r="CO5" s="610"/>
    </row>
    <row r="6" spans="1:93" s="430" customFormat="1" ht="12.75" customHeight="1">
      <c r="A6" s="613"/>
      <c r="B6" s="613"/>
      <c r="C6" s="613"/>
      <c r="D6" s="634"/>
      <c r="E6" s="634"/>
      <c r="F6" s="244"/>
      <c r="G6" s="244"/>
      <c r="H6" s="634"/>
      <c r="I6" s="694"/>
      <c r="J6" s="346"/>
      <c r="K6" s="346"/>
      <c r="L6" s="687"/>
      <c r="M6" s="688"/>
      <c r="N6" s="619"/>
      <c r="O6" s="619"/>
      <c r="P6" s="618" t="s">
        <v>613</v>
      </c>
      <c r="Q6" s="618" t="s">
        <v>614</v>
      </c>
      <c r="R6" s="618" t="s">
        <v>615</v>
      </c>
      <c r="S6" s="618" t="s">
        <v>616</v>
      </c>
      <c r="T6" s="618" t="s">
        <v>617</v>
      </c>
      <c r="U6" s="619"/>
      <c r="V6" s="627" t="s">
        <v>66</v>
      </c>
      <c r="W6" s="628"/>
      <c r="X6" s="628" t="s">
        <v>52</v>
      </c>
      <c r="Y6" s="628"/>
      <c r="Z6" s="628"/>
      <c r="AA6" s="628"/>
      <c r="AB6" s="421" t="s">
        <v>214</v>
      </c>
      <c r="AC6" s="627" t="s">
        <v>66</v>
      </c>
      <c r="AD6" s="628"/>
      <c r="AE6" s="420"/>
      <c r="AF6" s="420"/>
      <c r="AG6" s="420"/>
      <c r="AH6" s="420" t="s">
        <v>52</v>
      </c>
      <c r="AI6" s="421" t="s">
        <v>214</v>
      </c>
      <c r="AJ6" s="627" t="s">
        <v>66</v>
      </c>
      <c r="AK6" s="628"/>
      <c r="AL6" s="420"/>
      <c r="AM6" s="420"/>
      <c r="AN6" s="420"/>
      <c r="AO6" s="420" t="s">
        <v>52</v>
      </c>
      <c r="AP6" s="420" t="s">
        <v>214</v>
      </c>
      <c r="AQ6" s="627" t="s">
        <v>66</v>
      </c>
      <c r="AR6" s="628"/>
      <c r="AS6" s="420"/>
      <c r="AT6" s="420"/>
      <c r="AU6" s="420"/>
      <c r="AV6" s="420" t="s">
        <v>52</v>
      </c>
      <c r="AW6" s="421" t="s">
        <v>214</v>
      </c>
      <c r="AX6" s="627" t="s">
        <v>66</v>
      </c>
      <c r="AY6" s="628"/>
      <c r="AZ6" s="420"/>
      <c r="BA6" s="420"/>
      <c r="BB6" s="420"/>
      <c r="BC6" s="420" t="s">
        <v>52</v>
      </c>
      <c r="BD6" s="420" t="s">
        <v>214</v>
      </c>
      <c r="BE6" s="627" t="s">
        <v>66</v>
      </c>
      <c r="BF6" s="628"/>
      <c r="BG6" s="420"/>
      <c r="BH6" s="420"/>
      <c r="BI6" s="420"/>
      <c r="BJ6" s="420" t="s">
        <v>52</v>
      </c>
      <c r="BK6" s="421" t="s">
        <v>214</v>
      </c>
      <c r="BL6" s="627" t="s">
        <v>66</v>
      </c>
      <c r="BM6" s="628"/>
      <c r="BN6" s="420"/>
      <c r="BO6" s="420"/>
      <c r="BP6" s="420"/>
      <c r="BQ6" s="420" t="s">
        <v>52</v>
      </c>
      <c r="BR6" s="420" t="s">
        <v>214</v>
      </c>
      <c r="BS6" s="627" t="s">
        <v>66</v>
      </c>
      <c r="BT6" s="628"/>
      <c r="BU6" s="420"/>
      <c r="BV6" s="420"/>
      <c r="BW6" s="420"/>
      <c r="BX6" s="420" t="s">
        <v>52</v>
      </c>
      <c r="BY6" s="421" t="s">
        <v>214</v>
      </c>
      <c r="BZ6" s="621" t="s">
        <v>66</v>
      </c>
      <c r="CA6" s="622"/>
      <c r="CB6" s="420"/>
      <c r="CC6" s="420"/>
      <c r="CD6" s="420"/>
      <c r="CE6" s="420" t="s">
        <v>52</v>
      </c>
      <c r="CF6" s="420" t="s">
        <v>214</v>
      </c>
      <c r="CG6" s="625" t="s">
        <v>66</v>
      </c>
      <c r="CH6" s="626"/>
      <c r="CI6" s="420"/>
      <c r="CJ6" s="420"/>
      <c r="CK6" s="420"/>
      <c r="CL6" s="420" t="s">
        <v>52</v>
      </c>
      <c r="CM6" s="421" t="s">
        <v>214</v>
      </c>
      <c r="CN6" s="610"/>
      <c r="CO6" s="610"/>
    </row>
    <row r="7" spans="1:93" s="430" customFormat="1" ht="12.75" customHeight="1">
      <c r="A7" s="613"/>
      <c r="B7" s="613"/>
      <c r="C7" s="613"/>
      <c r="D7" s="634"/>
      <c r="E7" s="634"/>
      <c r="F7" s="244"/>
      <c r="G7" s="244"/>
      <c r="H7" s="634"/>
      <c r="I7" s="694"/>
      <c r="J7" s="346"/>
      <c r="K7" s="346"/>
      <c r="L7" s="687"/>
      <c r="M7" s="688"/>
      <c r="N7" s="619"/>
      <c r="O7" s="619"/>
      <c r="P7" s="619"/>
      <c r="Q7" s="619"/>
      <c r="R7" s="619"/>
      <c r="S7" s="619"/>
      <c r="T7" s="619"/>
      <c r="U7" s="619"/>
      <c r="V7" s="629" t="s">
        <v>139</v>
      </c>
      <c r="W7" s="630"/>
      <c r="X7" s="432"/>
      <c r="Y7" s="432"/>
      <c r="Z7" s="432"/>
      <c r="AA7" s="433">
        <f>IF((SUM(W95:AB95)+SUM(W100:AB100))=0,0,(SUM(W95:AB95)+SUM(W100:AB100))/Нормы!$G$37)</f>
        <v>0</v>
      </c>
      <c r="AB7" s="434" t="s">
        <v>140</v>
      </c>
      <c r="AC7" s="629" t="s">
        <v>139</v>
      </c>
      <c r="AD7" s="630"/>
      <c r="AE7" s="432"/>
      <c r="AF7" s="432"/>
      <c r="AG7" s="432"/>
      <c r="AH7" s="433">
        <f>IF((SUM(AD95:AI95)+SUM(AD100:AI100))=0,0,(SUM(AD95:AI95)+SUM(AD100:AI100))/Нормы!$G$37)</f>
        <v>0</v>
      </c>
      <c r="AI7" s="434" t="s">
        <v>140</v>
      </c>
      <c r="AJ7" s="629" t="s">
        <v>139</v>
      </c>
      <c r="AK7" s="630"/>
      <c r="AL7" s="432"/>
      <c r="AM7" s="432"/>
      <c r="AN7" s="432"/>
      <c r="AO7" s="433">
        <f>IF((SUM(AK95:AP95)+SUM(AK100:AP100))=0,0,(SUM(AK95:AP95)+SUM(AK100:AP100))/Нормы!$G$37)</f>
        <v>0</v>
      </c>
      <c r="AP7" s="435" t="s">
        <v>140</v>
      </c>
      <c r="AQ7" s="629" t="s">
        <v>139</v>
      </c>
      <c r="AR7" s="630"/>
      <c r="AS7" s="432"/>
      <c r="AT7" s="432"/>
      <c r="AU7" s="432"/>
      <c r="AV7" s="433">
        <f>IF((SUM(AR95:AV95)+SUM(AR100:AV100))=0,0,(SUM(AR95:AV95)+SUM(AR100:AV100))/Нормы!$G$38)</f>
        <v>9</v>
      </c>
      <c r="AW7" s="436" t="s">
        <v>140</v>
      </c>
      <c r="AX7" s="629" t="s">
        <v>139</v>
      </c>
      <c r="AY7" s="630"/>
      <c r="AZ7" s="432"/>
      <c r="BA7" s="432"/>
      <c r="BB7" s="432"/>
      <c r="BC7" s="433">
        <f>IF((SUM(AY95:BC95)+SUM(AY100:BC100))=0,0,(SUM(AY95:BC95)+SUM(AY100:BC100))/Нормы!$G$38)</f>
        <v>0</v>
      </c>
      <c r="BD7" s="435" t="s">
        <v>140</v>
      </c>
      <c r="BE7" s="629" t="s">
        <v>139</v>
      </c>
      <c r="BF7" s="630"/>
      <c r="BG7" s="432"/>
      <c r="BH7" s="432"/>
      <c r="BI7" s="432"/>
      <c r="BJ7" s="433">
        <f>IF((SUM(BF95:BJ95)+SUM(BF100:BJ100))=0,0,(SUM(BF95:BJ95)+SUM(BF100:BJ100))/Нормы!$G$38)</f>
        <v>15</v>
      </c>
      <c r="BK7" s="434" t="s">
        <v>140</v>
      </c>
      <c r="BL7" s="629" t="s">
        <v>139</v>
      </c>
      <c r="BM7" s="630"/>
      <c r="BN7" s="432"/>
      <c r="BO7" s="432"/>
      <c r="BP7" s="432"/>
      <c r="BQ7" s="433">
        <f>IF((SUM(BM95:BQ95)+SUM(BM100:BQ100))=0,0,(SUM(BM95:BQ95)+SUM(BM100:BQ100))/Нормы!$G$38)</f>
        <v>6</v>
      </c>
      <c r="BR7" s="435" t="s">
        <v>140</v>
      </c>
      <c r="BS7" s="629" t="s">
        <v>139</v>
      </c>
      <c r="BT7" s="630"/>
      <c r="BU7" s="432"/>
      <c r="BV7" s="432"/>
      <c r="BW7" s="432"/>
      <c r="BX7" s="433">
        <f>IF((SUM(BT95:BX95)+SUM(BT100:BX100))=0,0,(SUM(BT95:BX95)+SUM(BT100:BX100))/Нормы!$G$38)</f>
        <v>12</v>
      </c>
      <c r="BY7" s="434" t="s">
        <v>140</v>
      </c>
      <c r="BZ7" s="630" t="s">
        <v>139</v>
      </c>
      <c r="CA7" s="630"/>
      <c r="CB7" s="432"/>
      <c r="CC7" s="432"/>
      <c r="CD7" s="432"/>
      <c r="CE7" s="433">
        <f>IF((SUM(CA95:CE95)+SUM(CA100:CE100))=0,0,(SUM(CA95:CE95)+SUM(CA100:CE100))/Нормы!$G$38)</f>
        <v>13</v>
      </c>
      <c r="CF7" s="435" t="s">
        <v>140</v>
      </c>
      <c r="CG7" s="629" t="s">
        <v>139</v>
      </c>
      <c r="CH7" s="630"/>
      <c r="CI7" s="432"/>
      <c r="CJ7" s="432"/>
      <c r="CK7" s="432"/>
      <c r="CL7" s="433">
        <f>IF((SUM(CH95:CL95)+SUM(CH100:CL100))=0,0,(SUM(CH95:CL95)+SUM(CH100:CL100))/Нормы!$G$38)</f>
        <v>0</v>
      </c>
      <c r="CM7" s="434" t="s">
        <v>140</v>
      </c>
      <c r="CN7" s="610"/>
      <c r="CO7" s="610"/>
    </row>
    <row r="8" spans="1:93" s="430" customFormat="1" ht="12.75" customHeight="1">
      <c r="A8" s="613"/>
      <c r="B8" s="613"/>
      <c r="C8" s="613"/>
      <c r="D8" s="634"/>
      <c r="E8" s="634"/>
      <c r="F8" s="244"/>
      <c r="G8" s="244"/>
      <c r="H8" s="634"/>
      <c r="I8" s="694"/>
      <c r="J8" s="346"/>
      <c r="K8" s="346"/>
      <c r="L8" s="689"/>
      <c r="M8" s="690"/>
      <c r="N8" s="619"/>
      <c r="O8" s="619"/>
      <c r="P8" s="619"/>
      <c r="Q8" s="619"/>
      <c r="R8" s="619"/>
      <c r="S8" s="619"/>
      <c r="T8" s="619"/>
      <c r="U8" s="619"/>
      <c r="V8" s="682" t="s">
        <v>141</v>
      </c>
      <c r="W8" s="683"/>
      <c r="X8" s="683"/>
      <c r="Y8" s="437"/>
      <c r="Z8" s="437"/>
      <c r="AA8" s="438">
        <f>IF(SUM(W103:AB103)=0,0,SUM(W103:AB103)/Нормы!$G$38)</f>
        <v>0</v>
      </c>
      <c r="AB8" s="439" t="s">
        <v>140</v>
      </c>
      <c r="AC8" s="682" t="s">
        <v>141</v>
      </c>
      <c r="AD8" s="683"/>
      <c r="AE8" s="683"/>
      <c r="AF8" s="437"/>
      <c r="AG8" s="437"/>
      <c r="AH8" s="438">
        <f>IF(SUM(AD103:AI103)=0,0,SUM(AD103:AI103)/Нормы!$G$38)</f>
        <v>0</v>
      </c>
      <c r="AI8" s="439" t="s">
        <v>140</v>
      </c>
      <c r="AJ8" s="682" t="s">
        <v>141</v>
      </c>
      <c r="AK8" s="683"/>
      <c r="AL8" s="683"/>
      <c r="AM8" s="437"/>
      <c r="AN8" s="437"/>
      <c r="AO8" s="438">
        <f>IF(SUM(AK103:AP103)=0,0,SUM(AK103:AP103)/Нормы!$G$38)</f>
        <v>0</v>
      </c>
      <c r="AP8" s="440" t="s">
        <v>140</v>
      </c>
      <c r="AQ8" s="682" t="s">
        <v>141</v>
      </c>
      <c r="AR8" s="683"/>
      <c r="AS8" s="683"/>
      <c r="AT8" s="437"/>
      <c r="AU8" s="437"/>
      <c r="AV8" s="438">
        <f>IF(SUM(AR103:AV103)=0,0,SUM(AR103:AV103)/Нормы!$G$38)</f>
        <v>0</v>
      </c>
      <c r="AW8" s="439" t="s">
        <v>140</v>
      </c>
      <c r="AX8" s="682" t="s">
        <v>141</v>
      </c>
      <c r="AY8" s="683"/>
      <c r="AZ8" s="683"/>
      <c r="BA8" s="437"/>
      <c r="BB8" s="437"/>
      <c r="BC8" s="438">
        <f>IF(SUM(AY103:BD103)=0,0,SUM(AY103:BD103)/Нормы!$G$38)</f>
        <v>0</v>
      </c>
      <c r="BD8" s="440" t="s">
        <v>140</v>
      </c>
      <c r="BE8" s="682" t="s">
        <v>141</v>
      </c>
      <c r="BF8" s="683"/>
      <c r="BG8" s="683"/>
      <c r="BH8" s="437"/>
      <c r="BI8" s="437"/>
      <c r="BJ8" s="438">
        <f>IF(SUM(BF103:BK103)=0,0,SUM(BF103:BK103)/Нормы!$G$38)</f>
        <v>0</v>
      </c>
      <c r="BK8" s="439" t="s">
        <v>140</v>
      </c>
      <c r="BL8" s="682" t="s">
        <v>141</v>
      </c>
      <c r="BM8" s="683"/>
      <c r="BN8" s="683"/>
      <c r="BO8" s="437"/>
      <c r="BP8" s="437"/>
      <c r="BQ8" s="438">
        <f>IF(SUM(BM103:BR103)=0,0,SUM(BM103:BR103)/Нормы!$G$38)</f>
        <v>0</v>
      </c>
      <c r="BR8" s="440" t="s">
        <v>140</v>
      </c>
      <c r="BS8" s="682" t="s">
        <v>141</v>
      </c>
      <c r="BT8" s="683"/>
      <c r="BU8" s="683"/>
      <c r="BV8" s="437"/>
      <c r="BW8" s="437"/>
      <c r="BX8" s="438">
        <f>IF(SUM(BT103:BY103)=0,0,SUM(BT103:BY103)/Нормы!$G$38)</f>
        <v>0</v>
      </c>
      <c r="BY8" s="439" t="s">
        <v>140</v>
      </c>
      <c r="BZ8" s="683" t="s">
        <v>141</v>
      </c>
      <c r="CA8" s="683"/>
      <c r="CB8" s="683"/>
      <c r="CC8" s="437"/>
      <c r="CD8" s="437"/>
      <c r="CE8" s="438">
        <f>IF(SUM(CA103:CF103)=0,0,SUM(CA103:CF103)/Нормы!$G$38)</f>
        <v>0</v>
      </c>
      <c r="CF8" s="440" t="s">
        <v>140</v>
      </c>
      <c r="CG8" s="682" t="s">
        <v>141</v>
      </c>
      <c r="CH8" s="683"/>
      <c r="CI8" s="683"/>
      <c r="CJ8" s="437"/>
      <c r="CK8" s="437"/>
      <c r="CL8" s="438">
        <f>IF(SUM(CH103:CM103)=0,0,SUM(CH103:CM103)/Нормы!$G$38)</f>
        <v>6</v>
      </c>
      <c r="CM8" s="439" t="s">
        <v>140</v>
      </c>
      <c r="CN8" s="610"/>
      <c r="CO8" s="610"/>
    </row>
    <row r="9" spans="1:93" s="430" customFormat="1" ht="126" customHeight="1">
      <c r="A9" s="614"/>
      <c r="B9" s="614"/>
      <c r="C9" s="614"/>
      <c r="D9" s="635"/>
      <c r="E9" s="635"/>
      <c r="F9" s="244" t="s">
        <v>607</v>
      </c>
      <c r="G9" s="244" t="s">
        <v>608</v>
      </c>
      <c r="H9" s="635"/>
      <c r="I9" s="695"/>
      <c r="J9" s="347"/>
      <c r="K9" s="347"/>
      <c r="L9" s="441" t="s">
        <v>168</v>
      </c>
      <c r="M9" s="441" t="s">
        <v>258</v>
      </c>
      <c r="N9" s="620"/>
      <c r="O9" s="620"/>
      <c r="P9" s="620"/>
      <c r="Q9" s="620"/>
      <c r="R9" s="620"/>
      <c r="S9" s="620"/>
      <c r="T9" s="620"/>
      <c r="U9" s="620"/>
      <c r="V9" s="212" t="s">
        <v>130</v>
      </c>
      <c r="W9" s="213" t="s">
        <v>613</v>
      </c>
      <c r="X9" s="213" t="s">
        <v>614</v>
      </c>
      <c r="Y9" s="213" t="s">
        <v>615</v>
      </c>
      <c r="Z9" s="213" t="s">
        <v>616</v>
      </c>
      <c r="AA9" s="213" t="s">
        <v>617</v>
      </c>
      <c r="AB9" s="213" t="s">
        <v>612</v>
      </c>
      <c r="AC9" s="212" t="s">
        <v>130</v>
      </c>
      <c r="AD9" s="213" t="s">
        <v>613</v>
      </c>
      <c r="AE9" s="213" t="s">
        <v>614</v>
      </c>
      <c r="AF9" s="213" t="s">
        <v>615</v>
      </c>
      <c r="AG9" s="213" t="s">
        <v>616</v>
      </c>
      <c r="AH9" s="213" t="s">
        <v>617</v>
      </c>
      <c r="AI9" s="213" t="s">
        <v>612</v>
      </c>
      <c r="AJ9" s="212" t="s">
        <v>130</v>
      </c>
      <c r="AK9" s="213" t="s">
        <v>613</v>
      </c>
      <c r="AL9" s="213" t="s">
        <v>614</v>
      </c>
      <c r="AM9" s="213" t="s">
        <v>615</v>
      </c>
      <c r="AN9" s="213" t="s">
        <v>616</v>
      </c>
      <c r="AO9" s="213" t="s">
        <v>617</v>
      </c>
      <c r="AP9" s="213" t="s">
        <v>612</v>
      </c>
      <c r="AQ9" s="212" t="s">
        <v>130</v>
      </c>
      <c r="AR9" s="213" t="s">
        <v>613</v>
      </c>
      <c r="AS9" s="213" t="s">
        <v>614</v>
      </c>
      <c r="AT9" s="213" t="s">
        <v>615</v>
      </c>
      <c r="AU9" s="213" t="s">
        <v>616</v>
      </c>
      <c r="AV9" s="213" t="s">
        <v>617</v>
      </c>
      <c r="AW9" s="213" t="s">
        <v>612</v>
      </c>
      <c r="AX9" s="212" t="s">
        <v>130</v>
      </c>
      <c r="AY9" s="213" t="s">
        <v>613</v>
      </c>
      <c r="AZ9" s="213" t="s">
        <v>614</v>
      </c>
      <c r="BA9" s="213" t="s">
        <v>615</v>
      </c>
      <c r="BB9" s="213" t="s">
        <v>616</v>
      </c>
      <c r="BC9" s="213" t="s">
        <v>617</v>
      </c>
      <c r="BD9" s="213" t="s">
        <v>612</v>
      </c>
      <c r="BE9" s="212" t="s">
        <v>130</v>
      </c>
      <c r="BF9" s="213" t="s">
        <v>613</v>
      </c>
      <c r="BG9" s="213" t="s">
        <v>614</v>
      </c>
      <c r="BH9" s="213" t="s">
        <v>615</v>
      </c>
      <c r="BI9" s="213" t="s">
        <v>616</v>
      </c>
      <c r="BJ9" s="213" t="s">
        <v>617</v>
      </c>
      <c r="BK9" s="213" t="s">
        <v>612</v>
      </c>
      <c r="BL9" s="212" t="s">
        <v>130</v>
      </c>
      <c r="BM9" s="213" t="s">
        <v>613</v>
      </c>
      <c r="BN9" s="213" t="s">
        <v>614</v>
      </c>
      <c r="BO9" s="213" t="s">
        <v>615</v>
      </c>
      <c r="BP9" s="213" t="s">
        <v>616</v>
      </c>
      <c r="BQ9" s="213" t="s">
        <v>617</v>
      </c>
      <c r="BR9" s="213" t="s">
        <v>612</v>
      </c>
      <c r="BS9" s="212" t="s">
        <v>130</v>
      </c>
      <c r="BT9" s="213" t="s">
        <v>613</v>
      </c>
      <c r="BU9" s="213" t="s">
        <v>614</v>
      </c>
      <c r="BV9" s="213" t="s">
        <v>615</v>
      </c>
      <c r="BW9" s="213" t="s">
        <v>616</v>
      </c>
      <c r="BX9" s="213" t="s">
        <v>617</v>
      </c>
      <c r="BY9" s="213" t="s">
        <v>612</v>
      </c>
      <c r="BZ9" s="212" t="s">
        <v>130</v>
      </c>
      <c r="CA9" s="213" t="s">
        <v>613</v>
      </c>
      <c r="CB9" s="213" t="s">
        <v>614</v>
      </c>
      <c r="CC9" s="213" t="s">
        <v>615</v>
      </c>
      <c r="CD9" s="213" t="s">
        <v>616</v>
      </c>
      <c r="CE9" s="213" t="s">
        <v>617</v>
      </c>
      <c r="CF9" s="213" t="s">
        <v>612</v>
      </c>
      <c r="CG9" s="212" t="s">
        <v>130</v>
      </c>
      <c r="CH9" s="213" t="s">
        <v>613</v>
      </c>
      <c r="CI9" s="213" t="s">
        <v>614</v>
      </c>
      <c r="CJ9" s="213" t="s">
        <v>615</v>
      </c>
      <c r="CK9" s="213" t="s">
        <v>616</v>
      </c>
      <c r="CL9" s="213" t="s">
        <v>617</v>
      </c>
      <c r="CM9" s="213" t="s">
        <v>612</v>
      </c>
      <c r="CN9" s="611"/>
      <c r="CO9" s="611"/>
    </row>
    <row r="10" spans="1:93" s="430" customFormat="1" ht="12.75">
      <c r="A10" s="442">
        <v>1</v>
      </c>
      <c r="B10" s="443">
        <v>2</v>
      </c>
      <c r="C10" s="443">
        <v>3</v>
      </c>
      <c r="D10" s="443">
        <v>4</v>
      </c>
      <c r="E10" s="443">
        <v>5</v>
      </c>
      <c r="F10" s="443">
        <v>6</v>
      </c>
      <c r="G10" s="443"/>
      <c r="H10" s="443">
        <v>7</v>
      </c>
      <c r="I10" s="443">
        <v>9</v>
      </c>
      <c r="J10" s="444"/>
      <c r="K10" s="444"/>
      <c r="L10" s="443">
        <v>10</v>
      </c>
      <c r="M10" s="443">
        <v>11</v>
      </c>
      <c r="N10" s="443">
        <v>12</v>
      </c>
      <c r="O10" s="443"/>
      <c r="P10" s="443">
        <v>15</v>
      </c>
      <c r="Q10" s="443">
        <v>16</v>
      </c>
      <c r="R10" s="443">
        <v>17</v>
      </c>
      <c r="S10" s="443"/>
      <c r="T10" s="443">
        <v>18</v>
      </c>
      <c r="U10" s="443">
        <v>20</v>
      </c>
      <c r="V10" s="443">
        <v>22</v>
      </c>
      <c r="W10" s="443">
        <v>24</v>
      </c>
      <c r="X10" s="443">
        <v>25</v>
      </c>
      <c r="Y10" s="443">
        <v>26</v>
      </c>
      <c r="Z10" s="443"/>
      <c r="AA10" s="443">
        <v>27</v>
      </c>
      <c r="AB10" s="443">
        <v>29</v>
      </c>
      <c r="AC10" s="443">
        <v>31</v>
      </c>
      <c r="AD10" s="443">
        <v>33</v>
      </c>
      <c r="AE10" s="443">
        <v>34</v>
      </c>
      <c r="AF10" s="443">
        <v>35</v>
      </c>
      <c r="AG10" s="443"/>
      <c r="AH10" s="443">
        <v>36</v>
      </c>
      <c r="AI10" s="443">
        <v>38</v>
      </c>
      <c r="AJ10" s="443">
        <v>40</v>
      </c>
      <c r="AK10" s="443">
        <v>42</v>
      </c>
      <c r="AL10" s="443">
        <v>43</v>
      </c>
      <c r="AM10" s="443">
        <v>44</v>
      </c>
      <c r="AN10" s="443"/>
      <c r="AO10" s="443">
        <v>45</v>
      </c>
      <c r="AP10" s="443">
        <v>47</v>
      </c>
      <c r="AQ10" s="443">
        <v>49</v>
      </c>
      <c r="AR10" s="443">
        <v>51</v>
      </c>
      <c r="AS10" s="443">
        <v>52</v>
      </c>
      <c r="AT10" s="443">
        <v>53</v>
      </c>
      <c r="AU10" s="443"/>
      <c r="AV10" s="443">
        <v>54</v>
      </c>
      <c r="AW10" s="443">
        <v>56</v>
      </c>
      <c r="AX10" s="443">
        <v>58</v>
      </c>
      <c r="AY10" s="443">
        <v>60</v>
      </c>
      <c r="AZ10" s="443">
        <v>61</v>
      </c>
      <c r="BA10" s="443">
        <v>62</v>
      </c>
      <c r="BB10" s="443"/>
      <c r="BC10" s="443">
        <v>63</v>
      </c>
      <c r="BD10" s="443">
        <v>65</v>
      </c>
      <c r="BE10" s="443">
        <v>67</v>
      </c>
      <c r="BF10" s="443">
        <v>69</v>
      </c>
      <c r="BG10" s="443">
        <v>70</v>
      </c>
      <c r="BH10" s="443">
        <v>71</v>
      </c>
      <c r="BI10" s="443"/>
      <c r="BJ10" s="443">
        <v>72</v>
      </c>
      <c r="BK10" s="443">
        <v>74</v>
      </c>
      <c r="BL10" s="443">
        <v>76</v>
      </c>
      <c r="BM10" s="443">
        <v>78</v>
      </c>
      <c r="BN10" s="443">
        <v>79</v>
      </c>
      <c r="BO10" s="443">
        <v>80</v>
      </c>
      <c r="BP10" s="443"/>
      <c r="BQ10" s="443">
        <v>81</v>
      </c>
      <c r="BR10" s="443">
        <v>83</v>
      </c>
      <c r="BS10" s="443">
        <v>85</v>
      </c>
      <c r="BT10" s="443">
        <v>87</v>
      </c>
      <c r="BU10" s="443">
        <v>88</v>
      </c>
      <c r="BV10" s="443">
        <v>89</v>
      </c>
      <c r="BW10" s="443"/>
      <c r="BX10" s="443">
        <v>90</v>
      </c>
      <c r="BY10" s="443">
        <v>92</v>
      </c>
      <c r="BZ10" s="443">
        <v>94</v>
      </c>
      <c r="CA10" s="443">
        <v>96</v>
      </c>
      <c r="CB10" s="443">
        <v>97</v>
      </c>
      <c r="CC10" s="443">
        <v>98</v>
      </c>
      <c r="CD10" s="443"/>
      <c r="CE10" s="443">
        <v>99</v>
      </c>
      <c r="CF10" s="443">
        <v>101</v>
      </c>
      <c r="CG10" s="443">
        <v>103</v>
      </c>
      <c r="CH10" s="443">
        <v>105</v>
      </c>
      <c r="CI10" s="443">
        <v>106</v>
      </c>
      <c r="CJ10" s="443">
        <v>107</v>
      </c>
      <c r="CK10" s="443"/>
      <c r="CL10" s="443">
        <v>108</v>
      </c>
      <c r="CM10" s="443">
        <v>110</v>
      </c>
      <c r="CN10" s="443">
        <v>111</v>
      </c>
      <c r="CO10" s="443">
        <v>112</v>
      </c>
    </row>
    <row r="11" spans="1:97" s="445" customFormat="1" ht="25.5" customHeight="1">
      <c r="A11" s="293"/>
      <c r="B11" s="654" t="s">
        <v>546</v>
      </c>
      <c r="C11" s="654"/>
      <c r="D11" s="654"/>
      <c r="E11" s="654"/>
      <c r="F11" s="654"/>
      <c r="G11" s="654"/>
      <c r="H11" s="654"/>
      <c r="I11" s="654"/>
      <c r="J11" s="348"/>
      <c r="K11" s="348"/>
      <c r="L11" s="294">
        <v>2106</v>
      </c>
      <c r="M11" s="294">
        <v>1404</v>
      </c>
      <c r="N11" s="294">
        <f>N12+N24</f>
        <v>2106</v>
      </c>
      <c r="O11" s="294">
        <f aca="true" t="shared" si="0" ref="O11:BZ11">O12+O24</f>
        <v>1404</v>
      </c>
      <c r="P11" s="294">
        <f t="shared" si="0"/>
        <v>1198</v>
      </c>
      <c r="Q11" s="294">
        <f t="shared" si="0"/>
        <v>206</v>
      </c>
      <c r="R11" s="294">
        <f t="shared" si="0"/>
        <v>0</v>
      </c>
      <c r="S11" s="294">
        <f t="shared" si="0"/>
        <v>0</v>
      </c>
      <c r="T11" s="294">
        <f t="shared" si="0"/>
        <v>0</v>
      </c>
      <c r="U11" s="294">
        <f t="shared" si="0"/>
        <v>702</v>
      </c>
      <c r="V11" s="294">
        <f t="shared" si="0"/>
        <v>918</v>
      </c>
      <c r="W11" s="294">
        <f t="shared" si="0"/>
        <v>527</v>
      </c>
      <c r="X11" s="294">
        <f t="shared" si="0"/>
        <v>85</v>
      </c>
      <c r="Y11" s="294">
        <f t="shared" si="0"/>
        <v>0</v>
      </c>
      <c r="Z11" s="294">
        <f t="shared" si="0"/>
        <v>0</v>
      </c>
      <c r="AA11" s="294">
        <f t="shared" si="0"/>
        <v>0</v>
      </c>
      <c r="AB11" s="294">
        <f t="shared" si="0"/>
        <v>306</v>
      </c>
      <c r="AC11" s="294">
        <f t="shared" si="0"/>
        <v>1089</v>
      </c>
      <c r="AD11" s="294">
        <f t="shared" si="0"/>
        <v>671</v>
      </c>
      <c r="AE11" s="294">
        <f t="shared" si="0"/>
        <v>121</v>
      </c>
      <c r="AF11" s="294">
        <f t="shared" si="0"/>
        <v>0</v>
      </c>
      <c r="AG11" s="294">
        <f t="shared" si="0"/>
        <v>0</v>
      </c>
      <c r="AH11" s="294">
        <f t="shared" si="0"/>
        <v>0</v>
      </c>
      <c r="AI11" s="294">
        <f t="shared" si="0"/>
        <v>396</v>
      </c>
      <c r="AJ11" s="294">
        <f t="shared" si="0"/>
        <v>0</v>
      </c>
      <c r="AK11" s="294">
        <f t="shared" si="0"/>
        <v>0</v>
      </c>
      <c r="AL11" s="294">
        <f t="shared" si="0"/>
        <v>0</v>
      </c>
      <c r="AM11" s="294">
        <f t="shared" si="0"/>
        <v>0</v>
      </c>
      <c r="AN11" s="294">
        <f t="shared" si="0"/>
        <v>0</v>
      </c>
      <c r="AO11" s="294">
        <f t="shared" si="0"/>
        <v>0</v>
      </c>
      <c r="AP11" s="294">
        <f t="shared" si="0"/>
        <v>0</v>
      </c>
      <c r="AQ11" s="294">
        <f t="shared" si="0"/>
        <v>0</v>
      </c>
      <c r="AR11" s="294">
        <f t="shared" si="0"/>
        <v>0</v>
      </c>
      <c r="AS11" s="294">
        <f t="shared" si="0"/>
        <v>0</v>
      </c>
      <c r="AT11" s="294">
        <f t="shared" si="0"/>
        <v>0</v>
      </c>
      <c r="AU11" s="294">
        <f t="shared" si="0"/>
        <v>0</v>
      </c>
      <c r="AV11" s="294">
        <f t="shared" si="0"/>
        <v>0</v>
      </c>
      <c r="AW11" s="294">
        <f t="shared" si="0"/>
        <v>0</v>
      </c>
      <c r="AX11" s="294">
        <f t="shared" si="0"/>
        <v>0</v>
      </c>
      <c r="AY11" s="294">
        <f t="shared" si="0"/>
        <v>0</v>
      </c>
      <c r="AZ11" s="294">
        <f t="shared" si="0"/>
        <v>0</v>
      </c>
      <c r="BA11" s="294">
        <f t="shared" si="0"/>
        <v>0</v>
      </c>
      <c r="BB11" s="294">
        <f t="shared" si="0"/>
        <v>0</v>
      </c>
      <c r="BC11" s="294">
        <f t="shared" si="0"/>
        <v>0</v>
      </c>
      <c r="BD11" s="294">
        <f t="shared" si="0"/>
        <v>0</v>
      </c>
      <c r="BE11" s="294">
        <f t="shared" si="0"/>
        <v>0</v>
      </c>
      <c r="BF11" s="294">
        <f t="shared" si="0"/>
        <v>0</v>
      </c>
      <c r="BG11" s="294">
        <f t="shared" si="0"/>
        <v>0</v>
      </c>
      <c r="BH11" s="294">
        <f t="shared" si="0"/>
        <v>0</v>
      </c>
      <c r="BI11" s="294">
        <f t="shared" si="0"/>
        <v>0</v>
      </c>
      <c r="BJ11" s="294">
        <f t="shared" si="0"/>
        <v>0</v>
      </c>
      <c r="BK11" s="294">
        <f t="shared" si="0"/>
        <v>0</v>
      </c>
      <c r="BL11" s="294">
        <f t="shared" si="0"/>
        <v>0</v>
      </c>
      <c r="BM11" s="294">
        <f t="shared" si="0"/>
        <v>0</v>
      </c>
      <c r="BN11" s="294">
        <f t="shared" si="0"/>
        <v>0</v>
      </c>
      <c r="BO11" s="294">
        <f t="shared" si="0"/>
        <v>0</v>
      </c>
      <c r="BP11" s="294">
        <f t="shared" si="0"/>
        <v>0</v>
      </c>
      <c r="BQ11" s="294">
        <f t="shared" si="0"/>
        <v>0</v>
      </c>
      <c r="BR11" s="294">
        <f t="shared" si="0"/>
        <v>0</v>
      </c>
      <c r="BS11" s="294">
        <f t="shared" si="0"/>
        <v>0</v>
      </c>
      <c r="BT11" s="294">
        <f t="shared" si="0"/>
        <v>0</v>
      </c>
      <c r="BU11" s="294">
        <f t="shared" si="0"/>
        <v>0</v>
      </c>
      <c r="BV11" s="294">
        <f t="shared" si="0"/>
        <v>0</v>
      </c>
      <c r="BW11" s="294">
        <f t="shared" si="0"/>
        <v>0</v>
      </c>
      <c r="BX11" s="294">
        <f t="shared" si="0"/>
        <v>0</v>
      </c>
      <c r="BY11" s="294">
        <f t="shared" si="0"/>
        <v>0</v>
      </c>
      <c r="BZ11" s="294">
        <f t="shared" si="0"/>
        <v>0</v>
      </c>
      <c r="CA11" s="294">
        <f aca="true" t="shared" si="1" ref="CA11:CM11">CA12+CA24</f>
        <v>0</v>
      </c>
      <c r="CB11" s="294">
        <f t="shared" si="1"/>
        <v>0</v>
      </c>
      <c r="CC11" s="294">
        <f t="shared" si="1"/>
        <v>0</v>
      </c>
      <c r="CD11" s="294">
        <f t="shared" si="1"/>
        <v>0</v>
      </c>
      <c r="CE11" s="294">
        <f t="shared" si="1"/>
        <v>0</v>
      </c>
      <c r="CF11" s="294">
        <f t="shared" si="1"/>
        <v>0</v>
      </c>
      <c r="CG11" s="294">
        <f t="shared" si="1"/>
        <v>0</v>
      </c>
      <c r="CH11" s="294">
        <f t="shared" si="1"/>
        <v>0</v>
      </c>
      <c r="CI11" s="294">
        <f t="shared" si="1"/>
        <v>0</v>
      </c>
      <c r="CJ11" s="294">
        <f t="shared" si="1"/>
        <v>0</v>
      </c>
      <c r="CK11" s="294">
        <f t="shared" si="1"/>
        <v>0</v>
      </c>
      <c r="CL11" s="294">
        <f t="shared" si="1"/>
        <v>0</v>
      </c>
      <c r="CM11" s="294">
        <f t="shared" si="1"/>
        <v>0</v>
      </c>
      <c r="CN11" s="194"/>
      <c r="CO11" s="194"/>
      <c r="CP11" s="172">
        <f>CP12+CP25</f>
        <v>0</v>
      </c>
      <c r="CQ11" s="172">
        <f>CQ12+CQ25</f>
        <v>0</v>
      </c>
      <c r="CR11" s="173">
        <f>CR12+CR25</f>
        <v>0</v>
      </c>
      <c r="CS11" s="174">
        <f>CS12+CS25</f>
        <v>0</v>
      </c>
    </row>
    <row r="12" spans="1:97" s="445" customFormat="1" ht="25.5" customHeight="1">
      <c r="A12" s="291"/>
      <c r="B12" s="696" t="s">
        <v>542</v>
      </c>
      <c r="C12" s="697"/>
      <c r="D12" s="697"/>
      <c r="E12" s="697"/>
      <c r="F12" s="697"/>
      <c r="G12" s="697"/>
      <c r="H12" s="697"/>
      <c r="I12" s="698"/>
      <c r="J12" s="342"/>
      <c r="K12" s="342"/>
      <c r="L12" s="292" t="s">
        <v>22</v>
      </c>
      <c r="M12" s="292">
        <f>SUM(M13:M19)</f>
        <v>652</v>
      </c>
      <c r="N12" s="292">
        <f aca="true" t="shared" si="2" ref="N12:V12">SUM(N13:N23)</f>
        <v>1380</v>
      </c>
      <c r="O12" s="292">
        <f t="shared" si="2"/>
        <v>920</v>
      </c>
      <c r="P12" s="292">
        <f t="shared" si="2"/>
        <v>781</v>
      </c>
      <c r="Q12" s="292">
        <f t="shared" si="2"/>
        <v>139</v>
      </c>
      <c r="R12" s="292">
        <f t="shared" si="2"/>
        <v>0</v>
      </c>
      <c r="S12" s="292">
        <f t="shared" si="2"/>
        <v>0</v>
      </c>
      <c r="T12" s="292">
        <f t="shared" si="2"/>
        <v>0</v>
      </c>
      <c r="U12" s="292">
        <f t="shared" si="2"/>
        <v>460</v>
      </c>
      <c r="V12" s="292">
        <f t="shared" si="2"/>
        <v>612</v>
      </c>
      <c r="W12" s="292">
        <f>SUM(W13:W23)</f>
        <v>357</v>
      </c>
      <c r="X12" s="292">
        <f aca="true" t="shared" si="3" ref="X12:AI12">SUM(X13:X23)</f>
        <v>51</v>
      </c>
      <c r="Y12" s="292">
        <f t="shared" si="3"/>
        <v>0</v>
      </c>
      <c r="Z12" s="292">
        <f t="shared" si="3"/>
        <v>0</v>
      </c>
      <c r="AA12" s="292">
        <f t="shared" si="3"/>
        <v>0</v>
      </c>
      <c r="AB12" s="292">
        <f t="shared" si="3"/>
        <v>204</v>
      </c>
      <c r="AC12" s="292">
        <f t="shared" si="3"/>
        <v>669</v>
      </c>
      <c r="AD12" s="292">
        <f t="shared" si="3"/>
        <v>424</v>
      </c>
      <c r="AE12" s="292">
        <f t="shared" si="3"/>
        <v>88</v>
      </c>
      <c r="AF12" s="292">
        <f t="shared" si="3"/>
        <v>0</v>
      </c>
      <c r="AG12" s="292">
        <f t="shared" si="3"/>
        <v>0</v>
      </c>
      <c r="AH12" s="292">
        <f t="shared" si="3"/>
        <v>0</v>
      </c>
      <c r="AI12" s="292">
        <f t="shared" si="3"/>
        <v>256</v>
      </c>
      <c r="AJ12" s="176">
        <f>SUM(AJ13:AJ24)</f>
        <v>0</v>
      </c>
      <c r="AK12" s="176">
        <f>SUM(AK13:AK24)</f>
        <v>0</v>
      </c>
      <c r="AL12" s="176">
        <f>SUM(AL13:AL24)</f>
        <v>0</v>
      </c>
      <c r="AM12" s="176">
        <f>SUM(AM13:AM24)</f>
        <v>0</v>
      </c>
      <c r="AN12" s="176"/>
      <c r="AO12" s="176">
        <f aca="true" t="shared" si="4" ref="AO12:AT12">SUM(AO13:AO24)</f>
        <v>0</v>
      </c>
      <c r="AP12" s="176">
        <f t="shared" si="4"/>
        <v>0</v>
      </c>
      <c r="AQ12" s="176">
        <f t="shared" si="4"/>
        <v>0</v>
      </c>
      <c r="AR12" s="176">
        <f t="shared" si="4"/>
        <v>0</v>
      </c>
      <c r="AS12" s="176">
        <f t="shared" si="4"/>
        <v>0</v>
      </c>
      <c r="AT12" s="176">
        <f t="shared" si="4"/>
        <v>0</v>
      </c>
      <c r="AU12" s="176"/>
      <c r="AV12" s="176">
        <f aca="true" t="shared" si="5" ref="AV12:BA12">SUM(AV13:AV24)</f>
        <v>0</v>
      </c>
      <c r="AW12" s="176">
        <f t="shared" si="5"/>
        <v>0</v>
      </c>
      <c r="AX12" s="176">
        <f t="shared" si="5"/>
        <v>0</v>
      </c>
      <c r="AY12" s="176">
        <f t="shared" si="5"/>
        <v>0</v>
      </c>
      <c r="AZ12" s="176">
        <f t="shared" si="5"/>
        <v>0</v>
      </c>
      <c r="BA12" s="176">
        <f t="shared" si="5"/>
        <v>0</v>
      </c>
      <c r="BB12" s="176"/>
      <c r="BC12" s="176">
        <f aca="true" t="shared" si="6" ref="BC12:BH12">SUM(BC13:BC24)</f>
        <v>0</v>
      </c>
      <c r="BD12" s="176">
        <f t="shared" si="6"/>
        <v>0</v>
      </c>
      <c r="BE12" s="176">
        <f t="shared" si="6"/>
        <v>0</v>
      </c>
      <c r="BF12" s="176">
        <f t="shared" si="6"/>
        <v>0</v>
      </c>
      <c r="BG12" s="176">
        <f t="shared" si="6"/>
        <v>0</v>
      </c>
      <c r="BH12" s="176">
        <f t="shared" si="6"/>
        <v>0</v>
      </c>
      <c r="BI12" s="176"/>
      <c r="BJ12" s="176">
        <f aca="true" t="shared" si="7" ref="BJ12:BO12">SUM(BJ13:BJ24)</f>
        <v>0</v>
      </c>
      <c r="BK12" s="176">
        <f t="shared" si="7"/>
        <v>0</v>
      </c>
      <c r="BL12" s="176">
        <f t="shared" si="7"/>
        <v>0</v>
      </c>
      <c r="BM12" s="176">
        <f t="shared" si="7"/>
        <v>0</v>
      </c>
      <c r="BN12" s="176">
        <f t="shared" si="7"/>
        <v>0</v>
      </c>
      <c r="BO12" s="176">
        <f t="shared" si="7"/>
        <v>0</v>
      </c>
      <c r="BP12" s="176"/>
      <c r="BQ12" s="176">
        <f aca="true" t="shared" si="8" ref="BQ12:BV12">SUM(BQ13:BQ24)</f>
        <v>0</v>
      </c>
      <c r="BR12" s="176">
        <f t="shared" si="8"/>
        <v>0</v>
      </c>
      <c r="BS12" s="176">
        <f t="shared" si="8"/>
        <v>0</v>
      </c>
      <c r="BT12" s="176">
        <f t="shared" si="8"/>
        <v>0</v>
      </c>
      <c r="BU12" s="176">
        <f t="shared" si="8"/>
        <v>0</v>
      </c>
      <c r="BV12" s="176">
        <f t="shared" si="8"/>
        <v>0</v>
      </c>
      <c r="BW12" s="176"/>
      <c r="BX12" s="176">
        <f aca="true" t="shared" si="9" ref="BX12:CC12">SUM(BX13:BX24)</f>
        <v>0</v>
      </c>
      <c r="BY12" s="176">
        <f t="shared" si="9"/>
        <v>0</v>
      </c>
      <c r="BZ12" s="176">
        <f t="shared" si="9"/>
        <v>0</v>
      </c>
      <c r="CA12" s="176">
        <f t="shared" si="9"/>
        <v>0</v>
      </c>
      <c r="CB12" s="176">
        <f t="shared" si="9"/>
        <v>0</v>
      </c>
      <c r="CC12" s="176">
        <f t="shared" si="9"/>
        <v>0</v>
      </c>
      <c r="CD12" s="176"/>
      <c r="CE12" s="176">
        <f aca="true" t="shared" si="10" ref="CE12:CJ12">SUM(CE13:CE24)</f>
        <v>0</v>
      </c>
      <c r="CF12" s="176">
        <f t="shared" si="10"/>
        <v>0</v>
      </c>
      <c r="CG12" s="176">
        <f t="shared" si="10"/>
        <v>0</v>
      </c>
      <c r="CH12" s="176">
        <f t="shared" si="10"/>
        <v>0</v>
      </c>
      <c r="CI12" s="176">
        <f t="shared" si="10"/>
        <v>0</v>
      </c>
      <c r="CJ12" s="176">
        <f t="shared" si="10"/>
        <v>0</v>
      </c>
      <c r="CK12" s="176"/>
      <c r="CL12" s="176">
        <f aca="true" t="shared" si="11" ref="CL12:CS12">SUM(CL13:CL24)</f>
        <v>0</v>
      </c>
      <c r="CM12" s="176">
        <f t="shared" si="11"/>
        <v>0</v>
      </c>
      <c r="CN12" s="176">
        <f>SUM(CN13:CN24)</f>
        <v>0</v>
      </c>
      <c r="CO12" s="176">
        <f t="shared" si="11"/>
        <v>0</v>
      </c>
      <c r="CP12" s="177">
        <f t="shared" si="11"/>
        <v>0</v>
      </c>
      <c r="CQ12" s="177">
        <f t="shared" si="11"/>
        <v>0</v>
      </c>
      <c r="CR12" s="178">
        <f t="shared" si="11"/>
        <v>0</v>
      </c>
      <c r="CS12" s="179">
        <f t="shared" si="11"/>
        <v>0</v>
      </c>
    </row>
    <row r="13" spans="1:97" s="445" customFormat="1" ht="25.5" customHeight="1">
      <c r="A13" s="180" t="s">
        <v>686</v>
      </c>
      <c r="B13" s="446" t="s">
        <v>620</v>
      </c>
      <c r="C13" s="359"/>
      <c r="D13" s="238" t="s">
        <v>30</v>
      </c>
      <c r="E13" s="238"/>
      <c r="F13" s="238"/>
      <c r="G13" s="238"/>
      <c r="H13" s="287"/>
      <c r="I13" s="238" t="s">
        <v>27</v>
      </c>
      <c r="J13" s="349"/>
      <c r="K13" s="349"/>
      <c r="L13" s="288"/>
      <c r="M13" s="360">
        <v>78</v>
      </c>
      <c r="N13" s="361">
        <f aca="true" t="shared" si="12" ref="N13:N19">O13+SUM(U13)</f>
        <v>117</v>
      </c>
      <c r="O13" s="361">
        <f aca="true" t="shared" si="13" ref="O13:O19">SUM(P13:R13)</f>
        <v>78</v>
      </c>
      <c r="P13" s="361">
        <f aca="true" t="shared" si="14" ref="P13:U23">W13+AD13</f>
        <v>78</v>
      </c>
      <c r="Q13" s="361">
        <f t="shared" si="14"/>
        <v>0</v>
      </c>
      <c r="R13" s="361">
        <f t="shared" si="14"/>
        <v>0</v>
      </c>
      <c r="S13" s="361">
        <f t="shared" si="14"/>
        <v>0</v>
      </c>
      <c r="T13" s="361">
        <f t="shared" si="14"/>
        <v>0</v>
      </c>
      <c r="U13" s="361">
        <f t="shared" si="14"/>
        <v>39</v>
      </c>
      <c r="V13" s="289">
        <f aca="true" t="shared" si="15" ref="V13:V19">SUM(W13:AA13)+AB13</f>
        <v>51</v>
      </c>
      <c r="W13" s="116">
        <v>34</v>
      </c>
      <c r="X13" s="116"/>
      <c r="Y13" s="290"/>
      <c r="Z13" s="290"/>
      <c r="AA13" s="290"/>
      <c r="AB13" s="116">
        <v>17</v>
      </c>
      <c r="AC13" s="289">
        <f aca="true" t="shared" si="16" ref="AC13:AC19">SUM(AD13:AH13)+AI13</f>
        <v>66</v>
      </c>
      <c r="AD13" s="116">
        <v>44</v>
      </c>
      <c r="AE13" s="116"/>
      <c r="AF13" s="290"/>
      <c r="AG13" s="290"/>
      <c r="AH13" s="290"/>
      <c r="AI13" s="116">
        <v>22</v>
      </c>
      <c r="AJ13" s="182">
        <f>SUM(AK13:AP13)</f>
        <v>0</v>
      </c>
      <c r="AK13" s="116"/>
      <c r="AL13" s="116"/>
      <c r="AM13" s="116"/>
      <c r="AN13" s="116"/>
      <c r="AO13" s="116"/>
      <c r="AP13" s="116"/>
      <c r="AQ13" s="182">
        <f aca="true" t="shared" si="17" ref="AQ13:AQ24">SUM(AR13:AW13)</f>
        <v>0</v>
      </c>
      <c r="AR13" s="116"/>
      <c r="AS13" s="116"/>
      <c r="AT13" s="116"/>
      <c r="AU13" s="116"/>
      <c r="AV13" s="116"/>
      <c r="AW13" s="102">
        <f>SUM(AX13:BC13)</f>
        <v>0</v>
      </c>
      <c r="AX13" s="182">
        <f>SUM(AY13:BD13)</f>
        <v>0</v>
      </c>
      <c r="AY13" s="116"/>
      <c r="AZ13" s="116"/>
      <c r="BA13" s="116"/>
      <c r="BB13" s="116"/>
      <c r="BC13" s="116"/>
      <c r="BD13" s="102">
        <f>SUM(BE13:BJ13)</f>
        <v>0</v>
      </c>
      <c r="BE13" s="182">
        <f>SUM(BF13:BK13)</f>
        <v>0</v>
      </c>
      <c r="BF13" s="116"/>
      <c r="BG13" s="116"/>
      <c r="BH13" s="116"/>
      <c r="BI13" s="116"/>
      <c r="BJ13" s="116"/>
      <c r="BK13" s="102">
        <f>SUM(BL13:BQ13)</f>
        <v>0</v>
      </c>
      <c r="BL13" s="182">
        <f>SUM(BM13:BR13)</f>
        <v>0</v>
      </c>
      <c r="BM13" s="116"/>
      <c r="BN13" s="116"/>
      <c r="BO13" s="116"/>
      <c r="BP13" s="116"/>
      <c r="BQ13" s="116"/>
      <c r="BR13" s="102">
        <f>SUM(BS13:BX13)</f>
        <v>0</v>
      </c>
      <c r="BS13" s="182">
        <f>SUM(BT13:BY13)</f>
        <v>0</v>
      </c>
      <c r="BT13" s="116"/>
      <c r="BU13" s="116"/>
      <c r="BV13" s="116"/>
      <c r="BW13" s="116"/>
      <c r="BX13" s="116"/>
      <c r="BY13" s="102">
        <f>SUM(BZ13:CE13)</f>
        <v>0</v>
      </c>
      <c r="BZ13" s="182">
        <f>SUM(CA13:CF13)</f>
        <v>0</v>
      </c>
      <c r="CA13" s="116"/>
      <c r="CB13" s="116"/>
      <c r="CC13" s="116"/>
      <c r="CD13" s="116"/>
      <c r="CE13" s="116"/>
      <c r="CF13" s="102">
        <f aca="true" t="shared" si="18" ref="CF13:CG18">SUM(CG13:CL13)</f>
        <v>0</v>
      </c>
      <c r="CG13" s="182">
        <f t="shared" si="18"/>
        <v>0</v>
      </c>
      <c r="CH13" s="116"/>
      <c r="CI13" s="116"/>
      <c r="CJ13" s="116"/>
      <c r="CK13" s="116"/>
      <c r="CL13" s="116"/>
      <c r="CM13" s="102">
        <f aca="true" t="shared" si="19" ref="CM13:CM18">SUM(CN13:CR13)</f>
        <v>0</v>
      </c>
      <c r="CN13" s="180" t="s">
        <v>459</v>
      </c>
      <c r="CO13" s="447"/>
      <c r="CP13" s="183"/>
      <c r="CQ13" s="183"/>
      <c r="CR13" s="116"/>
      <c r="CS13" s="184"/>
    </row>
    <row r="14" spans="1:97" s="445" customFormat="1" ht="25.5" customHeight="1">
      <c r="A14" s="180" t="s">
        <v>687</v>
      </c>
      <c r="B14" s="181" t="s">
        <v>621</v>
      </c>
      <c r="C14" s="122"/>
      <c r="D14" s="185"/>
      <c r="E14" s="180" t="s">
        <v>30</v>
      </c>
      <c r="F14" s="180"/>
      <c r="G14" s="180"/>
      <c r="H14" s="287"/>
      <c r="I14" s="180" t="s">
        <v>27</v>
      </c>
      <c r="J14" s="349"/>
      <c r="K14" s="349"/>
      <c r="L14" s="288"/>
      <c r="M14" s="360">
        <v>117</v>
      </c>
      <c r="N14" s="361">
        <f t="shared" si="12"/>
        <v>183</v>
      </c>
      <c r="O14" s="361">
        <f t="shared" si="13"/>
        <v>122</v>
      </c>
      <c r="P14" s="361">
        <f t="shared" si="14"/>
        <v>122</v>
      </c>
      <c r="Q14" s="361">
        <f t="shared" si="14"/>
        <v>0</v>
      </c>
      <c r="R14" s="361">
        <f t="shared" si="14"/>
        <v>0</v>
      </c>
      <c r="S14" s="361">
        <f t="shared" si="14"/>
        <v>0</v>
      </c>
      <c r="T14" s="361">
        <f t="shared" si="14"/>
        <v>0</v>
      </c>
      <c r="U14" s="361">
        <f t="shared" si="14"/>
        <v>61</v>
      </c>
      <c r="V14" s="289">
        <f t="shared" si="15"/>
        <v>51</v>
      </c>
      <c r="W14" s="116">
        <v>34</v>
      </c>
      <c r="X14" s="116"/>
      <c r="Y14" s="290"/>
      <c r="Z14" s="290"/>
      <c r="AA14" s="290"/>
      <c r="AB14" s="116">
        <v>17</v>
      </c>
      <c r="AC14" s="289">
        <f t="shared" si="16"/>
        <v>132</v>
      </c>
      <c r="AD14" s="116">
        <v>88</v>
      </c>
      <c r="AE14" s="116"/>
      <c r="AF14" s="290"/>
      <c r="AG14" s="290"/>
      <c r="AH14" s="290"/>
      <c r="AI14" s="116">
        <v>44</v>
      </c>
      <c r="AJ14" s="182"/>
      <c r="AK14" s="116"/>
      <c r="AL14" s="116"/>
      <c r="AM14" s="116"/>
      <c r="AN14" s="116"/>
      <c r="AO14" s="116"/>
      <c r="AP14" s="116"/>
      <c r="AQ14" s="182"/>
      <c r="AR14" s="116"/>
      <c r="AS14" s="116"/>
      <c r="AT14" s="116"/>
      <c r="AU14" s="116"/>
      <c r="AV14" s="116"/>
      <c r="AW14" s="102"/>
      <c r="AX14" s="182">
        <f aca="true" t="shared" si="20" ref="AX14:AX24">SUM(AY14:BD14)</f>
        <v>0</v>
      </c>
      <c r="AY14" s="116"/>
      <c r="AZ14" s="116"/>
      <c r="BA14" s="116"/>
      <c r="BB14" s="116"/>
      <c r="BC14" s="116"/>
      <c r="BD14" s="102"/>
      <c r="BE14" s="182">
        <f>SUM(BF14:BK14)</f>
        <v>0</v>
      </c>
      <c r="BF14" s="116"/>
      <c r="BG14" s="116"/>
      <c r="BH14" s="116"/>
      <c r="BI14" s="116"/>
      <c r="BJ14" s="116"/>
      <c r="BK14" s="102"/>
      <c r="BL14" s="182">
        <f>SUM(BM14:BR14)</f>
        <v>0</v>
      </c>
      <c r="BM14" s="116"/>
      <c r="BN14" s="116"/>
      <c r="BO14" s="116"/>
      <c r="BP14" s="116"/>
      <c r="BQ14" s="116"/>
      <c r="BR14" s="102"/>
      <c r="BS14" s="182">
        <f>SUM(BT14:BY14)</f>
        <v>0</v>
      </c>
      <c r="BT14" s="116"/>
      <c r="BU14" s="116"/>
      <c r="BV14" s="116"/>
      <c r="BW14" s="116"/>
      <c r="BX14" s="116"/>
      <c r="BY14" s="102"/>
      <c r="BZ14" s="182">
        <f>SUM(CA14:CF14)</f>
        <v>0</v>
      </c>
      <c r="CA14" s="116"/>
      <c r="CB14" s="116"/>
      <c r="CC14" s="116"/>
      <c r="CD14" s="116"/>
      <c r="CE14" s="116"/>
      <c r="CF14" s="102">
        <f t="shared" si="18"/>
        <v>0</v>
      </c>
      <c r="CG14" s="182">
        <f t="shared" si="18"/>
        <v>0</v>
      </c>
      <c r="CH14" s="116"/>
      <c r="CI14" s="116"/>
      <c r="CJ14" s="116"/>
      <c r="CK14" s="116"/>
      <c r="CL14" s="116"/>
      <c r="CM14" s="102">
        <f t="shared" si="19"/>
        <v>0</v>
      </c>
      <c r="CN14" s="180" t="s">
        <v>459</v>
      </c>
      <c r="CO14" s="447"/>
      <c r="CP14" s="183"/>
      <c r="CQ14" s="183"/>
      <c r="CR14" s="116"/>
      <c r="CS14" s="184"/>
    </row>
    <row r="15" spans="1:97" s="445" customFormat="1" ht="25.5" customHeight="1">
      <c r="A15" s="180" t="s">
        <v>688</v>
      </c>
      <c r="B15" s="181" t="s">
        <v>133</v>
      </c>
      <c r="C15" s="122"/>
      <c r="D15" s="180"/>
      <c r="E15" s="180" t="s">
        <v>30</v>
      </c>
      <c r="F15" s="180"/>
      <c r="G15" s="180"/>
      <c r="H15" s="287"/>
      <c r="I15" s="180" t="s">
        <v>27</v>
      </c>
      <c r="J15" s="349"/>
      <c r="K15" s="349"/>
      <c r="L15" s="288"/>
      <c r="M15" s="116">
        <v>117</v>
      </c>
      <c r="N15" s="361">
        <f t="shared" si="12"/>
        <v>175</v>
      </c>
      <c r="O15" s="361">
        <f>SUM(P15:R15)</f>
        <v>117</v>
      </c>
      <c r="P15" s="361">
        <f t="shared" si="14"/>
        <v>0</v>
      </c>
      <c r="Q15" s="361">
        <f t="shared" si="14"/>
        <v>117</v>
      </c>
      <c r="R15" s="361">
        <f>Y15+AF15</f>
        <v>0</v>
      </c>
      <c r="S15" s="361">
        <f t="shared" si="14"/>
        <v>0</v>
      </c>
      <c r="T15" s="361">
        <f t="shared" si="14"/>
        <v>0</v>
      </c>
      <c r="U15" s="361">
        <f t="shared" si="14"/>
        <v>58</v>
      </c>
      <c r="V15" s="289">
        <f t="shared" si="15"/>
        <v>76</v>
      </c>
      <c r="W15" s="116"/>
      <c r="X15" s="116">
        <v>51</v>
      </c>
      <c r="Y15" s="290"/>
      <c r="Z15" s="290"/>
      <c r="AA15" s="290"/>
      <c r="AB15" s="116">
        <v>25</v>
      </c>
      <c r="AC15" s="289">
        <f t="shared" si="16"/>
        <v>99</v>
      </c>
      <c r="AD15" s="116"/>
      <c r="AE15" s="116">
        <v>66</v>
      </c>
      <c r="AF15" s="290"/>
      <c r="AG15" s="290"/>
      <c r="AH15" s="290"/>
      <c r="AI15" s="116">
        <v>33</v>
      </c>
      <c r="AJ15" s="182">
        <f>SUM(AK15:AP15)</f>
        <v>0</v>
      </c>
      <c r="AK15" s="116"/>
      <c r="AL15" s="116"/>
      <c r="AM15" s="116"/>
      <c r="AN15" s="116"/>
      <c r="AO15" s="116"/>
      <c r="AP15" s="116"/>
      <c r="AQ15" s="182">
        <f t="shared" si="17"/>
        <v>0</v>
      </c>
      <c r="AR15" s="116"/>
      <c r="AS15" s="116"/>
      <c r="AT15" s="116"/>
      <c r="AU15" s="116"/>
      <c r="AV15" s="116"/>
      <c r="AW15" s="102">
        <f>SUM(AX15:BC15)</f>
        <v>0</v>
      </c>
      <c r="AX15" s="182">
        <f t="shared" si="20"/>
        <v>0</v>
      </c>
      <c r="AY15" s="116"/>
      <c r="AZ15" s="116"/>
      <c r="BA15" s="116"/>
      <c r="BB15" s="116"/>
      <c r="BC15" s="116"/>
      <c r="BD15" s="102">
        <f>SUM(BE15:BJ15)</f>
        <v>0</v>
      </c>
      <c r="BE15" s="182">
        <f>SUM(BF15:BK15)</f>
        <v>0</v>
      </c>
      <c r="BF15" s="116"/>
      <c r="BG15" s="116"/>
      <c r="BH15" s="116"/>
      <c r="BI15" s="116"/>
      <c r="BJ15" s="116"/>
      <c r="BK15" s="102">
        <f>SUM(BL15:BQ15)</f>
        <v>0</v>
      </c>
      <c r="BL15" s="182">
        <f>SUM(BM15:BR15)</f>
        <v>0</v>
      </c>
      <c r="BM15" s="116"/>
      <c r="BN15" s="116"/>
      <c r="BO15" s="116"/>
      <c r="BP15" s="116"/>
      <c r="BQ15" s="116"/>
      <c r="BR15" s="102">
        <f>SUM(BS15:BX15)</f>
        <v>0</v>
      </c>
      <c r="BS15" s="182">
        <f>SUM(BT15:BY15)</f>
        <v>0</v>
      </c>
      <c r="BT15" s="116"/>
      <c r="BU15" s="116"/>
      <c r="BV15" s="116"/>
      <c r="BW15" s="116"/>
      <c r="BX15" s="116"/>
      <c r="BY15" s="102">
        <f>SUM(BZ15:CE15)</f>
        <v>0</v>
      </c>
      <c r="BZ15" s="182">
        <f>SUM(CA15:CF15)</f>
        <v>0</v>
      </c>
      <c r="CA15" s="116"/>
      <c r="CB15" s="116"/>
      <c r="CC15" s="116"/>
      <c r="CD15" s="116"/>
      <c r="CE15" s="116"/>
      <c r="CF15" s="102">
        <f t="shared" si="18"/>
        <v>0</v>
      </c>
      <c r="CG15" s="182">
        <f t="shared" si="18"/>
        <v>0</v>
      </c>
      <c r="CH15" s="116"/>
      <c r="CI15" s="116"/>
      <c r="CJ15" s="116"/>
      <c r="CK15" s="116"/>
      <c r="CL15" s="116"/>
      <c r="CM15" s="102">
        <f t="shared" si="19"/>
        <v>0</v>
      </c>
      <c r="CN15" s="180" t="s">
        <v>459</v>
      </c>
      <c r="CO15" s="447"/>
      <c r="CP15" s="183"/>
      <c r="CQ15" s="183"/>
      <c r="CR15" s="116"/>
      <c r="CS15" s="184"/>
    </row>
    <row r="16" spans="1:97" s="445" customFormat="1" ht="25.5" customHeight="1">
      <c r="A16" s="180" t="s">
        <v>689</v>
      </c>
      <c r="B16" s="181" t="s">
        <v>132</v>
      </c>
      <c r="C16" s="122"/>
      <c r="D16" s="180"/>
      <c r="E16" s="180" t="s">
        <v>30</v>
      </c>
      <c r="F16" s="180"/>
      <c r="G16" s="180"/>
      <c r="H16" s="287"/>
      <c r="I16" s="180" t="s">
        <v>27</v>
      </c>
      <c r="J16" s="349"/>
      <c r="K16" s="349"/>
      <c r="L16" s="288"/>
      <c r="M16" s="116">
        <v>117</v>
      </c>
      <c r="N16" s="361">
        <f t="shared" si="12"/>
        <v>175</v>
      </c>
      <c r="O16" s="361">
        <f t="shared" si="13"/>
        <v>117</v>
      </c>
      <c r="P16" s="361">
        <f t="shared" si="14"/>
        <v>117</v>
      </c>
      <c r="Q16" s="361">
        <f t="shared" si="14"/>
        <v>0</v>
      </c>
      <c r="R16" s="361">
        <f t="shared" si="14"/>
        <v>0</v>
      </c>
      <c r="S16" s="361">
        <f t="shared" si="14"/>
        <v>0</v>
      </c>
      <c r="T16" s="361">
        <f t="shared" si="14"/>
        <v>0</v>
      </c>
      <c r="U16" s="361">
        <f t="shared" si="14"/>
        <v>58</v>
      </c>
      <c r="V16" s="289">
        <f t="shared" si="15"/>
        <v>76</v>
      </c>
      <c r="W16" s="116">
        <v>51</v>
      </c>
      <c r="X16" s="116"/>
      <c r="Y16" s="290"/>
      <c r="Z16" s="290"/>
      <c r="AA16" s="290"/>
      <c r="AB16" s="116">
        <v>25</v>
      </c>
      <c r="AC16" s="289">
        <f t="shared" si="16"/>
        <v>99</v>
      </c>
      <c r="AD16" s="116">
        <v>66</v>
      </c>
      <c r="AE16" s="116"/>
      <c r="AF16" s="290"/>
      <c r="AG16" s="290"/>
      <c r="AH16" s="290"/>
      <c r="AI16" s="116">
        <v>33</v>
      </c>
      <c r="AJ16" s="182">
        <f>SUM(AK16:AP16)</f>
        <v>0</v>
      </c>
      <c r="AK16" s="116"/>
      <c r="AL16" s="116"/>
      <c r="AM16" s="116"/>
      <c r="AN16" s="116"/>
      <c r="AO16" s="116"/>
      <c r="AP16" s="116"/>
      <c r="AQ16" s="182">
        <f t="shared" si="17"/>
        <v>0</v>
      </c>
      <c r="AR16" s="116"/>
      <c r="AS16" s="116"/>
      <c r="AT16" s="116"/>
      <c r="AU16" s="116"/>
      <c r="AV16" s="116"/>
      <c r="AW16" s="102">
        <f>SUM(AX16:BC16)</f>
        <v>0</v>
      </c>
      <c r="AX16" s="182">
        <f t="shared" si="20"/>
        <v>0</v>
      </c>
      <c r="AY16" s="116"/>
      <c r="AZ16" s="116"/>
      <c r="BA16" s="116"/>
      <c r="BB16" s="116"/>
      <c r="BC16" s="116"/>
      <c r="BD16" s="102">
        <f>SUM(BE16:BJ16)</f>
        <v>0</v>
      </c>
      <c r="BE16" s="182">
        <f>SUM(BF16:BK16)</f>
        <v>0</v>
      </c>
      <c r="BF16" s="116"/>
      <c r="BG16" s="116"/>
      <c r="BH16" s="116"/>
      <c r="BI16" s="116"/>
      <c r="BJ16" s="116"/>
      <c r="BK16" s="102">
        <f>SUM(BL16:BQ16)</f>
        <v>0</v>
      </c>
      <c r="BL16" s="182">
        <f>SUM(BM16:BR16)</f>
        <v>0</v>
      </c>
      <c r="BM16" s="116"/>
      <c r="BN16" s="116"/>
      <c r="BO16" s="116"/>
      <c r="BP16" s="116"/>
      <c r="BQ16" s="116"/>
      <c r="BR16" s="102">
        <f>SUM(BS16:BX16)</f>
        <v>0</v>
      </c>
      <c r="BS16" s="182">
        <f>SUM(BT16:BY16)</f>
        <v>0</v>
      </c>
      <c r="BT16" s="116"/>
      <c r="BU16" s="116"/>
      <c r="BV16" s="116"/>
      <c r="BW16" s="116"/>
      <c r="BX16" s="116"/>
      <c r="BY16" s="102">
        <f>SUM(BZ16:CE16)</f>
        <v>0</v>
      </c>
      <c r="BZ16" s="182">
        <f>SUM(CA16:CF16)</f>
        <v>0</v>
      </c>
      <c r="CA16" s="116"/>
      <c r="CB16" s="116"/>
      <c r="CC16" s="116"/>
      <c r="CD16" s="116"/>
      <c r="CE16" s="116"/>
      <c r="CF16" s="102">
        <f t="shared" si="18"/>
        <v>0</v>
      </c>
      <c r="CG16" s="182">
        <f t="shared" si="18"/>
        <v>0</v>
      </c>
      <c r="CH16" s="116"/>
      <c r="CI16" s="116"/>
      <c r="CJ16" s="116"/>
      <c r="CK16" s="116"/>
      <c r="CL16" s="116"/>
      <c r="CM16" s="102">
        <f t="shared" si="19"/>
        <v>0</v>
      </c>
      <c r="CN16" s="180" t="s">
        <v>459</v>
      </c>
      <c r="CO16" s="447"/>
      <c r="CP16" s="183"/>
      <c r="CQ16" s="183"/>
      <c r="CR16" s="116"/>
      <c r="CS16" s="184"/>
    </row>
    <row r="17" spans="1:97" s="445" customFormat="1" ht="25.5" customHeight="1">
      <c r="A17" s="180" t="s">
        <v>690</v>
      </c>
      <c r="B17" s="181" t="s">
        <v>7</v>
      </c>
      <c r="C17" s="122"/>
      <c r="D17" s="180"/>
      <c r="E17" s="180" t="s">
        <v>278</v>
      </c>
      <c r="F17" s="180"/>
      <c r="G17" s="180"/>
      <c r="H17" s="287"/>
      <c r="I17" s="180"/>
      <c r="J17" s="349"/>
      <c r="K17" s="349"/>
      <c r="L17" s="288"/>
      <c r="M17" s="116">
        <v>117</v>
      </c>
      <c r="N17" s="361">
        <f t="shared" si="12"/>
        <v>176</v>
      </c>
      <c r="O17" s="361">
        <f t="shared" si="13"/>
        <v>117</v>
      </c>
      <c r="P17" s="361">
        <f t="shared" si="14"/>
        <v>117</v>
      </c>
      <c r="Q17" s="361">
        <f t="shared" si="14"/>
        <v>0</v>
      </c>
      <c r="R17" s="361">
        <f t="shared" si="14"/>
        <v>0</v>
      </c>
      <c r="S17" s="361">
        <f t="shared" si="14"/>
        <v>0</v>
      </c>
      <c r="T17" s="361">
        <f t="shared" si="14"/>
        <v>0</v>
      </c>
      <c r="U17" s="361">
        <f t="shared" si="14"/>
        <v>59</v>
      </c>
      <c r="V17" s="289">
        <f t="shared" si="15"/>
        <v>77</v>
      </c>
      <c r="W17" s="116">
        <v>51</v>
      </c>
      <c r="X17" s="116"/>
      <c r="Y17" s="290"/>
      <c r="Z17" s="290"/>
      <c r="AA17" s="290"/>
      <c r="AB17" s="116">
        <v>26</v>
      </c>
      <c r="AC17" s="289">
        <f t="shared" si="16"/>
        <v>99</v>
      </c>
      <c r="AD17" s="116">
        <v>66</v>
      </c>
      <c r="AE17" s="116"/>
      <c r="AF17" s="290"/>
      <c r="AG17" s="290"/>
      <c r="AH17" s="290"/>
      <c r="AI17" s="116">
        <v>33</v>
      </c>
      <c r="AJ17" s="182">
        <f>SUM(AK17:AP17)</f>
        <v>0</v>
      </c>
      <c r="AK17" s="116"/>
      <c r="AL17" s="116"/>
      <c r="AM17" s="116"/>
      <c r="AN17" s="116"/>
      <c r="AO17" s="116"/>
      <c r="AP17" s="116"/>
      <c r="AQ17" s="182">
        <f t="shared" si="17"/>
        <v>0</v>
      </c>
      <c r="AR17" s="116"/>
      <c r="AS17" s="116"/>
      <c r="AT17" s="116"/>
      <c r="AU17" s="116"/>
      <c r="AV17" s="116"/>
      <c r="AW17" s="102">
        <f>SUM(AX17:BC17)</f>
        <v>0</v>
      </c>
      <c r="AX17" s="182">
        <f t="shared" si="20"/>
        <v>0</v>
      </c>
      <c r="AY17" s="116"/>
      <c r="AZ17" s="116"/>
      <c r="BA17" s="116"/>
      <c r="BB17" s="116"/>
      <c r="BC17" s="116"/>
      <c r="BD17" s="102">
        <f>SUM(BE17:BJ17)</f>
        <v>0</v>
      </c>
      <c r="BE17" s="182">
        <f>SUM(BF17:BK17)</f>
        <v>0</v>
      </c>
      <c r="BF17" s="116"/>
      <c r="BG17" s="116"/>
      <c r="BH17" s="116"/>
      <c r="BI17" s="116"/>
      <c r="BJ17" s="116"/>
      <c r="BK17" s="102">
        <f>SUM(BL17:BQ17)</f>
        <v>0</v>
      </c>
      <c r="BL17" s="182">
        <f>SUM(BM17:BR17)</f>
        <v>0</v>
      </c>
      <c r="BM17" s="116"/>
      <c r="BN17" s="116"/>
      <c r="BO17" s="116"/>
      <c r="BP17" s="116"/>
      <c r="BQ17" s="116"/>
      <c r="BR17" s="102">
        <f>SUM(BS17:BX17)</f>
        <v>0</v>
      </c>
      <c r="BS17" s="182">
        <f>SUM(BT17:BY17)</f>
        <v>0</v>
      </c>
      <c r="BT17" s="116"/>
      <c r="BU17" s="116"/>
      <c r="BV17" s="116"/>
      <c r="BW17" s="116"/>
      <c r="BX17" s="116"/>
      <c r="BY17" s="102">
        <f>SUM(BZ17:CE17)</f>
        <v>0</v>
      </c>
      <c r="BZ17" s="182">
        <f>SUM(CA17:CF17)</f>
        <v>0</v>
      </c>
      <c r="CA17" s="116"/>
      <c r="CB17" s="116"/>
      <c r="CC17" s="116"/>
      <c r="CD17" s="116"/>
      <c r="CE17" s="116"/>
      <c r="CF17" s="102">
        <f t="shared" si="18"/>
        <v>0</v>
      </c>
      <c r="CG17" s="182">
        <f t="shared" si="18"/>
        <v>0</v>
      </c>
      <c r="CH17" s="116"/>
      <c r="CI17" s="116"/>
      <c r="CJ17" s="116"/>
      <c r="CK17" s="116"/>
      <c r="CL17" s="116"/>
      <c r="CM17" s="102">
        <f t="shared" si="19"/>
        <v>0</v>
      </c>
      <c r="CN17" s="180" t="s">
        <v>704</v>
      </c>
      <c r="CO17" s="447"/>
      <c r="CP17" s="183"/>
      <c r="CQ17" s="183"/>
      <c r="CR17" s="116"/>
      <c r="CS17" s="184"/>
    </row>
    <row r="18" spans="1:97" s="445" customFormat="1" ht="26.25" customHeight="1">
      <c r="A18" s="180" t="s">
        <v>691</v>
      </c>
      <c r="B18" s="181" t="s">
        <v>457</v>
      </c>
      <c r="C18" s="122"/>
      <c r="D18" s="180"/>
      <c r="E18" s="180" t="s">
        <v>30</v>
      </c>
      <c r="F18" s="180"/>
      <c r="G18" s="180"/>
      <c r="H18" s="287"/>
      <c r="I18" s="180" t="s">
        <v>27</v>
      </c>
      <c r="J18" s="349"/>
      <c r="K18" s="349"/>
      <c r="L18" s="288"/>
      <c r="M18" s="116">
        <v>70</v>
      </c>
      <c r="N18" s="361">
        <f t="shared" si="12"/>
        <v>105</v>
      </c>
      <c r="O18" s="361">
        <f t="shared" si="13"/>
        <v>70</v>
      </c>
      <c r="P18" s="361">
        <f t="shared" si="14"/>
        <v>70</v>
      </c>
      <c r="Q18" s="361">
        <f t="shared" si="14"/>
        <v>0</v>
      </c>
      <c r="R18" s="361">
        <f t="shared" si="14"/>
        <v>0</v>
      </c>
      <c r="S18" s="361">
        <f t="shared" si="14"/>
        <v>0</v>
      </c>
      <c r="T18" s="361">
        <f t="shared" si="14"/>
        <v>0</v>
      </c>
      <c r="U18" s="361">
        <f t="shared" si="14"/>
        <v>35</v>
      </c>
      <c r="V18" s="289">
        <f t="shared" si="15"/>
        <v>51</v>
      </c>
      <c r="W18" s="116">
        <v>34</v>
      </c>
      <c r="X18" s="116"/>
      <c r="Y18" s="290"/>
      <c r="Z18" s="290"/>
      <c r="AA18" s="290"/>
      <c r="AB18" s="116">
        <v>17</v>
      </c>
      <c r="AC18" s="289">
        <f t="shared" si="16"/>
        <v>54</v>
      </c>
      <c r="AD18" s="116">
        <v>36</v>
      </c>
      <c r="AE18" s="116"/>
      <c r="AF18" s="290"/>
      <c r="AG18" s="290"/>
      <c r="AH18" s="290"/>
      <c r="AI18" s="116">
        <v>18</v>
      </c>
      <c r="AJ18" s="182">
        <f>SUM(AK18:AP18)</f>
        <v>0</v>
      </c>
      <c r="AK18" s="116"/>
      <c r="AL18" s="116"/>
      <c r="AM18" s="116"/>
      <c r="AN18" s="116"/>
      <c r="AO18" s="116"/>
      <c r="AP18" s="116"/>
      <c r="AQ18" s="182">
        <f t="shared" si="17"/>
        <v>0</v>
      </c>
      <c r="AR18" s="116"/>
      <c r="AS18" s="116"/>
      <c r="AT18" s="116"/>
      <c r="AU18" s="116"/>
      <c r="AV18" s="116"/>
      <c r="AW18" s="102">
        <f>SUM(AX18:BC18)</f>
        <v>0</v>
      </c>
      <c r="AX18" s="182">
        <f t="shared" si="20"/>
        <v>0</v>
      </c>
      <c r="AY18" s="116"/>
      <c r="AZ18" s="116"/>
      <c r="BA18" s="116"/>
      <c r="BB18" s="116"/>
      <c r="BC18" s="116"/>
      <c r="BD18" s="102">
        <f>SUM(BE18:BJ18)</f>
        <v>0</v>
      </c>
      <c r="BE18" s="182">
        <f>SUM(BF18:BK18)</f>
        <v>0</v>
      </c>
      <c r="BF18" s="116"/>
      <c r="BG18" s="116"/>
      <c r="BH18" s="116"/>
      <c r="BI18" s="116"/>
      <c r="BJ18" s="116"/>
      <c r="BK18" s="102">
        <f>SUM(BL18:BQ18)</f>
        <v>0</v>
      </c>
      <c r="BL18" s="182">
        <f>SUM(BM18:BR18)</f>
        <v>0</v>
      </c>
      <c r="BM18" s="116"/>
      <c r="BN18" s="116"/>
      <c r="BO18" s="116"/>
      <c r="BP18" s="116"/>
      <c r="BQ18" s="116"/>
      <c r="BR18" s="102">
        <f>SUM(BS18:BX18)</f>
        <v>0</v>
      </c>
      <c r="BS18" s="182">
        <f>SUM(BT18:BY18)</f>
        <v>0</v>
      </c>
      <c r="BT18" s="116"/>
      <c r="BU18" s="116"/>
      <c r="BV18" s="116"/>
      <c r="BW18" s="116"/>
      <c r="BX18" s="116"/>
      <c r="BY18" s="102">
        <f>SUM(BZ18:CE18)</f>
        <v>0</v>
      </c>
      <c r="BZ18" s="182">
        <f>SUM(CA18:CF18)</f>
        <v>0</v>
      </c>
      <c r="CA18" s="116"/>
      <c r="CB18" s="116"/>
      <c r="CC18" s="116"/>
      <c r="CD18" s="116"/>
      <c r="CE18" s="116"/>
      <c r="CF18" s="102">
        <f t="shared" si="18"/>
        <v>0</v>
      </c>
      <c r="CG18" s="182">
        <f t="shared" si="18"/>
        <v>0</v>
      </c>
      <c r="CH18" s="116"/>
      <c r="CI18" s="116"/>
      <c r="CJ18" s="116"/>
      <c r="CK18" s="116"/>
      <c r="CL18" s="116"/>
      <c r="CM18" s="102">
        <f t="shared" si="19"/>
        <v>0</v>
      </c>
      <c r="CN18" s="199" t="s">
        <v>475</v>
      </c>
      <c r="CO18" s="447"/>
      <c r="CP18" s="183"/>
      <c r="CQ18" s="183"/>
      <c r="CR18" s="116"/>
      <c r="CS18" s="184"/>
    </row>
    <row r="19" spans="1:98" s="445" customFormat="1" ht="25.5" customHeight="1">
      <c r="A19" s="180" t="s">
        <v>692</v>
      </c>
      <c r="B19" s="181" t="s">
        <v>543</v>
      </c>
      <c r="C19" s="122"/>
      <c r="D19" s="180"/>
      <c r="E19" s="180" t="s">
        <v>30</v>
      </c>
      <c r="F19" s="180"/>
      <c r="G19" s="180"/>
      <c r="H19" s="287"/>
      <c r="I19" s="180"/>
      <c r="J19" s="349"/>
      <c r="K19" s="349"/>
      <c r="L19" s="288"/>
      <c r="M19" s="116">
        <v>36</v>
      </c>
      <c r="N19" s="361">
        <f t="shared" si="12"/>
        <v>54</v>
      </c>
      <c r="O19" s="361">
        <f t="shared" si="13"/>
        <v>36</v>
      </c>
      <c r="P19" s="361">
        <f t="shared" si="14"/>
        <v>36</v>
      </c>
      <c r="Q19" s="361">
        <f t="shared" si="14"/>
        <v>0</v>
      </c>
      <c r="R19" s="361">
        <f t="shared" si="14"/>
        <v>0</v>
      </c>
      <c r="S19" s="361">
        <f t="shared" si="14"/>
        <v>0</v>
      </c>
      <c r="T19" s="361">
        <f t="shared" si="14"/>
        <v>0</v>
      </c>
      <c r="U19" s="361">
        <f t="shared" si="14"/>
        <v>18</v>
      </c>
      <c r="V19" s="289">
        <f t="shared" si="15"/>
        <v>0</v>
      </c>
      <c r="W19" s="116"/>
      <c r="X19" s="116"/>
      <c r="Y19" s="290"/>
      <c r="Z19" s="290"/>
      <c r="AA19" s="290"/>
      <c r="AB19" s="116"/>
      <c r="AC19" s="289">
        <f t="shared" si="16"/>
        <v>54</v>
      </c>
      <c r="AD19" s="116">
        <v>36</v>
      </c>
      <c r="AE19" s="116"/>
      <c r="AF19" s="290"/>
      <c r="AG19" s="290"/>
      <c r="AH19" s="290"/>
      <c r="AI19" s="116">
        <v>18</v>
      </c>
      <c r="AJ19" s="182"/>
      <c r="AK19" s="116"/>
      <c r="AL19" s="116"/>
      <c r="AM19" s="116"/>
      <c r="AN19" s="116"/>
      <c r="AO19" s="116"/>
      <c r="AP19" s="116"/>
      <c r="AQ19" s="182"/>
      <c r="AR19" s="116"/>
      <c r="AS19" s="116"/>
      <c r="AT19" s="116"/>
      <c r="AU19" s="116"/>
      <c r="AV19" s="116"/>
      <c r="AW19" s="102"/>
      <c r="AX19" s="182">
        <f t="shared" si="20"/>
        <v>0</v>
      </c>
      <c r="AY19" s="116"/>
      <c r="AZ19" s="116"/>
      <c r="BA19" s="116"/>
      <c r="BB19" s="116"/>
      <c r="BC19" s="116"/>
      <c r="BD19" s="102"/>
      <c r="BE19" s="182"/>
      <c r="BF19" s="116"/>
      <c r="BG19" s="116"/>
      <c r="BH19" s="116"/>
      <c r="BI19" s="116"/>
      <c r="BJ19" s="116"/>
      <c r="BK19" s="102"/>
      <c r="BL19" s="182"/>
      <c r="BM19" s="116"/>
      <c r="BN19" s="116"/>
      <c r="BO19" s="116"/>
      <c r="BP19" s="116"/>
      <c r="BQ19" s="116"/>
      <c r="BR19" s="102"/>
      <c r="BS19" s="182"/>
      <c r="BT19" s="116"/>
      <c r="BU19" s="116"/>
      <c r="BV19" s="116"/>
      <c r="BW19" s="116"/>
      <c r="BX19" s="116"/>
      <c r="BY19" s="102"/>
      <c r="BZ19" s="182"/>
      <c r="CA19" s="116"/>
      <c r="CB19" s="116"/>
      <c r="CC19" s="116"/>
      <c r="CD19" s="116"/>
      <c r="CE19" s="116"/>
      <c r="CF19" s="102"/>
      <c r="CG19" s="182"/>
      <c r="CH19" s="116"/>
      <c r="CI19" s="116"/>
      <c r="CJ19" s="116"/>
      <c r="CK19" s="116"/>
      <c r="CL19" s="116"/>
      <c r="CM19" s="102"/>
      <c r="CN19" s="180" t="s">
        <v>460</v>
      </c>
      <c r="CO19" s="447"/>
      <c r="CP19" s="183"/>
      <c r="CQ19" s="186"/>
      <c r="CR19" s="117"/>
      <c r="CS19" s="118"/>
      <c r="CT19" s="448"/>
    </row>
    <row r="20" spans="1:98" s="445" customFormat="1" ht="25.5" customHeight="1">
      <c r="A20" s="180" t="s">
        <v>693</v>
      </c>
      <c r="B20" s="181" t="s">
        <v>622</v>
      </c>
      <c r="C20" s="122"/>
      <c r="D20" s="180"/>
      <c r="E20" s="180" t="s">
        <v>30</v>
      </c>
      <c r="F20" s="180"/>
      <c r="G20" s="180"/>
      <c r="H20" s="287"/>
      <c r="I20" s="180" t="s">
        <v>27</v>
      </c>
      <c r="J20" s="349"/>
      <c r="K20" s="349"/>
      <c r="L20" s="288"/>
      <c r="M20" s="116">
        <v>78</v>
      </c>
      <c r="N20" s="361">
        <f>SUM(O20)+U20</f>
        <v>117</v>
      </c>
      <c r="O20" s="361">
        <f>SUM(P20:R20)</f>
        <v>78</v>
      </c>
      <c r="P20" s="361">
        <f>W20+AD20</f>
        <v>56</v>
      </c>
      <c r="Q20" s="361">
        <f t="shared" si="14"/>
        <v>22</v>
      </c>
      <c r="R20" s="361">
        <f t="shared" si="14"/>
        <v>0</v>
      </c>
      <c r="S20" s="361">
        <f t="shared" si="14"/>
        <v>0</v>
      </c>
      <c r="T20" s="361">
        <f t="shared" si="14"/>
        <v>0</v>
      </c>
      <c r="U20" s="361">
        <f>AB20+AI20</f>
        <v>39</v>
      </c>
      <c r="V20" s="289">
        <f>SUM(W20:AA20)+AB20</f>
        <v>51</v>
      </c>
      <c r="W20" s="116">
        <v>34</v>
      </c>
      <c r="X20" s="116"/>
      <c r="Y20" s="290"/>
      <c r="Z20" s="290"/>
      <c r="AA20" s="290"/>
      <c r="AB20" s="116">
        <v>17</v>
      </c>
      <c r="AC20" s="289">
        <f>SUM(AD20:AH20)+AI20</f>
        <v>66</v>
      </c>
      <c r="AD20" s="116">
        <v>22</v>
      </c>
      <c r="AE20" s="116">
        <v>22</v>
      </c>
      <c r="AF20" s="290"/>
      <c r="AG20" s="290"/>
      <c r="AH20" s="290"/>
      <c r="AI20" s="116">
        <v>22</v>
      </c>
      <c r="AJ20" s="182">
        <f aca="true" t="shared" si="21" ref="AJ20:AJ27">SUM(AK20:AP20)</f>
        <v>0</v>
      </c>
      <c r="AK20" s="116"/>
      <c r="AL20" s="116"/>
      <c r="AM20" s="116"/>
      <c r="AN20" s="116"/>
      <c r="AO20" s="116"/>
      <c r="AP20" s="116"/>
      <c r="AQ20" s="182">
        <f>SUM(AR20:AW20)</f>
        <v>0</v>
      </c>
      <c r="AR20" s="116"/>
      <c r="AS20" s="116"/>
      <c r="AT20" s="116"/>
      <c r="AU20" s="116"/>
      <c r="AV20" s="116"/>
      <c r="AW20" s="102">
        <f>SUM(AX20:BC20)</f>
        <v>0</v>
      </c>
      <c r="AX20" s="182">
        <f t="shared" si="20"/>
        <v>0</v>
      </c>
      <c r="AY20" s="116"/>
      <c r="AZ20" s="116"/>
      <c r="BA20" s="116"/>
      <c r="BB20" s="116"/>
      <c r="BC20" s="116"/>
      <c r="BD20" s="102">
        <f>SUM(BE20:BJ20)</f>
        <v>0</v>
      </c>
      <c r="BE20" s="182">
        <f>SUM(BF20:BK20)</f>
        <v>0</v>
      </c>
      <c r="BF20" s="116"/>
      <c r="BG20" s="116"/>
      <c r="BH20" s="116"/>
      <c r="BI20" s="116"/>
      <c r="BJ20" s="116"/>
      <c r="BK20" s="102">
        <f>SUM(BL20:BQ20)</f>
        <v>0</v>
      </c>
      <c r="BL20" s="182">
        <f>SUM(BM20:BR20)</f>
        <v>0</v>
      </c>
      <c r="BM20" s="116"/>
      <c r="BN20" s="116"/>
      <c r="BO20" s="116"/>
      <c r="BP20" s="116"/>
      <c r="BQ20" s="116"/>
      <c r="BR20" s="102">
        <f>SUM(BS20:BX20)</f>
        <v>0</v>
      </c>
      <c r="BS20" s="182">
        <f>SUM(BT20:BY20)</f>
        <v>0</v>
      </c>
      <c r="BT20" s="116"/>
      <c r="BU20" s="116"/>
      <c r="BV20" s="116"/>
      <c r="BW20" s="116"/>
      <c r="BX20" s="116"/>
      <c r="BY20" s="102">
        <f>SUM(BZ20:CE20)</f>
        <v>0</v>
      </c>
      <c r="BZ20" s="182">
        <f>SUM(CA20:CF20)</f>
        <v>0</v>
      </c>
      <c r="CA20" s="116"/>
      <c r="CB20" s="116"/>
      <c r="CC20" s="116"/>
      <c r="CD20" s="116"/>
      <c r="CE20" s="116"/>
      <c r="CF20" s="102">
        <f>SUM(CG20:CL20)</f>
        <v>0</v>
      </c>
      <c r="CG20" s="182">
        <f>SUM(CH20:CM20)</f>
        <v>0</v>
      </c>
      <c r="CH20" s="116"/>
      <c r="CI20" s="116"/>
      <c r="CJ20" s="116"/>
      <c r="CK20" s="116"/>
      <c r="CL20" s="116"/>
      <c r="CM20" s="102">
        <f>SUM(CN20:CR20)</f>
        <v>0</v>
      </c>
      <c r="CN20" s="180" t="s">
        <v>460</v>
      </c>
      <c r="CO20" s="447"/>
      <c r="CP20" s="183"/>
      <c r="CQ20" s="186"/>
      <c r="CR20" s="117"/>
      <c r="CS20" s="118"/>
      <c r="CT20" s="448"/>
    </row>
    <row r="21" spans="1:98" s="445" customFormat="1" ht="25.5" customHeight="1">
      <c r="A21" s="180" t="s">
        <v>694</v>
      </c>
      <c r="B21" s="181" t="s">
        <v>695</v>
      </c>
      <c r="C21" s="122"/>
      <c r="D21" s="180"/>
      <c r="E21" s="180" t="s">
        <v>30</v>
      </c>
      <c r="F21" s="180"/>
      <c r="G21" s="180"/>
      <c r="H21" s="287"/>
      <c r="I21" s="180" t="s">
        <v>27</v>
      </c>
      <c r="J21" s="349"/>
      <c r="K21" s="349"/>
      <c r="L21" s="288"/>
      <c r="M21" s="116">
        <v>108</v>
      </c>
      <c r="N21" s="361">
        <f>SUM(O21)+U21</f>
        <v>170</v>
      </c>
      <c r="O21" s="361">
        <f>SUM(P21:R21)</f>
        <v>113</v>
      </c>
      <c r="P21" s="361">
        <f>W21+AD21</f>
        <v>113</v>
      </c>
      <c r="Q21" s="361">
        <f t="shared" si="14"/>
        <v>0</v>
      </c>
      <c r="R21" s="361"/>
      <c r="S21" s="361"/>
      <c r="T21" s="361"/>
      <c r="U21" s="361">
        <f>AB21+AI21</f>
        <v>57</v>
      </c>
      <c r="V21" s="289">
        <f>SUM(W21:AA21)+AB21</f>
        <v>71</v>
      </c>
      <c r="W21" s="116">
        <v>47</v>
      </c>
      <c r="X21" s="116"/>
      <c r="Y21" s="290"/>
      <c r="Z21" s="290"/>
      <c r="AA21" s="290"/>
      <c r="AB21" s="116">
        <v>24</v>
      </c>
      <c r="AC21" s="289"/>
      <c r="AD21" s="116">
        <v>66</v>
      </c>
      <c r="AE21" s="116"/>
      <c r="AF21" s="290"/>
      <c r="AG21" s="290"/>
      <c r="AH21" s="290"/>
      <c r="AI21" s="116">
        <v>33</v>
      </c>
      <c r="AJ21" s="182"/>
      <c r="AK21" s="116"/>
      <c r="AL21" s="116"/>
      <c r="AM21" s="116"/>
      <c r="AN21" s="116"/>
      <c r="AO21" s="116"/>
      <c r="AP21" s="116"/>
      <c r="AQ21" s="182"/>
      <c r="AR21" s="116"/>
      <c r="AS21" s="116"/>
      <c r="AT21" s="116"/>
      <c r="AU21" s="116"/>
      <c r="AV21" s="116"/>
      <c r="AW21" s="102"/>
      <c r="AX21" s="182"/>
      <c r="AY21" s="116"/>
      <c r="AZ21" s="116"/>
      <c r="BA21" s="116"/>
      <c r="BB21" s="116"/>
      <c r="BC21" s="116"/>
      <c r="BD21" s="102"/>
      <c r="BE21" s="182"/>
      <c r="BF21" s="116"/>
      <c r="BG21" s="116"/>
      <c r="BH21" s="116"/>
      <c r="BI21" s="116"/>
      <c r="BJ21" s="116"/>
      <c r="BK21" s="102"/>
      <c r="BL21" s="182"/>
      <c r="BM21" s="116"/>
      <c r="BN21" s="116"/>
      <c r="BO21" s="116"/>
      <c r="BP21" s="116"/>
      <c r="BQ21" s="116"/>
      <c r="BR21" s="102"/>
      <c r="BS21" s="182"/>
      <c r="BT21" s="116"/>
      <c r="BU21" s="116"/>
      <c r="BV21" s="116"/>
      <c r="BW21" s="116"/>
      <c r="BX21" s="116"/>
      <c r="BY21" s="102"/>
      <c r="BZ21" s="182"/>
      <c r="CA21" s="116"/>
      <c r="CB21" s="116"/>
      <c r="CC21" s="116"/>
      <c r="CD21" s="116"/>
      <c r="CE21" s="116"/>
      <c r="CF21" s="102"/>
      <c r="CG21" s="182"/>
      <c r="CH21" s="116"/>
      <c r="CI21" s="116"/>
      <c r="CJ21" s="116"/>
      <c r="CK21" s="116"/>
      <c r="CL21" s="116"/>
      <c r="CM21" s="102"/>
      <c r="CN21" s="180" t="s">
        <v>459</v>
      </c>
      <c r="CO21" s="447"/>
      <c r="CP21" s="183"/>
      <c r="CQ21" s="186"/>
      <c r="CR21" s="117"/>
      <c r="CS21" s="118"/>
      <c r="CT21" s="448"/>
    </row>
    <row r="22" spans="1:98" s="445" customFormat="1" ht="25.5" customHeight="1">
      <c r="A22" s="180" t="s">
        <v>696</v>
      </c>
      <c r="B22" s="181" t="s">
        <v>697</v>
      </c>
      <c r="C22" s="122"/>
      <c r="D22" s="180"/>
      <c r="E22" s="180" t="s">
        <v>27</v>
      </c>
      <c r="F22" s="180"/>
      <c r="G22" s="180"/>
      <c r="H22" s="287"/>
      <c r="I22" s="180"/>
      <c r="J22" s="349"/>
      <c r="K22" s="349"/>
      <c r="L22" s="288"/>
      <c r="M22" s="116">
        <v>36</v>
      </c>
      <c r="N22" s="361">
        <f>SUM(O22)+U22</f>
        <v>54</v>
      </c>
      <c r="O22" s="361">
        <f>SUM(P22:R22)</f>
        <v>36</v>
      </c>
      <c r="P22" s="361">
        <f>W22+AD22</f>
        <v>36</v>
      </c>
      <c r="Q22" s="361">
        <f t="shared" si="14"/>
        <v>0</v>
      </c>
      <c r="R22" s="361"/>
      <c r="S22" s="361"/>
      <c r="T22" s="361"/>
      <c r="U22" s="361">
        <f>AB22+AI22</f>
        <v>18</v>
      </c>
      <c r="V22" s="289">
        <f>SUM(W22:AA22)+AB22</f>
        <v>54</v>
      </c>
      <c r="W22" s="116">
        <v>36</v>
      </c>
      <c r="X22" s="116"/>
      <c r="Y22" s="290"/>
      <c r="Z22" s="290"/>
      <c r="AA22" s="290"/>
      <c r="AB22" s="116">
        <v>18</v>
      </c>
      <c r="AC22" s="289"/>
      <c r="AD22" s="116"/>
      <c r="AE22" s="116"/>
      <c r="AF22" s="290"/>
      <c r="AG22" s="290"/>
      <c r="AH22" s="290"/>
      <c r="AI22" s="116"/>
      <c r="AJ22" s="182"/>
      <c r="AK22" s="116"/>
      <c r="AL22" s="116"/>
      <c r="AM22" s="116"/>
      <c r="AN22" s="116"/>
      <c r="AO22" s="116"/>
      <c r="AP22" s="116"/>
      <c r="AQ22" s="182"/>
      <c r="AR22" s="116"/>
      <c r="AS22" s="116"/>
      <c r="AT22" s="116"/>
      <c r="AU22" s="116"/>
      <c r="AV22" s="116"/>
      <c r="AW22" s="102"/>
      <c r="AX22" s="182"/>
      <c r="AY22" s="116"/>
      <c r="AZ22" s="116"/>
      <c r="BA22" s="116"/>
      <c r="BB22" s="116"/>
      <c r="BC22" s="116"/>
      <c r="BD22" s="102"/>
      <c r="BE22" s="182"/>
      <c r="BF22" s="116"/>
      <c r="BG22" s="116"/>
      <c r="BH22" s="116"/>
      <c r="BI22" s="116"/>
      <c r="BJ22" s="116"/>
      <c r="BK22" s="102"/>
      <c r="BL22" s="182"/>
      <c r="BM22" s="116"/>
      <c r="BN22" s="116"/>
      <c r="BO22" s="116"/>
      <c r="BP22" s="116"/>
      <c r="BQ22" s="116"/>
      <c r="BR22" s="102"/>
      <c r="BS22" s="182"/>
      <c r="BT22" s="116"/>
      <c r="BU22" s="116"/>
      <c r="BV22" s="116"/>
      <c r="BW22" s="116"/>
      <c r="BX22" s="116"/>
      <c r="BY22" s="102"/>
      <c r="BZ22" s="182"/>
      <c r="CA22" s="116"/>
      <c r="CB22" s="116"/>
      <c r="CC22" s="116"/>
      <c r="CD22" s="116"/>
      <c r="CE22" s="116"/>
      <c r="CF22" s="102"/>
      <c r="CG22" s="182"/>
      <c r="CH22" s="116"/>
      <c r="CI22" s="116"/>
      <c r="CJ22" s="116"/>
      <c r="CK22" s="116"/>
      <c r="CL22" s="116"/>
      <c r="CM22" s="102"/>
      <c r="CN22" s="180" t="s">
        <v>460</v>
      </c>
      <c r="CO22" s="447"/>
      <c r="CP22" s="183"/>
      <c r="CQ22" s="186"/>
      <c r="CR22" s="117"/>
      <c r="CS22" s="118"/>
      <c r="CT22" s="448"/>
    </row>
    <row r="23" spans="1:98" s="445" customFormat="1" ht="25.5" customHeight="1">
      <c r="A23" s="180" t="s">
        <v>698</v>
      </c>
      <c r="B23" s="181" t="s">
        <v>699</v>
      </c>
      <c r="C23" s="122"/>
      <c r="D23" s="180"/>
      <c r="E23" s="180" t="s">
        <v>27</v>
      </c>
      <c r="F23" s="180"/>
      <c r="G23" s="180"/>
      <c r="H23" s="287"/>
      <c r="I23" s="180"/>
      <c r="J23" s="349"/>
      <c r="K23" s="349"/>
      <c r="L23" s="288"/>
      <c r="M23" s="116">
        <v>36</v>
      </c>
      <c r="N23" s="361">
        <f>SUM(O23)+U23</f>
        <v>54</v>
      </c>
      <c r="O23" s="361">
        <f>SUM(P23:R23)</f>
        <v>36</v>
      </c>
      <c r="P23" s="361">
        <f>W23+AD23</f>
        <v>36</v>
      </c>
      <c r="Q23" s="361">
        <f t="shared" si="14"/>
        <v>0</v>
      </c>
      <c r="R23" s="361"/>
      <c r="S23" s="361"/>
      <c r="T23" s="361"/>
      <c r="U23" s="361">
        <f>AB23+AI23</f>
        <v>18</v>
      </c>
      <c r="V23" s="289">
        <f>SUM(W23:AA23)+AB23</f>
        <v>54</v>
      </c>
      <c r="W23" s="116">
        <v>36</v>
      </c>
      <c r="X23" s="116"/>
      <c r="Y23" s="290"/>
      <c r="Z23" s="290"/>
      <c r="AA23" s="290"/>
      <c r="AB23" s="116">
        <v>18</v>
      </c>
      <c r="AC23" s="289"/>
      <c r="AD23" s="116"/>
      <c r="AE23" s="116"/>
      <c r="AF23" s="290"/>
      <c r="AG23" s="290"/>
      <c r="AH23" s="290"/>
      <c r="AI23" s="116"/>
      <c r="AJ23" s="182"/>
      <c r="AK23" s="116"/>
      <c r="AL23" s="116"/>
      <c r="AM23" s="116"/>
      <c r="AN23" s="116"/>
      <c r="AO23" s="116"/>
      <c r="AP23" s="116"/>
      <c r="AQ23" s="182"/>
      <c r="AR23" s="116"/>
      <c r="AS23" s="116"/>
      <c r="AT23" s="116"/>
      <c r="AU23" s="116"/>
      <c r="AV23" s="116"/>
      <c r="AW23" s="102"/>
      <c r="AX23" s="182"/>
      <c r="AY23" s="116"/>
      <c r="AZ23" s="116"/>
      <c r="BA23" s="116"/>
      <c r="BB23" s="116"/>
      <c r="BC23" s="116"/>
      <c r="BD23" s="102"/>
      <c r="BE23" s="182"/>
      <c r="BF23" s="116"/>
      <c r="BG23" s="116"/>
      <c r="BH23" s="116"/>
      <c r="BI23" s="116"/>
      <c r="BJ23" s="116"/>
      <c r="BK23" s="102"/>
      <c r="BL23" s="182"/>
      <c r="BM23" s="116"/>
      <c r="BN23" s="116"/>
      <c r="BO23" s="116"/>
      <c r="BP23" s="116"/>
      <c r="BQ23" s="116"/>
      <c r="BR23" s="102"/>
      <c r="BS23" s="182"/>
      <c r="BT23" s="116"/>
      <c r="BU23" s="116"/>
      <c r="BV23" s="116"/>
      <c r="BW23" s="116"/>
      <c r="BX23" s="116"/>
      <c r="BY23" s="102"/>
      <c r="BZ23" s="182"/>
      <c r="CA23" s="116"/>
      <c r="CB23" s="116"/>
      <c r="CC23" s="116"/>
      <c r="CD23" s="116"/>
      <c r="CE23" s="116"/>
      <c r="CF23" s="102"/>
      <c r="CG23" s="182"/>
      <c r="CH23" s="116"/>
      <c r="CI23" s="116"/>
      <c r="CJ23" s="116"/>
      <c r="CK23" s="116"/>
      <c r="CL23" s="116"/>
      <c r="CM23" s="102"/>
      <c r="CN23" s="180" t="s">
        <v>460</v>
      </c>
      <c r="CO23" s="447"/>
      <c r="CP23" s="183"/>
      <c r="CQ23" s="186"/>
      <c r="CR23" s="117"/>
      <c r="CS23" s="118"/>
      <c r="CT23" s="448"/>
    </row>
    <row r="24" spans="1:97" s="445" customFormat="1" ht="25.5" customHeight="1">
      <c r="A24" s="291"/>
      <c r="B24" s="661" t="s">
        <v>544</v>
      </c>
      <c r="C24" s="661"/>
      <c r="D24" s="661"/>
      <c r="E24" s="661"/>
      <c r="F24" s="661"/>
      <c r="G24" s="661"/>
      <c r="H24" s="661"/>
      <c r="I24" s="661"/>
      <c r="J24" s="348"/>
      <c r="K24" s="348"/>
      <c r="L24" s="292" t="s">
        <v>22</v>
      </c>
      <c r="M24" s="292">
        <f>SUM(M25:M27)</f>
        <v>455</v>
      </c>
      <c r="N24" s="292">
        <f>SUM(N25:N27)</f>
        <v>726</v>
      </c>
      <c r="O24" s="292">
        <f aca="true" t="shared" si="22" ref="O24:AI24">SUM(O25:O27)</f>
        <v>484</v>
      </c>
      <c r="P24" s="292">
        <f t="shared" si="22"/>
        <v>417</v>
      </c>
      <c r="Q24" s="292">
        <f t="shared" si="22"/>
        <v>67</v>
      </c>
      <c r="R24" s="292">
        <f t="shared" si="22"/>
        <v>0</v>
      </c>
      <c r="S24" s="292"/>
      <c r="T24" s="292">
        <f t="shared" si="22"/>
        <v>0</v>
      </c>
      <c r="U24" s="292">
        <f t="shared" si="22"/>
        <v>242</v>
      </c>
      <c r="V24" s="292">
        <f t="shared" si="22"/>
        <v>306</v>
      </c>
      <c r="W24" s="292">
        <f t="shared" si="22"/>
        <v>170</v>
      </c>
      <c r="X24" s="292">
        <f t="shared" si="22"/>
        <v>34</v>
      </c>
      <c r="Y24" s="292">
        <f t="shared" si="22"/>
        <v>0</v>
      </c>
      <c r="Z24" s="292"/>
      <c r="AA24" s="292">
        <f t="shared" si="22"/>
        <v>0</v>
      </c>
      <c r="AB24" s="292">
        <f t="shared" si="22"/>
        <v>102</v>
      </c>
      <c r="AC24" s="292">
        <f t="shared" si="22"/>
        <v>420</v>
      </c>
      <c r="AD24" s="292">
        <f t="shared" si="22"/>
        <v>247</v>
      </c>
      <c r="AE24" s="292">
        <f t="shared" si="22"/>
        <v>33</v>
      </c>
      <c r="AF24" s="292">
        <f t="shared" si="22"/>
        <v>0</v>
      </c>
      <c r="AG24" s="292"/>
      <c r="AH24" s="292">
        <f t="shared" si="22"/>
        <v>0</v>
      </c>
      <c r="AI24" s="292">
        <f t="shared" si="22"/>
        <v>140</v>
      </c>
      <c r="AJ24" s="197">
        <f t="shared" si="21"/>
        <v>0</v>
      </c>
      <c r="AK24" s="246"/>
      <c r="AL24" s="246"/>
      <c r="AM24" s="246"/>
      <c r="AN24" s="246"/>
      <c r="AO24" s="246"/>
      <c r="AP24" s="246"/>
      <c r="AQ24" s="197">
        <f t="shared" si="17"/>
        <v>0</v>
      </c>
      <c r="AR24" s="246"/>
      <c r="AS24" s="246"/>
      <c r="AT24" s="246"/>
      <c r="AU24" s="246"/>
      <c r="AV24" s="246"/>
      <c r="AW24" s="197">
        <f>SUM(AX24:BC24)</f>
        <v>0</v>
      </c>
      <c r="AX24" s="197">
        <f t="shared" si="20"/>
        <v>0</v>
      </c>
      <c r="AY24" s="246"/>
      <c r="AZ24" s="246"/>
      <c r="BA24" s="246"/>
      <c r="BB24" s="246"/>
      <c r="BC24" s="246"/>
      <c r="BD24" s="197">
        <f>SUM(BE24:BJ24)</f>
        <v>0</v>
      </c>
      <c r="BE24" s="197">
        <f>SUM(BF24:BK24)</f>
        <v>0</v>
      </c>
      <c r="BF24" s="246"/>
      <c r="BG24" s="246"/>
      <c r="BH24" s="246"/>
      <c r="BI24" s="246"/>
      <c r="BJ24" s="246"/>
      <c r="BK24" s="197">
        <f>SUM(BL24:BQ24)</f>
        <v>0</v>
      </c>
      <c r="BL24" s="197">
        <f>SUM(BM24:BR24)</f>
        <v>0</v>
      </c>
      <c r="BM24" s="246"/>
      <c r="BN24" s="246"/>
      <c r="BO24" s="246"/>
      <c r="BP24" s="246"/>
      <c r="BQ24" s="246"/>
      <c r="BR24" s="197">
        <f>SUM(BS24:BX24)</f>
        <v>0</v>
      </c>
      <c r="BS24" s="197">
        <f>SUM(BT24:BY24)</f>
        <v>0</v>
      </c>
      <c r="BT24" s="246"/>
      <c r="BU24" s="246"/>
      <c r="BV24" s="246"/>
      <c r="BW24" s="246"/>
      <c r="BX24" s="246"/>
      <c r="BY24" s="197">
        <f>SUM(BZ24:CE24)</f>
        <v>0</v>
      </c>
      <c r="BZ24" s="197">
        <f>SUM(CA24:CF24)</f>
        <v>0</v>
      </c>
      <c r="CA24" s="246"/>
      <c r="CB24" s="246"/>
      <c r="CC24" s="246"/>
      <c r="CD24" s="246"/>
      <c r="CE24" s="246"/>
      <c r="CF24" s="197">
        <f>SUM(CG24:CL24)</f>
        <v>0</v>
      </c>
      <c r="CG24" s="197">
        <f>SUM(CH24:CM24)</f>
        <v>0</v>
      </c>
      <c r="CH24" s="246"/>
      <c r="CI24" s="246"/>
      <c r="CJ24" s="246"/>
      <c r="CK24" s="246"/>
      <c r="CL24" s="246"/>
      <c r="CM24" s="197">
        <f>SUM(CN24:CR24)</f>
        <v>0</v>
      </c>
      <c r="CN24" s="195"/>
      <c r="CO24" s="195"/>
      <c r="CP24" s="183"/>
      <c r="CQ24" s="183"/>
      <c r="CR24" s="116"/>
      <c r="CS24" s="184"/>
    </row>
    <row r="25" spans="1:98" s="445" customFormat="1" ht="25.5" customHeight="1">
      <c r="A25" s="180" t="s">
        <v>700</v>
      </c>
      <c r="B25" s="181" t="s">
        <v>134</v>
      </c>
      <c r="C25" s="122"/>
      <c r="D25" s="180" t="s">
        <v>30</v>
      </c>
      <c r="E25" s="180"/>
      <c r="F25" s="180"/>
      <c r="G25" s="180"/>
      <c r="H25" s="287"/>
      <c r="I25" s="287" t="s">
        <v>27</v>
      </c>
      <c r="J25" s="349"/>
      <c r="K25" s="349"/>
      <c r="L25" s="290"/>
      <c r="M25" s="116">
        <v>234</v>
      </c>
      <c r="N25" s="361">
        <f>O25+SUM(U25)</f>
        <v>384</v>
      </c>
      <c r="O25" s="361">
        <f>SUM(P25:R25)</f>
        <v>256</v>
      </c>
      <c r="P25" s="361">
        <f aca="true" t="shared" si="23" ref="P25:U27">W25+AD25</f>
        <v>256</v>
      </c>
      <c r="Q25" s="361">
        <f t="shared" si="23"/>
        <v>0</v>
      </c>
      <c r="R25" s="361">
        <f t="shared" si="23"/>
        <v>0</v>
      </c>
      <c r="S25" s="361">
        <f t="shared" si="23"/>
        <v>0</v>
      </c>
      <c r="T25" s="361">
        <f t="shared" si="23"/>
        <v>0</v>
      </c>
      <c r="U25" s="361">
        <f t="shared" si="23"/>
        <v>128</v>
      </c>
      <c r="V25" s="289">
        <f>SUM(W25:AA25)+AB25</f>
        <v>153</v>
      </c>
      <c r="W25" s="116">
        <v>102</v>
      </c>
      <c r="X25" s="116"/>
      <c r="Y25" s="116"/>
      <c r="Z25" s="290"/>
      <c r="AA25" s="290"/>
      <c r="AB25" s="116">
        <v>51</v>
      </c>
      <c r="AC25" s="289">
        <f>SUM(AD25:AH25)+AI25</f>
        <v>231</v>
      </c>
      <c r="AD25" s="116">
        <v>154</v>
      </c>
      <c r="AE25" s="116"/>
      <c r="AF25" s="290"/>
      <c r="AG25" s="290"/>
      <c r="AH25" s="290"/>
      <c r="AI25" s="116">
        <v>77</v>
      </c>
      <c r="AJ25" s="182">
        <f t="shared" si="21"/>
        <v>0</v>
      </c>
      <c r="AK25" s="102">
        <f>SUM(AK27:AK27)</f>
        <v>0</v>
      </c>
      <c r="AL25" s="102">
        <f>SUM(AL27:AL27)</f>
        <v>0</v>
      </c>
      <c r="AM25" s="102">
        <f>SUM(AM27:AM27)</f>
        <v>0</v>
      </c>
      <c r="AN25" s="102"/>
      <c r="AO25" s="102">
        <f>SUM(AO27:AO27)</f>
        <v>0</v>
      </c>
      <c r="AP25" s="102">
        <f>SUM(AP27:AP27)</f>
        <v>0</v>
      </c>
      <c r="AQ25" s="182">
        <f>SUM(AR25:AW25)</f>
        <v>0</v>
      </c>
      <c r="AR25" s="102">
        <f>SUM(AR27:AR27)</f>
        <v>0</v>
      </c>
      <c r="AS25" s="102">
        <f>SUM(AS27:AS27)</f>
        <v>0</v>
      </c>
      <c r="AT25" s="102">
        <f>SUM(AT27:AT27)</f>
        <v>0</v>
      </c>
      <c r="AU25" s="102"/>
      <c r="AV25" s="102">
        <f>SUM(AV27:AV27)</f>
        <v>0</v>
      </c>
      <c r="AW25" s="102">
        <f>SUM(AW27:AW27)</f>
        <v>0</v>
      </c>
      <c r="AX25" s="182">
        <f aca="true" t="shared" si="24" ref="AW25:AX27">SUM(AY25:BD25)</f>
        <v>0</v>
      </c>
      <c r="AY25" s="102">
        <f>SUM(AY27:AY27)</f>
        <v>0</v>
      </c>
      <c r="AZ25" s="102">
        <f>SUM(AZ27:AZ27)</f>
        <v>0</v>
      </c>
      <c r="BA25" s="102">
        <f>SUM(BA27:BA27)</f>
        <v>0</v>
      </c>
      <c r="BB25" s="102"/>
      <c r="BC25" s="102">
        <f>SUM(BC27:BC27)</f>
        <v>0</v>
      </c>
      <c r="BD25" s="102">
        <f>SUM(BD27:BD27)</f>
        <v>0</v>
      </c>
      <c r="BE25" s="182">
        <f aca="true" t="shared" si="25" ref="BD25:BE27">SUM(BF25:BK25)</f>
        <v>0</v>
      </c>
      <c r="BF25" s="102">
        <f>SUM(BF27:BF27)</f>
        <v>0</v>
      </c>
      <c r="BG25" s="102">
        <f>SUM(BG27:BG27)</f>
        <v>0</v>
      </c>
      <c r="BH25" s="102">
        <f>SUM(BH27:BH27)</f>
        <v>0</v>
      </c>
      <c r="BI25" s="102"/>
      <c r="BJ25" s="102">
        <f>SUM(BJ27:BJ27)</f>
        <v>0</v>
      </c>
      <c r="BK25" s="102">
        <f>SUM(BK27:BK27)</f>
        <v>0</v>
      </c>
      <c r="BL25" s="182">
        <f aca="true" t="shared" si="26" ref="BK25:BL27">SUM(BM25:BR25)</f>
        <v>0</v>
      </c>
      <c r="BM25" s="102">
        <f>SUM(BM27:BM27)</f>
        <v>0</v>
      </c>
      <c r="BN25" s="102">
        <f>SUM(BN27:BN27)</f>
        <v>0</v>
      </c>
      <c r="BO25" s="102">
        <f>SUM(BO27:BO27)</f>
        <v>0</v>
      </c>
      <c r="BP25" s="102"/>
      <c r="BQ25" s="102">
        <f>SUM(BQ27:BQ27)</f>
        <v>0</v>
      </c>
      <c r="BR25" s="102">
        <f>SUM(BR27:BR27)</f>
        <v>0</v>
      </c>
      <c r="BS25" s="182">
        <f aca="true" t="shared" si="27" ref="BR25:BS27">SUM(BT25:BY25)</f>
        <v>0</v>
      </c>
      <c r="BT25" s="102">
        <f>SUM(BT27:BT27)</f>
        <v>0</v>
      </c>
      <c r="BU25" s="102">
        <f>SUM(BU27:BU27)</f>
        <v>0</v>
      </c>
      <c r="BV25" s="102">
        <f>SUM(BV27:BV27)</f>
        <v>0</v>
      </c>
      <c r="BW25" s="102"/>
      <c r="BX25" s="102">
        <f>SUM(BX27:BX27)</f>
        <v>0</v>
      </c>
      <c r="BY25" s="102">
        <f>SUM(BY27:BY27)</f>
        <v>0</v>
      </c>
      <c r="BZ25" s="182">
        <f aca="true" t="shared" si="28" ref="BY25:BZ27">SUM(CA25:CF25)</f>
        <v>0</v>
      </c>
      <c r="CA25" s="102">
        <f>SUM(CA27:CA27)</f>
        <v>0</v>
      </c>
      <c r="CB25" s="102">
        <f>SUM(CB27:CB27)</f>
        <v>0</v>
      </c>
      <c r="CC25" s="102">
        <f>SUM(CC27:CC27)</f>
        <v>0</v>
      </c>
      <c r="CD25" s="102"/>
      <c r="CE25" s="102">
        <f>SUM(CE27:CE27)</f>
        <v>0</v>
      </c>
      <c r="CF25" s="102">
        <f>SUM(CF27:CF27)</f>
        <v>0</v>
      </c>
      <c r="CG25" s="182">
        <f aca="true" t="shared" si="29" ref="CF25:CG27">SUM(CH25:CM25)</f>
        <v>0</v>
      </c>
      <c r="CH25" s="102">
        <f>SUM(CH27:CH27)</f>
        <v>0</v>
      </c>
      <c r="CI25" s="102">
        <f>SUM(CI27:CI27)</f>
        <v>0</v>
      </c>
      <c r="CJ25" s="102">
        <f>SUM(CJ27:CJ27)</f>
        <v>0</v>
      </c>
      <c r="CK25" s="102"/>
      <c r="CL25" s="102">
        <f>SUM(CL27:CL27)</f>
        <v>0</v>
      </c>
      <c r="CM25" s="102">
        <f>SUM(CM27:CM27)</f>
        <v>0</v>
      </c>
      <c r="CN25" s="180" t="s">
        <v>460</v>
      </c>
      <c r="CO25" s="447"/>
      <c r="CP25" s="177">
        <f>SUM(CP27:CP27)</f>
        <v>0</v>
      </c>
      <c r="CQ25" s="187">
        <f>SUM(CQ27:CQ27)</f>
        <v>0</v>
      </c>
      <c r="CR25" s="103">
        <f>SUM(CR27:CR27)</f>
        <v>0</v>
      </c>
      <c r="CS25" s="188">
        <f>SUM(CS27:CS27)</f>
        <v>0</v>
      </c>
      <c r="CT25" s="448"/>
    </row>
    <row r="26" spans="1:97" s="445" customFormat="1" ht="25.5" customHeight="1">
      <c r="A26" s="180" t="s">
        <v>701</v>
      </c>
      <c r="B26" s="181" t="s">
        <v>135</v>
      </c>
      <c r="C26" s="122"/>
      <c r="D26" s="180"/>
      <c r="E26" s="180" t="s">
        <v>30</v>
      </c>
      <c r="F26" s="180"/>
      <c r="G26" s="180"/>
      <c r="H26" s="287"/>
      <c r="I26" s="287" t="s">
        <v>27</v>
      </c>
      <c r="J26" s="349"/>
      <c r="K26" s="349"/>
      <c r="L26" s="290"/>
      <c r="M26" s="116">
        <v>100</v>
      </c>
      <c r="N26" s="361">
        <f>O26+SUM(U26)</f>
        <v>150</v>
      </c>
      <c r="O26" s="361">
        <f>SUM(P26:R26)</f>
        <v>100</v>
      </c>
      <c r="P26" s="361">
        <f t="shared" si="23"/>
        <v>61</v>
      </c>
      <c r="Q26" s="361">
        <f t="shared" si="23"/>
        <v>39</v>
      </c>
      <c r="R26" s="361">
        <f t="shared" si="23"/>
        <v>0</v>
      </c>
      <c r="S26" s="361">
        <f t="shared" si="23"/>
        <v>0</v>
      </c>
      <c r="T26" s="361">
        <f t="shared" si="23"/>
        <v>0</v>
      </c>
      <c r="U26" s="361">
        <f t="shared" si="23"/>
        <v>50</v>
      </c>
      <c r="V26" s="289">
        <f>SUM(W26:AA26)+AB26</f>
        <v>51</v>
      </c>
      <c r="W26" s="116">
        <v>17</v>
      </c>
      <c r="X26" s="116">
        <v>17</v>
      </c>
      <c r="Y26" s="116"/>
      <c r="Z26" s="290"/>
      <c r="AA26" s="290"/>
      <c r="AB26" s="116">
        <v>17</v>
      </c>
      <c r="AC26" s="289">
        <f>SUM(AD26:AH26)+AI26</f>
        <v>99</v>
      </c>
      <c r="AD26" s="116">
        <v>44</v>
      </c>
      <c r="AE26" s="116">
        <v>22</v>
      </c>
      <c r="AF26" s="290"/>
      <c r="AG26" s="290"/>
      <c r="AH26" s="290"/>
      <c r="AI26" s="116">
        <v>33</v>
      </c>
      <c r="AJ26" s="182">
        <f t="shared" si="21"/>
        <v>0</v>
      </c>
      <c r="AK26" s="116"/>
      <c r="AL26" s="116"/>
      <c r="AM26" s="116"/>
      <c r="AN26" s="116"/>
      <c r="AO26" s="116"/>
      <c r="AP26" s="116"/>
      <c r="AQ26" s="182">
        <f>SUM(AR26:AW26)</f>
        <v>0</v>
      </c>
      <c r="AR26" s="116"/>
      <c r="AS26" s="116"/>
      <c r="AT26" s="116"/>
      <c r="AU26" s="116"/>
      <c r="AV26" s="116"/>
      <c r="AW26" s="102">
        <f t="shared" si="24"/>
        <v>0</v>
      </c>
      <c r="AX26" s="182">
        <f t="shared" si="24"/>
        <v>0</v>
      </c>
      <c r="AY26" s="116"/>
      <c r="AZ26" s="116"/>
      <c r="BA26" s="116"/>
      <c r="BB26" s="116"/>
      <c r="BC26" s="116"/>
      <c r="BD26" s="102">
        <f t="shared" si="25"/>
        <v>0</v>
      </c>
      <c r="BE26" s="182">
        <f t="shared" si="25"/>
        <v>0</v>
      </c>
      <c r="BF26" s="116"/>
      <c r="BG26" s="116"/>
      <c r="BH26" s="116"/>
      <c r="BI26" s="116"/>
      <c r="BJ26" s="116"/>
      <c r="BK26" s="102">
        <f t="shared" si="26"/>
        <v>0</v>
      </c>
      <c r="BL26" s="182">
        <f t="shared" si="26"/>
        <v>0</v>
      </c>
      <c r="BM26" s="116"/>
      <c r="BN26" s="116"/>
      <c r="BO26" s="116"/>
      <c r="BP26" s="116"/>
      <c r="BQ26" s="116"/>
      <c r="BR26" s="102">
        <f t="shared" si="27"/>
        <v>0</v>
      </c>
      <c r="BS26" s="182">
        <f t="shared" si="27"/>
        <v>0</v>
      </c>
      <c r="BT26" s="116"/>
      <c r="BU26" s="116"/>
      <c r="BV26" s="116"/>
      <c r="BW26" s="116"/>
      <c r="BX26" s="116"/>
      <c r="BY26" s="102">
        <f t="shared" si="28"/>
        <v>0</v>
      </c>
      <c r="BZ26" s="182">
        <f t="shared" si="28"/>
        <v>0</v>
      </c>
      <c r="CA26" s="116"/>
      <c r="CB26" s="116"/>
      <c r="CC26" s="116"/>
      <c r="CD26" s="116"/>
      <c r="CE26" s="116"/>
      <c r="CF26" s="102">
        <f t="shared" si="29"/>
        <v>0</v>
      </c>
      <c r="CG26" s="182">
        <f t="shared" si="29"/>
        <v>0</v>
      </c>
      <c r="CH26" s="116"/>
      <c r="CI26" s="116"/>
      <c r="CJ26" s="116"/>
      <c r="CK26" s="116"/>
      <c r="CL26" s="116"/>
      <c r="CM26" s="102">
        <f>SUM(CN26:CR26)</f>
        <v>0</v>
      </c>
      <c r="CN26" s="180" t="s">
        <v>460</v>
      </c>
      <c r="CO26" s="447"/>
      <c r="CP26" s="183"/>
      <c r="CQ26" s="183"/>
      <c r="CR26" s="116"/>
      <c r="CS26" s="184"/>
    </row>
    <row r="27" spans="1:98" s="445" customFormat="1" ht="25.5" customHeight="1">
      <c r="A27" s="180" t="s">
        <v>702</v>
      </c>
      <c r="B27" s="449" t="s">
        <v>174</v>
      </c>
      <c r="C27" s="362"/>
      <c r="D27" s="240" t="s">
        <v>30</v>
      </c>
      <c r="E27" s="240"/>
      <c r="F27" s="240"/>
      <c r="G27" s="240"/>
      <c r="H27" s="287"/>
      <c r="I27" s="287" t="s">
        <v>27</v>
      </c>
      <c r="J27" s="349"/>
      <c r="K27" s="349"/>
      <c r="L27" s="288"/>
      <c r="M27" s="116">
        <v>121</v>
      </c>
      <c r="N27" s="361">
        <f>O27+SUM(U27)</f>
        <v>192</v>
      </c>
      <c r="O27" s="361">
        <f>SUM(P27:R27)</f>
        <v>128</v>
      </c>
      <c r="P27" s="361">
        <f t="shared" si="23"/>
        <v>100</v>
      </c>
      <c r="Q27" s="361">
        <f t="shared" si="23"/>
        <v>28</v>
      </c>
      <c r="R27" s="361">
        <f t="shared" si="23"/>
        <v>0</v>
      </c>
      <c r="S27" s="361">
        <f t="shared" si="23"/>
        <v>0</v>
      </c>
      <c r="T27" s="361">
        <f t="shared" si="23"/>
        <v>0</v>
      </c>
      <c r="U27" s="361">
        <f t="shared" si="23"/>
        <v>64</v>
      </c>
      <c r="V27" s="289">
        <f>SUM(W27:AA27)+AB27</f>
        <v>102</v>
      </c>
      <c r="W27" s="116">
        <v>51</v>
      </c>
      <c r="X27" s="116">
        <v>17</v>
      </c>
      <c r="Y27" s="116"/>
      <c r="Z27" s="290"/>
      <c r="AA27" s="290"/>
      <c r="AB27" s="116">
        <v>34</v>
      </c>
      <c r="AC27" s="289">
        <f>SUM(AD27:AH27)+AI27</f>
        <v>90</v>
      </c>
      <c r="AD27" s="116">
        <v>49</v>
      </c>
      <c r="AE27" s="116">
        <v>11</v>
      </c>
      <c r="AF27" s="290"/>
      <c r="AG27" s="290"/>
      <c r="AH27" s="290"/>
      <c r="AI27" s="116">
        <v>30</v>
      </c>
      <c r="AJ27" s="182">
        <f t="shared" si="21"/>
        <v>0</v>
      </c>
      <c r="AK27" s="116"/>
      <c r="AL27" s="116"/>
      <c r="AM27" s="116"/>
      <c r="AN27" s="116"/>
      <c r="AO27" s="116"/>
      <c r="AP27" s="116"/>
      <c r="AQ27" s="182">
        <f>SUM(AR27:AW27)</f>
        <v>0</v>
      </c>
      <c r="AR27" s="116"/>
      <c r="AS27" s="116"/>
      <c r="AT27" s="116"/>
      <c r="AU27" s="116"/>
      <c r="AV27" s="116"/>
      <c r="AW27" s="102">
        <f t="shared" si="24"/>
        <v>0</v>
      </c>
      <c r="AX27" s="182">
        <f t="shared" si="24"/>
        <v>0</v>
      </c>
      <c r="AY27" s="116"/>
      <c r="AZ27" s="116"/>
      <c r="BA27" s="116"/>
      <c r="BB27" s="116"/>
      <c r="BC27" s="116"/>
      <c r="BD27" s="102">
        <f t="shared" si="25"/>
        <v>0</v>
      </c>
      <c r="BE27" s="182">
        <f t="shared" si="25"/>
        <v>0</v>
      </c>
      <c r="BF27" s="116"/>
      <c r="BG27" s="116"/>
      <c r="BH27" s="116"/>
      <c r="BI27" s="116"/>
      <c r="BJ27" s="116"/>
      <c r="BK27" s="102">
        <f t="shared" si="26"/>
        <v>0</v>
      </c>
      <c r="BL27" s="182">
        <f t="shared" si="26"/>
        <v>0</v>
      </c>
      <c r="BM27" s="116"/>
      <c r="BN27" s="116"/>
      <c r="BO27" s="116"/>
      <c r="BP27" s="116"/>
      <c r="BQ27" s="116"/>
      <c r="BR27" s="102">
        <f t="shared" si="27"/>
        <v>0</v>
      </c>
      <c r="BS27" s="182">
        <f t="shared" si="27"/>
        <v>0</v>
      </c>
      <c r="BT27" s="116"/>
      <c r="BU27" s="116"/>
      <c r="BV27" s="116"/>
      <c r="BW27" s="116"/>
      <c r="BX27" s="116"/>
      <c r="BY27" s="102">
        <f t="shared" si="28"/>
        <v>0</v>
      </c>
      <c r="BZ27" s="182">
        <f t="shared" si="28"/>
        <v>0</v>
      </c>
      <c r="CA27" s="116"/>
      <c r="CB27" s="116"/>
      <c r="CC27" s="116"/>
      <c r="CD27" s="116"/>
      <c r="CE27" s="116"/>
      <c r="CF27" s="102">
        <f t="shared" si="29"/>
        <v>0</v>
      </c>
      <c r="CG27" s="182">
        <f t="shared" si="29"/>
        <v>0</v>
      </c>
      <c r="CH27" s="116"/>
      <c r="CI27" s="116"/>
      <c r="CJ27" s="116"/>
      <c r="CK27" s="116"/>
      <c r="CL27" s="116"/>
      <c r="CM27" s="102">
        <f>SUM(CN27:CR27)</f>
        <v>0</v>
      </c>
      <c r="CN27" s="180" t="s">
        <v>460</v>
      </c>
      <c r="CO27" s="447"/>
      <c r="CP27" s="183"/>
      <c r="CQ27" s="186"/>
      <c r="CR27" s="117"/>
      <c r="CS27" s="118"/>
      <c r="CT27" s="448"/>
    </row>
    <row r="28" spans="1:93" s="48" customFormat="1" ht="25.5" customHeight="1">
      <c r="A28" s="266"/>
      <c r="B28" s="655" t="s">
        <v>357</v>
      </c>
      <c r="C28" s="656"/>
      <c r="D28" s="656"/>
      <c r="E28" s="656"/>
      <c r="F28" s="656"/>
      <c r="G28" s="656"/>
      <c r="H28" s="656"/>
      <c r="I28" s="657"/>
      <c r="J28" s="342">
        <f>K28*O28</f>
        <v>5494.5</v>
      </c>
      <c r="K28" s="343">
        <f>L28/M28</f>
        <v>1.5</v>
      </c>
      <c r="L28" s="173">
        <f>Нормы!D9</f>
        <v>3942</v>
      </c>
      <c r="M28" s="173">
        <f>Нормы!E9</f>
        <v>2628</v>
      </c>
      <c r="N28" s="173">
        <f aca="true" t="shared" si="30" ref="N28:AI28">N29+N35+N39</f>
        <v>5494</v>
      </c>
      <c r="O28" s="173">
        <f t="shared" si="30"/>
        <v>3663</v>
      </c>
      <c r="P28" s="173">
        <f t="shared" si="30"/>
        <v>2704</v>
      </c>
      <c r="Q28" s="173">
        <f t="shared" si="30"/>
        <v>876</v>
      </c>
      <c r="R28" s="173">
        <f t="shared" si="30"/>
        <v>83</v>
      </c>
      <c r="S28" s="173"/>
      <c r="T28" s="173">
        <f t="shared" si="30"/>
        <v>0</v>
      </c>
      <c r="U28" s="173">
        <f t="shared" si="30"/>
        <v>1831</v>
      </c>
      <c r="V28" s="173">
        <f t="shared" si="30"/>
        <v>0</v>
      </c>
      <c r="W28" s="173">
        <f t="shared" si="30"/>
        <v>0</v>
      </c>
      <c r="X28" s="173">
        <f t="shared" si="30"/>
        <v>0</v>
      </c>
      <c r="Y28" s="173">
        <f t="shared" si="30"/>
        <v>0</v>
      </c>
      <c r="Z28" s="173"/>
      <c r="AA28" s="173">
        <f t="shared" si="30"/>
        <v>0</v>
      </c>
      <c r="AB28" s="173">
        <f t="shared" si="30"/>
        <v>0</v>
      </c>
      <c r="AC28" s="173">
        <f t="shared" si="30"/>
        <v>0</v>
      </c>
      <c r="AD28" s="173">
        <f t="shared" si="30"/>
        <v>0</v>
      </c>
      <c r="AE28" s="173">
        <f t="shared" si="30"/>
        <v>0</v>
      </c>
      <c r="AF28" s="173">
        <f t="shared" si="30"/>
        <v>0</v>
      </c>
      <c r="AG28" s="173"/>
      <c r="AH28" s="173">
        <f t="shared" si="30"/>
        <v>0</v>
      </c>
      <c r="AI28" s="331">
        <f t="shared" si="30"/>
        <v>0</v>
      </c>
      <c r="AJ28" s="173">
        <f aca="true" t="shared" si="31" ref="AJ28:AP28">AJ29+AJ35+AJ39</f>
        <v>819</v>
      </c>
      <c r="AK28" s="173">
        <f t="shared" si="31"/>
        <v>436</v>
      </c>
      <c r="AL28" s="173">
        <f t="shared" si="31"/>
        <v>110</v>
      </c>
      <c r="AM28" s="173">
        <f t="shared" si="31"/>
        <v>0</v>
      </c>
      <c r="AN28" s="173"/>
      <c r="AO28" s="173">
        <f t="shared" si="31"/>
        <v>0</v>
      </c>
      <c r="AP28" s="331">
        <f t="shared" si="31"/>
        <v>273</v>
      </c>
      <c r="AQ28" s="173">
        <f aca="true" t="shared" si="32" ref="AQ28:AW28">AQ29+AQ35+AQ39</f>
        <v>841</v>
      </c>
      <c r="AR28" s="173">
        <f t="shared" si="32"/>
        <v>493</v>
      </c>
      <c r="AS28" s="173">
        <f t="shared" si="32"/>
        <v>68</v>
      </c>
      <c r="AT28" s="173">
        <f t="shared" si="32"/>
        <v>0</v>
      </c>
      <c r="AU28" s="173"/>
      <c r="AV28" s="173">
        <f t="shared" si="32"/>
        <v>0</v>
      </c>
      <c r="AW28" s="173">
        <f t="shared" si="32"/>
        <v>280</v>
      </c>
      <c r="AX28" s="173">
        <f aca="true" t="shared" si="33" ref="AX28:BD28">AX29+AX35+AX39</f>
        <v>864</v>
      </c>
      <c r="AY28" s="173">
        <f t="shared" si="33"/>
        <v>454</v>
      </c>
      <c r="AZ28" s="173">
        <f t="shared" si="33"/>
        <v>122</v>
      </c>
      <c r="BA28" s="173">
        <f t="shared" si="33"/>
        <v>0</v>
      </c>
      <c r="BB28" s="173"/>
      <c r="BC28" s="173">
        <f t="shared" si="33"/>
        <v>0</v>
      </c>
      <c r="BD28" s="173">
        <f t="shared" si="33"/>
        <v>288</v>
      </c>
      <c r="BE28" s="173">
        <f aca="true" t="shared" si="34" ref="BE28:BK28">BE29+BE35+BE39</f>
        <v>594</v>
      </c>
      <c r="BF28" s="173">
        <f t="shared" si="34"/>
        <v>255</v>
      </c>
      <c r="BG28" s="173">
        <f t="shared" si="34"/>
        <v>141</v>
      </c>
      <c r="BH28" s="173">
        <f t="shared" si="34"/>
        <v>0</v>
      </c>
      <c r="BI28" s="173"/>
      <c r="BJ28" s="173">
        <f t="shared" si="34"/>
        <v>0</v>
      </c>
      <c r="BK28" s="173">
        <f t="shared" si="34"/>
        <v>198</v>
      </c>
      <c r="BL28" s="173">
        <f aca="true" t="shared" si="35" ref="BL28:BR28">BL29+BL35+BL39</f>
        <v>594</v>
      </c>
      <c r="BM28" s="173">
        <f t="shared" si="35"/>
        <v>290</v>
      </c>
      <c r="BN28" s="173">
        <f t="shared" si="35"/>
        <v>106</v>
      </c>
      <c r="BO28" s="173">
        <f t="shared" si="35"/>
        <v>0</v>
      </c>
      <c r="BP28" s="173"/>
      <c r="BQ28" s="173">
        <f t="shared" si="35"/>
        <v>0</v>
      </c>
      <c r="BR28" s="173">
        <f t="shared" si="35"/>
        <v>198</v>
      </c>
      <c r="BS28" s="173">
        <f aca="true" t="shared" si="36" ref="BS28:CM28">BS29+BS35+BS39</f>
        <v>594</v>
      </c>
      <c r="BT28" s="173">
        <f t="shared" si="36"/>
        <v>308</v>
      </c>
      <c r="BU28" s="173">
        <f t="shared" si="36"/>
        <v>33</v>
      </c>
      <c r="BV28" s="173">
        <f t="shared" si="36"/>
        <v>55</v>
      </c>
      <c r="BW28" s="173"/>
      <c r="BX28" s="173">
        <f t="shared" si="36"/>
        <v>0</v>
      </c>
      <c r="BY28" s="173">
        <f t="shared" si="36"/>
        <v>198</v>
      </c>
      <c r="BZ28" s="173">
        <f t="shared" si="36"/>
        <v>432</v>
      </c>
      <c r="CA28" s="173">
        <f t="shared" si="36"/>
        <v>162</v>
      </c>
      <c r="CB28" s="173">
        <f t="shared" si="36"/>
        <v>126</v>
      </c>
      <c r="CC28" s="173">
        <f t="shared" si="36"/>
        <v>0</v>
      </c>
      <c r="CD28" s="173"/>
      <c r="CE28" s="173">
        <f t="shared" si="36"/>
        <v>0</v>
      </c>
      <c r="CF28" s="173">
        <f t="shared" si="36"/>
        <v>144</v>
      </c>
      <c r="CG28" s="173">
        <f t="shared" si="36"/>
        <v>756</v>
      </c>
      <c r="CH28" s="173">
        <f t="shared" si="36"/>
        <v>306</v>
      </c>
      <c r="CI28" s="173">
        <f t="shared" si="36"/>
        <v>170</v>
      </c>
      <c r="CJ28" s="173">
        <f t="shared" si="36"/>
        <v>28</v>
      </c>
      <c r="CK28" s="173"/>
      <c r="CL28" s="173">
        <f t="shared" si="36"/>
        <v>0</v>
      </c>
      <c r="CM28" s="173">
        <f t="shared" si="36"/>
        <v>252</v>
      </c>
      <c r="CN28" s="268"/>
      <c r="CO28" s="268"/>
    </row>
    <row r="29" spans="1:100" s="48" customFormat="1" ht="25.5" customHeight="1">
      <c r="A29" s="322" t="s">
        <v>161</v>
      </c>
      <c r="B29" s="699" t="s">
        <v>162</v>
      </c>
      <c r="C29" s="700"/>
      <c r="D29" s="700"/>
      <c r="E29" s="700"/>
      <c r="F29" s="700"/>
      <c r="G29" s="700"/>
      <c r="H29" s="700"/>
      <c r="I29" s="701"/>
      <c r="J29" s="342">
        <f>K29*O29</f>
        <v>1021.716</v>
      </c>
      <c r="K29" s="343">
        <f>L29/M29</f>
        <v>1.686</v>
      </c>
      <c r="L29" s="178">
        <f>Нормы!D10</f>
        <v>944</v>
      </c>
      <c r="M29" s="178">
        <f>Нормы!E10</f>
        <v>560</v>
      </c>
      <c r="N29" s="324">
        <f aca="true" t="shared" si="37" ref="N29:AI29">SUM(N30:N34)</f>
        <v>1030</v>
      </c>
      <c r="O29" s="324">
        <f t="shared" si="37"/>
        <v>606</v>
      </c>
      <c r="P29" s="178">
        <f t="shared" si="37"/>
        <v>352</v>
      </c>
      <c r="Q29" s="178">
        <f t="shared" si="37"/>
        <v>254</v>
      </c>
      <c r="R29" s="178">
        <f t="shared" si="37"/>
        <v>0</v>
      </c>
      <c r="S29" s="178"/>
      <c r="T29" s="178">
        <f t="shared" si="37"/>
        <v>0</v>
      </c>
      <c r="U29" s="178">
        <f t="shared" si="37"/>
        <v>424</v>
      </c>
      <c r="V29" s="178">
        <f t="shared" si="37"/>
        <v>0</v>
      </c>
      <c r="W29" s="178">
        <f t="shared" si="37"/>
        <v>0</v>
      </c>
      <c r="X29" s="178">
        <f t="shared" si="37"/>
        <v>0</v>
      </c>
      <c r="Y29" s="178">
        <f t="shared" si="37"/>
        <v>0</v>
      </c>
      <c r="Z29" s="178"/>
      <c r="AA29" s="178">
        <f t="shared" si="37"/>
        <v>0</v>
      </c>
      <c r="AB29" s="330">
        <f t="shared" si="37"/>
        <v>0</v>
      </c>
      <c r="AC29" s="178">
        <f t="shared" si="37"/>
        <v>0</v>
      </c>
      <c r="AD29" s="178">
        <f t="shared" si="37"/>
        <v>0</v>
      </c>
      <c r="AE29" s="178">
        <f t="shared" si="37"/>
        <v>0</v>
      </c>
      <c r="AF29" s="178">
        <f t="shared" si="37"/>
        <v>0</v>
      </c>
      <c r="AG29" s="178"/>
      <c r="AH29" s="178">
        <f t="shared" si="37"/>
        <v>0</v>
      </c>
      <c r="AI29" s="330">
        <f t="shared" si="37"/>
        <v>0</v>
      </c>
      <c r="AJ29" s="178">
        <f aca="true" t="shared" si="38" ref="AJ29:BH29">SUM(AJ30:AJ34)</f>
        <v>256</v>
      </c>
      <c r="AK29" s="178">
        <f t="shared" si="38"/>
        <v>128</v>
      </c>
      <c r="AL29" s="178">
        <f t="shared" si="38"/>
        <v>32</v>
      </c>
      <c r="AM29" s="178">
        <f t="shared" si="38"/>
        <v>0</v>
      </c>
      <c r="AN29" s="178"/>
      <c r="AO29" s="178">
        <f t="shared" si="38"/>
        <v>0</v>
      </c>
      <c r="AP29" s="178">
        <f t="shared" si="38"/>
        <v>96</v>
      </c>
      <c r="AQ29" s="178">
        <f t="shared" si="38"/>
        <v>119</v>
      </c>
      <c r="AR29" s="178">
        <f t="shared" si="38"/>
        <v>34</v>
      </c>
      <c r="AS29" s="178">
        <f t="shared" si="38"/>
        <v>34</v>
      </c>
      <c r="AT29" s="178">
        <f t="shared" si="38"/>
        <v>0</v>
      </c>
      <c r="AU29" s="178"/>
      <c r="AV29" s="178">
        <f t="shared" si="38"/>
        <v>0</v>
      </c>
      <c r="AW29" s="178">
        <f t="shared" si="38"/>
        <v>51</v>
      </c>
      <c r="AX29" s="178">
        <f t="shared" si="38"/>
        <v>195</v>
      </c>
      <c r="AY29" s="178">
        <f t="shared" si="38"/>
        <v>80</v>
      </c>
      <c r="AZ29" s="178">
        <f t="shared" si="38"/>
        <v>32</v>
      </c>
      <c r="BA29" s="178">
        <f t="shared" si="38"/>
        <v>0</v>
      </c>
      <c r="BB29" s="178"/>
      <c r="BC29" s="178">
        <f t="shared" si="38"/>
        <v>0</v>
      </c>
      <c r="BD29" s="178">
        <f t="shared" si="38"/>
        <v>83</v>
      </c>
      <c r="BE29" s="178">
        <f t="shared" si="38"/>
        <v>77</v>
      </c>
      <c r="BF29" s="178">
        <f t="shared" si="38"/>
        <v>22</v>
      </c>
      <c r="BG29" s="178">
        <f t="shared" si="38"/>
        <v>22</v>
      </c>
      <c r="BH29" s="178">
        <f t="shared" si="38"/>
        <v>0</v>
      </c>
      <c r="BI29" s="178"/>
      <c r="BJ29" s="178">
        <f aca="true" t="shared" si="39" ref="BJ29:CG29">SUM(BJ30:BJ34)</f>
        <v>0</v>
      </c>
      <c r="BK29" s="178">
        <f t="shared" si="39"/>
        <v>33</v>
      </c>
      <c r="BL29" s="178">
        <f t="shared" si="39"/>
        <v>76</v>
      </c>
      <c r="BM29" s="178">
        <f t="shared" si="39"/>
        <v>22</v>
      </c>
      <c r="BN29" s="178">
        <f t="shared" si="39"/>
        <v>22</v>
      </c>
      <c r="BO29" s="178">
        <f t="shared" si="39"/>
        <v>0</v>
      </c>
      <c r="BP29" s="178"/>
      <c r="BQ29" s="178">
        <f t="shared" si="39"/>
        <v>0</v>
      </c>
      <c r="BR29" s="178">
        <f t="shared" si="39"/>
        <v>32</v>
      </c>
      <c r="BS29" s="178">
        <f t="shared" si="39"/>
        <v>77</v>
      </c>
      <c r="BT29" s="178">
        <f t="shared" si="39"/>
        <v>22</v>
      </c>
      <c r="BU29" s="178">
        <f t="shared" si="39"/>
        <v>22</v>
      </c>
      <c r="BV29" s="178">
        <f t="shared" si="39"/>
        <v>0</v>
      </c>
      <c r="BW29" s="178"/>
      <c r="BX29" s="178">
        <f t="shared" si="39"/>
        <v>0</v>
      </c>
      <c r="BY29" s="178">
        <f t="shared" si="39"/>
        <v>33</v>
      </c>
      <c r="BZ29" s="178">
        <f t="shared" si="39"/>
        <v>106</v>
      </c>
      <c r="CA29" s="178">
        <f t="shared" si="39"/>
        <v>16</v>
      </c>
      <c r="CB29" s="178">
        <f t="shared" si="39"/>
        <v>48</v>
      </c>
      <c r="CC29" s="178">
        <f t="shared" si="39"/>
        <v>0</v>
      </c>
      <c r="CD29" s="178"/>
      <c r="CE29" s="178">
        <f t="shared" si="39"/>
        <v>0</v>
      </c>
      <c r="CF29" s="178">
        <f t="shared" si="39"/>
        <v>42</v>
      </c>
      <c r="CG29" s="178">
        <f t="shared" si="39"/>
        <v>124</v>
      </c>
      <c r="CH29" s="178">
        <f aca="true" t="shared" si="40" ref="CH29:CM29">SUM(CH30:CH34)</f>
        <v>28</v>
      </c>
      <c r="CI29" s="178">
        <f t="shared" si="40"/>
        <v>42</v>
      </c>
      <c r="CJ29" s="178">
        <f t="shared" si="40"/>
        <v>0</v>
      </c>
      <c r="CK29" s="178"/>
      <c r="CL29" s="178">
        <f t="shared" si="40"/>
        <v>0</v>
      </c>
      <c r="CM29" s="178">
        <f t="shared" si="40"/>
        <v>54</v>
      </c>
      <c r="CN29" s="326"/>
      <c r="CO29" s="326"/>
      <c r="CV29" s="337">
        <f>SUM(N29-L29)</f>
        <v>86</v>
      </c>
    </row>
    <row r="30" spans="1:93" s="450" customFormat="1" ht="25.5" customHeight="1">
      <c r="A30" s="198" t="s">
        <v>163</v>
      </c>
      <c r="B30" s="122" t="s">
        <v>167</v>
      </c>
      <c r="C30" s="122"/>
      <c r="D30" s="199"/>
      <c r="E30" s="199" t="s">
        <v>29</v>
      </c>
      <c r="F30" s="199"/>
      <c r="G30" s="199"/>
      <c r="H30" s="180"/>
      <c r="I30" s="180"/>
      <c r="J30" s="350"/>
      <c r="K30" s="350"/>
      <c r="L30" s="117"/>
      <c r="M30" s="116">
        <v>48</v>
      </c>
      <c r="N30" s="189">
        <f>O30+SUM(U30:U30)</f>
        <v>72</v>
      </c>
      <c r="O30" s="189">
        <f>SUM(P30:T30)</f>
        <v>48</v>
      </c>
      <c r="P30" s="189">
        <f aca="true" t="shared" si="41" ref="P30:R34">W30+AD30+AK30+AR30+AY30+BF30+BM30+BT30+CA30+CH30</f>
        <v>48</v>
      </c>
      <c r="Q30" s="189">
        <f t="shared" si="41"/>
        <v>0</v>
      </c>
      <c r="R30" s="189">
        <f t="shared" si="41"/>
        <v>0</v>
      </c>
      <c r="S30" s="189"/>
      <c r="T30" s="189">
        <f aca="true" t="shared" si="42" ref="T30:U34">AA30+AH30+AO30+AV30+BC30+BJ30+BQ30+BX30+CE30+CL30</f>
        <v>0</v>
      </c>
      <c r="U30" s="189">
        <f t="shared" si="42"/>
        <v>24</v>
      </c>
      <c r="V30" s="182">
        <f>SUM(W30:AB30)</f>
        <v>0</v>
      </c>
      <c r="W30" s="116"/>
      <c r="X30" s="116"/>
      <c r="Y30" s="116"/>
      <c r="Z30" s="116"/>
      <c r="AA30" s="116"/>
      <c r="AB30" s="116"/>
      <c r="AC30" s="182">
        <f>SUM(AD30:AI30)</f>
        <v>0</v>
      </c>
      <c r="AD30" s="116"/>
      <c r="AE30" s="116"/>
      <c r="AF30" s="116"/>
      <c r="AG30" s="116"/>
      <c r="AH30" s="116"/>
      <c r="AI30" s="116"/>
      <c r="AJ30" s="182">
        <f>SUM(AK30:AP30)</f>
        <v>72</v>
      </c>
      <c r="AK30" s="116">
        <v>48</v>
      </c>
      <c r="AL30" s="116"/>
      <c r="AM30" s="116"/>
      <c r="AN30" s="116"/>
      <c r="AO30" s="116"/>
      <c r="AP30" s="117">
        <v>24</v>
      </c>
      <c r="AQ30" s="182">
        <f>SUM(AR30:AW30)</f>
        <v>0</v>
      </c>
      <c r="AR30" s="116"/>
      <c r="AS30" s="116"/>
      <c r="AT30" s="116"/>
      <c r="AU30" s="116"/>
      <c r="AV30" s="116"/>
      <c r="AW30" s="116"/>
      <c r="AX30" s="182">
        <f>SUM(AY30:BD30)</f>
        <v>0</v>
      </c>
      <c r="AY30" s="116"/>
      <c r="AZ30" s="116"/>
      <c r="BA30" s="116"/>
      <c r="BB30" s="116"/>
      <c r="BC30" s="116"/>
      <c r="BD30" s="116"/>
      <c r="BE30" s="182">
        <f>SUM(BF30:BK30)</f>
        <v>0</v>
      </c>
      <c r="BF30" s="116"/>
      <c r="BG30" s="116"/>
      <c r="BH30" s="116"/>
      <c r="BI30" s="116"/>
      <c r="BJ30" s="116"/>
      <c r="BK30" s="116"/>
      <c r="BL30" s="182">
        <f>SUM(BM30:BR30)</f>
        <v>0</v>
      </c>
      <c r="BM30" s="116"/>
      <c r="BN30" s="116"/>
      <c r="BO30" s="116"/>
      <c r="BP30" s="116"/>
      <c r="BQ30" s="116"/>
      <c r="BR30" s="116"/>
      <c r="BS30" s="182">
        <f>SUM(BT30:BY30)</f>
        <v>0</v>
      </c>
      <c r="BT30" s="116"/>
      <c r="BU30" s="116"/>
      <c r="BV30" s="116"/>
      <c r="BW30" s="116"/>
      <c r="BX30" s="116"/>
      <c r="BY30" s="116"/>
      <c r="BZ30" s="182">
        <f>SUM(CA30:CF30)</f>
        <v>0</v>
      </c>
      <c r="CA30" s="116"/>
      <c r="CB30" s="116"/>
      <c r="CC30" s="116"/>
      <c r="CD30" s="116"/>
      <c r="CE30" s="116"/>
      <c r="CF30" s="116"/>
      <c r="CG30" s="182">
        <f>SUM(CH30:CM30)</f>
        <v>0</v>
      </c>
      <c r="CH30" s="116"/>
      <c r="CI30" s="116"/>
      <c r="CJ30" s="116"/>
      <c r="CK30" s="116"/>
      <c r="CL30" s="116"/>
      <c r="CM30" s="116"/>
      <c r="CN30" s="180" t="s">
        <v>459</v>
      </c>
      <c r="CO30" s="200" t="s">
        <v>461</v>
      </c>
    </row>
    <row r="31" spans="1:93" s="450" customFormat="1" ht="25.5" customHeight="1">
      <c r="A31" s="198" t="s">
        <v>164</v>
      </c>
      <c r="B31" s="122" t="s">
        <v>132</v>
      </c>
      <c r="C31" s="122"/>
      <c r="D31" s="199"/>
      <c r="E31" s="199" t="s">
        <v>29</v>
      </c>
      <c r="F31" s="199"/>
      <c r="G31" s="199"/>
      <c r="H31" s="180"/>
      <c r="I31" s="180"/>
      <c r="J31" s="350"/>
      <c r="K31" s="350"/>
      <c r="L31" s="116"/>
      <c r="M31" s="116">
        <v>48</v>
      </c>
      <c r="N31" s="189">
        <f>O31+SUM(U31:U31)</f>
        <v>72</v>
      </c>
      <c r="O31" s="189">
        <f>SUM(P31:T31)</f>
        <v>48</v>
      </c>
      <c r="P31" s="189">
        <f t="shared" si="41"/>
        <v>48</v>
      </c>
      <c r="Q31" s="189">
        <f t="shared" si="41"/>
        <v>0</v>
      </c>
      <c r="R31" s="189">
        <f t="shared" si="41"/>
        <v>0</v>
      </c>
      <c r="S31" s="189"/>
      <c r="T31" s="189">
        <f t="shared" si="42"/>
        <v>0</v>
      </c>
      <c r="U31" s="189">
        <f t="shared" si="42"/>
        <v>24</v>
      </c>
      <c r="V31" s="182">
        <f>SUM(W31:AB31)</f>
        <v>0</v>
      </c>
      <c r="W31" s="116"/>
      <c r="X31" s="116"/>
      <c r="Y31" s="116"/>
      <c r="Z31" s="116"/>
      <c r="AA31" s="116"/>
      <c r="AB31" s="116"/>
      <c r="AC31" s="182">
        <f>SUM(AD31:AI31)</f>
        <v>0</v>
      </c>
      <c r="AD31" s="116"/>
      <c r="AE31" s="116"/>
      <c r="AF31" s="116"/>
      <c r="AG31" s="116"/>
      <c r="AH31" s="116"/>
      <c r="AI31" s="116"/>
      <c r="AJ31" s="182">
        <f>SUM(AK31:AP31)</f>
        <v>72</v>
      </c>
      <c r="AK31" s="116">
        <v>48</v>
      </c>
      <c r="AL31" s="116"/>
      <c r="AM31" s="116"/>
      <c r="AN31" s="116"/>
      <c r="AO31" s="116"/>
      <c r="AP31" s="117">
        <v>24</v>
      </c>
      <c r="AQ31" s="182">
        <f>SUM(AR31:AW31)</f>
        <v>0</v>
      </c>
      <c r="AR31" s="116"/>
      <c r="AS31" s="116"/>
      <c r="AT31" s="116"/>
      <c r="AU31" s="116"/>
      <c r="AV31" s="116"/>
      <c r="AW31" s="116"/>
      <c r="AX31" s="182">
        <f>SUM(AY31:BD31)</f>
        <v>0</v>
      </c>
      <c r="AY31" s="116"/>
      <c r="AZ31" s="116"/>
      <c r="BA31" s="116"/>
      <c r="BB31" s="116"/>
      <c r="BC31" s="116"/>
      <c r="BD31" s="116"/>
      <c r="BE31" s="182">
        <f>SUM(BF31:BK31)</f>
        <v>0</v>
      </c>
      <c r="BF31" s="116"/>
      <c r="BG31" s="116"/>
      <c r="BH31" s="116"/>
      <c r="BI31" s="116"/>
      <c r="BJ31" s="116"/>
      <c r="BK31" s="116"/>
      <c r="BL31" s="182">
        <f>SUM(BM31:BR31)</f>
        <v>0</v>
      </c>
      <c r="BM31" s="116"/>
      <c r="BN31" s="116"/>
      <c r="BO31" s="116"/>
      <c r="BP31" s="116"/>
      <c r="BQ31" s="116"/>
      <c r="BR31" s="116"/>
      <c r="BS31" s="182">
        <f>SUM(BT31:BY31)</f>
        <v>0</v>
      </c>
      <c r="BT31" s="116"/>
      <c r="BU31" s="116"/>
      <c r="BV31" s="116"/>
      <c r="BW31" s="116"/>
      <c r="BX31" s="116"/>
      <c r="BY31" s="116"/>
      <c r="BZ31" s="182">
        <f>SUM(CA31:CF31)</f>
        <v>0</v>
      </c>
      <c r="CA31" s="116"/>
      <c r="CB31" s="116"/>
      <c r="CC31" s="116"/>
      <c r="CD31" s="116"/>
      <c r="CE31" s="116"/>
      <c r="CF31" s="116"/>
      <c r="CG31" s="182">
        <f>SUM(CH31:CM31)</f>
        <v>0</v>
      </c>
      <c r="CH31" s="116"/>
      <c r="CI31" s="116"/>
      <c r="CJ31" s="116"/>
      <c r="CK31" s="116"/>
      <c r="CL31" s="116"/>
      <c r="CM31" s="116"/>
      <c r="CN31" s="180" t="s">
        <v>459</v>
      </c>
      <c r="CO31" s="200" t="s">
        <v>462</v>
      </c>
    </row>
    <row r="32" spans="1:93" s="450" customFormat="1" ht="25.5" customHeight="1">
      <c r="A32" s="198" t="s">
        <v>165</v>
      </c>
      <c r="B32" s="122" t="s">
        <v>377</v>
      </c>
      <c r="C32" s="122"/>
      <c r="D32" s="199"/>
      <c r="E32" s="199" t="s">
        <v>40</v>
      </c>
      <c r="F32" s="199"/>
      <c r="G32" s="199"/>
      <c r="H32" s="180"/>
      <c r="I32" s="180"/>
      <c r="J32" s="350"/>
      <c r="K32" s="350"/>
      <c r="L32" s="116"/>
      <c r="M32" s="116">
        <v>48</v>
      </c>
      <c r="N32" s="189">
        <f>O32+SUM(U32:U32)</f>
        <v>83</v>
      </c>
      <c r="O32" s="189">
        <f>SUM(P32:T32)</f>
        <v>48</v>
      </c>
      <c r="P32" s="189">
        <f t="shared" si="41"/>
        <v>48</v>
      </c>
      <c r="Q32" s="189">
        <f t="shared" si="41"/>
        <v>0</v>
      </c>
      <c r="R32" s="189">
        <f t="shared" si="41"/>
        <v>0</v>
      </c>
      <c r="S32" s="189"/>
      <c r="T32" s="189">
        <f t="shared" si="42"/>
        <v>0</v>
      </c>
      <c r="U32" s="189">
        <f t="shared" si="42"/>
        <v>35</v>
      </c>
      <c r="V32" s="182"/>
      <c r="W32" s="116"/>
      <c r="X32" s="116"/>
      <c r="Y32" s="116"/>
      <c r="Z32" s="116"/>
      <c r="AA32" s="116"/>
      <c r="AB32" s="116"/>
      <c r="AC32" s="182"/>
      <c r="AD32" s="116"/>
      <c r="AE32" s="116"/>
      <c r="AF32" s="116"/>
      <c r="AG32" s="116"/>
      <c r="AH32" s="116"/>
      <c r="AI32" s="116"/>
      <c r="AJ32" s="182"/>
      <c r="AK32" s="116"/>
      <c r="AL32" s="116"/>
      <c r="AM32" s="116"/>
      <c r="AN32" s="116"/>
      <c r="AO32" s="116"/>
      <c r="AP32" s="117"/>
      <c r="AQ32" s="182"/>
      <c r="AR32" s="116"/>
      <c r="AS32" s="116"/>
      <c r="AT32" s="116"/>
      <c r="AU32" s="116"/>
      <c r="AV32" s="116"/>
      <c r="AW32" s="116"/>
      <c r="AX32" s="182">
        <f>SUM(AY32:BD32)</f>
        <v>83</v>
      </c>
      <c r="AY32" s="116">
        <v>48</v>
      </c>
      <c r="AZ32" s="116"/>
      <c r="BA32" s="116"/>
      <c r="BB32" s="116"/>
      <c r="BC32" s="116"/>
      <c r="BD32" s="116">
        <v>35</v>
      </c>
      <c r="BE32" s="182"/>
      <c r="BF32" s="116"/>
      <c r="BG32" s="116"/>
      <c r="BH32" s="116"/>
      <c r="BI32" s="116"/>
      <c r="BJ32" s="116"/>
      <c r="BK32" s="116"/>
      <c r="BL32" s="182"/>
      <c r="BM32" s="116"/>
      <c r="BN32" s="116"/>
      <c r="BO32" s="116"/>
      <c r="BP32" s="116"/>
      <c r="BQ32" s="116"/>
      <c r="BR32" s="116"/>
      <c r="BS32" s="182"/>
      <c r="BT32" s="116"/>
      <c r="BU32" s="116"/>
      <c r="BV32" s="116"/>
      <c r="BW32" s="116"/>
      <c r="BX32" s="116"/>
      <c r="BY32" s="116"/>
      <c r="BZ32" s="182"/>
      <c r="CA32" s="116"/>
      <c r="CB32" s="116"/>
      <c r="CC32" s="116"/>
      <c r="CD32" s="116"/>
      <c r="CE32" s="116"/>
      <c r="CF32" s="116"/>
      <c r="CG32" s="182"/>
      <c r="CH32" s="116"/>
      <c r="CI32" s="116"/>
      <c r="CJ32" s="116"/>
      <c r="CK32" s="116"/>
      <c r="CL32" s="116"/>
      <c r="CM32" s="116"/>
      <c r="CN32" s="180" t="s">
        <v>459</v>
      </c>
      <c r="CO32" s="200" t="s">
        <v>530</v>
      </c>
    </row>
    <row r="33" spans="1:93" s="414" customFormat="1" ht="25.5" customHeight="1">
      <c r="A33" s="407" t="s">
        <v>166</v>
      </c>
      <c r="B33" s="408" t="s">
        <v>133</v>
      </c>
      <c r="C33" s="408"/>
      <c r="D33" s="201"/>
      <c r="E33" s="201" t="s">
        <v>387</v>
      </c>
      <c r="F33" s="201"/>
      <c r="G33" s="201"/>
      <c r="H33" s="201"/>
      <c r="I33" s="201" t="s">
        <v>672</v>
      </c>
      <c r="J33" s="409"/>
      <c r="K33" s="409"/>
      <c r="L33" s="190"/>
      <c r="M33" s="190">
        <v>208</v>
      </c>
      <c r="N33" s="410">
        <f>O33+SUM(U33:U33)</f>
        <v>387</v>
      </c>
      <c r="O33" s="410">
        <f>SUM(P33:T33)</f>
        <v>254</v>
      </c>
      <c r="P33" s="410">
        <f t="shared" si="41"/>
        <v>0</v>
      </c>
      <c r="Q33" s="410">
        <f t="shared" si="41"/>
        <v>254</v>
      </c>
      <c r="R33" s="410">
        <f t="shared" si="41"/>
        <v>0</v>
      </c>
      <c r="S33" s="410"/>
      <c r="T33" s="410">
        <f t="shared" si="42"/>
        <v>0</v>
      </c>
      <c r="U33" s="410">
        <f t="shared" si="42"/>
        <v>133</v>
      </c>
      <c r="V33" s="411">
        <f>SUM(W33:AB33)</f>
        <v>0</v>
      </c>
      <c r="W33" s="190"/>
      <c r="X33" s="190"/>
      <c r="Y33" s="190"/>
      <c r="Z33" s="190"/>
      <c r="AA33" s="190"/>
      <c r="AB33" s="190"/>
      <c r="AC33" s="411">
        <f>SUM(AD33:AI33)</f>
        <v>0</v>
      </c>
      <c r="AD33" s="190"/>
      <c r="AE33" s="190"/>
      <c r="AF33" s="190"/>
      <c r="AG33" s="190"/>
      <c r="AH33" s="190"/>
      <c r="AI33" s="190"/>
      <c r="AJ33" s="411">
        <f>SUM(AK33:AP33)</f>
        <v>48</v>
      </c>
      <c r="AK33" s="190"/>
      <c r="AL33" s="190">
        <v>32</v>
      </c>
      <c r="AM33" s="190"/>
      <c r="AN33" s="190"/>
      <c r="AO33" s="190"/>
      <c r="AP33" s="190">
        <v>16</v>
      </c>
      <c r="AQ33" s="411">
        <f>SUM(AR33:AW33)</f>
        <v>51</v>
      </c>
      <c r="AR33" s="190"/>
      <c r="AS33" s="190">
        <v>34</v>
      </c>
      <c r="AT33" s="190"/>
      <c r="AU33" s="190"/>
      <c r="AV33" s="190"/>
      <c r="AW33" s="190">
        <v>17</v>
      </c>
      <c r="AX33" s="411">
        <f>SUM(AY33:BD33)</f>
        <v>48</v>
      </c>
      <c r="AY33" s="190"/>
      <c r="AZ33" s="190">
        <v>32</v>
      </c>
      <c r="BA33" s="190"/>
      <c r="BB33" s="190"/>
      <c r="BC33" s="190"/>
      <c r="BD33" s="190">
        <v>16</v>
      </c>
      <c r="BE33" s="411">
        <f>SUM(BF33:BK33)</f>
        <v>33</v>
      </c>
      <c r="BF33" s="190"/>
      <c r="BG33" s="190">
        <v>22</v>
      </c>
      <c r="BH33" s="190"/>
      <c r="BI33" s="190"/>
      <c r="BJ33" s="190"/>
      <c r="BK33" s="190">
        <v>11</v>
      </c>
      <c r="BL33" s="411">
        <f>SUM(BM33:BR33)</f>
        <v>32</v>
      </c>
      <c r="BM33" s="190"/>
      <c r="BN33" s="190">
        <v>22</v>
      </c>
      <c r="BO33" s="190"/>
      <c r="BP33" s="190"/>
      <c r="BQ33" s="190"/>
      <c r="BR33" s="190">
        <v>10</v>
      </c>
      <c r="BS33" s="411">
        <f>SUM(BT33:BY33)</f>
        <v>33</v>
      </c>
      <c r="BT33" s="190"/>
      <c r="BU33" s="190">
        <v>22</v>
      </c>
      <c r="BV33" s="190"/>
      <c r="BW33" s="190"/>
      <c r="BX33" s="190"/>
      <c r="BY33" s="190">
        <v>11</v>
      </c>
      <c r="BZ33" s="411">
        <f>SUM(CA33:CF33)</f>
        <v>74</v>
      </c>
      <c r="CA33" s="190"/>
      <c r="CB33" s="190">
        <v>48</v>
      </c>
      <c r="CC33" s="190"/>
      <c r="CD33" s="190"/>
      <c r="CE33" s="190"/>
      <c r="CF33" s="190">
        <v>26</v>
      </c>
      <c r="CG33" s="411">
        <f>SUM(CH33:CM33)</f>
        <v>68</v>
      </c>
      <c r="CH33" s="190"/>
      <c r="CI33" s="190">
        <v>42</v>
      </c>
      <c r="CJ33" s="412"/>
      <c r="CK33" s="412"/>
      <c r="CL33" s="412"/>
      <c r="CM33" s="412">
        <v>26</v>
      </c>
      <c r="CN33" s="149" t="s">
        <v>459</v>
      </c>
      <c r="CO33" s="413" t="s">
        <v>463</v>
      </c>
    </row>
    <row r="34" spans="1:93" s="414" customFormat="1" ht="45" customHeight="1">
      <c r="A34" s="407" t="s">
        <v>506</v>
      </c>
      <c r="B34" s="408" t="s">
        <v>7</v>
      </c>
      <c r="C34" s="408"/>
      <c r="D34" s="149"/>
      <c r="E34" s="149"/>
      <c r="F34" s="149" t="s">
        <v>552</v>
      </c>
      <c r="G34" s="149"/>
      <c r="H34" s="149"/>
      <c r="I34" s="149"/>
      <c r="J34" s="409"/>
      <c r="K34" s="409"/>
      <c r="L34" s="412">
        <v>416</v>
      </c>
      <c r="M34" s="190">
        <v>208</v>
      </c>
      <c r="N34" s="410">
        <f>O34+SUM(U34:U34)</f>
        <v>416</v>
      </c>
      <c r="O34" s="410">
        <f>SUM(P34:T34)</f>
        <v>208</v>
      </c>
      <c r="P34" s="410">
        <f t="shared" si="41"/>
        <v>208</v>
      </c>
      <c r="Q34" s="410">
        <f t="shared" si="41"/>
        <v>0</v>
      </c>
      <c r="R34" s="410">
        <f t="shared" si="41"/>
        <v>0</v>
      </c>
      <c r="S34" s="410"/>
      <c r="T34" s="410">
        <f t="shared" si="42"/>
        <v>0</v>
      </c>
      <c r="U34" s="410">
        <f t="shared" si="42"/>
        <v>208</v>
      </c>
      <c r="V34" s="411">
        <f>SUM(W34:AB34)</f>
        <v>0</v>
      </c>
      <c r="W34" s="190"/>
      <c r="X34" s="190"/>
      <c r="Y34" s="190"/>
      <c r="Z34" s="190"/>
      <c r="AA34" s="190"/>
      <c r="AB34" s="190"/>
      <c r="AC34" s="411">
        <f>SUM(AD34:AI34)</f>
        <v>0</v>
      </c>
      <c r="AD34" s="190"/>
      <c r="AE34" s="190"/>
      <c r="AF34" s="190"/>
      <c r="AG34" s="190"/>
      <c r="AH34" s="190"/>
      <c r="AI34" s="190"/>
      <c r="AJ34" s="411">
        <f>SUM(AK34:AP34)</f>
        <v>64</v>
      </c>
      <c r="AK34" s="190">
        <v>32</v>
      </c>
      <c r="AL34" s="190"/>
      <c r="AM34" s="190"/>
      <c r="AN34" s="190"/>
      <c r="AO34" s="190"/>
      <c r="AP34" s="190">
        <v>32</v>
      </c>
      <c r="AQ34" s="411">
        <f>SUM(AR34:AW34)</f>
        <v>68</v>
      </c>
      <c r="AR34" s="190">
        <v>34</v>
      </c>
      <c r="AS34" s="190"/>
      <c r="AT34" s="190"/>
      <c r="AU34" s="190"/>
      <c r="AV34" s="190"/>
      <c r="AW34" s="190">
        <v>34</v>
      </c>
      <c r="AX34" s="411">
        <f>SUM(AY34:BD34)</f>
        <v>64</v>
      </c>
      <c r="AY34" s="190">
        <v>32</v>
      </c>
      <c r="AZ34" s="190"/>
      <c r="BA34" s="190"/>
      <c r="BB34" s="190"/>
      <c r="BC34" s="190"/>
      <c r="BD34" s="190">
        <v>32</v>
      </c>
      <c r="BE34" s="411">
        <f>SUM(BF34:BK34)</f>
        <v>44</v>
      </c>
      <c r="BF34" s="190">
        <v>22</v>
      </c>
      <c r="BG34" s="190"/>
      <c r="BH34" s="190"/>
      <c r="BI34" s="190"/>
      <c r="BJ34" s="190"/>
      <c r="BK34" s="190">
        <v>22</v>
      </c>
      <c r="BL34" s="411">
        <f>SUM(BM34:BR34)</f>
        <v>44</v>
      </c>
      <c r="BM34" s="190">
        <v>22</v>
      </c>
      <c r="BN34" s="190"/>
      <c r="BO34" s="190"/>
      <c r="BP34" s="190"/>
      <c r="BQ34" s="190"/>
      <c r="BR34" s="190">
        <v>22</v>
      </c>
      <c r="BS34" s="411">
        <f>SUM(BT34:BY34)</f>
        <v>44</v>
      </c>
      <c r="BT34" s="190">
        <v>22</v>
      </c>
      <c r="BU34" s="190"/>
      <c r="BV34" s="190"/>
      <c r="BW34" s="190"/>
      <c r="BX34" s="190"/>
      <c r="BY34" s="190">
        <v>22</v>
      </c>
      <c r="BZ34" s="411">
        <f>SUM(CA34:CF34)</f>
        <v>32</v>
      </c>
      <c r="CA34" s="190">
        <v>16</v>
      </c>
      <c r="CB34" s="190"/>
      <c r="CC34" s="190"/>
      <c r="CD34" s="190"/>
      <c r="CE34" s="190"/>
      <c r="CF34" s="190">
        <v>16</v>
      </c>
      <c r="CG34" s="411">
        <f>SUM(CH34:CM34)</f>
        <v>56</v>
      </c>
      <c r="CH34" s="190">
        <v>28</v>
      </c>
      <c r="CI34" s="190"/>
      <c r="CJ34" s="190"/>
      <c r="CK34" s="190"/>
      <c r="CL34" s="190"/>
      <c r="CM34" s="190">
        <v>28</v>
      </c>
      <c r="CN34" s="149" t="s">
        <v>704</v>
      </c>
      <c r="CO34" s="413" t="s">
        <v>416</v>
      </c>
    </row>
    <row r="35" spans="1:100" s="48" customFormat="1" ht="25.5" customHeight="1">
      <c r="A35" s="322" t="s">
        <v>169</v>
      </c>
      <c r="B35" s="658" t="s">
        <v>274</v>
      </c>
      <c r="C35" s="659"/>
      <c r="D35" s="659"/>
      <c r="E35" s="659"/>
      <c r="F35" s="659"/>
      <c r="G35" s="659"/>
      <c r="H35" s="659"/>
      <c r="I35" s="660"/>
      <c r="J35" s="342">
        <f>K35*O35</f>
        <v>198</v>
      </c>
      <c r="K35" s="343">
        <f>L35/M35</f>
        <v>1.5</v>
      </c>
      <c r="L35" s="178">
        <v>198</v>
      </c>
      <c r="M35" s="178">
        <v>132</v>
      </c>
      <c r="N35" s="324">
        <f aca="true" t="shared" si="43" ref="N35:AL35">SUM(N36:N38)</f>
        <v>198</v>
      </c>
      <c r="O35" s="324">
        <f t="shared" si="43"/>
        <v>132</v>
      </c>
      <c r="P35" s="178">
        <f t="shared" si="43"/>
        <v>102</v>
      </c>
      <c r="Q35" s="178">
        <f t="shared" si="43"/>
        <v>30</v>
      </c>
      <c r="R35" s="178">
        <f t="shared" si="43"/>
        <v>0</v>
      </c>
      <c r="S35" s="178"/>
      <c r="T35" s="178">
        <f t="shared" si="43"/>
        <v>0</v>
      </c>
      <c r="U35" s="178">
        <f t="shared" si="43"/>
        <v>66</v>
      </c>
      <c r="V35" s="178">
        <f t="shared" si="43"/>
        <v>0</v>
      </c>
      <c r="W35" s="178">
        <f t="shared" si="43"/>
        <v>0</v>
      </c>
      <c r="X35" s="178">
        <f t="shared" si="43"/>
        <v>0</v>
      </c>
      <c r="Y35" s="178">
        <f t="shared" si="43"/>
        <v>0</v>
      </c>
      <c r="Z35" s="178"/>
      <c r="AA35" s="178">
        <f t="shared" si="43"/>
        <v>0</v>
      </c>
      <c r="AB35" s="325">
        <f t="shared" si="43"/>
        <v>0</v>
      </c>
      <c r="AC35" s="178">
        <f t="shared" si="43"/>
        <v>0</v>
      </c>
      <c r="AD35" s="178">
        <f t="shared" si="43"/>
        <v>0</v>
      </c>
      <c r="AE35" s="178">
        <f t="shared" si="43"/>
        <v>0</v>
      </c>
      <c r="AF35" s="178">
        <f t="shared" si="43"/>
        <v>0</v>
      </c>
      <c r="AG35" s="178"/>
      <c r="AH35" s="178">
        <f t="shared" si="43"/>
        <v>0</v>
      </c>
      <c r="AI35" s="325">
        <f t="shared" si="43"/>
        <v>0</v>
      </c>
      <c r="AJ35" s="178">
        <f t="shared" si="43"/>
        <v>198</v>
      </c>
      <c r="AK35" s="178">
        <f t="shared" si="43"/>
        <v>102</v>
      </c>
      <c r="AL35" s="178">
        <f t="shared" si="43"/>
        <v>30</v>
      </c>
      <c r="AM35" s="178">
        <f aca="true" t="shared" si="44" ref="AM35:BY35">SUM(AM36:AM38)</f>
        <v>0</v>
      </c>
      <c r="AN35" s="178"/>
      <c r="AO35" s="178">
        <f t="shared" si="44"/>
        <v>0</v>
      </c>
      <c r="AP35" s="178">
        <f t="shared" si="44"/>
        <v>66</v>
      </c>
      <c r="AQ35" s="178">
        <f t="shared" si="44"/>
        <v>0</v>
      </c>
      <c r="AR35" s="178">
        <f t="shared" si="44"/>
        <v>0</v>
      </c>
      <c r="AS35" s="178">
        <f t="shared" si="44"/>
        <v>0</v>
      </c>
      <c r="AT35" s="178">
        <f t="shared" si="44"/>
        <v>0</v>
      </c>
      <c r="AU35" s="178"/>
      <c r="AV35" s="178">
        <f t="shared" si="44"/>
        <v>0</v>
      </c>
      <c r="AW35" s="178">
        <f t="shared" si="44"/>
        <v>0</v>
      </c>
      <c r="AX35" s="178">
        <f t="shared" si="44"/>
        <v>0</v>
      </c>
      <c r="AY35" s="178">
        <f t="shared" si="44"/>
        <v>0</v>
      </c>
      <c r="AZ35" s="178">
        <f t="shared" si="44"/>
        <v>0</v>
      </c>
      <c r="BA35" s="178">
        <f t="shared" si="44"/>
        <v>0</v>
      </c>
      <c r="BB35" s="178"/>
      <c r="BC35" s="178">
        <f t="shared" si="44"/>
        <v>0</v>
      </c>
      <c r="BD35" s="178">
        <f t="shared" si="44"/>
        <v>0</v>
      </c>
      <c r="BE35" s="178">
        <f t="shared" si="44"/>
        <v>0</v>
      </c>
      <c r="BF35" s="178">
        <f t="shared" si="44"/>
        <v>0</v>
      </c>
      <c r="BG35" s="178">
        <f t="shared" si="44"/>
        <v>0</v>
      </c>
      <c r="BH35" s="178">
        <f t="shared" si="44"/>
        <v>0</v>
      </c>
      <c r="BI35" s="178"/>
      <c r="BJ35" s="178">
        <f t="shared" si="44"/>
        <v>0</v>
      </c>
      <c r="BK35" s="178">
        <f t="shared" si="44"/>
        <v>0</v>
      </c>
      <c r="BL35" s="178">
        <f t="shared" si="44"/>
        <v>0</v>
      </c>
      <c r="BM35" s="178">
        <f t="shared" si="44"/>
        <v>0</v>
      </c>
      <c r="BN35" s="178">
        <f t="shared" si="44"/>
        <v>0</v>
      </c>
      <c r="BO35" s="178">
        <f t="shared" si="44"/>
        <v>0</v>
      </c>
      <c r="BP35" s="178"/>
      <c r="BQ35" s="178">
        <f t="shared" si="44"/>
        <v>0</v>
      </c>
      <c r="BR35" s="178">
        <f t="shared" si="44"/>
        <v>0</v>
      </c>
      <c r="BS35" s="178">
        <f t="shared" si="44"/>
        <v>0</v>
      </c>
      <c r="BT35" s="178">
        <f t="shared" si="44"/>
        <v>0</v>
      </c>
      <c r="BU35" s="178">
        <f t="shared" si="44"/>
        <v>0</v>
      </c>
      <c r="BV35" s="178">
        <f t="shared" si="44"/>
        <v>0</v>
      </c>
      <c r="BW35" s="178"/>
      <c r="BX35" s="178">
        <f t="shared" si="44"/>
        <v>0</v>
      </c>
      <c r="BY35" s="178">
        <f t="shared" si="44"/>
        <v>0</v>
      </c>
      <c r="BZ35" s="178">
        <f aca="true" t="shared" si="45" ref="BZ35:CM35">SUM(BZ36:BZ38)</f>
        <v>0</v>
      </c>
      <c r="CA35" s="178">
        <f t="shared" si="45"/>
        <v>0</v>
      </c>
      <c r="CB35" s="178">
        <f t="shared" si="45"/>
        <v>0</v>
      </c>
      <c r="CC35" s="178">
        <f t="shared" si="45"/>
        <v>0</v>
      </c>
      <c r="CD35" s="178"/>
      <c r="CE35" s="178">
        <f t="shared" si="45"/>
        <v>0</v>
      </c>
      <c r="CF35" s="178">
        <f t="shared" si="45"/>
        <v>0</v>
      </c>
      <c r="CG35" s="178">
        <f t="shared" si="45"/>
        <v>0</v>
      </c>
      <c r="CH35" s="178">
        <f t="shared" si="45"/>
        <v>0</v>
      </c>
      <c r="CI35" s="178">
        <f t="shared" si="45"/>
        <v>0</v>
      </c>
      <c r="CJ35" s="178">
        <f t="shared" si="45"/>
        <v>0</v>
      </c>
      <c r="CK35" s="178"/>
      <c r="CL35" s="178">
        <f t="shared" si="45"/>
        <v>0</v>
      </c>
      <c r="CM35" s="178">
        <f t="shared" si="45"/>
        <v>0</v>
      </c>
      <c r="CN35" s="326"/>
      <c r="CO35" s="326"/>
      <c r="CV35" s="337">
        <f>SUM(N35-L35)</f>
        <v>0</v>
      </c>
    </row>
    <row r="36" spans="1:93" s="450" customFormat="1" ht="25.5" customHeight="1">
      <c r="A36" s="198" t="s">
        <v>170</v>
      </c>
      <c r="B36" s="122" t="s">
        <v>134</v>
      </c>
      <c r="C36" s="122"/>
      <c r="D36" s="180" t="s">
        <v>29</v>
      </c>
      <c r="E36" s="180"/>
      <c r="F36" s="180"/>
      <c r="G36" s="180"/>
      <c r="H36" s="180"/>
      <c r="I36" s="180"/>
      <c r="J36" s="350"/>
      <c r="K36" s="350"/>
      <c r="L36" s="117"/>
      <c r="M36" s="116"/>
      <c r="N36" s="189">
        <f>O36+SUM(U36:U36)</f>
        <v>99</v>
      </c>
      <c r="O36" s="189">
        <f>SUM(P36:T36)</f>
        <v>66</v>
      </c>
      <c r="P36" s="189">
        <f aca="true" t="shared" si="46" ref="P36:R38">W36+AD36+AK36+AR36+AY36+BF36+BM36+BT36+CA36+CH36</f>
        <v>66</v>
      </c>
      <c r="Q36" s="189">
        <f t="shared" si="46"/>
        <v>0</v>
      </c>
      <c r="R36" s="189">
        <f t="shared" si="46"/>
        <v>0</v>
      </c>
      <c r="S36" s="189"/>
      <c r="T36" s="189">
        <f aca="true" t="shared" si="47" ref="T36:U38">AA36+AH36+AO36+AV36+BC36+BJ36+BQ36+BX36+CE36+CL36</f>
        <v>0</v>
      </c>
      <c r="U36" s="189">
        <f t="shared" si="47"/>
        <v>33</v>
      </c>
      <c r="V36" s="182">
        <f>SUM(W36:AB36)</f>
        <v>0</v>
      </c>
      <c r="W36" s="116"/>
      <c r="X36" s="116"/>
      <c r="Y36" s="116"/>
      <c r="Z36" s="116"/>
      <c r="AA36" s="116"/>
      <c r="AB36" s="116"/>
      <c r="AC36" s="182">
        <f>SUM(AD36:AI36)</f>
        <v>0</v>
      </c>
      <c r="AD36" s="116"/>
      <c r="AE36" s="116"/>
      <c r="AF36" s="116"/>
      <c r="AG36" s="116"/>
      <c r="AH36" s="116"/>
      <c r="AI36" s="116"/>
      <c r="AJ36" s="182">
        <f>SUM(AK36:AP36)</f>
        <v>99</v>
      </c>
      <c r="AK36" s="117">
        <v>66</v>
      </c>
      <c r="AL36" s="117"/>
      <c r="AM36" s="117"/>
      <c r="AN36" s="117"/>
      <c r="AO36" s="117"/>
      <c r="AP36" s="117">
        <v>33</v>
      </c>
      <c r="AQ36" s="182">
        <f>SUM(AR36:AW36)</f>
        <v>0</v>
      </c>
      <c r="AR36" s="116"/>
      <c r="AS36" s="116"/>
      <c r="AT36" s="116"/>
      <c r="AU36" s="116"/>
      <c r="AV36" s="116"/>
      <c r="AW36" s="116"/>
      <c r="AX36" s="182">
        <f>SUM(AY36:BD36)</f>
        <v>0</v>
      </c>
      <c r="AY36" s="116"/>
      <c r="AZ36" s="116"/>
      <c r="BA36" s="116"/>
      <c r="BB36" s="116"/>
      <c r="BC36" s="116"/>
      <c r="BD36" s="116"/>
      <c r="BE36" s="182">
        <f>SUM(BF36:BK36)</f>
        <v>0</v>
      </c>
      <c r="BF36" s="116"/>
      <c r="BG36" s="116"/>
      <c r="BH36" s="116"/>
      <c r="BI36" s="116"/>
      <c r="BJ36" s="116"/>
      <c r="BK36" s="116"/>
      <c r="BL36" s="182">
        <f>SUM(BM36:BR36)</f>
        <v>0</v>
      </c>
      <c r="BM36" s="116"/>
      <c r="BN36" s="116"/>
      <c r="BO36" s="116"/>
      <c r="BP36" s="116"/>
      <c r="BQ36" s="116"/>
      <c r="BR36" s="116"/>
      <c r="BS36" s="182">
        <f>SUM(BT36:BY36)</f>
        <v>0</v>
      </c>
      <c r="BT36" s="116"/>
      <c r="BU36" s="116"/>
      <c r="BV36" s="116"/>
      <c r="BW36" s="116"/>
      <c r="BX36" s="116"/>
      <c r="BY36" s="116"/>
      <c r="BZ36" s="182">
        <f>SUM(CA36:CF36)</f>
        <v>0</v>
      </c>
      <c r="CA36" s="116"/>
      <c r="CB36" s="116"/>
      <c r="CC36" s="116"/>
      <c r="CD36" s="116"/>
      <c r="CE36" s="116"/>
      <c r="CF36" s="116"/>
      <c r="CG36" s="182">
        <f>SUM(CH36:CM36)</f>
        <v>0</v>
      </c>
      <c r="CH36" s="116"/>
      <c r="CI36" s="116"/>
      <c r="CJ36" s="116"/>
      <c r="CK36" s="116"/>
      <c r="CL36" s="116"/>
      <c r="CM36" s="116"/>
      <c r="CN36" s="180" t="s">
        <v>460</v>
      </c>
      <c r="CO36" s="200" t="s">
        <v>464</v>
      </c>
    </row>
    <row r="37" spans="1:93" s="450" customFormat="1" ht="25.5" customHeight="1">
      <c r="A37" s="198" t="s">
        <v>171</v>
      </c>
      <c r="B37" s="122" t="s">
        <v>135</v>
      </c>
      <c r="C37" s="122"/>
      <c r="D37" s="180"/>
      <c r="E37" s="199" t="s">
        <v>29</v>
      </c>
      <c r="F37" s="199"/>
      <c r="G37" s="199"/>
      <c r="H37" s="180"/>
      <c r="I37" s="180"/>
      <c r="J37" s="350"/>
      <c r="K37" s="350"/>
      <c r="L37" s="117"/>
      <c r="M37" s="116"/>
      <c r="N37" s="189">
        <f>O37+SUM(U37:U37)</f>
        <v>51</v>
      </c>
      <c r="O37" s="189">
        <f>SUM(P37:T37)</f>
        <v>34</v>
      </c>
      <c r="P37" s="189">
        <f t="shared" si="46"/>
        <v>4</v>
      </c>
      <c r="Q37" s="189">
        <f t="shared" si="46"/>
        <v>30</v>
      </c>
      <c r="R37" s="189">
        <f t="shared" si="46"/>
        <v>0</v>
      </c>
      <c r="S37" s="189"/>
      <c r="T37" s="189">
        <f t="shared" si="47"/>
        <v>0</v>
      </c>
      <c r="U37" s="189">
        <f t="shared" si="47"/>
        <v>17</v>
      </c>
      <c r="V37" s="182">
        <f>SUM(W37:AB37)</f>
        <v>0</v>
      </c>
      <c r="W37" s="116"/>
      <c r="X37" s="116"/>
      <c r="Y37" s="116"/>
      <c r="Z37" s="116"/>
      <c r="AA37" s="116"/>
      <c r="AB37" s="116"/>
      <c r="AC37" s="182">
        <f>SUM(AD37:AI37)</f>
        <v>0</v>
      </c>
      <c r="AD37" s="116"/>
      <c r="AE37" s="116"/>
      <c r="AF37" s="116"/>
      <c r="AG37" s="116"/>
      <c r="AH37" s="116"/>
      <c r="AI37" s="116"/>
      <c r="AJ37" s="182">
        <f>SUM(AK37:AP37)</f>
        <v>51</v>
      </c>
      <c r="AK37" s="117">
        <v>4</v>
      </c>
      <c r="AL37" s="117">
        <v>30</v>
      </c>
      <c r="AM37" s="117"/>
      <c r="AN37" s="117"/>
      <c r="AO37" s="117"/>
      <c r="AP37" s="117">
        <v>17</v>
      </c>
      <c r="AQ37" s="182">
        <f>SUM(AR37:AW37)</f>
        <v>0</v>
      </c>
      <c r="AR37" s="116"/>
      <c r="AS37" s="116"/>
      <c r="AT37" s="116"/>
      <c r="AU37" s="116"/>
      <c r="AV37" s="116"/>
      <c r="AW37" s="116"/>
      <c r="AX37" s="182">
        <f>SUM(AY37:BD37)</f>
        <v>0</v>
      </c>
      <c r="AY37" s="116"/>
      <c r="AZ37" s="116"/>
      <c r="BA37" s="116"/>
      <c r="BB37" s="116"/>
      <c r="BC37" s="116"/>
      <c r="BD37" s="116"/>
      <c r="BE37" s="182">
        <f>SUM(BF37:BK37)</f>
        <v>0</v>
      </c>
      <c r="BF37" s="116"/>
      <c r="BG37" s="116"/>
      <c r="BH37" s="116"/>
      <c r="BI37" s="116"/>
      <c r="BJ37" s="116"/>
      <c r="BK37" s="116"/>
      <c r="BL37" s="182">
        <f>SUM(BM37:BR37)</f>
        <v>0</v>
      </c>
      <c r="BM37" s="116"/>
      <c r="BN37" s="116"/>
      <c r="BO37" s="116"/>
      <c r="BP37" s="116"/>
      <c r="BQ37" s="116"/>
      <c r="BR37" s="116"/>
      <c r="BS37" s="182">
        <f>SUM(BT37:BY37)</f>
        <v>0</v>
      </c>
      <c r="BT37" s="116"/>
      <c r="BU37" s="116"/>
      <c r="BV37" s="116"/>
      <c r="BW37" s="116"/>
      <c r="BX37" s="116"/>
      <c r="BY37" s="116"/>
      <c r="BZ37" s="182">
        <f>SUM(CA37:CF37)</f>
        <v>0</v>
      </c>
      <c r="CA37" s="116"/>
      <c r="CB37" s="116"/>
      <c r="CC37" s="116"/>
      <c r="CD37" s="116"/>
      <c r="CE37" s="116"/>
      <c r="CF37" s="116"/>
      <c r="CG37" s="182">
        <f>SUM(CH37:CM37)</f>
        <v>0</v>
      </c>
      <c r="CH37" s="116"/>
      <c r="CI37" s="116"/>
      <c r="CJ37" s="116"/>
      <c r="CK37" s="116"/>
      <c r="CL37" s="116"/>
      <c r="CM37" s="116"/>
      <c r="CN37" s="180" t="s">
        <v>460</v>
      </c>
      <c r="CO37" s="200" t="s">
        <v>465</v>
      </c>
    </row>
    <row r="38" spans="1:93" s="450" customFormat="1" ht="25.5" customHeight="1">
      <c r="A38" s="198" t="s">
        <v>172</v>
      </c>
      <c r="B38" s="122" t="s">
        <v>354</v>
      </c>
      <c r="C38" s="122"/>
      <c r="D38" s="199"/>
      <c r="E38" s="199" t="s">
        <v>29</v>
      </c>
      <c r="F38" s="199"/>
      <c r="G38" s="199"/>
      <c r="H38" s="180"/>
      <c r="I38" s="180"/>
      <c r="J38" s="350"/>
      <c r="K38" s="350"/>
      <c r="L38" s="117"/>
      <c r="M38" s="116"/>
      <c r="N38" s="189">
        <f>O38+SUM(U38:U38)</f>
        <v>48</v>
      </c>
      <c r="O38" s="189">
        <f>SUM(P38:T38)</f>
        <v>32</v>
      </c>
      <c r="P38" s="189">
        <f t="shared" si="46"/>
        <v>32</v>
      </c>
      <c r="Q38" s="189">
        <f t="shared" si="46"/>
        <v>0</v>
      </c>
      <c r="R38" s="189">
        <f t="shared" si="46"/>
        <v>0</v>
      </c>
      <c r="S38" s="189"/>
      <c r="T38" s="189">
        <f t="shared" si="47"/>
        <v>0</v>
      </c>
      <c r="U38" s="189">
        <f t="shared" si="47"/>
        <v>16</v>
      </c>
      <c r="V38" s="182">
        <f>SUM(W38:AB38)</f>
        <v>0</v>
      </c>
      <c r="W38" s="116"/>
      <c r="X38" s="116"/>
      <c r="Y38" s="116"/>
      <c r="Z38" s="116"/>
      <c r="AA38" s="116"/>
      <c r="AB38" s="116"/>
      <c r="AC38" s="182">
        <f>SUM(AD38:AI38)</f>
        <v>0</v>
      </c>
      <c r="AD38" s="116"/>
      <c r="AE38" s="116"/>
      <c r="AF38" s="116"/>
      <c r="AG38" s="116"/>
      <c r="AH38" s="116"/>
      <c r="AI38" s="116"/>
      <c r="AJ38" s="182">
        <f>SUM(AK38:AP38)</f>
        <v>48</v>
      </c>
      <c r="AK38" s="116">
        <v>32</v>
      </c>
      <c r="AL38" s="116"/>
      <c r="AM38" s="116"/>
      <c r="AN38" s="116"/>
      <c r="AO38" s="116"/>
      <c r="AP38" s="116">
        <v>16</v>
      </c>
      <c r="AQ38" s="182">
        <f>SUM(AR38:AW38)</f>
        <v>0</v>
      </c>
      <c r="AR38" s="116"/>
      <c r="AS38" s="116"/>
      <c r="AT38" s="116"/>
      <c r="AU38" s="116"/>
      <c r="AV38" s="116"/>
      <c r="AW38" s="116"/>
      <c r="AX38" s="182">
        <f>SUM(AY38:BD38)</f>
        <v>0</v>
      </c>
      <c r="AY38" s="116"/>
      <c r="AZ38" s="116"/>
      <c r="BA38" s="116"/>
      <c r="BB38" s="116"/>
      <c r="BC38" s="116"/>
      <c r="BD38" s="116"/>
      <c r="BE38" s="182">
        <f>SUM(BF38:BK38)</f>
        <v>0</v>
      </c>
      <c r="BF38" s="116"/>
      <c r="BG38" s="116"/>
      <c r="BH38" s="116"/>
      <c r="BI38" s="116"/>
      <c r="BJ38" s="116"/>
      <c r="BK38" s="116"/>
      <c r="BL38" s="182">
        <f>SUM(BM38:BR38)</f>
        <v>0</v>
      </c>
      <c r="BM38" s="116"/>
      <c r="BN38" s="116"/>
      <c r="BO38" s="116"/>
      <c r="BP38" s="116"/>
      <c r="BQ38" s="116"/>
      <c r="BR38" s="116"/>
      <c r="BS38" s="182">
        <f>SUM(BT38:BY38)</f>
        <v>0</v>
      </c>
      <c r="BT38" s="116"/>
      <c r="BU38" s="116"/>
      <c r="BV38" s="116"/>
      <c r="BW38" s="116"/>
      <c r="BX38" s="116"/>
      <c r="BY38" s="116"/>
      <c r="BZ38" s="182">
        <f>SUM(CA38:CF38)</f>
        <v>0</v>
      </c>
      <c r="CA38" s="116"/>
      <c r="CB38" s="116"/>
      <c r="CC38" s="116"/>
      <c r="CD38" s="116"/>
      <c r="CE38" s="116"/>
      <c r="CF38" s="116"/>
      <c r="CG38" s="182">
        <f>SUM(CH38:CM38)</f>
        <v>0</v>
      </c>
      <c r="CH38" s="116"/>
      <c r="CI38" s="116"/>
      <c r="CJ38" s="116"/>
      <c r="CK38" s="116"/>
      <c r="CL38" s="116"/>
      <c r="CM38" s="116"/>
      <c r="CN38" s="180" t="s">
        <v>460</v>
      </c>
      <c r="CO38" s="200" t="s">
        <v>466</v>
      </c>
    </row>
    <row r="39" spans="1:93" s="48" customFormat="1" ht="25.5" customHeight="1">
      <c r="A39" s="322" t="s">
        <v>190</v>
      </c>
      <c r="B39" s="658" t="s">
        <v>69</v>
      </c>
      <c r="C39" s="659"/>
      <c r="D39" s="659"/>
      <c r="E39" s="659"/>
      <c r="F39" s="659"/>
      <c r="G39" s="659"/>
      <c r="H39" s="659"/>
      <c r="I39" s="660"/>
      <c r="J39" s="342">
        <f>K39*O39</f>
        <v>4229.55</v>
      </c>
      <c r="K39" s="343">
        <f>L39/M39</f>
        <v>1.446</v>
      </c>
      <c r="L39" s="178">
        <f>Нормы!D12</f>
        <v>2800</v>
      </c>
      <c r="M39" s="178">
        <f>Нормы!E12</f>
        <v>1936</v>
      </c>
      <c r="N39" s="324">
        <f>N40+N48</f>
        <v>4266</v>
      </c>
      <c r="O39" s="324">
        <f>O40+O48</f>
        <v>2925</v>
      </c>
      <c r="P39" s="178">
        <f aca="true" t="shared" si="48" ref="P39:AL39">P40+P48</f>
        <v>2250</v>
      </c>
      <c r="Q39" s="178">
        <f t="shared" si="48"/>
        <v>592</v>
      </c>
      <c r="R39" s="178">
        <f t="shared" si="48"/>
        <v>83</v>
      </c>
      <c r="S39" s="178"/>
      <c r="T39" s="178">
        <f t="shared" si="48"/>
        <v>0</v>
      </c>
      <c r="U39" s="178">
        <f t="shared" si="48"/>
        <v>1341</v>
      </c>
      <c r="V39" s="178">
        <f t="shared" si="48"/>
        <v>0</v>
      </c>
      <c r="W39" s="178">
        <f t="shared" si="48"/>
        <v>0</v>
      </c>
      <c r="X39" s="178">
        <f t="shared" si="48"/>
        <v>0</v>
      </c>
      <c r="Y39" s="178">
        <f t="shared" si="48"/>
        <v>0</v>
      </c>
      <c r="Z39" s="178"/>
      <c r="AA39" s="178">
        <f t="shared" si="48"/>
        <v>0</v>
      </c>
      <c r="AB39" s="325">
        <f t="shared" si="48"/>
        <v>0</v>
      </c>
      <c r="AC39" s="178">
        <f t="shared" si="48"/>
        <v>0</v>
      </c>
      <c r="AD39" s="178">
        <f t="shared" si="48"/>
        <v>0</v>
      </c>
      <c r="AE39" s="178">
        <f t="shared" si="48"/>
        <v>0</v>
      </c>
      <c r="AF39" s="178">
        <f t="shared" si="48"/>
        <v>0</v>
      </c>
      <c r="AG39" s="178"/>
      <c r="AH39" s="178">
        <f t="shared" si="48"/>
        <v>0</v>
      </c>
      <c r="AI39" s="325">
        <f t="shared" si="48"/>
        <v>0</v>
      </c>
      <c r="AJ39" s="178">
        <f t="shared" si="48"/>
        <v>365</v>
      </c>
      <c r="AK39" s="178">
        <f t="shared" si="48"/>
        <v>206</v>
      </c>
      <c r="AL39" s="178">
        <f t="shared" si="48"/>
        <v>48</v>
      </c>
      <c r="AM39" s="178">
        <f aca="true" t="shared" si="49" ref="AM39:AW39">AM40+AM48</f>
        <v>0</v>
      </c>
      <c r="AN39" s="178"/>
      <c r="AO39" s="178">
        <f t="shared" si="49"/>
        <v>0</v>
      </c>
      <c r="AP39" s="178">
        <f t="shared" si="49"/>
        <v>111</v>
      </c>
      <c r="AQ39" s="178">
        <f t="shared" si="49"/>
        <v>722</v>
      </c>
      <c r="AR39" s="178">
        <f t="shared" si="49"/>
        <v>459</v>
      </c>
      <c r="AS39" s="178">
        <f t="shared" si="49"/>
        <v>34</v>
      </c>
      <c r="AT39" s="178">
        <f t="shared" si="49"/>
        <v>0</v>
      </c>
      <c r="AU39" s="178"/>
      <c r="AV39" s="178">
        <f t="shared" si="49"/>
        <v>0</v>
      </c>
      <c r="AW39" s="178">
        <f t="shared" si="49"/>
        <v>229</v>
      </c>
      <c r="AX39" s="178">
        <f aca="true" t="shared" si="50" ref="AX39:BD39">AX40+AX48</f>
        <v>669</v>
      </c>
      <c r="AY39" s="178">
        <f>AY40+AY48</f>
        <v>374</v>
      </c>
      <c r="AZ39" s="178">
        <f t="shared" si="50"/>
        <v>90</v>
      </c>
      <c r="BA39" s="178">
        <f t="shared" si="50"/>
        <v>0</v>
      </c>
      <c r="BB39" s="178"/>
      <c r="BC39" s="178">
        <f t="shared" si="50"/>
        <v>0</v>
      </c>
      <c r="BD39" s="178">
        <f t="shared" si="50"/>
        <v>205</v>
      </c>
      <c r="BE39" s="178">
        <f aca="true" t="shared" si="51" ref="BE39:BK39">BE40+BE48</f>
        <v>517</v>
      </c>
      <c r="BF39" s="178">
        <f t="shared" si="51"/>
        <v>233</v>
      </c>
      <c r="BG39" s="178">
        <f t="shared" si="51"/>
        <v>119</v>
      </c>
      <c r="BH39" s="178">
        <f t="shared" si="51"/>
        <v>0</v>
      </c>
      <c r="BI39" s="178"/>
      <c r="BJ39" s="178">
        <f t="shared" si="51"/>
        <v>0</v>
      </c>
      <c r="BK39" s="178">
        <f t="shared" si="51"/>
        <v>165</v>
      </c>
      <c r="BL39" s="178">
        <f aca="true" t="shared" si="52" ref="BL39:BR39">BL40+BL48</f>
        <v>518</v>
      </c>
      <c r="BM39" s="178">
        <f t="shared" si="52"/>
        <v>268</v>
      </c>
      <c r="BN39" s="178">
        <f t="shared" si="52"/>
        <v>84</v>
      </c>
      <c r="BO39" s="178">
        <f t="shared" si="52"/>
        <v>0</v>
      </c>
      <c r="BP39" s="178"/>
      <c r="BQ39" s="178">
        <f t="shared" si="52"/>
        <v>0</v>
      </c>
      <c r="BR39" s="178">
        <f t="shared" si="52"/>
        <v>166</v>
      </c>
      <c r="BS39" s="178">
        <f aca="true" t="shared" si="53" ref="BS39:BY39">BS40+BS48</f>
        <v>517</v>
      </c>
      <c r="BT39" s="178">
        <f t="shared" si="53"/>
        <v>286</v>
      </c>
      <c r="BU39" s="178">
        <f t="shared" si="53"/>
        <v>11</v>
      </c>
      <c r="BV39" s="178">
        <f t="shared" si="53"/>
        <v>55</v>
      </c>
      <c r="BW39" s="178"/>
      <c r="BX39" s="178">
        <f t="shared" si="53"/>
        <v>0</v>
      </c>
      <c r="BY39" s="178">
        <f t="shared" si="53"/>
        <v>165</v>
      </c>
      <c r="BZ39" s="178">
        <f aca="true" t="shared" si="54" ref="BZ39:CM39">BZ40+BZ48</f>
        <v>326</v>
      </c>
      <c r="CA39" s="178">
        <f t="shared" si="54"/>
        <v>146</v>
      </c>
      <c r="CB39" s="178">
        <f t="shared" si="54"/>
        <v>78</v>
      </c>
      <c r="CC39" s="178">
        <f t="shared" si="54"/>
        <v>0</v>
      </c>
      <c r="CD39" s="178"/>
      <c r="CE39" s="178">
        <f t="shared" si="54"/>
        <v>0</v>
      </c>
      <c r="CF39" s="178">
        <f t="shared" si="54"/>
        <v>102</v>
      </c>
      <c r="CG39" s="178">
        <f t="shared" si="54"/>
        <v>632</v>
      </c>
      <c r="CH39" s="178">
        <f t="shared" si="54"/>
        <v>278</v>
      </c>
      <c r="CI39" s="178">
        <f t="shared" si="54"/>
        <v>128</v>
      </c>
      <c r="CJ39" s="178">
        <f t="shared" si="54"/>
        <v>28</v>
      </c>
      <c r="CK39" s="178"/>
      <c r="CL39" s="178">
        <f t="shared" si="54"/>
        <v>0</v>
      </c>
      <c r="CM39" s="178">
        <f t="shared" si="54"/>
        <v>198</v>
      </c>
      <c r="CN39" s="326"/>
      <c r="CO39" s="326"/>
    </row>
    <row r="40" spans="1:100" s="48" customFormat="1" ht="25.5" customHeight="1">
      <c r="A40" s="323" t="s">
        <v>548</v>
      </c>
      <c r="B40" s="662" t="s">
        <v>177</v>
      </c>
      <c r="C40" s="663"/>
      <c r="D40" s="663"/>
      <c r="E40" s="663"/>
      <c r="F40" s="663"/>
      <c r="G40" s="663"/>
      <c r="H40" s="663"/>
      <c r="I40" s="664"/>
      <c r="J40" s="342">
        <f>K40*O40</f>
        <v>622.5</v>
      </c>
      <c r="K40" s="343">
        <f>L40/M40</f>
        <v>1.5</v>
      </c>
      <c r="L40" s="324">
        <v>552</v>
      </c>
      <c r="M40" s="324">
        <v>368</v>
      </c>
      <c r="N40" s="327">
        <f aca="true" t="shared" si="55" ref="N40:AL40">SUM(N41:N47)</f>
        <v>622</v>
      </c>
      <c r="O40" s="327">
        <f t="shared" si="55"/>
        <v>415</v>
      </c>
      <c r="P40" s="327">
        <f t="shared" si="55"/>
        <v>333</v>
      </c>
      <c r="Q40" s="327">
        <f t="shared" si="55"/>
        <v>82</v>
      </c>
      <c r="R40" s="327">
        <f t="shared" si="55"/>
        <v>0</v>
      </c>
      <c r="S40" s="327"/>
      <c r="T40" s="327">
        <f t="shared" si="55"/>
        <v>0</v>
      </c>
      <c r="U40" s="327">
        <f t="shared" si="55"/>
        <v>207</v>
      </c>
      <c r="V40" s="327">
        <f t="shared" si="55"/>
        <v>0</v>
      </c>
      <c r="W40" s="327">
        <f t="shared" si="55"/>
        <v>0</v>
      </c>
      <c r="X40" s="327">
        <f t="shared" si="55"/>
        <v>0</v>
      </c>
      <c r="Y40" s="327">
        <f t="shared" si="55"/>
        <v>0</v>
      </c>
      <c r="Z40" s="327"/>
      <c r="AA40" s="327">
        <f t="shared" si="55"/>
        <v>0</v>
      </c>
      <c r="AB40" s="328">
        <f t="shared" si="55"/>
        <v>0</v>
      </c>
      <c r="AC40" s="327">
        <f t="shared" si="55"/>
        <v>0</v>
      </c>
      <c r="AD40" s="327">
        <f t="shared" si="55"/>
        <v>0</v>
      </c>
      <c r="AE40" s="327">
        <f t="shared" si="55"/>
        <v>0</v>
      </c>
      <c r="AF40" s="327">
        <f t="shared" si="55"/>
        <v>0</v>
      </c>
      <c r="AG40" s="327"/>
      <c r="AH40" s="327">
        <f t="shared" si="55"/>
        <v>0</v>
      </c>
      <c r="AI40" s="328">
        <f t="shared" si="55"/>
        <v>0</v>
      </c>
      <c r="AJ40" s="327">
        <f t="shared" si="55"/>
        <v>293</v>
      </c>
      <c r="AK40" s="327">
        <f t="shared" si="55"/>
        <v>148</v>
      </c>
      <c r="AL40" s="327">
        <f t="shared" si="55"/>
        <v>48</v>
      </c>
      <c r="AM40" s="327">
        <f aca="true" t="shared" si="56" ref="AM40:AW40">SUM(AM41:AM47)</f>
        <v>0</v>
      </c>
      <c r="AN40" s="327"/>
      <c r="AO40" s="327">
        <f t="shared" si="56"/>
        <v>0</v>
      </c>
      <c r="AP40" s="327">
        <f t="shared" si="56"/>
        <v>97</v>
      </c>
      <c r="AQ40" s="327">
        <f t="shared" si="56"/>
        <v>230</v>
      </c>
      <c r="AR40" s="327">
        <f t="shared" si="56"/>
        <v>119</v>
      </c>
      <c r="AS40" s="327">
        <f t="shared" si="56"/>
        <v>34</v>
      </c>
      <c r="AT40" s="327">
        <f t="shared" si="56"/>
        <v>0</v>
      </c>
      <c r="AU40" s="327"/>
      <c r="AV40" s="327">
        <f t="shared" si="56"/>
        <v>0</v>
      </c>
      <c r="AW40" s="327">
        <f t="shared" si="56"/>
        <v>77</v>
      </c>
      <c r="AX40" s="327">
        <f aca="true" t="shared" si="57" ref="AX40:BD40">SUM(AX41:AX47)</f>
        <v>0</v>
      </c>
      <c r="AY40" s="327">
        <f t="shared" si="57"/>
        <v>0</v>
      </c>
      <c r="AZ40" s="327">
        <f t="shared" si="57"/>
        <v>0</v>
      </c>
      <c r="BA40" s="327">
        <f t="shared" si="57"/>
        <v>0</v>
      </c>
      <c r="BB40" s="327"/>
      <c r="BC40" s="327">
        <f t="shared" si="57"/>
        <v>0</v>
      </c>
      <c r="BD40" s="327">
        <f t="shared" si="57"/>
        <v>0</v>
      </c>
      <c r="BE40" s="327">
        <f aca="true" t="shared" si="58" ref="BE40:BK40">SUM(BE41:BE47)</f>
        <v>0</v>
      </c>
      <c r="BF40" s="327">
        <f t="shared" si="58"/>
        <v>0</v>
      </c>
      <c r="BG40" s="327">
        <f t="shared" si="58"/>
        <v>0</v>
      </c>
      <c r="BH40" s="327">
        <f t="shared" si="58"/>
        <v>0</v>
      </c>
      <c r="BI40" s="327"/>
      <c r="BJ40" s="327">
        <f t="shared" si="58"/>
        <v>0</v>
      </c>
      <c r="BK40" s="327">
        <f t="shared" si="58"/>
        <v>0</v>
      </c>
      <c r="BL40" s="327">
        <f aca="true" t="shared" si="59" ref="BL40:BR40">SUM(BL41:BL47)</f>
        <v>33</v>
      </c>
      <c r="BM40" s="327">
        <f t="shared" si="59"/>
        <v>22</v>
      </c>
      <c r="BN40" s="327">
        <f t="shared" si="59"/>
        <v>0</v>
      </c>
      <c r="BO40" s="327">
        <f t="shared" si="59"/>
        <v>0</v>
      </c>
      <c r="BP40" s="327"/>
      <c r="BQ40" s="327">
        <f t="shared" si="59"/>
        <v>0</v>
      </c>
      <c r="BR40" s="327">
        <f t="shared" si="59"/>
        <v>11</v>
      </c>
      <c r="BS40" s="327">
        <f aca="true" t="shared" si="60" ref="BS40:BY40">SUM(BS41:BS47)</f>
        <v>66</v>
      </c>
      <c r="BT40" s="327">
        <f t="shared" si="60"/>
        <v>44</v>
      </c>
      <c r="BU40" s="327">
        <f t="shared" si="60"/>
        <v>0</v>
      </c>
      <c r="BV40" s="327">
        <f t="shared" si="60"/>
        <v>0</v>
      </c>
      <c r="BW40" s="327"/>
      <c r="BX40" s="327">
        <f t="shared" si="60"/>
        <v>0</v>
      </c>
      <c r="BY40" s="327">
        <f t="shared" si="60"/>
        <v>22</v>
      </c>
      <c r="BZ40" s="327">
        <f aca="true" t="shared" si="61" ref="BZ40:CM40">SUM(BZ41:BZ47)</f>
        <v>0</v>
      </c>
      <c r="CA40" s="327">
        <f t="shared" si="61"/>
        <v>0</v>
      </c>
      <c r="CB40" s="327">
        <f t="shared" si="61"/>
        <v>0</v>
      </c>
      <c r="CC40" s="327">
        <f t="shared" si="61"/>
        <v>0</v>
      </c>
      <c r="CD40" s="327"/>
      <c r="CE40" s="327">
        <f t="shared" si="61"/>
        <v>0</v>
      </c>
      <c r="CF40" s="327">
        <f t="shared" si="61"/>
        <v>0</v>
      </c>
      <c r="CG40" s="327">
        <f t="shared" si="61"/>
        <v>0</v>
      </c>
      <c r="CH40" s="327">
        <f t="shared" si="61"/>
        <v>0</v>
      </c>
      <c r="CI40" s="327">
        <f t="shared" si="61"/>
        <v>0</v>
      </c>
      <c r="CJ40" s="327">
        <f t="shared" si="61"/>
        <v>0</v>
      </c>
      <c r="CK40" s="327"/>
      <c r="CL40" s="327">
        <f t="shared" si="61"/>
        <v>0</v>
      </c>
      <c r="CM40" s="327">
        <f t="shared" si="61"/>
        <v>0</v>
      </c>
      <c r="CN40" s="329"/>
      <c r="CO40" s="329"/>
      <c r="CV40" s="337">
        <f>SUM(N40-L40)</f>
        <v>70</v>
      </c>
    </row>
    <row r="41" spans="1:93" s="450" customFormat="1" ht="25.5" customHeight="1">
      <c r="A41" s="198" t="s">
        <v>178</v>
      </c>
      <c r="B41" s="122" t="s">
        <v>179</v>
      </c>
      <c r="C41" s="122"/>
      <c r="D41" s="180"/>
      <c r="E41" s="180" t="s">
        <v>39</v>
      </c>
      <c r="F41" s="180"/>
      <c r="G41" s="180"/>
      <c r="H41" s="180"/>
      <c r="I41" s="180" t="s">
        <v>29</v>
      </c>
      <c r="J41" s="350"/>
      <c r="K41" s="350"/>
      <c r="L41" s="117"/>
      <c r="M41" s="116"/>
      <c r="N41" s="189">
        <f aca="true" t="shared" si="62" ref="N41:N47">O41+SUM(U41:U41)</f>
        <v>99</v>
      </c>
      <c r="O41" s="189">
        <f aca="true" t="shared" si="63" ref="O41:O47">SUM(P41:T41)</f>
        <v>66</v>
      </c>
      <c r="P41" s="189">
        <f aca="true" t="shared" si="64" ref="P41:R47">W41+AD41+AK41+AR41+AY41+BF41+BM41+BT41+CA41+CH41</f>
        <v>0</v>
      </c>
      <c r="Q41" s="189">
        <f t="shared" si="64"/>
        <v>66</v>
      </c>
      <c r="R41" s="189">
        <f t="shared" si="64"/>
        <v>0</v>
      </c>
      <c r="S41" s="189"/>
      <c r="T41" s="189">
        <f aca="true" t="shared" si="65" ref="T41:U47">AA41+AH41+AO41+AV41+BC41+BJ41+BQ41+BX41+CE41+CL41</f>
        <v>0</v>
      </c>
      <c r="U41" s="189">
        <f t="shared" si="65"/>
        <v>33</v>
      </c>
      <c r="V41" s="182">
        <f aca="true" t="shared" si="66" ref="V41:V47">SUM(W41:AB41)</f>
        <v>0</v>
      </c>
      <c r="W41" s="116"/>
      <c r="X41" s="116"/>
      <c r="Y41" s="116"/>
      <c r="Z41" s="116"/>
      <c r="AA41" s="116"/>
      <c r="AB41" s="116"/>
      <c r="AC41" s="182">
        <f aca="true" t="shared" si="67" ref="AC41:AC47">SUM(AD41:AI41)</f>
        <v>0</v>
      </c>
      <c r="AD41" s="116"/>
      <c r="AE41" s="116"/>
      <c r="AF41" s="116"/>
      <c r="AG41" s="116"/>
      <c r="AH41" s="116"/>
      <c r="AI41" s="116"/>
      <c r="AJ41" s="182">
        <f aca="true" t="shared" si="68" ref="AJ41:AJ47">SUM(AK41:AP41)</f>
        <v>48</v>
      </c>
      <c r="AK41" s="116"/>
      <c r="AL41" s="116">
        <v>32</v>
      </c>
      <c r="AM41" s="116"/>
      <c r="AN41" s="116"/>
      <c r="AO41" s="116"/>
      <c r="AP41" s="116">
        <v>16</v>
      </c>
      <c r="AQ41" s="182">
        <f aca="true" t="shared" si="69" ref="AQ41:AQ47">SUM(AR41:AW41)</f>
        <v>51</v>
      </c>
      <c r="AR41" s="116"/>
      <c r="AS41" s="116">
        <v>34</v>
      </c>
      <c r="AT41" s="116"/>
      <c r="AU41" s="116"/>
      <c r="AV41" s="116"/>
      <c r="AW41" s="116">
        <v>17</v>
      </c>
      <c r="AX41" s="182">
        <f aca="true" t="shared" si="70" ref="AX41:AX47">SUM(AY41:BD41)</f>
        <v>0</v>
      </c>
      <c r="AY41" s="116"/>
      <c r="AZ41" s="116"/>
      <c r="BA41" s="116"/>
      <c r="BB41" s="116"/>
      <c r="BC41" s="116"/>
      <c r="BD41" s="116"/>
      <c r="BE41" s="182">
        <f aca="true" t="shared" si="71" ref="BE41:BE47">SUM(BF41:BK41)</f>
        <v>0</v>
      </c>
      <c r="BF41" s="116"/>
      <c r="BG41" s="116"/>
      <c r="BH41" s="116"/>
      <c r="BI41" s="116"/>
      <c r="BJ41" s="116"/>
      <c r="BK41" s="116"/>
      <c r="BL41" s="182">
        <f aca="true" t="shared" si="72" ref="BL41:BL47">SUM(BM41:BR41)</f>
        <v>0</v>
      </c>
      <c r="BM41" s="116"/>
      <c r="BN41" s="116"/>
      <c r="BO41" s="116"/>
      <c r="BP41" s="116"/>
      <c r="BQ41" s="116"/>
      <c r="BR41" s="116"/>
      <c r="BS41" s="182">
        <f aca="true" t="shared" si="73" ref="BS41:BS47">SUM(BT41:BY41)</f>
        <v>0</v>
      </c>
      <c r="BT41" s="116"/>
      <c r="BU41" s="116"/>
      <c r="BV41" s="116"/>
      <c r="BW41" s="116"/>
      <c r="BX41" s="116"/>
      <c r="BY41" s="116"/>
      <c r="BZ41" s="182">
        <f aca="true" t="shared" si="74" ref="BZ41:BZ47">SUM(CA41:CF41)</f>
        <v>0</v>
      </c>
      <c r="CA41" s="116"/>
      <c r="CB41" s="116"/>
      <c r="CC41" s="116"/>
      <c r="CD41" s="116"/>
      <c r="CE41" s="116"/>
      <c r="CF41" s="116"/>
      <c r="CG41" s="182">
        <f aca="true" t="shared" si="75" ref="CG41:CG47">SUM(CH41:CM41)</f>
        <v>0</v>
      </c>
      <c r="CH41" s="116"/>
      <c r="CI41" s="116"/>
      <c r="CJ41" s="116"/>
      <c r="CK41" s="116"/>
      <c r="CL41" s="116"/>
      <c r="CM41" s="116"/>
      <c r="CN41" s="180" t="s">
        <v>475</v>
      </c>
      <c r="CO41" s="200" t="s">
        <v>529</v>
      </c>
    </row>
    <row r="42" spans="1:93" s="450" customFormat="1" ht="25.5" customHeight="1">
      <c r="A42" s="198" t="s">
        <v>180</v>
      </c>
      <c r="B42" s="122" t="s">
        <v>181</v>
      </c>
      <c r="C42" s="122"/>
      <c r="D42" s="180"/>
      <c r="E42" s="180" t="s">
        <v>39</v>
      </c>
      <c r="F42" s="180"/>
      <c r="G42" s="180"/>
      <c r="H42" s="180"/>
      <c r="I42" s="180"/>
      <c r="J42" s="350"/>
      <c r="K42" s="350"/>
      <c r="L42" s="116"/>
      <c r="M42" s="116"/>
      <c r="N42" s="189">
        <f t="shared" si="62"/>
        <v>77</v>
      </c>
      <c r="O42" s="189">
        <f t="shared" si="63"/>
        <v>51</v>
      </c>
      <c r="P42" s="189">
        <f t="shared" si="64"/>
        <v>51</v>
      </c>
      <c r="Q42" s="189">
        <f t="shared" si="64"/>
        <v>0</v>
      </c>
      <c r="R42" s="189">
        <f t="shared" si="64"/>
        <v>0</v>
      </c>
      <c r="S42" s="189"/>
      <c r="T42" s="189">
        <f t="shared" si="65"/>
        <v>0</v>
      </c>
      <c r="U42" s="189">
        <f t="shared" si="65"/>
        <v>26</v>
      </c>
      <c r="V42" s="182">
        <f t="shared" si="66"/>
        <v>0</v>
      </c>
      <c r="W42" s="116"/>
      <c r="X42" s="116"/>
      <c r="Y42" s="116"/>
      <c r="Z42" s="116"/>
      <c r="AA42" s="116"/>
      <c r="AB42" s="116"/>
      <c r="AC42" s="182">
        <f t="shared" si="67"/>
        <v>0</v>
      </c>
      <c r="AD42" s="116"/>
      <c r="AE42" s="116"/>
      <c r="AF42" s="116"/>
      <c r="AG42" s="116"/>
      <c r="AH42" s="116"/>
      <c r="AI42" s="116"/>
      <c r="AJ42" s="182">
        <f t="shared" si="68"/>
        <v>0</v>
      </c>
      <c r="AK42" s="117"/>
      <c r="AL42" s="117"/>
      <c r="AM42" s="117"/>
      <c r="AN42" s="117"/>
      <c r="AO42" s="116"/>
      <c r="AP42" s="117"/>
      <c r="AQ42" s="182">
        <f t="shared" si="69"/>
        <v>77</v>
      </c>
      <c r="AR42" s="117">
        <v>51</v>
      </c>
      <c r="AS42" s="117"/>
      <c r="AT42" s="117"/>
      <c r="AU42" s="117"/>
      <c r="AV42" s="117"/>
      <c r="AW42" s="117">
        <v>26</v>
      </c>
      <c r="AX42" s="182">
        <f t="shared" si="70"/>
        <v>0</v>
      </c>
      <c r="AY42" s="116"/>
      <c r="AZ42" s="116"/>
      <c r="BA42" s="116"/>
      <c r="BB42" s="116"/>
      <c r="BC42" s="116"/>
      <c r="BD42" s="116"/>
      <c r="BE42" s="182">
        <f t="shared" si="71"/>
        <v>0</v>
      </c>
      <c r="BF42" s="116"/>
      <c r="BG42" s="116"/>
      <c r="BH42" s="116"/>
      <c r="BI42" s="116"/>
      <c r="BJ42" s="116"/>
      <c r="BK42" s="116"/>
      <c r="BL42" s="182">
        <f t="shared" si="72"/>
        <v>0</v>
      </c>
      <c r="BM42" s="116"/>
      <c r="BN42" s="116"/>
      <c r="BO42" s="116"/>
      <c r="BP42" s="116"/>
      <c r="BQ42" s="116"/>
      <c r="BR42" s="116"/>
      <c r="BS42" s="182">
        <f t="shared" si="73"/>
        <v>0</v>
      </c>
      <c r="BT42" s="116"/>
      <c r="BU42" s="116"/>
      <c r="BV42" s="116"/>
      <c r="BW42" s="116"/>
      <c r="BX42" s="116"/>
      <c r="BY42" s="116"/>
      <c r="BZ42" s="182">
        <f t="shared" si="74"/>
        <v>0</v>
      </c>
      <c r="CA42" s="116"/>
      <c r="CB42" s="116"/>
      <c r="CC42" s="116"/>
      <c r="CD42" s="116"/>
      <c r="CE42" s="116"/>
      <c r="CF42" s="116"/>
      <c r="CG42" s="182">
        <f t="shared" si="75"/>
        <v>0</v>
      </c>
      <c r="CH42" s="116"/>
      <c r="CI42" s="116"/>
      <c r="CJ42" s="116"/>
      <c r="CK42" s="116"/>
      <c r="CL42" s="116"/>
      <c r="CM42" s="116"/>
      <c r="CN42" s="180" t="s">
        <v>475</v>
      </c>
      <c r="CO42" s="116" t="s">
        <v>467</v>
      </c>
    </row>
    <row r="43" spans="1:93" s="450" customFormat="1" ht="25.5" customHeight="1">
      <c r="A43" s="198" t="s">
        <v>182</v>
      </c>
      <c r="B43" s="181" t="s">
        <v>183</v>
      </c>
      <c r="C43" s="122" t="s">
        <v>531</v>
      </c>
      <c r="D43" s="180"/>
      <c r="E43" s="199" t="s">
        <v>29</v>
      </c>
      <c r="F43" s="199"/>
      <c r="G43" s="199"/>
      <c r="H43" s="180"/>
      <c r="I43" s="180"/>
      <c r="J43" s="350"/>
      <c r="K43" s="350"/>
      <c r="L43" s="116"/>
      <c r="M43" s="116"/>
      <c r="N43" s="189">
        <f t="shared" si="62"/>
        <v>48</v>
      </c>
      <c r="O43" s="189">
        <f t="shared" si="63"/>
        <v>32</v>
      </c>
      <c r="P43" s="189">
        <f t="shared" si="64"/>
        <v>16</v>
      </c>
      <c r="Q43" s="189">
        <f t="shared" si="64"/>
        <v>16</v>
      </c>
      <c r="R43" s="189">
        <f t="shared" si="64"/>
        <v>0</v>
      </c>
      <c r="S43" s="189"/>
      <c r="T43" s="189">
        <f t="shared" si="65"/>
        <v>0</v>
      </c>
      <c r="U43" s="189">
        <f t="shared" si="65"/>
        <v>16</v>
      </c>
      <c r="V43" s="182">
        <f t="shared" si="66"/>
        <v>0</v>
      </c>
      <c r="W43" s="116"/>
      <c r="X43" s="116"/>
      <c r="Y43" s="116"/>
      <c r="Z43" s="116"/>
      <c r="AA43" s="116"/>
      <c r="AB43" s="116"/>
      <c r="AC43" s="182">
        <f t="shared" si="67"/>
        <v>0</v>
      </c>
      <c r="AD43" s="116"/>
      <c r="AE43" s="116"/>
      <c r="AF43" s="116"/>
      <c r="AG43" s="116"/>
      <c r="AH43" s="116"/>
      <c r="AI43" s="116"/>
      <c r="AJ43" s="182">
        <f t="shared" si="68"/>
        <v>48</v>
      </c>
      <c r="AK43" s="117">
        <v>16</v>
      </c>
      <c r="AL43" s="117">
        <v>16</v>
      </c>
      <c r="AM43" s="117"/>
      <c r="AN43" s="117"/>
      <c r="AO43" s="116"/>
      <c r="AP43" s="116">
        <v>16</v>
      </c>
      <c r="AQ43" s="182">
        <f t="shared" si="69"/>
        <v>0</v>
      </c>
      <c r="AR43" s="117"/>
      <c r="AS43" s="117"/>
      <c r="AT43" s="117"/>
      <c r="AU43" s="117"/>
      <c r="AV43" s="117"/>
      <c r="AW43" s="117"/>
      <c r="AX43" s="182">
        <f t="shared" si="70"/>
        <v>0</v>
      </c>
      <c r="AY43" s="116"/>
      <c r="AZ43" s="116"/>
      <c r="BA43" s="116"/>
      <c r="BB43" s="116"/>
      <c r="BC43" s="116"/>
      <c r="BD43" s="116"/>
      <c r="BE43" s="182">
        <f t="shared" si="71"/>
        <v>0</v>
      </c>
      <c r="BF43" s="116"/>
      <c r="BG43" s="116"/>
      <c r="BH43" s="116"/>
      <c r="BI43" s="116"/>
      <c r="BJ43" s="116"/>
      <c r="BK43" s="116"/>
      <c r="BL43" s="182">
        <f t="shared" si="72"/>
        <v>0</v>
      </c>
      <c r="BM43" s="116"/>
      <c r="BN43" s="116"/>
      <c r="BO43" s="116"/>
      <c r="BP43" s="116"/>
      <c r="BQ43" s="116"/>
      <c r="BR43" s="116"/>
      <c r="BS43" s="182">
        <f t="shared" si="73"/>
        <v>0</v>
      </c>
      <c r="BT43" s="116"/>
      <c r="BU43" s="116"/>
      <c r="BV43" s="116"/>
      <c r="BW43" s="116"/>
      <c r="BX43" s="116"/>
      <c r="BY43" s="116"/>
      <c r="BZ43" s="182">
        <f t="shared" si="74"/>
        <v>0</v>
      </c>
      <c r="CA43" s="116"/>
      <c r="CB43" s="116"/>
      <c r="CC43" s="116"/>
      <c r="CD43" s="116"/>
      <c r="CE43" s="116"/>
      <c r="CF43" s="116"/>
      <c r="CG43" s="182">
        <f t="shared" si="75"/>
        <v>0</v>
      </c>
      <c r="CH43" s="116"/>
      <c r="CI43" s="116"/>
      <c r="CJ43" s="116"/>
      <c r="CK43" s="116"/>
      <c r="CL43" s="116"/>
      <c r="CM43" s="116"/>
      <c r="CN43" s="180" t="s">
        <v>468</v>
      </c>
      <c r="CO43" s="116" t="s">
        <v>417</v>
      </c>
    </row>
    <row r="44" spans="1:93" s="414" customFormat="1" ht="25.5" customHeight="1">
      <c r="A44" s="407" t="s">
        <v>184</v>
      </c>
      <c r="B44" s="418" t="s">
        <v>507</v>
      </c>
      <c r="C44" s="408" t="s">
        <v>513</v>
      </c>
      <c r="D44" s="201" t="s">
        <v>37</v>
      </c>
      <c r="E44" s="201"/>
      <c r="F44" s="201"/>
      <c r="G44" s="201"/>
      <c r="H44" s="149"/>
      <c r="I44" s="149" t="s">
        <v>42</v>
      </c>
      <c r="J44" s="409"/>
      <c r="K44" s="409"/>
      <c r="L44" s="190"/>
      <c r="M44" s="190"/>
      <c r="N44" s="410">
        <f t="shared" si="62"/>
        <v>99</v>
      </c>
      <c r="O44" s="410">
        <f t="shared" si="63"/>
        <v>66</v>
      </c>
      <c r="P44" s="410">
        <f t="shared" si="64"/>
        <v>66</v>
      </c>
      <c r="Q44" s="410">
        <f t="shared" si="64"/>
        <v>0</v>
      </c>
      <c r="R44" s="410">
        <f t="shared" si="64"/>
        <v>0</v>
      </c>
      <c r="S44" s="410"/>
      <c r="T44" s="410">
        <f t="shared" si="65"/>
        <v>0</v>
      </c>
      <c r="U44" s="410">
        <f t="shared" si="65"/>
        <v>33</v>
      </c>
      <c r="V44" s="411">
        <f t="shared" si="66"/>
        <v>0</v>
      </c>
      <c r="W44" s="190"/>
      <c r="X44" s="190"/>
      <c r="Y44" s="190"/>
      <c r="Z44" s="190"/>
      <c r="AA44" s="190"/>
      <c r="AB44" s="190"/>
      <c r="AC44" s="411">
        <f t="shared" si="67"/>
        <v>0</v>
      </c>
      <c r="AD44" s="190"/>
      <c r="AE44" s="190"/>
      <c r="AF44" s="190"/>
      <c r="AG44" s="190"/>
      <c r="AH44" s="190"/>
      <c r="AI44" s="190"/>
      <c r="AJ44" s="411">
        <f t="shared" si="68"/>
        <v>0</v>
      </c>
      <c r="AK44" s="412"/>
      <c r="AL44" s="412"/>
      <c r="AM44" s="412"/>
      <c r="AN44" s="412"/>
      <c r="AO44" s="190"/>
      <c r="AP44" s="190"/>
      <c r="AQ44" s="411">
        <f t="shared" si="69"/>
        <v>0</v>
      </c>
      <c r="AR44" s="412"/>
      <c r="AS44" s="412"/>
      <c r="AT44" s="412"/>
      <c r="AU44" s="412"/>
      <c r="AV44" s="412"/>
      <c r="AW44" s="412"/>
      <c r="AX44" s="411">
        <f t="shared" si="70"/>
        <v>0</v>
      </c>
      <c r="AY44" s="190"/>
      <c r="AZ44" s="190"/>
      <c r="BA44" s="190"/>
      <c r="BB44" s="190"/>
      <c r="BC44" s="190"/>
      <c r="BD44" s="190"/>
      <c r="BE44" s="411">
        <f t="shared" si="71"/>
        <v>0</v>
      </c>
      <c r="BF44" s="190"/>
      <c r="BG44" s="190"/>
      <c r="BH44" s="190"/>
      <c r="BI44" s="190"/>
      <c r="BJ44" s="190"/>
      <c r="BK44" s="190"/>
      <c r="BL44" s="411">
        <f t="shared" si="72"/>
        <v>33</v>
      </c>
      <c r="BM44" s="412">
        <v>22</v>
      </c>
      <c r="BN44" s="412"/>
      <c r="BO44" s="190"/>
      <c r="BP44" s="190"/>
      <c r="BQ44" s="190"/>
      <c r="BR44" s="190">
        <v>11</v>
      </c>
      <c r="BS44" s="411">
        <f t="shared" si="73"/>
        <v>66</v>
      </c>
      <c r="BT44" s="190">
        <v>44</v>
      </c>
      <c r="BU44" s="190"/>
      <c r="BV44" s="190"/>
      <c r="BW44" s="190"/>
      <c r="BX44" s="190"/>
      <c r="BY44" s="412">
        <v>22</v>
      </c>
      <c r="BZ44" s="411">
        <f t="shared" si="74"/>
        <v>0</v>
      </c>
      <c r="CA44" s="190"/>
      <c r="CB44" s="190"/>
      <c r="CC44" s="190"/>
      <c r="CD44" s="190"/>
      <c r="CE44" s="190"/>
      <c r="CF44" s="190"/>
      <c r="CG44" s="411">
        <f t="shared" si="75"/>
        <v>0</v>
      </c>
      <c r="CH44" s="190"/>
      <c r="CI44" s="190"/>
      <c r="CJ44" s="190"/>
      <c r="CK44" s="190"/>
      <c r="CL44" s="190"/>
      <c r="CM44" s="190"/>
      <c r="CN44" s="149" t="s">
        <v>459</v>
      </c>
      <c r="CO44" s="190" t="s">
        <v>470</v>
      </c>
    </row>
    <row r="45" spans="1:93" s="450" customFormat="1" ht="25.5" customHeight="1">
      <c r="A45" s="198" t="s">
        <v>185</v>
      </c>
      <c r="B45" s="181" t="s">
        <v>186</v>
      </c>
      <c r="C45" s="122"/>
      <c r="D45" s="199"/>
      <c r="E45" s="199" t="s">
        <v>29</v>
      </c>
      <c r="F45" s="199"/>
      <c r="G45" s="199"/>
      <c r="H45" s="180"/>
      <c r="I45" s="180"/>
      <c r="J45" s="350"/>
      <c r="K45" s="350"/>
      <c r="L45" s="116"/>
      <c r="M45" s="116"/>
      <c r="N45" s="189">
        <f t="shared" si="62"/>
        <v>47</v>
      </c>
      <c r="O45" s="189">
        <f t="shared" si="63"/>
        <v>32</v>
      </c>
      <c r="P45" s="189">
        <f t="shared" si="64"/>
        <v>32</v>
      </c>
      <c r="Q45" s="189">
        <f t="shared" si="64"/>
        <v>0</v>
      </c>
      <c r="R45" s="189">
        <f t="shared" si="64"/>
        <v>0</v>
      </c>
      <c r="S45" s="189"/>
      <c r="T45" s="189">
        <f t="shared" si="65"/>
        <v>0</v>
      </c>
      <c r="U45" s="189">
        <f t="shared" si="65"/>
        <v>15</v>
      </c>
      <c r="V45" s="182">
        <f t="shared" si="66"/>
        <v>0</v>
      </c>
      <c r="W45" s="116"/>
      <c r="X45" s="116"/>
      <c r="Y45" s="116"/>
      <c r="Z45" s="116"/>
      <c r="AA45" s="116"/>
      <c r="AB45" s="116"/>
      <c r="AC45" s="182">
        <f t="shared" si="67"/>
        <v>0</v>
      </c>
      <c r="AD45" s="116"/>
      <c r="AE45" s="116"/>
      <c r="AF45" s="116"/>
      <c r="AG45" s="116"/>
      <c r="AH45" s="116"/>
      <c r="AI45" s="116"/>
      <c r="AJ45" s="182">
        <f t="shared" si="68"/>
        <v>47</v>
      </c>
      <c r="AK45" s="117">
        <v>32</v>
      </c>
      <c r="AL45" s="117"/>
      <c r="AM45" s="117"/>
      <c r="AN45" s="117"/>
      <c r="AO45" s="117"/>
      <c r="AP45" s="117">
        <v>15</v>
      </c>
      <c r="AQ45" s="182">
        <f t="shared" si="69"/>
        <v>0</v>
      </c>
      <c r="AR45" s="117"/>
      <c r="AS45" s="117"/>
      <c r="AT45" s="117"/>
      <c r="AU45" s="117"/>
      <c r="AV45" s="117"/>
      <c r="AW45" s="117"/>
      <c r="AX45" s="182">
        <f t="shared" si="70"/>
        <v>0</v>
      </c>
      <c r="AY45" s="116"/>
      <c r="AZ45" s="116"/>
      <c r="BA45" s="116"/>
      <c r="BB45" s="116"/>
      <c r="BC45" s="116"/>
      <c r="BD45" s="116"/>
      <c r="BE45" s="182">
        <f t="shared" si="71"/>
        <v>0</v>
      </c>
      <c r="BF45" s="116"/>
      <c r="BG45" s="116"/>
      <c r="BH45" s="116"/>
      <c r="BI45" s="116"/>
      <c r="BJ45" s="116"/>
      <c r="BK45" s="116"/>
      <c r="BL45" s="182">
        <f t="shared" si="72"/>
        <v>0</v>
      </c>
      <c r="BM45" s="116"/>
      <c r="BN45" s="116"/>
      <c r="BO45" s="116"/>
      <c r="BP45" s="116"/>
      <c r="BQ45" s="116"/>
      <c r="BR45" s="116"/>
      <c r="BS45" s="182">
        <f t="shared" si="73"/>
        <v>0</v>
      </c>
      <c r="BT45" s="116"/>
      <c r="BU45" s="116"/>
      <c r="BV45" s="116"/>
      <c r="BW45" s="116"/>
      <c r="BX45" s="116"/>
      <c r="BY45" s="116"/>
      <c r="BZ45" s="182">
        <f t="shared" si="74"/>
        <v>0</v>
      </c>
      <c r="CA45" s="116"/>
      <c r="CB45" s="116"/>
      <c r="CC45" s="116"/>
      <c r="CD45" s="116"/>
      <c r="CE45" s="116"/>
      <c r="CF45" s="116"/>
      <c r="CG45" s="182">
        <f t="shared" si="75"/>
        <v>0</v>
      </c>
      <c r="CH45" s="116"/>
      <c r="CI45" s="116"/>
      <c r="CJ45" s="116"/>
      <c r="CK45" s="116"/>
      <c r="CL45" s="116"/>
      <c r="CM45" s="116"/>
      <c r="CN45" s="180" t="s">
        <v>475</v>
      </c>
      <c r="CO45" s="116" t="s">
        <v>472</v>
      </c>
    </row>
    <row r="46" spans="1:93" s="450" customFormat="1" ht="25.5" customHeight="1">
      <c r="A46" s="198" t="s">
        <v>187</v>
      </c>
      <c r="B46" s="122" t="s">
        <v>188</v>
      </c>
      <c r="C46" s="122" t="s">
        <v>514</v>
      </c>
      <c r="D46" s="180" t="s">
        <v>39</v>
      </c>
      <c r="E46" s="199"/>
      <c r="F46" s="180"/>
      <c r="G46" s="180"/>
      <c r="H46" s="180"/>
      <c r="I46" s="180" t="s">
        <v>29</v>
      </c>
      <c r="J46" s="350"/>
      <c r="K46" s="350"/>
      <c r="L46" s="116"/>
      <c r="M46" s="116"/>
      <c r="N46" s="189">
        <f t="shared" si="62"/>
        <v>150</v>
      </c>
      <c r="O46" s="189">
        <f t="shared" si="63"/>
        <v>100</v>
      </c>
      <c r="P46" s="189">
        <f t="shared" si="64"/>
        <v>100</v>
      </c>
      <c r="Q46" s="189">
        <f t="shared" si="64"/>
        <v>0</v>
      </c>
      <c r="R46" s="189">
        <f t="shared" si="64"/>
        <v>0</v>
      </c>
      <c r="S46" s="189"/>
      <c r="T46" s="189">
        <f t="shared" si="65"/>
        <v>0</v>
      </c>
      <c r="U46" s="189">
        <f t="shared" si="65"/>
        <v>50</v>
      </c>
      <c r="V46" s="182">
        <f t="shared" si="66"/>
        <v>0</v>
      </c>
      <c r="W46" s="116"/>
      <c r="X46" s="116"/>
      <c r="Y46" s="116"/>
      <c r="Z46" s="116"/>
      <c r="AA46" s="116"/>
      <c r="AB46" s="116"/>
      <c r="AC46" s="182">
        <f t="shared" si="67"/>
        <v>0</v>
      </c>
      <c r="AD46" s="116"/>
      <c r="AE46" s="116"/>
      <c r="AF46" s="116"/>
      <c r="AG46" s="116"/>
      <c r="AH46" s="116"/>
      <c r="AI46" s="116"/>
      <c r="AJ46" s="182">
        <f t="shared" si="68"/>
        <v>48</v>
      </c>
      <c r="AK46" s="117">
        <v>32</v>
      </c>
      <c r="AL46" s="117"/>
      <c r="AM46" s="117"/>
      <c r="AN46" s="117"/>
      <c r="AO46" s="117"/>
      <c r="AP46" s="117">
        <v>16</v>
      </c>
      <c r="AQ46" s="182">
        <f t="shared" si="69"/>
        <v>102</v>
      </c>
      <c r="AR46" s="117">
        <v>68</v>
      </c>
      <c r="AS46" s="117"/>
      <c r="AT46" s="117"/>
      <c r="AU46" s="117"/>
      <c r="AV46" s="117"/>
      <c r="AW46" s="117">
        <v>34</v>
      </c>
      <c r="AX46" s="182">
        <f t="shared" si="70"/>
        <v>0</v>
      </c>
      <c r="AY46" s="116"/>
      <c r="AZ46" s="116"/>
      <c r="BA46" s="116"/>
      <c r="BB46" s="116"/>
      <c r="BC46" s="116"/>
      <c r="BD46" s="116"/>
      <c r="BE46" s="182">
        <f t="shared" si="71"/>
        <v>0</v>
      </c>
      <c r="BF46" s="116"/>
      <c r="BG46" s="116"/>
      <c r="BH46" s="116"/>
      <c r="BI46" s="116"/>
      <c r="BJ46" s="116"/>
      <c r="BK46" s="116"/>
      <c r="BL46" s="182">
        <f t="shared" si="72"/>
        <v>0</v>
      </c>
      <c r="BM46" s="116"/>
      <c r="BN46" s="116"/>
      <c r="BO46" s="116"/>
      <c r="BP46" s="116"/>
      <c r="BQ46" s="116"/>
      <c r="BR46" s="116"/>
      <c r="BS46" s="182">
        <f t="shared" si="73"/>
        <v>0</v>
      </c>
      <c r="BT46" s="116"/>
      <c r="BU46" s="116"/>
      <c r="BV46" s="116"/>
      <c r="BW46" s="116"/>
      <c r="BX46" s="116"/>
      <c r="BY46" s="116"/>
      <c r="BZ46" s="182">
        <f t="shared" si="74"/>
        <v>0</v>
      </c>
      <c r="CA46" s="116"/>
      <c r="CB46" s="116"/>
      <c r="CC46" s="116"/>
      <c r="CD46" s="116"/>
      <c r="CE46" s="116"/>
      <c r="CF46" s="116"/>
      <c r="CG46" s="182">
        <f t="shared" si="75"/>
        <v>0</v>
      </c>
      <c r="CH46" s="116"/>
      <c r="CI46" s="116"/>
      <c r="CJ46" s="116"/>
      <c r="CK46" s="116"/>
      <c r="CL46" s="116"/>
      <c r="CM46" s="116"/>
      <c r="CN46" s="180" t="s">
        <v>471</v>
      </c>
      <c r="CO46" s="116" t="s">
        <v>473</v>
      </c>
    </row>
    <row r="47" spans="1:93" s="450" customFormat="1" ht="25.5" customHeight="1">
      <c r="A47" s="198" t="s">
        <v>189</v>
      </c>
      <c r="B47" s="122" t="s">
        <v>136</v>
      </c>
      <c r="C47" s="122"/>
      <c r="D47" s="180" t="s">
        <v>29</v>
      </c>
      <c r="E47" s="199"/>
      <c r="F47" s="199"/>
      <c r="G47" s="199"/>
      <c r="H47" s="180"/>
      <c r="I47" s="180"/>
      <c r="J47" s="350"/>
      <c r="K47" s="350"/>
      <c r="L47" s="117"/>
      <c r="M47" s="117">
        <v>68</v>
      </c>
      <c r="N47" s="189">
        <f t="shared" si="62"/>
        <v>102</v>
      </c>
      <c r="O47" s="189">
        <f t="shared" si="63"/>
        <v>68</v>
      </c>
      <c r="P47" s="189">
        <f t="shared" si="64"/>
        <v>68</v>
      </c>
      <c r="Q47" s="189">
        <f t="shared" si="64"/>
        <v>0</v>
      </c>
      <c r="R47" s="189">
        <f t="shared" si="64"/>
        <v>0</v>
      </c>
      <c r="S47" s="189"/>
      <c r="T47" s="189">
        <f t="shared" si="65"/>
        <v>0</v>
      </c>
      <c r="U47" s="189">
        <f t="shared" si="65"/>
        <v>34</v>
      </c>
      <c r="V47" s="182">
        <f t="shared" si="66"/>
        <v>0</v>
      </c>
      <c r="W47" s="116"/>
      <c r="X47" s="116"/>
      <c r="Y47" s="116"/>
      <c r="Z47" s="116"/>
      <c r="AA47" s="116"/>
      <c r="AB47" s="116"/>
      <c r="AC47" s="182">
        <f t="shared" si="67"/>
        <v>0</v>
      </c>
      <c r="AD47" s="116"/>
      <c r="AE47" s="116"/>
      <c r="AF47" s="116"/>
      <c r="AG47" s="116"/>
      <c r="AH47" s="116"/>
      <c r="AI47" s="116"/>
      <c r="AJ47" s="182">
        <f t="shared" si="68"/>
        <v>102</v>
      </c>
      <c r="AK47" s="117">
        <v>68</v>
      </c>
      <c r="AL47" s="117"/>
      <c r="AM47" s="117"/>
      <c r="AN47" s="117"/>
      <c r="AO47" s="117"/>
      <c r="AP47" s="117">
        <v>34</v>
      </c>
      <c r="AQ47" s="182">
        <f t="shared" si="69"/>
        <v>0</v>
      </c>
      <c r="AR47" s="117"/>
      <c r="AS47" s="117"/>
      <c r="AT47" s="117"/>
      <c r="AU47" s="117"/>
      <c r="AV47" s="117"/>
      <c r="AW47" s="117"/>
      <c r="AX47" s="182">
        <f t="shared" si="70"/>
        <v>0</v>
      </c>
      <c r="AY47" s="116"/>
      <c r="AZ47" s="116"/>
      <c r="BA47" s="116"/>
      <c r="BB47" s="116"/>
      <c r="BC47" s="116"/>
      <c r="BD47" s="116"/>
      <c r="BE47" s="182">
        <f t="shared" si="71"/>
        <v>0</v>
      </c>
      <c r="BF47" s="116"/>
      <c r="BG47" s="116"/>
      <c r="BH47" s="116"/>
      <c r="BI47" s="116"/>
      <c r="BJ47" s="116"/>
      <c r="BK47" s="116"/>
      <c r="BL47" s="182">
        <f t="shared" si="72"/>
        <v>0</v>
      </c>
      <c r="BM47" s="116"/>
      <c r="BN47" s="116"/>
      <c r="BO47" s="116"/>
      <c r="BP47" s="116"/>
      <c r="BQ47" s="116"/>
      <c r="BR47" s="116"/>
      <c r="BS47" s="182">
        <f t="shared" si="73"/>
        <v>0</v>
      </c>
      <c r="BT47" s="116"/>
      <c r="BU47" s="116"/>
      <c r="BV47" s="116"/>
      <c r="BW47" s="116"/>
      <c r="BX47" s="116"/>
      <c r="BY47" s="116"/>
      <c r="BZ47" s="182">
        <f t="shared" si="74"/>
        <v>0</v>
      </c>
      <c r="CA47" s="116"/>
      <c r="CB47" s="116"/>
      <c r="CC47" s="116"/>
      <c r="CD47" s="116"/>
      <c r="CE47" s="116"/>
      <c r="CF47" s="116"/>
      <c r="CG47" s="182">
        <f t="shared" si="75"/>
        <v>0</v>
      </c>
      <c r="CH47" s="116"/>
      <c r="CI47" s="116"/>
      <c r="CJ47" s="116"/>
      <c r="CK47" s="116"/>
      <c r="CL47" s="116"/>
      <c r="CM47" s="116"/>
      <c r="CN47" s="199" t="s">
        <v>475</v>
      </c>
      <c r="CO47" s="116" t="s">
        <v>474</v>
      </c>
    </row>
    <row r="48" spans="1:100" s="48" customFormat="1" ht="25.5" customHeight="1">
      <c r="A48" s="323" t="s">
        <v>173</v>
      </c>
      <c r="B48" s="662" t="s">
        <v>175</v>
      </c>
      <c r="C48" s="663"/>
      <c r="D48" s="663"/>
      <c r="E48" s="663"/>
      <c r="F48" s="663"/>
      <c r="G48" s="663"/>
      <c r="H48" s="663"/>
      <c r="I48" s="664"/>
      <c r="J48" s="342">
        <f>K48*O48</f>
        <v>3599.34</v>
      </c>
      <c r="K48" s="343">
        <f>L48/M48</f>
        <v>1.434</v>
      </c>
      <c r="L48" s="324">
        <v>2248</v>
      </c>
      <c r="M48" s="324">
        <v>1568</v>
      </c>
      <c r="N48" s="327">
        <f aca="true" t="shared" si="76" ref="N48:U48">SUM(N49,N75,N81,N86,N89)</f>
        <v>3644</v>
      </c>
      <c r="O48" s="327">
        <f t="shared" si="76"/>
        <v>2510</v>
      </c>
      <c r="P48" s="327">
        <f t="shared" si="76"/>
        <v>1917</v>
      </c>
      <c r="Q48" s="327">
        <f t="shared" si="76"/>
        <v>510</v>
      </c>
      <c r="R48" s="327">
        <f t="shared" si="76"/>
        <v>83</v>
      </c>
      <c r="S48" s="327"/>
      <c r="T48" s="327">
        <f t="shared" si="76"/>
        <v>0</v>
      </c>
      <c r="U48" s="327">
        <f t="shared" si="76"/>
        <v>1134</v>
      </c>
      <c r="V48" s="327">
        <f aca="true" t="shared" si="77" ref="V48:AI48">SUM(V49+V75+V81+V89)</f>
        <v>0</v>
      </c>
      <c r="W48" s="327">
        <f t="shared" si="77"/>
        <v>0</v>
      </c>
      <c r="X48" s="327">
        <f t="shared" si="77"/>
        <v>0</v>
      </c>
      <c r="Y48" s="327">
        <f t="shared" si="77"/>
        <v>0</v>
      </c>
      <c r="Z48" s="327"/>
      <c r="AA48" s="327">
        <f t="shared" si="77"/>
        <v>0</v>
      </c>
      <c r="AB48" s="327">
        <f t="shared" si="77"/>
        <v>0</v>
      </c>
      <c r="AC48" s="327">
        <f t="shared" si="77"/>
        <v>0</v>
      </c>
      <c r="AD48" s="327">
        <f t="shared" si="77"/>
        <v>0</v>
      </c>
      <c r="AE48" s="327">
        <f t="shared" si="77"/>
        <v>0</v>
      </c>
      <c r="AF48" s="327">
        <f t="shared" si="77"/>
        <v>0</v>
      </c>
      <c r="AG48" s="327"/>
      <c r="AH48" s="327">
        <f t="shared" si="77"/>
        <v>0</v>
      </c>
      <c r="AI48" s="327">
        <f t="shared" si="77"/>
        <v>0</v>
      </c>
      <c r="AJ48" s="327">
        <f aca="true" t="shared" si="78" ref="AJ48:CM48">SUM(AJ49+AJ75+AJ81+AJ89+AJ86)</f>
        <v>72</v>
      </c>
      <c r="AK48" s="327">
        <f t="shared" si="78"/>
        <v>58</v>
      </c>
      <c r="AL48" s="327">
        <f t="shared" si="78"/>
        <v>0</v>
      </c>
      <c r="AM48" s="327">
        <f t="shared" si="78"/>
        <v>0</v>
      </c>
      <c r="AN48" s="327"/>
      <c r="AO48" s="327">
        <f t="shared" si="78"/>
        <v>0</v>
      </c>
      <c r="AP48" s="327">
        <f t="shared" si="78"/>
        <v>14</v>
      </c>
      <c r="AQ48" s="327">
        <f t="shared" si="78"/>
        <v>492</v>
      </c>
      <c r="AR48" s="327">
        <f t="shared" si="78"/>
        <v>340</v>
      </c>
      <c r="AS48" s="327">
        <f t="shared" si="78"/>
        <v>0</v>
      </c>
      <c r="AT48" s="327">
        <f t="shared" si="78"/>
        <v>0</v>
      </c>
      <c r="AU48" s="327"/>
      <c r="AV48" s="327">
        <f t="shared" si="78"/>
        <v>0</v>
      </c>
      <c r="AW48" s="327">
        <f t="shared" si="78"/>
        <v>152</v>
      </c>
      <c r="AX48" s="327">
        <f t="shared" si="78"/>
        <v>669</v>
      </c>
      <c r="AY48" s="327">
        <f t="shared" si="78"/>
        <v>374</v>
      </c>
      <c r="AZ48" s="327">
        <f t="shared" si="78"/>
        <v>90</v>
      </c>
      <c r="BA48" s="327">
        <f t="shared" si="78"/>
        <v>0</v>
      </c>
      <c r="BB48" s="327"/>
      <c r="BC48" s="327">
        <f t="shared" si="78"/>
        <v>0</v>
      </c>
      <c r="BD48" s="327">
        <f t="shared" si="78"/>
        <v>205</v>
      </c>
      <c r="BE48" s="327">
        <f t="shared" si="78"/>
        <v>517</v>
      </c>
      <c r="BF48" s="327">
        <f t="shared" si="78"/>
        <v>233</v>
      </c>
      <c r="BG48" s="327">
        <f t="shared" si="78"/>
        <v>119</v>
      </c>
      <c r="BH48" s="327">
        <f t="shared" si="78"/>
        <v>0</v>
      </c>
      <c r="BI48" s="327"/>
      <c r="BJ48" s="327">
        <f t="shared" si="78"/>
        <v>0</v>
      </c>
      <c r="BK48" s="327">
        <f t="shared" si="78"/>
        <v>165</v>
      </c>
      <c r="BL48" s="327">
        <f t="shared" si="78"/>
        <v>485</v>
      </c>
      <c r="BM48" s="327">
        <f t="shared" si="78"/>
        <v>246</v>
      </c>
      <c r="BN48" s="327">
        <f t="shared" si="78"/>
        <v>84</v>
      </c>
      <c r="BO48" s="327">
        <f t="shared" si="78"/>
        <v>0</v>
      </c>
      <c r="BP48" s="327"/>
      <c r="BQ48" s="327">
        <f t="shared" si="78"/>
        <v>0</v>
      </c>
      <c r="BR48" s="327">
        <f t="shared" si="78"/>
        <v>155</v>
      </c>
      <c r="BS48" s="327">
        <f t="shared" si="78"/>
        <v>451</v>
      </c>
      <c r="BT48" s="327">
        <f t="shared" si="78"/>
        <v>242</v>
      </c>
      <c r="BU48" s="327">
        <f t="shared" si="78"/>
        <v>11</v>
      </c>
      <c r="BV48" s="327">
        <f t="shared" si="78"/>
        <v>55</v>
      </c>
      <c r="BW48" s="327"/>
      <c r="BX48" s="327">
        <f t="shared" si="78"/>
        <v>0</v>
      </c>
      <c r="BY48" s="327">
        <f t="shared" si="78"/>
        <v>143</v>
      </c>
      <c r="BZ48" s="327">
        <f>SUM(BZ49+BZ75+BZ81+BZ89+BZ86)</f>
        <v>326</v>
      </c>
      <c r="CA48" s="327">
        <f t="shared" si="78"/>
        <v>146</v>
      </c>
      <c r="CB48" s="327">
        <f t="shared" si="78"/>
        <v>78</v>
      </c>
      <c r="CC48" s="327">
        <f t="shared" si="78"/>
        <v>0</v>
      </c>
      <c r="CD48" s="327"/>
      <c r="CE48" s="327">
        <f t="shared" si="78"/>
        <v>0</v>
      </c>
      <c r="CF48" s="327">
        <f t="shared" si="78"/>
        <v>102</v>
      </c>
      <c r="CG48" s="327">
        <f t="shared" si="78"/>
        <v>632</v>
      </c>
      <c r="CH48" s="327">
        <f t="shared" si="78"/>
        <v>278</v>
      </c>
      <c r="CI48" s="327">
        <f t="shared" si="78"/>
        <v>128</v>
      </c>
      <c r="CJ48" s="327">
        <f t="shared" si="78"/>
        <v>28</v>
      </c>
      <c r="CK48" s="327"/>
      <c r="CL48" s="327">
        <f t="shared" si="78"/>
        <v>0</v>
      </c>
      <c r="CM48" s="327">
        <f t="shared" si="78"/>
        <v>198</v>
      </c>
      <c r="CN48" s="329"/>
      <c r="CO48" s="329"/>
      <c r="CV48" s="337">
        <f>SUM(N48-L48)</f>
        <v>1396</v>
      </c>
    </row>
    <row r="49" spans="1:98" s="49" customFormat="1" ht="25.5" customHeight="1">
      <c r="A49" s="253" t="s">
        <v>191</v>
      </c>
      <c r="B49" s="665" t="s">
        <v>547</v>
      </c>
      <c r="C49" s="666"/>
      <c r="D49" s="666"/>
      <c r="E49" s="666"/>
      <c r="F49" s="666"/>
      <c r="G49" s="666"/>
      <c r="H49" s="666"/>
      <c r="I49" s="667"/>
      <c r="J49" s="351"/>
      <c r="K49" s="351"/>
      <c r="L49" s="254"/>
      <c r="M49" s="254"/>
      <c r="N49" s="255">
        <f>SUM(N50+N56+N63+N70)</f>
        <v>2839</v>
      </c>
      <c r="O49" s="255">
        <f aca="true" t="shared" si="79" ref="O49:AS49">SUM(O50+O56+O63+O70)</f>
        <v>1959</v>
      </c>
      <c r="P49" s="255">
        <f>SUM(P50+P56+P63+P70)</f>
        <v>1399</v>
      </c>
      <c r="Q49" s="255">
        <f t="shared" si="79"/>
        <v>499</v>
      </c>
      <c r="R49" s="255">
        <f t="shared" si="79"/>
        <v>61</v>
      </c>
      <c r="S49" s="255"/>
      <c r="T49" s="255">
        <f t="shared" si="79"/>
        <v>0</v>
      </c>
      <c r="U49" s="255">
        <f t="shared" si="79"/>
        <v>880</v>
      </c>
      <c r="V49" s="255">
        <f t="shared" si="79"/>
        <v>0</v>
      </c>
      <c r="W49" s="255">
        <f t="shared" si="79"/>
        <v>0</v>
      </c>
      <c r="X49" s="255">
        <f t="shared" si="79"/>
        <v>0</v>
      </c>
      <c r="Y49" s="255">
        <f t="shared" si="79"/>
        <v>0</v>
      </c>
      <c r="Z49" s="255"/>
      <c r="AA49" s="255">
        <f t="shared" si="79"/>
        <v>0</v>
      </c>
      <c r="AB49" s="255">
        <f t="shared" si="79"/>
        <v>0</v>
      </c>
      <c r="AC49" s="255">
        <f t="shared" si="79"/>
        <v>0</v>
      </c>
      <c r="AD49" s="255">
        <f t="shared" si="79"/>
        <v>0</v>
      </c>
      <c r="AE49" s="255">
        <f t="shared" si="79"/>
        <v>0</v>
      </c>
      <c r="AF49" s="255">
        <f t="shared" si="79"/>
        <v>0</v>
      </c>
      <c r="AG49" s="255"/>
      <c r="AH49" s="255">
        <f t="shared" si="79"/>
        <v>0</v>
      </c>
      <c r="AI49" s="255">
        <f t="shared" si="79"/>
        <v>0</v>
      </c>
      <c r="AJ49" s="255">
        <f t="shared" si="79"/>
        <v>0</v>
      </c>
      <c r="AK49" s="255">
        <f t="shared" si="79"/>
        <v>0</v>
      </c>
      <c r="AL49" s="255">
        <f t="shared" si="79"/>
        <v>0</v>
      </c>
      <c r="AM49" s="255">
        <f t="shared" si="79"/>
        <v>0</v>
      </c>
      <c r="AN49" s="255"/>
      <c r="AO49" s="255">
        <f t="shared" si="79"/>
        <v>0</v>
      </c>
      <c r="AP49" s="255">
        <f t="shared" si="79"/>
        <v>0</v>
      </c>
      <c r="AQ49" s="255">
        <f t="shared" si="79"/>
        <v>346</v>
      </c>
      <c r="AR49" s="255">
        <f t="shared" si="79"/>
        <v>238</v>
      </c>
      <c r="AS49" s="255">
        <f t="shared" si="79"/>
        <v>0</v>
      </c>
      <c r="AT49" s="255">
        <f aca="true" t="shared" si="80" ref="AT49:BY49">SUM(AT50+AT56+AT63+AT70)</f>
        <v>0</v>
      </c>
      <c r="AU49" s="255"/>
      <c r="AV49" s="255">
        <f t="shared" si="80"/>
        <v>0</v>
      </c>
      <c r="AW49" s="255">
        <f t="shared" si="80"/>
        <v>108</v>
      </c>
      <c r="AX49" s="255">
        <f t="shared" si="80"/>
        <v>621</v>
      </c>
      <c r="AY49" s="255">
        <f t="shared" si="80"/>
        <v>338</v>
      </c>
      <c r="AZ49" s="255">
        <f t="shared" si="80"/>
        <v>90</v>
      </c>
      <c r="BA49" s="255">
        <f t="shared" si="80"/>
        <v>0</v>
      </c>
      <c r="BB49" s="255"/>
      <c r="BC49" s="255">
        <f t="shared" si="80"/>
        <v>0</v>
      </c>
      <c r="BD49" s="255">
        <f t="shared" si="80"/>
        <v>193</v>
      </c>
      <c r="BE49" s="255">
        <f t="shared" si="80"/>
        <v>517</v>
      </c>
      <c r="BF49" s="255">
        <f t="shared" si="80"/>
        <v>233</v>
      </c>
      <c r="BG49" s="255">
        <f t="shared" si="80"/>
        <v>119</v>
      </c>
      <c r="BH49" s="255">
        <f t="shared" si="80"/>
        <v>0</v>
      </c>
      <c r="BI49" s="255"/>
      <c r="BJ49" s="255">
        <f t="shared" si="80"/>
        <v>0</v>
      </c>
      <c r="BK49" s="255">
        <f t="shared" si="80"/>
        <v>165</v>
      </c>
      <c r="BL49" s="255">
        <f t="shared" si="80"/>
        <v>389</v>
      </c>
      <c r="BM49" s="255">
        <f t="shared" si="80"/>
        <v>180</v>
      </c>
      <c r="BN49" s="255">
        <f t="shared" si="80"/>
        <v>84</v>
      </c>
      <c r="BO49" s="255">
        <f t="shared" si="80"/>
        <v>0</v>
      </c>
      <c r="BP49" s="255"/>
      <c r="BQ49" s="255">
        <f t="shared" si="80"/>
        <v>0</v>
      </c>
      <c r="BR49" s="255">
        <f t="shared" si="80"/>
        <v>125</v>
      </c>
      <c r="BS49" s="255">
        <f t="shared" si="80"/>
        <v>272</v>
      </c>
      <c r="BT49" s="255">
        <f t="shared" si="80"/>
        <v>154</v>
      </c>
      <c r="BU49" s="255">
        <f t="shared" si="80"/>
        <v>0</v>
      </c>
      <c r="BV49" s="255">
        <f t="shared" si="80"/>
        <v>33</v>
      </c>
      <c r="BW49" s="255"/>
      <c r="BX49" s="255">
        <f t="shared" si="80"/>
        <v>0</v>
      </c>
      <c r="BY49" s="255">
        <f t="shared" si="80"/>
        <v>85</v>
      </c>
      <c r="BZ49" s="255">
        <f aca="true" t="shared" si="81" ref="BZ49:CM49">SUM(BZ50+BZ56+BZ63+BZ70)</f>
        <v>326</v>
      </c>
      <c r="CA49" s="255">
        <f t="shared" si="81"/>
        <v>146</v>
      </c>
      <c r="CB49" s="255">
        <f t="shared" si="81"/>
        <v>78</v>
      </c>
      <c r="CC49" s="255">
        <f t="shared" si="81"/>
        <v>0</v>
      </c>
      <c r="CD49" s="255"/>
      <c r="CE49" s="255">
        <f t="shared" si="81"/>
        <v>0</v>
      </c>
      <c r="CF49" s="255">
        <f t="shared" si="81"/>
        <v>102</v>
      </c>
      <c r="CG49" s="255">
        <f t="shared" si="81"/>
        <v>368</v>
      </c>
      <c r="CH49" s="255">
        <f t="shared" si="81"/>
        <v>110</v>
      </c>
      <c r="CI49" s="255">
        <f t="shared" si="81"/>
        <v>128</v>
      </c>
      <c r="CJ49" s="255">
        <f t="shared" si="81"/>
        <v>28</v>
      </c>
      <c r="CK49" s="255"/>
      <c r="CL49" s="255">
        <f t="shared" si="81"/>
        <v>0</v>
      </c>
      <c r="CM49" s="255">
        <f t="shared" si="81"/>
        <v>102</v>
      </c>
      <c r="CN49" s="256"/>
      <c r="CO49" s="254" t="s">
        <v>554</v>
      </c>
      <c r="CP49" s="254" t="s">
        <v>559</v>
      </c>
      <c r="CQ49" s="254" t="s">
        <v>560</v>
      </c>
      <c r="CR49" s="254" t="s">
        <v>561</v>
      </c>
      <c r="CS49" s="254" t="s">
        <v>562</v>
      </c>
      <c r="CT49" s="254" t="s">
        <v>563</v>
      </c>
    </row>
    <row r="50" spans="1:93" s="450" customFormat="1" ht="25.5" customHeight="1">
      <c r="A50" s="217" t="s">
        <v>358</v>
      </c>
      <c r="B50" s="671" t="s">
        <v>326</v>
      </c>
      <c r="C50" s="672"/>
      <c r="D50" s="672"/>
      <c r="E50" s="672"/>
      <c r="F50" s="672"/>
      <c r="G50" s="672"/>
      <c r="H50" s="672"/>
      <c r="I50" s="673"/>
      <c r="J50" s="352"/>
      <c r="K50" s="352"/>
      <c r="L50" s="218"/>
      <c r="M50" s="218"/>
      <c r="N50" s="219">
        <f>SUM(N51:N55)</f>
        <v>724</v>
      </c>
      <c r="O50" s="219">
        <f>SUM(O51:O55)</f>
        <v>504</v>
      </c>
      <c r="P50" s="219">
        <f>SUM(P51:P55)</f>
        <v>409</v>
      </c>
      <c r="Q50" s="219">
        <f>SUM(Q51:Q55)</f>
        <v>67</v>
      </c>
      <c r="R50" s="219">
        <f>SUM(R51:R55)</f>
        <v>28</v>
      </c>
      <c r="S50" s="219"/>
      <c r="T50" s="219">
        <f aca="true" t="shared" si="82" ref="T50:Y50">SUM(T51:T55)</f>
        <v>0</v>
      </c>
      <c r="U50" s="219">
        <f t="shared" si="82"/>
        <v>220</v>
      </c>
      <c r="V50" s="219">
        <f t="shared" si="82"/>
        <v>0</v>
      </c>
      <c r="W50" s="219">
        <f t="shared" si="82"/>
        <v>0</v>
      </c>
      <c r="X50" s="219">
        <f t="shared" si="82"/>
        <v>0</v>
      </c>
      <c r="Y50" s="219">
        <f t="shared" si="82"/>
        <v>0</v>
      </c>
      <c r="Z50" s="219"/>
      <c r="AA50" s="219">
        <f aca="true" t="shared" si="83" ref="AA50:AF50">SUM(AA51:AA55)</f>
        <v>0</v>
      </c>
      <c r="AB50" s="219">
        <f t="shared" si="83"/>
        <v>0</v>
      </c>
      <c r="AC50" s="219">
        <f t="shared" si="83"/>
        <v>0</v>
      </c>
      <c r="AD50" s="219">
        <f t="shared" si="83"/>
        <v>0</v>
      </c>
      <c r="AE50" s="219">
        <f t="shared" si="83"/>
        <v>0</v>
      </c>
      <c r="AF50" s="219">
        <f t="shared" si="83"/>
        <v>0</v>
      </c>
      <c r="AG50" s="219"/>
      <c r="AH50" s="219">
        <f aca="true" t="shared" si="84" ref="AH50:AM50">SUM(AH51:AH55)</f>
        <v>0</v>
      </c>
      <c r="AI50" s="219">
        <f t="shared" si="84"/>
        <v>0</v>
      </c>
      <c r="AJ50" s="219">
        <f t="shared" si="84"/>
        <v>0</v>
      </c>
      <c r="AK50" s="219">
        <f t="shared" si="84"/>
        <v>0</v>
      </c>
      <c r="AL50" s="219">
        <f t="shared" si="84"/>
        <v>0</v>
      </c>
      <c r="AM50" s="219">
        <f t="shared" si="84"/>
        <v>0</v>
      </c>
      <c r="AN50" s="219"/>
      <c r="AO50" s="219">
        <f aca="true" t="shared" si="85" ref="AO50:AT50">SUM(AO51:AO55)</f>
        <v>0</v>
      </c>
      <c r="AP50" s="219">
        <f t="shared" si="85"/>
        <v>0</v>
      </c>
      <c r="AQ50" s="219">
        <f t="shared" si="85"/>
        <v>48</v>
      </c>
      <c r="AR50" s="219">
        <f t="shared" si="85"/>
        <v>34</v>
      </c>
      <c r="AS50" s="219">
        <f t="shared" si="85"/>
        <v>0</v>
      </c>
      <c r="AT50" s="219">
        <f t="shared" si="85"/>
        <v>0</v>
      </c>
      <c r="AU50" s="219"/>
      <c r="AV50" s="219">
        <f aca="true" t="shared" si="86" ref="AV50:BA50">SUM(AV51:AV55)</f>
        <v>0</v>
      </c>
      <c r="AW50" s="219">
        <f t="shared" si="86"/>
        <v>14</v>
      </c>
      <c r="AX50" s="219">
        <f t="shared" si="86"/>
        <v>120</v>
      </c>
      <c r="AY50" s="219">
        <f t="shared" si="86"/>
        <v>64</v>
      </c>
      <c r="AZ50" s="219">
        <f t="shared" si="86"/>
        <v>16</v>
      </c>
      <c r="BA50" s="219">
        <f t="shared" si="86"/>
        <v>0</v>
      </c>
      <c r="BB50" s="219"/>
      <c r="BC50" s="219">
        <f aca="true" t="shared" si="87" ref="BC50:BH50">SUM(BC51:BC55)</f>
        <v>0</v>
      </c>
      <c r="BD50" s="219">
        <f t="shared" si="87"/>
        <v>40</v>
      </c>
      <c r="BE50" s="219">
        <f t="shared" si="87"/>
        <v>99</v>
      </c>
      <c r="BF50" s="219">
        <f t="shared" si="87"/>
        <v>55</v>
      </c>
      <c r="BG50" s="219">
        <f t="shared" si="87"/>
        <v>11</v>
      </c>
      <c r="BH50" s="219">
        <f t="shared" si="87"/>
        <v>0</v>
      </c>
      <c r="BI50" s="219"/>
      <c r="BJ50" s="219">
        <f aca="true" t="shared" si="88" ref="BJ50:BO50">SUM(BJ51:BJ55)</f>
        <v>0</v>
      </c>
      <c r="BK50" s="219">
        <f t="shared" si="88"/>
        <v>33</v>
      </c>
      <c r="BL50" s="219">
        <f t="shared" si="88"/>
        <v>198</v>
      </c>
      <c r="BM50" s="219">
        <f t="shared" si="88"/>
        <v>92</v>
      </c>
      <c r="BN50" s="219">
        <f t="shared" si="88"/>
        <v>40</v>
      </c>
      <c r="BO50" s="219">
        <f t="shared" si="88"/>
        <v>0</v>
      </c>
      <c r="BP50" s="219"/>
      <c r="BQ50" s="219">
        <f aca="true" t="shared" si="89" ref="BQ50:BV50">SUM(BQ51:BQ55)</f>
        <v>0</v>
      </c>
      <c r="BR50" s="219">
        <f t="shared" si="89"/>
        <v>66</v>
      </c>
      <c r="BS50" s="219">
        <f t="shared" si="89"/>
        <v>129</v>
      </c>
      <c r="BT50" s="219">
        <f t="shared" si="89"/>
        <v>88</v>
      </c>
      <c r="BU50" s="219">
        <f t="shared" si="89"/>
        <v>0</v>
      </c>
      <c r="BV50" s="219">
        <f t="shared" si="89"/>
        <v>0</v>
      </c>
      <c r="BW50" s="219"/>
      <c r="BX50" s="219">
        <f aca="true" t="shared" si="90" ref="BX50:CC50">SUM(BX51:BX55)</f>
        <v>0</v>
      </c>
      <c r="BY50" s="219">
        <f t="shared" si="90"/>
        <v>41</v>
      </c>
      <c r="BZ50" s="219">
        <f t="shared" si="90"/>
        <v>60</v>
      </c>
      <c r="CA50" s="219">
        <f t="shared" si="90"/>
        <v>48</v>
      </c>
      <c r="CB50" s="219">
        <f t="shared" si="90"/>
        <v>0</v>
      </c>
      <c r="CC50" s="219">
        <f t="shared" si="90"/>
        <v>0</v>
      </c>
      <c r="CD50" s="219"/>
      <c r="CE50" s="219">
        <f aca="true" t="shared" si="91" ref="CE50:CJ50">SUM(CE51:CE55)</f>
        <v>0</v>
      </c>
      <c r="CF50" s="219">
        <f t="shared" si="91"/>
        <v>12</v>
      </c>
      <c r="CG50" s="219">
        <f t="shared" si="91"/>
        <v>70</v>
      </c>
      <c r="CH50" s="219">
        <f t="shared" si="91"/>
        <v>28</v>
      </c>
      <c r="CI50" s="219">
        <f t="shared" si="91"/>
        <v>0</v>
      </c>
      <c r="CJ50" s="219">
        <f t="shared" si="91"/>
        <v>28</v>
      </c>
      <c r="CK50" s="219"/>
      <c r="CL50" s="219">
        <f>SUM(CL51:CL55)</f>
        <v>0</v>
      </c>
      <c r="CM50" s="219">
        <f>SUM(CM51:CM55)</f>
        <v>14</v>
      </c>
      <c r="CN50" s="220"/>
      <c r="CO50" s="233"/>
    </row>
    <row r="51" spans="1:100" s="414" customFormat="1" ht="25.5" customHeight="1">
      <c r="A51" s="407"/>
      <c r="B51" s="408" t="s">
        <v>327</v>
      </c>
      <c r="C51" s="122"/>
      <c r="D51" s="149"/>
      <c r="E51" s="149" t="s">
        <v>538</v>
      </c>
      <c r="F51" s="149"/>
      <c r="G51" s="149"/>
      <c r="H51" s="149" t="s">
        <v>387</v>
      </c>
      <c r="I51" s="149" t="s">
        <v>539</v>
      </c>
      <c r="J51" s="350"/>
      <c r="K51" s="350"/>
      <c r="L51" s="190"/>
      <c r="M51" s="190"/>
      <c r="N51" s="410">
        <f>O51+SUM(U51:U51)</f>
        <v>310</v>
      </c>
      <c r="O51" s="410">
        <f>SUM(P51:T51)</f>
        <v>224</v>
      </c>
      <c r="P51" s="410">
        <f aca="true" t="shared" si="92" ref="P51:R55">W51+AD51+AK51+AR51+AY51+BF51+BM51+BT51+CA51+CH51</f>
        <v>196</v>
      </c>
      <c r="Q51" s="410">
        <f t="shared" si="92"/>
        <v>0</v>
      </c>
      <c r="R51" s="410">
        <f t="shared" si="92"/>
        <v>28</v>
      </c>
      <c r="S51" s="410"/>
      <c r="T51" s="410">
        <f aca="true" t="shared" si="93" ref="T51:U55">AA51+AH51+AO51+AV51+BC51+BJ51+BQ51+BX51+CE51+CL51</f>
        <v>0</v>
      </c>
      <c r="U51" s="410">
        <f t="shared" si="93"/>
        <v>86</v>
      </c>
      <c r="V51" s="411">
        <f>SUM(W51:AB51)</f>
        <v>0</v>
      </c>
      <c r="W51" s="190"/>
      <c r="X51" s="190"/>
      <c r="Y51" s="190"/>
      <c r="Z51" s="190"/>
      <c r="AA51" s="190"/>
      <c r="AB51" s="190"/>
      <c r="AC51" s="411">
        <f>SUM(AD51:AI51)</f>
        <v>0</v>
      </c>
      <c r="AD51" s="190"/>
      <c r="AE51" s="190"/>
      <c r="AF51" s="190"/>
      <c r="AG51" s="190"/>
      <c r="AH51" s="190"/>
      <c r="AI51" s="190"/>
      <c r="AJ51" s="411">
        <f>SUM(AK51:AP51)</f>
        <v>0</v>
      </c>
      <c r="AK51" s="190"/>
      <c r="AL51" s="190"/>
      <c r="AM51" s="190"/>
      <c r="AN51" s="190"/>
      <c r="AO51" s="190"/>
      <c r="AP51" s="190"/>
      <c r="AQ51" s="411">
        <f>SUM(AR51:AW51)</f>
        <v>0</v>
      </c>
      <c r="AR51" s="190"/>
      <c r="AS51" s="190"/>
      <c r="AT51" s="190"/>
      <c r="AU51" s="190"/>
      <c r="AV51" s="190"/>
      <c r="AW51" s="190"/>
      <c r="AX51" s="411">
        <f>SUM(AY51:BD51)</f>
        <v>48</v>
      </c>
      <c r="AY51" s="412">
        <v>32</v>
      </c>
      <c r="AZ51" s="412"/>
      <c r="BA51" s="412"/>
      <c r="BB51" s="412"/>
      <c r="BC51" s="412"/>
      <c r="BD51" s="412">
        <v>16</v>
      </c>
      <c r="BE51" s="411">
        <f>SUM(BF51:BK51)</f>
        <v>33</v>
      </c>
      <c r="BF51" s="190">
        <v>22</v>
      </c>
      <c r="BG51" s="190"/>
      <c r="BH51" s="190"/>
      <c r="BI51" s="190"/>
      <c r="BJ51" s="190"/>
      <c r="BK51" s="190">
        <v>11</v>
      </c>
      <c r="BL51" s="411">
        <f>SUM(BM51:BR51)</f>
        <v>66</v>
      </c>
      <c r="BM51" s="190">
        <v>44</v>
      </c>
      <c r="BN51" s="190"/>
      <c r="BO51" s="190"/>
      <c r="BP51" s="190"/>
      <c r="BQ51" s="190"/>
      <c r="BR51" s="190">
        <v>22</v>
      </c>
      <c r="BS51" s="411">
        <f>SUM(BT51:BY51)</f>
        <v>33</v>
      </c>
      <c r="BT51" s="190">
        <v>22</v>
      </c>
      <c r="BU51" s="190"/>
      <c r="BV51" s="190"/>
      <c r="BW51" s="190"/>
      <c r="BX51" s="190"/>
      <c r="BY51" s="190">
        <v>11</v>
      </c>
      <c r="BZ51" s="411">
        <f>SUM(CA51:CF51)</f>
        <v>60</v>
      </c>
      <c r="CA51" s="190">
        <v>48</v>
      </c>
      <c r="CB51" s="190"/>
      <c r="CC51" s="190"/>
      <c r="CD51" s="190"/>
      <c r="CE51" s="190"/>
      <c r="CF51" s="190">
        <v>12</v>
      </c>
      <c r="CG51" s="411">
        <f>SUM(CH51:CM51)</f>
        <v>70</v>
      </c>
      <c r="CH51" s="190">
        <v>28</v>
      </c>
      <c r="CI51" s="190"/>
      <c r="CJ51" s="190">
        <v>28</v>
      </c>
      <c r="CK51" s="190"/>
      <c r="CL51" s="190"/>
      <c r="CM51" s="190">
        <v>14</v>
      </c>
      <c r="CN51" s="149" t="s">
        <v>471</v>
      </c>
      <c r="CO51" s="190" t="s">
        <v>418</v>
      </c>
      <c r="CP51" s="450"/>
      <c r="CQ51" s="450"/>
      <c r="CR51" s="450"/>
      <c r="CS51" s="450"/>
      <c r="CT51" s="450"/>
      <c r="CV51" s="450"/>
    </row>
    <row r="52" spans="1:93" s="450" customFormat="1" ht="25.5" customHeight="1">
      <c r="A52" s="198"/>
      <c r="B52" s="181" t="s">
        <v>378</v>
      </c>
      <c r="C52" s="122"/>
      <c r="D52" s="199"/>
      <c r="E52" s="199" t="s">
        <v>40</v>
      </c>
      <c r="F52" s="199"/>
      <c r="G52" s="199"/>
      <c r="H52" s="180"/>
      <c r="I52" s="180" t="s">
        <v>39</v>
      </c>
      <c r="J52" s="350"/>
      <c r="K52" s="350"/>
      <c r="L52" s="116"/>
      <c r="M52" s="116"/>
      <c r="N52" s="189">
        <f>O52+SUM(U52:U52)</f>
        <v>120</v>
      </c>
      <c r="O52" s="189">
        <f>SUM(P52:T52)</f>
        <v>82</v>
      </c>
      <c r="P52" s="189">
        <f t="shared" si="92"/>
        <v>66</v>
      </c>
      <c r="Q52" s="189">
        <f t="shared" si="92"/>
        <v>16</v>
      </c>
      <c r="R52" s="189">
        <f t="shared" si="92"/>
        <v>0</v>
      </c>
      <c r="S52" s="189"/>
      <c r="T52" s="189">
        <f t="shared" si="93"/>
        <v>0</v>
      </c>
      <c r="U52" s="189">
        <f t="shared" si="93"/>
        <v>38</v>
      </c>
      <c r="V52" s="182">
        <f>SUM(W52:AB52)</f>
        <v>0</v>
      </c>
      <c r="W52" s="116"/>
      <c r="X52" s="116"/>
      <c r="Y52" s="116"/>
      <c r="Z52" s="116"/>
      <c r="AA52" s="116"/>
      <c r="AB52" s="116"/>
      <c r="AC52" s="182"/>
      <c r="AD52" s="116"/>
      <c r="AE52" s="116"/>
      <c r="AF52" s="116"/>
      <c r="AG52" s="116"/>
      <c r="AH52" s="116"/>
      <c r="AI52" s="116"/>
      <c r="AJ52" s="182"/>
      <c r="AK52" s="116"/>
      <c r="AL52" s="116"/>
      <c r="AM52" s="116"/>
      <c r="AN52" s="116"/>
      <c r="AO52" s="116"/>
      <c r="AP52" s="116"/>
      <c r="AQ52" s="182">
        <f>SUM(AR52:AW52)</f>
        <v>48</v>
      </c>
      <c r="AR52" s="117">
        <v>34</v>
      </c>
      <c r="AS52" s="117"/>
      <c r="AT52" s="117"/>
      <c r="AU52" s="117"/>
      <c r="AV52" s="117"/>
      <c r="AW52" s="117">
        <v>14</v>
      </c>
      <c r="AX52" s="182">
        <f>SUM(AY52:BD52)</f>
        <v>72</v>
      </c>
      <c r="AY52" s="116">
        <v>32</v>
      </c>
      <c r="AZ52" s="116">
        <v>16</v>
      </c>
      <c r="BA52" s="116"/>
      <c r="BB52" s="116"/>
      <c r="BC52" s="116"/>
      <c r="BD52" s="116">
        <v>24</v>
      </c>
      <c r="BE52" s="182"/>
      <c r="BF52" s="116"/>
      <c r="BG52" s="116"/>
      <c r="BH52" s="116"/>
      <c r="BI52" s="116"/>
      <c r="BJ52" s="116"/>
      <c r="BK52" s="116"/>
      <c r="BL52" s="182">
        <f>SUM(BM52:BR52)</f>
        <v>0</v>
      </c>
      <c r="BM52" s="116"/>
      <c r="BN52" s="116"/>
      <c r="BO52" s="116"/>
      <c r="BP52" s="116"/>
      <c r="BQ52" s="116"/>
      <c r="BR52" s="116"/>
      <c r="BS52" s="182"/>
      <c r="BT52" s="116"/>
      <c r="BU52" s="116"/>
      <c r="BV52" s="116"/>
      <c r="BW52" s="116"/>
      <c r="BX52" s="116"/>
      <c r="BY52" s="116"/>
      <c r="BZ52" s="182"/>
      <c r="CA52" s="116"/>
      <c r="CB52" s="116"/>
      <c r="CC52" s="116"/>
      <c r="CD52" s="116"/>
      <c r="CE52" s="116"/>
      <c r="CF52" s="116"/>
      <c r="CG52" s="182"/>
      <c r="CH52" s="116"/>
      <c r="CI52" s="116"/>
      <c r="CJ52" s="116"/>
      <c r="CK52" s="116"/>
      <c r="CL52" s="116"/>
      <c r="CM52" s="116"/>
      <c r="CN52" s="180" t="s">
        <v>471</v>
      </c>
      <c r="CO52" s="116" t="s">
        <v>418</v>
      </c>
    </row>
    <row r="53" spans="1:100" s="414" customFormat="1" ht="25.5" customHeight="1">
      <c r="A53" s="407"/>
      <c r="B53" s="506" t="s">
        <v>306</v>
      </c>
      <c r="C53" s="122"/>
      <c r="D53" s="149"/>
      <c r="E53" s="149" t="s">
        <v>37</v>
      </c>
      <c r="F53" s="149"/>
      <c r="G53" s="149"/>
      <c r="H53" s="149"/>
      <c r="I53" s="149" t="s">
        <v>528</v>
      </c>
      <c r="J53" s="350"/>
      <c r="K53" s="350"/>
      <c r="L53" s="190"/>
      <c r="M53" s="190"/>
      <c r="N53" s="410">
        <f>O53+SUM(U53:U53)</f>
        <v>98</v>
      </c>
      <c r="O53" s="410">
        <f>SUM(P53:T53)</f>
        <v>66</v>
      </c>
      <c r="P53" s="410">
        <f t="shared" si="92"/>
        <v>66</v>
      </c>
      <c r="Q53" s="410">
        <f t="shared" si="92"/>
        <v>0</v>
      </c>
      <c r="R53" s="410">
        <f t="shared" si="92"/>
        <v>0</v>
      </c>
      <c r="S53" s="410"/>
      <c r="T53" s="410">
        <f t="shared" si="93"/>
        <v>0</v>
      </c>
      <c r="U53" s="410">
        <f t="shared" si="93"/>
        <v>32</v>
      </c>
      <c r="V53" s="411">
        <f>SUM(W53:AB53)</f>
        <v>0</v>
      </c>
      <c r="W53" s="190"/>
      <c r="X53" s="190"/>
      <c r="Y53" s="190"/>
      <c r="Z53" s="190"/>
      <c r="AA53" s="190"/>
      <c r="AB53" s="190"/>
      <c r="AC53" s="411"/>
      <c r="AD53" s="190"/>
      <c r="AE53" s="190"/>
      <c r="AF53" s="190"/>
      <c r="AG53" s="190"/>
      <c r="AH53" s="190"/>
      <c r="AI53" s="190"/>
      <c r="AJ53" s="411">
        <f>SUM(AK53:AP53)</f>
        <v>0</v>
      </c>
      <c r="AK53" s="190"/>
      <c r="AL53" s="190"/>
      <c r="AM53" s="190"/>
      <c r="AN53" s="190"/>
      <c r="AO53" s="190"/>
      <c r="AP53" s="190"/>
      <c r="AQ53" s="411">
        <f>SUM(AR53:AW53)</f>
        <v>0</v>
      </c>
      <c r="AR53" s="190"/>
      <c r="AS53" s="190"/>
      <c r="AT53" s="190"/>
      <c r="AU53" s="190"/>
      <c r="AV53" s="190"/>
      <c r="AW53" s="190"/>
      <c r="AX53" s="411">
        <f>SUM(AY53:BD53)</f>
        <v>0</v>
      </c>
      <c r="AY53" s="190"/>
      <c r="AZ53" s="190"/>
      <c r="BA53" s="190"/>
      <c r="BB53" s="190"/>
      <c r="BC53" s="190"/>
      <c r="BD53" s="190"/>
      <c r="BE53" s="411">
        <f>SUM(BF53:BK53)</f>
        <v>33</v>
      </c>
      <c r="BF53" s="190">
        <v>22</v>
      </c>
      <c r="BG53" s="190"/>
      <c r="BH53" s="190"/>
      <c r="BI53" s="190"/>
      <c r="BJ53" s="190"/>
      <c r="BK53" s="190">
        <v>11</v>
      </c>
      <c r="BL53" s="411">
        <f>SUM(BM53:BR53)</f>
        <v>33</v>
      </c>
      <c r="BM53" s="190">
        <v>22</v>
      </c>
      <c r="BN53" s="190"/>
      <c r="BO53" s="190"/>
      <c r="BP53" s="190"/>
      <c r="BQ53" s="190"/>
      <c r="BR53" s="190">
        <v>11</v>
      </c>
      <c r="BS53" s="411">
        <f>SUM(BT53:BY53)</f>
        <v>32</v>
      </c>
      <c r="BT53" s="190">
        <v>22</v>
      </c>
      <c r="BU53" s="190"/>
      <c r="BV53" s="190"/>
      <c r="BW53" s="190"/>
      <c r="BX53" s="190"/>
      <c r="BY53" s="190">
        <v>10</v>
      </c>
      <c r="BZ53" s="411"/>
      <c r="CA53" s="190"/>
      <c r="CB53" s="190"/>
      <c r="CC53" s="190"/>
      <c r="CD53" s="190"/>
      <c r="CE53" s="190"/>
      <c r="CF53" s="190"/>
      <c r="CG53" s="411"/>
      <c r="CH53" s="190"/>
      <c r="CI53" s="190"/>
      <c r="CJ53" s="190"/>
      <c r="CK53" s="190"/>
      <c r="CL53" s="190"/>
      <c r="CM53" s="190"/>
      <c r="CN53" s="149" t="s">
        <v>471</v>
      </c>
      <c r="CO53" s="190" t="s">
        <v>418</v>
      </c>
      <c r="CP53" s="450"/>
      <c r="CQ53" s="450"/>
      <c r="CR53" s="450"/>
      <c r="CS53" s="450"/>
      <c r="CT53" s="450"/>
      <c r="CV53" s="450"/>
    </row>
    <row r="54" spans="1:100" s="414" customFormat="1" ht="25.5" customHeight="1">
      <c r="A54" s="407"/>
      <c r="B54" s="408" t="s">
        <v>307</v>
      </c>
      <c r="C54" s="122"/>
      <c r="D54" s="149" t="s">
        <v>37</v>
      </c>
      <c r="E54" s="149"/>
      <c r="F54" s="149"/>
      <c r="G54" s="149"/>
      <c r="H54" s="149"/>
      <c r="I54" s="149" t="s">
        <v>528</v>
      </c>
      <c r="J54" s="350"/>
      <c r="K54" s="350"/>
      <c r="L54" s="190"/>
      <c r="M54" s="190"/>
      <c r="N54" s="410">
        <f>O54+SUM(U54:U54)</f>
        <v>130</v>
      </c>
      <c r="O54" s="410">
        <f>SUM(P54:T54)</f>
        <v>88</v>
      </c>
      <c r="P54" s="410">
        <f t="shared" si="92"/>
        <v>77</v>
      </c>
      <c r="Q54" s="410">
        <f t="shared" si="92"/>
        <v>11</v>
      </c>
      <c r="R54" s="410">
        <f t="shared" si="92"/>
        <v>0</v>
      </c>
      <c r="S54" s="410"/>
      <c r="T54" s="410">
        <f t="shared" si="93"/>
        <v>0</v>
      </c>
      <c r="U54" s="410">
        <f t="shared" si="93"/>
        <v>42</v>
      </c>
      <c r="V54" s="411">
        <f>SUM(W54:AB54)</f>
        <v>0</v>
      </c>
      <c r="W54" s="190"/>
      <c r="X54" s="190"/>
      <c r="Y54" s="190"/>
      <c r="Z54" s="190"/>
      <c r="AA54" s="190"/>
      <c r="AB54" s="190"/>
      <c r="AC54" s="411">
        <f>SUM(AD54:AI54)</f>
        <v>0</v>
      </c>
      <c r="AD54" s="190"/>
      <c r="AE54" s="190"/>
      <c r="AF54" s="190"/>
      <c r="AG54" s="190"/>
      <c r="AH54" s="190"/>
      <c r="AI54" s="190"/>
      <c r="AJ54" s="411">
        <f>SUM(AK54:AP54)</f>
        <v>0</v>
      </c>
      <c r="AK54" s="190"/>
      <c r="AL54" s="190"/>
      <c r="AM54" s="190"/>
      <c r="AN54" s="190"/>
      <c r="AO54" s="190"/>
      <c r="AP54" s="190"/>
      <c r="AQ54" s="411">
        <f>SUM(AR54:AW54)</f>
        <v>0</v>
      </c>
      <c r="AR54" s="190"/>
      <c r="AS54" s="190"/>
      <c r="AT54" s="190"/>
      <c r="AU54" s="190"/>
      <c r="AV54" s="190"/>
      <c r="AW54" s="190"/>
      <c r="AX54" s="411">
        <f>SUM(AY54:BD54)</f>
        <v>0</v>
      </c>
      <c r="AY54" s="190"/>
      <c r="AZ54" s="190"/>
      <c r="BA54" s="190"/>
      <c r="BB54" s="190"/>
      <c r="BC54" s="190"/>
      <c r="BD54" s="190"/>
      <c r="BE54" s="411">
        <f>SUM(BF54:BK54)</f>
        <v>33</v>
      </c>
      <c r="BF54" s="190">
        <v>11</v>
      </c>
      <c r="BG54" s="190">
        <v>11</v>
      </c>
      <c r="BH54" s="190"/>
      <c r="BI54" s="190"/>
      <c r="BJ54" s="190"/>
      <c r="BK54" s="190">
        <v>11</v>
      </c>
      <c r="BL54" s="411">
        <f>SUM(BM54:BR54)</f>
        <v>33</v>
      </c>
      <c r="BM54" s="190">
        <v>22</v>
      </c>
      <c r="BN54" s="190"/>
      <c r="BO54" s="190"/>
      <c r="BP54" s="190"/>
      <c r="BQ54" s="190"/>
      <c r="BR54" s="190">
        <v>11</v>
      </c>
      <c r="BS54" s="411">
        <f>SUM(BT54:BY54)</f>
        <v>64</v>
      </c>
      <c r="BT54" s="190">
        <v>44</v>
      </c>
      <c r="BU54" s="190"/>
      <c r="BV54" s="190"/>
      <c r="BW54" s="190"/>
      <c r="BX54" s="190"/>
      <c r="BY54" s="190">
        <v>20</v>
      </c>
      <c r="BZ54" s="411">
        <f>SUM(CA54:CF54)</f>
        <v>0</v>
      </c>
      <c r="CA54" s="190"/>
      <c r="CB54" s="190"/>
      <c r="CC54" s="190"/>
      <c r="CD54" s="190"/>
      <c r="CE54" s="190"/>
      <c r="CF54" s="190"/>
      <c r="CG54" s="411">
        <f>SUM(CH54:CM54)</f>
        <v>0</v>
      </c>
      <c r="CH54" s="190"/>
      <c r="CI54" s="190"/>
      <c r="CJ54" s="190"/>
      <c r="CK54" s="190"/>
      <c r="CL54" s="190"/>
      <c r="CM54" s="190"/>
      <c r="CN54" s="149" t="s">
        <v>471</v>
      </c>
      <c r="CO54" s="190" t="s">
        <v>418</v>
      </c>
      <c r="CP54" s="450"/>
      <c r="CQ54" s="450"/>
      <c r="CR54" s="450"/>
      <c r="CS54" s="450"/>
      <c r="CT54" s="450"/>
      <c r="CV54" s="450"/>
    </row>
    <row r="55" spans="1:93" s="414" customFormat="1" ht="25.5" customHeight="1">
      <c r="A55" s="407"/>
      <c r="B55" s="408" t="s">
        <v>423</v>
      </c>
      <c r="C55" s="408" t="s">
        <v>515</v>
      </c>
      <c r="D55" s="149"/>
      <c r="E55" s="149"/>
      <c r="F55" s="201" t="s">
        <v>42</v>
      </c>
      <c r="G55" s="201"/>
      <c r="H55" s="149"/>
      <c r="I55" s="149"/>
      <c r="J55" s="409"/>
      <c r="K55" s="409"/>
      <c r="L55" s="190"/>
      <c r="M55" s="190"/>
      <c r="N55" s="410">
        <f>O55+SUM(U55:U55)</f>
        <v>66</v>
      </c>
      <c r="O55" s="410">
        <f>SUM(P55:T55)</f>
        <v>44</v>
      </c>
      <c r="P55" s="410">
        <f t="shared" si="92"/>
        <v>4</v>
      </c>
      <c r="Q55" s="410">
        <f t="shared" si="92"/>
        <v>40</v>
      </c>
      <c r="R55" s="410">
        <f t="shared" si="92"/>
        <v>0</v>
      </c>
      <c r="S55" s="410"/>
      <c r="T55" s="410">
        <f t="shared" si="93"/>
        <v>0</v>
      </c>
      <c r="U55" s="410">
        <f t="shared" si="93"/>
        <v>22</v>
      </c>
      <c r="V55" s="411"/>
      <c r="W55" s="190"/>
      <c r="X55" s="190"/>
      <c r="Y55" s="190"/>
      <c r="Z55" s="190"/>
      <c r="AA55" s="190"/>
      <c r="AB55" s="190"/>
      <c r="AC55" s="411"/>
      <c r="AD55" s="190"/>
      <c r="AE55" s="190"/>
      <c r="AF55" s="190"/>
      <c r="AG55" s="190"/>
      <c r="AH55" s="190"/>
      <c r="AI55" s="190"/>
      <c r="AJ55" s="411"/>
      <c r="AK55" s="190"/>
      <c r="AL55" s="190"/>
      <c r="AM55" s="190"/>
      <c r="AN55" s="190"/>
      <c r="AO55" s="190"/>
      <c r="AP55" s="190"/>
      <c r="AQ55" s="411"/>
      <c r="AR55" s="190"/>
      <c r="AS55" s="190"/>
      <c r="AT55" s="190"/>
      <c r="AU55" s="190"/>
      <c r="AV55" s="190"/>
      <c r="AW55" s="190"/>
      <c r="AX55" s="411"/>
      <c r="AY55" s="190"/>
      <c r="AZ55" s="190"/>
      <c r="BA55" s="190"/>
      <c r="BB55" s="190"/>
      <c r="BC55" s="190"/>
      <c r="BD55" s="190"/>
      <c r="BE55" s="411">
        <f>SUM(BF55:BK55)</f>
        <v>0</v>
      </c>
      <c r="BF55" s="412"/>
      <c r="BG55" s="412"/>
      <c r="BH55" s="190"/>
      <c r="BI55" s="190"/>
      <c r="BJ55" s="190"/>
      <c r="BK55" s="190"/>
      <c r="BL55" s="411">
        <f>SUM(BM55:BR55)</f>
        <v>66</v>
      </c>
      <c r="BM55" s="190">
        <v>4</v>
      </c>
      <c r="BN55" s="190">
        <v>40</v>
      </c>
      <c r="BO55" s="190"/>
      <c r="BP55" s="190"/>
      <c r="BQ55" s="190"/>
      <c r="BR55" s="190">
        <v>22</v>
      </c>
      <c r="BS55" s="411"/>
      <c r="BT55" s="190"/>
      <c r="BU55" s="190"/>
      <c r="BV55" s="190"/>
      <c r="BW55" s="190"/>
      <c r="BX55" s="190"/>
      <c r="BY55" s="190"/>
      <c r="BZ55" s="411"/>
      <c r="CA55" s="190"/>
      <c r="CB55" s="190"/>
      <c r="CC55" s="190"/>
      <c r="CD55" s="190"/>
      <c r="CE55" s="190"/>
      <c r="CF55" s="190"/>
      <c r="CG55" s="411"/>
      <c r="CH55" s="190"/>
      <c r="CI55" s="190"/>
      <c r="CJ55" s="190"/>
      <c r="CK55" s="190"/>
      <c r="CL55" s="190"/>
      <c r="CM55" s="190"/>
      <c r="CN55" s="149" t="s">
        <v>471</v>
      </c>
      <c r="CO55" s="190" t="s">
        <v>564</v>
      </c>
    </row>
    <row r="56" spans="1:93" s="450" customFormat="1" ht="25.5" customHeight="1">
      <c r="A56" s="217" t="s">
        <v>359</v>
      </c>
      <c r="B56" s="671" t="s">
        <v>328</v>
      </c>
      <c r="C56" s="672"/>
      <c r="D56" s="672"/>
      <c r="E56" s="672"/>
      <c r="F56" s="672"/>
      <c r="G56" s="672"/>
      <c r="H56" s="672"/>
      <c r="I56" s="673"/>
      <c r="J56" s="352"/>
      <c r="K56" s="352"/>
      <c r="L56" s="218"/>
      <c r="M56" s="218"/>
      <c r="N56" s="219">
        <f>SUM(N57:N62)</f>
        <v>678</v>
      </c>
      <c r="O56" s="219">
        <f>SUM(O57:O62)</f>
        <v>454</v>
      </c>
      <c r="P56" s="219">
        <f aca="true" t="shared" si="94" ref="P56:U56">SUM(P57:P62)</f>
        <v>276</v>
      </c>
      <c r="Q56" s="219">
        <f t="shared" si="94"/>
        <v>178</v>
      </c>
      <c r="R56" s="219">
        <f t="shared" si="94"/>
        <v>0</v>
      </c>
      <c r="S56" s="219"/>
      <c r="T56" s="219">
        <f t="shared" si="94"/>
        <v>0</v>
      </c>
      <c r="U56" s="219">
        <f t="shared" si="94"/>
        <v>224</v>
      </c>
      <c r="V56" s="219">
        <f aca="true" t="shared" si="95" ref="V56:AB56">SUM(V57:V62)</f>
        <v>0</v>
      </c>
      <c r="W56" s="219">
        <f t="shared" si="95"/>
        <v>0</v>
      </c>
      <c r="X56" s="219">
        <f t="shared" si="95"/>
        <v>0</v>
      </c>
      <c r="Y56" s="219">
        <f t="shared" si="95"/>
        <v>0</v>
      </c>
      <c r="Z56" s="219"/>
      <c r="AA56" s="219">
        <f t="shared" si="95"/>
        <v>0</v>
      </c>
      <c r="AB56" s="219">
        <f t="shared" si="95"/>
        <v>0</v>
      </c>
      <c r="AC56" s="219">
        <f aca="true" t="shared" si="96" ref="AC56:AI56">SUM(AC57:AC62)</f>
        <v>0</v>
      </c>
      <c r="AD56" s="219">
        <f t="shared" si="96"/>
        <v>0</v>
      </c>
      <c r="AE56" s="219">
        <f t="shared" si="96"/>
        <v>0</v>
      </c>
      <c r="AF56" s="219">
        <f t="shared" si="96"/>
        <v>0</v>
      </c>
      <c r="AG56" s="219"/>
      <c r="AH56" s="219">
        <f t="shared" si="96"/>
        <v>0</v>
      </c>
      <c r="AI56" s="219">
        <f t="shared" si="96"/>
        <v>0</v>
      </c>
      <c r="AJ56" s="219">
        <f aca="true" t="shared" si="97" ref="AJ56:AP56">SUM(AJ57:AJ62)</f>
        <v>0</v>
      </c>
      <c r="AK56" s="219">
        <f t="shared" si="97"/>
        <v>0</v>
      </c>
      <c r="AL56" s="219">
        <f t="shared" si="97"/>
        <v>0</v>
      </c>
      <c r="AM56" s="219">
        <f t="shared" si="97"/>
        <v>0</v>
      </c>
      <c r="AN56" s="219"/>
      <c r="AO56" s="219">
        <f t="shared" si="97"/>
        <v>0</v>
      </c>
      <c r="AP56" s="219">
        <f t="shared" si="97"/>
        <v>0</v>
      </c>
      <c r="AQ56" s="219">
        <f aca="true" t="shared" si="98" ref="AQ56:AW56">SUM(AQ57:AQ62)</f>
        <v>102</v>
      </c>
      <c r="AR56" s="219">
        <f t="shared" si="98"/>
        <v>68</v>
      </c>
      <c r="AS56" s="219">
        <f t="shared" si="98"/>
        <v>0</v>
      </c>
      <c r="AT56" s="219">
        <f t="shared" si="98"/>
        <v>0</v>
      </c>
      <c r="AU56" s="219"/>
      <c r="AV56" s="219">
        <f t="shared" si="98"/>
        <v>0</v>
      </c>
      <c r="AW56" s="219">
        <f t="shared" si="98"/>
        <v>34</v>
      </c>
      <c r="AX56" s="219">
        <f aca="true" t="shared" si="99" ref="AX56:CM56">SUM(AX57:AX62)</f>
        <v>141</v>
      </c>
      <c r="AY56" s="230">
        <f t="shared" si="99"/>
        <v>80</v>
      </c>
      <c r="AZ56" s="230">
        <f t="shared" si="99"/>
        <v>16</v>
      </c>
      <c r="BA56" s="230">
        <f t="shared" si="99"/>
        <v>0</v>
      </c>
      <c r="BB56" s="230"/>
      <c r="BC56" s="230">
        <f t="shared" si="99"/>
        <v>0</v>
      </c>
      <c r="BD56" s="230">
        <f t="shared" si="99"/>
        <v>45</v>
      </c>
      <c r="BE56" s="230">
        <f t="shared" si="99"/>
        <v>128</v>
      </c>
      <c r="BF56" s="230">
        <f t="shared" si="99"/>
        <v>50</v>
      </c>
      <c r="BG56" s="230">
        <f t="shared" si="99"/>
        <v>38</v>
      </c>
      <c r="BH56" s="230">
        <f t="shared" si="99"/>
        <v>0</v>
      </c>
      <c r="BI56" s="230"/>
      <c r="BJ56" s="230">
        <f t="shared" si="99"/>
        <v>0</v>
      </c>
      <c r="BK56" s="230">
        <f t="shared" si="99"/>
        <v>40</v>
      </c>
      <c r="BL56" s="230">
        <f t="shared" si="99"/>
        <v>66</v>
      </c>
      <c r="BM56" s="230">
        <f t="shared" si="99"/>
        <v>22</v>
      </c>
      <c r="BN56" s="230">
        <f t="shared" si="99"/>
        <v>22</v>
      </c>
      <c r="BO56" s="230">
        <f t="shared" si="99"/>
        <v>0</v>
      </c>
      <c r="BP56" s="230"/>
      <c r="BQ56" s="230">
        <f t="shared" si="99"/>
        <v>0</v>
      </c>
      <c r="BR56" s="230">
        <f t="shared" si="99"/>
        <v>22</v>
      </c>
      <c r="BS56" s="230">
        <f t="shared" si="99"/>
        <v>0</v>
      </c>
      <c r="BT56" s="230">
        <f>SUM(BT57:BT62)</f>
        <v>0</v>
      </c>
      <c r="BU56" s="230">
        <f t="shared" si="99"/>
        <v>0</v>
      </c>
      <c r="BV56" s="230">
        <f t="shared" si="99"/>
        <v>0</v>
      </c>
      <c r="BW56" s="230"/>
      <c r="BX56" s="230">
        <f t="shared" si="99"/>
        <v>0</v>
      </c>
      <c r="BY56" s="230">
        <f t="shared" si="99"/>
        <v>0</v>
      </c>
      <c r="BZ56" s="230">
        <f t="shared" si="99"/>
        <v>134</v>
      </c>
      <c r="CA56" s="230">
        <f t="shared" si="99"/>
        <v>36</v>
      </c>
      <c r="CB56" s="230">
        <f t="shared" si="99"/>
        <v>52</v>
      </c>
      <c r="CC56" s="230">
        <f t="shared" si="99"/>
        <v>0</v>
      </c>
      <c r="CD56" s="230"/>
      <c r="CE56" s="230">
        <f t="shared" si="99"/>
        <v>0</v>
      </c>
      <c r="CF56" s="230">
        <f t="shared" si="99"/>
        <v>46</v>
      </c>
      <c r="CG56" s="230">
        <f t="shared" si="99"/>
        <v>107</v>
      </c>
      <c r="CH56" s="230">
        <f t="shared" si="99"/>
        <v>20</v>
      </c>
      <c r="CI56" s="230">
        <f t="shared" si="99"/>
        <v>50</v>
      </c>
      <c r="CJ56" s="230">
        <f t="shared" si="99"/>
        <v>0</v>
      </c>
      <c r="CK56" s="230"/>
      <c r="CL56" s="230">
        <f t="shared" si="99"/>
        <v>0</v>
      </c>
      <c r="CM56" s="230">
        <f t="shared" si="99"/>
        <v>37</v>
      </c>
      <c r="CN56" s="218"/>
      <c r="CO56" s="218"/>
    </row>
    <row r="57" spans="1:100" s="414" customFormat="1" ht="25.5" customHeight="1">
      <c r="A57" s="407"/>
      <c r="B57" s="507" t="s">
        <v>448</v>
      </c>
      <c r="C57" s="122"/>
      <c r="D57" s="201"/>
      <c r="E57" s="201" t="s">
        <v>42</v>
      </c>
      <c r="F57" s="201"/>
      <c r="G57" s="201"/>
      <c r="H57" s="201"/>
      <c r="I57" s="201" t="s">
        <v>41</v>
      </c>
      <c r="J57" s="350"/>
      <c r="K57" s="350"/>
      <c r="L57" s="190"/>
      <c r="M57" s="190"/>
      <c r="N57" s="410">
        <f aca="true" t="shared" si="100" ref="N57:N62">O57+SUM(U57:U57)</f>
        <v>161</v>
      </c>
      <c r="O57" s="410">
        <f aca="true" t="shared" si="101" ref="O57:O62">SUM(P57:T57)</f>
        <v>110</v>
      </c>
      <c r="P57" s="410">
        <f aca="true" t="shared" si="102" ref="P57:R62">W57+AD57+AK57+AR57+AY57+BF57+BM57+BT57+CA57+CH57</f>
        <v>58</v>
      </c>
      <c r="Q57" s="410">
        <f t="shared" si="102"/>
        <v>52</v>
      </c>
      <c r="R57" s="410">
        <f t="shared" si="102"/>
        <v>0</v>
      </c>
      <c r="S57" s="410"/>
      <c r="T57" s="410">
        <f aca="true" t="shared" si="103" ref="T57:U62">AA57+AH57+AO57+AV57+BC57+BJ57+BQ57+BX57+CE57+CL57</f>
        <v>0</v>
      </c>
      <c r="U57" s="410">
        <f t="shared" si="103"/>
        <v>51</v>
      </c>
      <c r="V57" s="411">
        <f aca="true" t="shared" si="104" ref="V57:V62">SUM(W57:AB57)</f>
        <v>0</v>
      </c>
      <c r="W57" s="190"/>
      <c r="X57" s="190"/>
      <c r="Y57" s="190"/>
      <c r="Z57" s="190"/>
      <c r="AA57" s="190"/>
      <c r="AB57" s="190"/>
      <c r="AC57" s="411"/>
      <c r="AD57" s="190"/>
      <c r="AE57" s="190"/>
      <c r="AF57" s="190"/>
      <c r="AG57" s="190"/>
      <c r="AH57" s="190"/>
      <c r="AI57" s="190"/>
      <c r="AJ57" s="411">
        <f aca="true" t="shared" si="105" ref="AJ57:AJ62">SUM(AK57:AP57)</f>
        <v>0</v>
      </c>
      <c r="AK57" s="190"/>
      <c r="AL57" s="190"/>
      <c r="AM57" s="190"/>
      <c r="AN57" s="190"/>
      <c r="AO57" s="190"/>
      <c r="AP57" s="190"/>
      <c r="AQ57" s="411">
        <f aca="true" t="shared" si="106" ref="AQ57:AQ62">SUM(AR57:AW57)</f>
        <v>0</v>
      </c>
      <c r="AR57" s="190"/>
      <c r="AS57" s="190"/>
      <c r="AT57" s="190"/>
      <c r="AU57" s="190"/>
      <c r="AV57" s="190"/>
      <c r="AW57" s="190"/>
      <c r="AX57" s="411">
        <f aca="true" t="shared" si="107" ref="AX57:AX62">SUM(AY57:BD57)</f>
        <v>0</v>
      </c>
      <c r="AY57" s="190"/>
      <c r="AZ57" s="190"/>
      <c r="BA57" s="190"/>
      <c r="BB57" s="190"/>
      <c r="BC57" s="190"/>
      <c r="BD57" s="190"/>
      <c r="BE57" s="411">
        <f aca="true" t="shared" si="108" ref="BE57:BE62">SUM(BF57:BK57)</f>
        <v>95</v>
      </c>
      <c r="BF57" s="190">
        <v>36</v>
      </c>
      <c r="BG57" s="190">
        <v>30</v>
      </c>
      <c r="BH57" s="190"/>
      <c r="BI57" s="190"/>
      <c r="BJ57" s="190"/>
      <c r="BK57" s="190">
        <v>29</v>
      </c>
      <c r="BL57" s="411">
        <f aca="true" t="shared" si="109" ref="BL57:BL62">SUM(BM57:BR57)</f>
        <v>66</v>
      </c>
      <c r="BM57" s="190">
        <v>22</v>
      </c>
      <c r="BN57" s="190">
        <v>22</v>
      </c>
      <c r="BO57" s="190"/>
      <c r="BP57" s="190"/>
      <c r="BQ57" s="190"/>
      <c r="BR57" s="190">
        <v>22</v>
      </c>
      <c r="BS57" s="411">
        <f aca="true" t="shared" si="110" ref="BS57:BS62">SUM(BT57:BY57)</f>
        <v>0</v>
      </c>
      <c r="BT57" s="190"/>
      <c r="BU57" s="190"/>
      <c r="BV57" s="190"/>
      <c r="BW57" s="190"/>
      <c r="BX57" s="190"/>
      <c r="BY57" s="190"/>
      <c r="BZ57" s="411"/>
      <c r="CA57" s="190"/>
      <c r="CB57" s="190"/>
      <c r="CC57" s="190"/>
      <c r="CD57" s="190"/>
      <c r="CE57" s="190"/>
      <c r="CF57" s="190"/>
      <c r="CG57" s="411"/>
      <c r="CH57" s="190"/>
      <c r="CI57" s="190"/>
      <c r="CJ57" s="190"/>
      <c r="CK57" s="190"/>
      <c r="CL57" s="190"/>
      <c r="CM57" s="190"/>
      <c r="CN57" s="149" t="s">
        <v>471</v>
      </c>
      <c r="CO57" s="190" t="s">
        <v>419</v>
      </c>
      <c r="CP57" s="450"/>
      <c r="CQ57" s="450"/>
      <c r="CR57" s="450"/>
      <c r="CS57" s="450"/>
      <c r="CT57" s="450"/>
      <c r="CV57" s="450"/>
    </row>
    <row r="58" spans="1:93" s="450" customFormat="1" ht="25.5" customHeight="1">
      <c r="A58" s="198"/>
      <c r="B58" s="181" t="s">
        <v>519</v>
      </c>
      <c r="C58" s="122" t="s">
        <v>520</v>
      </c>
      <c r="D58" s="199"/>
      <c r="E58" s="199" t="s">
        <v>40</v>
      </c>
      <c r="F58" s="199"/>
      <c r="G58" s="199"/>
      <c r="H58" s="199"/>
      <c r="I58" s="199" t="s">
        <v>39</v>
      </c>
      <c r="J58" s="350"/>
      <c r="K58" s="350"/>
      <c r="L58" s="116"/>
      <c r="M58" s="116"/>
      <c r="N58" s="189">
        <f t="shared" si="100"/>
        <v>97</v>
      </c>
      <c r="O58" s="189">
        <f t="shared" si="101"/>
        <v>66</v>
      </c>
      <c r="P58" s="189">
        <f t="shared" si="102"/>
        <v>58</v>
      </c>
      <c r="Q58" s="189">
        <f t="shared" si="102"/>
        <v>8</v>
      </c>
      <c r="R58" s="189">
        <f t="shared" si="102"/>
        <v>0</v>
      </c>
      <c r="S58" s="189"/>
      <c r="T58" s="189">
        <f t="shared" si="103"/>
        <v>0</v>
      </c>
      <c r="U58" s="189">
        <f t="shared" si="103"/>
        <v>31</v>
      </c>
      <c r="V58" s="182">
        <f t="shared" si="104"/>
        <v>0</v>
      </c>
      <c r="W58" s="116"/>
      <c r="X58" s="116"/>
      <c r="Y58" s="116"/>
      <c r="Z58" s="116"/>
      <c r="AA58" s="116"/>
      <c r="AB58" s="116"/>
      <c r="AC58" s="182"/>
      <c r="AD58" s="116"/>
      <c r="AE58" s="116"/>
      <c r="AF58" s="116"/>
      <c r="AG58" s="116"/>
      <c r="AH58" s="116"/>
      <c r="AI58" s="116"/>
      <c r="AJ58" s="182">
        <f t="shared" si="105"/>
        <v>0</v>
      </c>
      <c r="AK58" s="116"/>
      <c r="AL58" s="116"/>
      <c r="AM58" s="116"/>
      <c r="AN58" s="116"/>
      <c r="AO58" s="116"/>
      <c r="AP58" s="116"/>
      <c r="AQ58" s="182">
        <f t="shared" si="106"/>
        <v>51</v>
      </c>
      <c r="AR58" s="117">
        <v>34</v>
      </c>
      <c r="AS58" s="117"/>
      <c r="AT58" s="117"/>
      <c r="AU58" s="117"/>
      <c r="AV58" s="117"/>
      <c r="AW58" s="117">
        <v>17</v>
      </c>
      <c r="AX58" s="182">
        <f t="shared" si="107"/>
        <v>46</v>
      </c>
      <c r="AY58" s="117">
        <v>24</v>
      </c>
      <c r="AZ58" s="117">
        <v>8</v>
      </c>
      <c r="BA58" s="117"/>
      <c r="BB58" s="117"/>
      <c r="BC58" s="117"/>
      <c r="BD58" s="117">
        <v>14</v>
      </c>
      <c r="BE58" s="182">
        <f t="shared" si="108"/>
        <v>0</v>
      </c>
      <c r="BF58" s="116"/>
      <c r="BG58" s="116"/>
      <c r="BH58" s="116"/>
      <c r="BI58" s="116"/>
      <c r="BJ58" s="116"/>
      <c r="BK58" s="116"/>
      <c r="BL58" s="182">
        <f t="shared" si="109"/>
        <v>0</v>
      </c>
      <c r="BM58" s="116"/>
      <c r="BN58" s="116"/>
      <c r="BO58" s="116"/>
      <c r="BP58" s="116"/>
      <c r="BQ58" s="116"/>
      <c r="BR58" s="116"/>
      <c r="BS58" s="182">
        <f t="shared" si="110"/>
        <v>0</v>
      </c>
      <c r="BT58" s="116"/>
      <c r="BU58" s="116"/>
      <c r="BV58" s="116"/>
      <c r="BW58" s="116"/>
      <c r="BX58" s="116"/>
      <c r="BY58" s="116"/>
      <c r="BZ58" s="182"/>
      <c r="CA58" s="116"/>
      <c r="CB58" s="116"/>
      <c r="CC58" s="116"/>
      <c r="CD58" s="116"/>
      <c r="CE58" s="116"/>
      <c r="CF58" s="116"/>
      <c r="CG58" s="182"/>
      <c r="CH58" s="116"/>
      <c r="CI58" s="116"/>
      <c r="CJ58" s="116"/>
      <c r="CK58" s="116"/>
      <c r="CL58" s="116"/>
      <c r="CM58" s="116"/>
      <c r="CN58" s="180" t="s">
        <v>471</v>
      </c>
      <c r="CO58" s="116" t="s">
        <v>420</v>
      </c>
    </row>
    <row r="59" spans="1:93" s="450" customFormat="1" ht="25.5" customHeight="1">
      <c r="A59" s="198"/>
      <c r="B59" s="122" t="s">
        <v>379</v>
      </c>
      <c r="C59" s="122" t="s">
        <v>518</v>
      </c>
      <c r="D59" s="180" t="s">
        <v>41</v>
      </c>
      <c r="E59" s="180"/>
      <c r="F59" s="180"/>
      <c r="G59" s="180"/>
      <c r="H59" s="180"/>
      <c r="I59" s="180" t="s">
        <v>510</v>
      </c>
      <c r="J59" s="350"/>
      <c r="K59" s="350"/>
      <c r="L59" s="116"/>
      <c r="M59" s="116"/>
      <c r="N59" s="189">
        <f t="shared" si="100"/>
        <v>131</v>
      </c>
      <c r="O59" s="189">
        <f t="shared" si="101"/>
        <v>88</v>
      </c>
      <c r="P59" s="189">
        <f t="shared" si="102"/>
        <v>72</v>
      </c>
      <c r="Q59" s="189">
        <f t="shared" si="102"/>
        <v>16</v>
      </c>
      <c r="R59" s="189">
        <f t="shared" si="102"/>
        <v>0</v>
      </c>
      <c r="S59" s="189"/>
      <c r="T59" s="189">
        <f t="shared" si="103"/>
        <v>0</v>
      </c>
      <c r="U59" s="189">
        <f t="shared" si="103"/>
        <v>43</v>
      </c>
      <c r="V59" s="182">
        <f t="shared" si="104"/>
        <v>0</v>
      </c>
      <c r="W59" s="116"/>
      <c r="X59" s="116"/>
      <c r="Y59" s="116"/>
      <c r="Z59" s="116"/>
      <c r="AA59" s="116"/>
      <c r="AB59" s="116"/>
      <c r="AC59" s="182"/>
      <c r="AD59" s="116"/>
      <c r="AE59" s="116"/>
      <c r="AF59" s="116"/>
      <c r="AG59" s="116"/>
      <c r="AH59" s="116"/>
      <c r="AI59" s="116"/>
      <c r="AJ59" s="182">
        <f t="shared" si="105"/>
        <v>0</v>
      </c>
      <c r="AK59" s="116"/>
      <c r="AL59" s="116"/>
      <c r="AM59" s="116"/>
      <c r="AN59" s="116"/>
      <c r="AO59" s="116"/>
      <c r="AP59" s="116"/>
      <c r="AQ59" s="182">
        <f t="shared" si="106"/>
        <v>51</v>
      </c>
      <c r="AR59" s="117">
        <v>34</v>
      </c>
      <c r="AS59" s="117"/>
      <c r="AT59" s="117"/>
      <c r="AU59" s="117"/>
      <c r="AV59" s="117"/>
      <c r="AW59" s="117">
        <v>17</v>
      </c>
      <c r="AX59" s="182">
        <f t="shared" si="107"/>
        <v>47</v>
      </c>
      <c r="AY59" s="117">
        <v>24</v>
      </c>
      <c r="AZ59" s="117">
        <v>8</v>
      </c>
      <c r="BA59" s="117"/>
      <c r="BB59" s="117"/>
      <c r="BC59" s="117"/>
      <c r="BD59" s="117">
        <v>15</v>
      </c>
      <c r="BE59" s="182">
        <f t="shared" si="108"/>
        <v>33</v>
      </c>
      <c r="BF59" s="116">
        <v>14</v>
      </c>
      <c r="BG59" s="116">
        <v>8</v>
      </c>
      <c r="BH59" s="116"/>
      <c r="BI59" s="116"/>
      <c r="BJ59" s="116"/>
      <c r="BK59" s="116">
        <v>11</v>
      </c>
      <c r="BL59" s="182">
        <f t="shared" si="109"/>
        <v>0</v>
      </c>
      <c r="BM59" s="116"/>
      <c r="BN59" s="116"/>
      <c r="BO59" s="116"/>
      <c r="BP59" s="116"/>
      <c r="BQ59" s="116"/>
      <c r="BR59" s="116"/>
      <c r="BS59" s="182">
        <f t="shared" si="110"/>
        <v>0</v>
      </c>
      <c r="BT59" s="116"/>
      <c r="BU59" s="116"/>
      <c r="BV59" s="116"/>
      <c r="BW59" s="116"/>
      <c r="BX59" s="116"/>
      <c r="BY59" s="116"/>
      <c r="BZ59" s="182">
        <f>SUM(CA59:CF59)</f>
        <v>0</v>
      </c>
      <c r="CA59" s="116"/>
      <c r="CB59" s="116"/>
      <c r="CC59" s="116"/>
      <c r="CD59" s="116"/>
      <c r="CE59" s="116"/>
      <c r="CF59" s="116"/>
      <c r="CG59" s="182"/>
      <c r="CH59" s="116"/>
      <c r="CI59" s="116"/>
      <c r="CJ59" s="116"/>
      <c r="CK59" s="116"/>
      <c r="CL59" s="116"/>
      <c r="CM59" s="116"/>
      <c r="CN59" s="180" t="s">
        <v>471</v>
      </c>
      <c r="CO59" s="116" t="s">
        <v>420</v>
      </c>
    </row>
    <row r="60" spans="1:143" s="50" customFormat="1" ht="25.5" customHeight="1">
      <c r="A60" s="198"/>
      <c r="B60" s="181" t="s">
        <v>447</v>
      </c>
      <c r="C60" s="202" t="s">
        <v>516</v>
      </c>
      <c r="D60" s="51"/>
      <c r="E60" s="180"/>
      <c r="F60" s="180" t="s">
        <v>387</v>
      </c>
      <c r="G60" s="180"/>
      <c r="H60" s="51"/>
      <c r="I60" s="180" t="s">
        <v>38</v>
      </c>
      <c r="J60" s="350"/>
      <c r="K60" s="350"/>
      <c r="L60" s="102"/>
      <c r="M60" s="210"/>
      <c r="N60" s="189">
        <f t="shared" si="100"/>
        <v>140</v>
      </c>
      <c r="O60" s="189">
        <f t="shared" si="101"/>
        <v>90</v>
      </c>
      <c r="P60" s="189">
        <f t="shared" si="102"/>
        <v>36</v>
      </c>
      <c r="Q60" s="189">
        <f t="shared" si="102"/>
        <v>54</v>
      </c>
      <c r="R60" s="189">
        <f t="shared" si="102"/>
        <v>0</v>
      </c>
      <c r="S60" s="189"/>
      <c r="T60" s="189">
        <f t="shared" si="103"/>
        <v>0</v>
      </c>
      <c r="U60" s="189">
        <f t="shared" si="103"/>
        <v>50</v>
      </c>
      <c r="V60" s="182">
        <f t="shared" si="104"/>
        <v>0</v>
      </c>
      <c r="W60" s="102"/>
      <c r="X60" s="102"/>
      <c r="Y60" s="102"/>
      <c r="Z60" s="102"/>
      <c r="AA60" s="102"/>
      <c r="AB60" s="102"/>
      <c r="AC60" s="191"/>
      <c r="AD60" s="102"/>
      <c r="AE60" s="102"/>
      <c r="AF60" s="102"/>
      <c r="AG60" s="102"/>
      <c r="AH60" s="102"/>
      <c r="AI60" s="102"/>
      <c r="AJ60" s="182">
        <f t="shared" si="105"/>
        <v>0</v>
      </c>
      <c r="AK60" s="102"/>
      <c r="AL60" s="102"/>
      <c r="AM60" s="102"/>
      <c r="AN60" s="102"/>
      <c r="AO60" s="102"/>
      <c r="AP60" s="192"/>
      <c r="AQ60" s="182">
        <f t="shared" si="106"/>
        <v>0</v>
      </c>
      <c r="AR60" s="102"/>
      <c r="AS60" s="102"/>
      <c r="AT60" s="102"/>
      <c r="AU60" s="102"/>
      <c r="AV60" s="102"/>
      <c r="AW60" s="102"/>
      <c r="AX60" s="182">
        <f t="shared" si="107"/>
        <v>0</v>
      </c>
      <c r="AY60" s="102"/>
      <c r="AZ60" s="102"/>
      <c r="BA60" s="102"/>
      <c r="BB60" s="102"/>
      <c r="BC60" s="102"/>
      <c r="BD60" s="102"/>
      <c r="BE60" s="182">
        <f t="shared" si="108"/>
        <v>0</v>
      </c>
      <c r="BF60" s="102"/>
      <c r="BG60" s="102"/>
      <c r="BH60" s="102"/>
      <c r="BI60" s="102"/>
      <c r="BJ60" s="102"/>
      <c r="BK60" s="102"/>
      <c r="BL60" s="182">
        <f t="shared" si="109"/>
        <v>0</v>
      </c>
      <c r="BM60" s="102"/>
      <c r="BN60" s="102"/>
      <c r="BO60" s="102"/>
      <c r="BP60" s="102"/>
      <c r="BQ60" s="102"/>
      <c r="BR60" s="102"/>
      <c r="BS60" s="182">
        <f t="shared" si="110"/>
        <v>0</v>
      </c>
      <c r="BT60" s="102"/>
      <c r="BU60" s="102"/>
      <c r="BV60" s="102"/>
      <c r="BW60" s="102"/>
      <c r="BX60" s="102"/>
      <c r="BY60" s="102"/>
      <c r="BZ60" s="182">
        <f>SUM(CA60:CF60)</f>
        <v>74</v>
      </c>
      <c r="CA60" s="102">
        <v>16</v>
      </c>
      <c r="CB60" s="102">
        <v>32</v>
      </c>
      <c r="CC60" s="102"/>
      <c r="CD60" s="102"/>
      <c r="CE60" s="102"/>
      <c r="CF60" s="102">
        <v>26</v>
      </c>
      <c r="CG60" s="182">
        <f>SUM(CH60:CM60)</f>
        <v>66</v>
      </c>
      <c r="CH60" s="102">
        <v>20</v>
      </c>
      <c r="CI60" s="102">
        <v>22</v>
      </c>
      <c r="CJ60" s="102"/>
      <c r="CK60" s="102"/>
      <c r="CL60" s="102"/>
      <c r="CM60" s="102">
        <v>24</v>
      </c>
      <c r="CN60" s="180" t="s">
        <v>471</v>
      </c>
      <c r="CO60" s="116" t="s">
        <v>564</v>
      </c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</row>
    <row r="61" spans="1:143" s="50" customFormat="1" ht="25.5" customHeight="1">
      <c r="A61" s="198"/>
      <c r="B61" s="202" t="s">
        <v>537</v>
      </c>
      <c r="C61" s="202"/>
      <c r="D61" s="51"/>
      <c r="E61" s="180" t="s">
        <v>40</v>
      </c>
      <c r="F61" s="180"/>
      <c r="G61" s="180"/>
      <c r="H61" s="51"/>
      <c r="I61" s="180"/>
      <c r="J61" s="350"/>
      <c r="K61" s="350"/>
      <c r="L61" s="102"/>
      <c r="M61" s="210"/>
      <c r="N61" s="189">
        <f t="shared" si="100"/>
        <v>48</v>
      </c>
      <c r="O61" s="189">
        <f t="shared" si="101"/>
        <v>32</v>
      </c>
      <c r="P61" s="189">
        <f t="shared" si="102"/>
        <v>32</v>
      </c>
      <c r="Q61" s="189">
        <f t="shared" si="102"/>
        <v>0</v>
      </c>
      <c r="R61" s="189">
        <f t="shared" si="102"/>
        <v>0</v>
      </c>
      <c r="S61" s="189"/>
      <c r="T61" s="189">
        <f t="shared" si="103"/>
        <v>0</v>
      </c>
      <c r="U61" s="189">
        <f t="shared" si="103"/>
        <v>16</v>
      </c>
      <c r="V61" s="182">
        <f t="shared" si="104"/>
        <v>0</v>
      </c>
      <c r="W61" s="102"/>
      <c r="X61" s="102"/>
      <c r="Y61" s="102"/>
      <c r="Z61" s="102"/>
      <c r="AA61" s="102"/>
      <c r="AB61" s="102"/>
      <c r="AC61" s="191"/>
      <c r="AD61" s="102"/>
      <c r="AE61" s="102"/>
      <c r="AF61" s="102"/>
      <c r="AG61" s="102"/>
      <c r="AH61" s="102"/>
      <c r="AI61" s="102"/>
      <c r="AJ61" s="182">
        <f t="shared" si="105"/>
        <v>0</v>
      </c>
      <c r="AK61" s="102"/>
      <c r="AL61" s="102"/>
      <c r="AM61" s="102"/>
      <c r="AN61" s="102"/>
      <c r="AO61" s="102"/>
      <c r="AP61" s="192"/>
      <c r="AQ61" s="182">
        <f t="shared" si="106"/>
        <v>0</v>
      </c>
      <c r="AR61" s="102"/>
      <c r="AS61" s="102"/>
      <c r="AT61" s="102"/>
      <c r="AU61" s="102"/>
      <c r="AV61" s="102"/>
      <c r="AW61" s="102"/>
      <c r="AX61" s="182">
        <f t="shared" si="107"/>
        <v>48</v>
      </c>
      <c r="AY61" s="117">
        <v>32</v>
      </c>
      <c r="AZ61" s="117"/>
      <c r="BA61" s="117"/>
      <c r="BB61" s="117"/>
      <c r="BC61" s="117"/>
      <c r="BD61" s="117">
        <v>16</v>
      </c>
      <c r="BE61" s="182">
        <f t="shared" si="108"/>
        <v>0</v>
      </c>
      <c r="BF61" s="102"/>
      <c r="BG61" s="102"/>
      <c r="BH61" s="102"/>
      <c r="BI61" s="102"/>
      <c r="BJ61" s="102"/>
      <c r="BK61" s="102"/>
      <c r="BL61" s="182">
        <f t="shared" si="109"/>
        <v>0</v>
      </c>
      <c r="BM61" s="102"/>
      <c r="BN61" s="102"/>
      <c r="BO61" s="102"/>
      <c r="BP61" s="102"/>
      <c r="BQ61" s="102"/>
      <c r="BR61" s="102"/>
      <c r="BS61" s="182">
        <f t="shared" si="110"/>
        <v>0</v>
      </c>
      <c r="BT61" s="102"/>
      <c r="BU61" s="102"/>
      <c r="BV61" s="102"/>
      <c r="BW61" s="102"/>
      <c r="BX61" s="102"/>
      <c r="BY61" s="102"/>
      <c r="BZ61" s="182">
        <f>SUM(CA61:CF61)</f>
        <v>0</v>
      </c>
      <c r="CA61" s="102"/>
      <c r="CB61" s="102"/>
      <c r="CC61" s="102"/>
      <c r="CD61" s="102"/>
      <c r="CE61" s="102"/>
      <c r="CF61" s="102"/>
      <c r="CG61" s="182">
        <f>SUM(CH61:CM61)</f>
        <v>0</v>
      </c>
      <c r="CH61" s="102"/>
      <c r="CI61" s="102"/>
      <c r="CJ61" s="102"/>
      <c r="CK61" s="102"/>
      <c r="CL61" s="102"/>
      <c r="CM61" s="102"/>
      <c r="CN61" s="180" t="s">
        <v>471</v>
      </c>
      <c r="CO61" s="116" t="s">
        <v>565</v>
      </c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</row>
    <row r="62" spans="1:143" s="50" customFormat="1" ht="25.5" customHeight="1">
      <c r="A62" s="198"/>
      <c r="B62" s="202" t="s">
        <v>557</v>
      </c>
      <c r="C62" s="202" t="s">
        <v>517</v>
      </c>
      <c r="D62" s="51"/>
      <c r="E62" s="180"/>
      <c r="F62" s="180" t="s">
        <v>387</v>
      </c>
      <c r="G62" s="180"/>
      <c r="H62" s="51"/>
      <c r="I62" s="180" t="s">
        <v>38</v>
      </c>
      <c r="J62" s="350"/>
      <c r="K62" s="350"/>
      <c r="L62" s="102"/>
      <c r="M62" s="210"/>
      <c r="N62" s="189">
        <f t="shared" si="100"/>
        <v>101</v>
      </c>
      <c r="O62" s="189">
        <f t="shared" si="101"/>
        <v>68</v>
      </c>
      <c r="P62" s="189">
        <f t="shared" si="102"/>
        <v>20</v>
      </c>
      <c r="Q62" s="189">
        <f t="shared" si="102"/>
        <v>48</v>
      </c>
      <c r="R62" s="189">
        <f t="shared" si="102"/>
        <v>0</v>
      </c>
      <c r="S62" s="189"/>
      <c r="T62" s="189">
        <f t="shared" si="103"/>
        <v>0</v>
      </c>
      <c r="U62" s="189">
        <f t="shared" si="103"/>
        <v>33</v>
      </c>
      <c r="V62" s="182">
        <f t="shared" si="104"/>
        <v>0</v>
      </c>
      <c r="W62" s="102"/>
      <c r="X62" s="102"/>
      <c r="Y62" s="102"/>
      <c r="Z62" s="102"/>
      <c r="AA62" s="102"/>
      <c r="AB62" s="102"/>
      <c r="AC62" s="191"/>
      <c r="AD62" s="102"/>
      <c r="AE62" s="102"/>
      <c r="AF62" s="102"/>
      <c r="AG62" s="102"/>
      <c r="AH62" s="102"/>
      <c r="AI62" s="102"/>
      <c r="AJ62" s="182">
        <f t="shared" si="105"/>
        <v>0</v>
      </c>
      <c r="AK62" s="102"/>
      <c r="AL62" s="102"/>
      <c r="AM62" s="102"/>
      <c r="AN62" s="102"/>
      <c r="AO62" s="102"/>
      <c r="AP62" s="192"/>
      <c r="AQ62" s="182">
        <f t="shared" si="106"/>
        <v>0</v>
      </c>
      <c r="AR62" s="102"/>
      <c r="AS62" s="102"/>
      <c r="AT62" s="102"/>
      <c r="AU62" s="102"/>
      <c r="AV62" s="102"/>
      <c r="AW62" s="102"/>
      <c r="AX62" s="182">
        <f t="shared" si="107"/>
        <v>0</v>
      </c>
      <c r="AY62" s="102"/>
      <c r="AZ62" s="102"/>
      <c r="BA62" s="102"/>
      <c r="BB62" s="102"/>
      <c r="BC62" s="102"/>
      <c r="BD62" s="102"/>
      <c r="BE62" s="182">
        <f t="shared" si="108"/>
        <v>0</v>
      </c>
      <c r="BF62" s="102"/>
      <c r="BG62" s="102"/>
      <c r="BH62" s="102"/>
      <c r="BI62" s="102"/>
      <c r="BJ62" s="102"/>
      <c r="BK62" s="102"/>
      <c r="BL62" s="182">
        <f t="shared" si="109"/>
        <v>0</v>
      </c>
      <c r="BM62" s="102"/>
      <c r="BN62" s="102"/>
      <c r="BO62" s="102"/>
      <c r="BP62" s="102"/>
      <c r="BQ62" s="102"/>
      <c r="BR62" s="102"/>
      <c r="BS62" s="182">
        <f t="shared" si="110"/>
        <v>0</v>
      </c>
      <c r="BT62" s="102"/>
      <c r="BU62" s="102"/>
      <c r="BV62" s="102"/>
      <c r="BW62" s="102"/>
      <c r="BX62" s="102"/>
      <c r="BY62" s="102"/>
      <c r="BZ62" s="182">
        <f>SUM(CA62:CF62)</f>
        <v>60</v>
      </c>
      <c r="CA62" s="102">
        <v>20</v>
      </c>
      <c r="CB62" s="102">
        <v>20</v>
      </c>
      <c r="CC62" s="102"/>
      <c r="CD62" s="102"/>
      <c r="CE62" s="102"/>
      <c r="CF62" s="102">
        <v>20</v>
      </c>
      <c r="CG62" s="182">
        <f>SUM(CH62:CM62)</f>
        <v>41</v>
      </c>
      <c r="CH62" s="102"/>
      <c r="CI62" s="102">
        <v>28</v>
      </c>
      <c r="CJ62" s="102"/>
      <c r="CK62" s="102"/>
      <c r="CL62" s="102"/>
      <c r="CM62" s="102">
        <v>13</v>
      </c>
      <c r="CN62" s="180" t="s">
        <v>471</v>
      </c>
      <c r="CO62" s="116" t="s">
        <v>565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</row>
    <row r="63" spans="1:93" s="450" customFormat="1" ht="25.5" customHeight="1">
      <c r="A63" s="217" t="s">
        <v>380</v>
      </c>
      <c r="B63" s="671" t="s">
        <v>386</v>
      </c>
      <c r="C63" s="672"/>
      <c r="D63" s="672"/>
      <c r="E63" s="672"/>
      <c r="F63" s="672"/>
      <c r="G63" s="672"/>
      <c r="H63" s="672"/>
      <c r="I63" s="673"/>
      <c r="J63" s="352"/>
      <c r="K63" s="352"/>
      <c r="L63" s="218"/>
      <c r="M63" s="218"/>
      <c r="N63" s="219">
        <f>SUM(N64:N69)</f>
        <v>921</v>
      </c>
      <c r="O63" s="219">
        <f aca="true" t="shared" si="111" ref="O63:T63">SUM(O64:O69)</f>
        <v>655</v>
      </c>
      <c r="P63" s="219">
        <f>SUM(P64:P69)</f>
        <v>466</v>
      </c>
      <c r="Q63" s="219">
        <f t="shared" si="111"/>
        <v>189</v>
      </c>
      <c r="R63" s="219">
        <f t="shared" si="111"/>
        <v>0</v>
      </c>
      <c r="S63" s="219"/>
      <c r="T63" s="219">
        <f t="shared" si="111"/>
        <v>0</v>
      </c>
      <c r="U63" s="219">
        <f>SUM(U64:U69)</f>
        <v>266</v>
      </c>
      <c r="V63" s="219">
        <f aca="true" t="shared" si="112" ref="V63:AB63">SUM(V64:V74)</f>
        <v>0</v>
      </c>
      <c r="W63" s="219">
        <f t="shared" si="112"/>
        <v>0</v>
      </c>
      <c r="X63" s="219">
        <f t="shared" si="112"/>
        <v>0</v>
      </c>
      <c r="Y63" s="219">
        <f t="shared" si="112"/>
        <v>0</v>
      </c>
      <c r="Z63" s="219"/>
      <c r="AA63" s="219">
        <f t="shared" si="112"/>
        <v>0</v>
      </c>
      <c r="AB63" s="219">
        <f t="shared" si="112"/>
        <v>0</v>
      </c>
      <c r="AC63" s="219">
        <f aca="true" t="shared" si="113" ref="AC63:AI63">SUM(AC64:AC74)</f>
        <v>0</v>
      </c>
      <c r="AD63" s="219">
        <f t="shared" si="113"/>
        <v>0</v>
      </c>
      <c r="AE63" s="219">
        <f t="shared" si="113"/>
        <v>0</v>
      </c>
      <c r="AF63" s="219">
        <f t="shared" si="113"/>
        <v>0</v>
      </c>
      <c r="AG63" s="219"/>
      <c r="AH63" s="219">
        <f t="shared" si="113"/>
        <v>0</v>
      </c>
      <c r="AI63" s="219">
        <f t="shared" si="113"/>
        <v>0</v>
      </c>
      <c r="AJ63" s="219">
        <f>SUM(AJ64:AJ69)</f>
        <v>0</v>
      </c>
      <c r="AK63" s="219">
        <f aca="true" t="shared" si="114" ref="AK63:AX63">SUM(AK64:AK69)</f>
        <v>0</v>
      </c>
      <c r="AL63" s="219">
        <f t="shared" si="114"/>
        <v>0</v>
      </c>
      <c r="AM63" s="219">
        <f t="shared" si="114"/>
        <v>0</v>
      </c>
      <c r="AN63" s="219"/>
      <c r="AO63" s="219">
        <f t="shared" si="114"/>
        <v>0</v>
      </c>
      <c r="AP63" s="219">
        <f t="shared" si="114"/>
        <v>0</v>
      </c>
      <c r="AQ63" s="219">
        <f t="shared" si="114"/>
        <v>98</v>
      </c>
      <c r="AR63" s="219">
        <f t="shared" si="114"/>
        <v>68</v>
      </c>
      <c r="AS63" s="219">
        <f t="shared" si="114"/>
        <v>0</v>
      </c>
      <c r="AT63" s="219">
        <f t="shared" si="114"/>
        <v>0</v>
      </c>
      <c r="AU63" s="219"/>
      <c r="AV63" s="219">
        <f t="shared" si="114"/>
        <v>0</v>
      </c>
      <c r="AW63" s="219">
        <f t="shared" si="114"/>
        <v>30</v>
      </c>
      <c r="AX63" s="219">
        <f t="shared" si="114"/>
        <v>180</v>
      </c>
      <c r="AY63" s="230">
        <f>SUM(AY64:AY69)</f>
        <v>102</v>
      </c>
      <c r="AZ63" s="230">
        <f aca="true" t="shared" si="115" ref="AZ63:CG63">SUM(AZ64:AZ69)</f>
        <v>26</v>
      </c>
      <c r="BA63" s="230">
        <f t="shared" si="115"/>
        <v>0</v>
      </c>
      <c r="BB63" s="230"/>
      <c r="BC63" s="230">
        <f t="shared" si="115"/>
        <v>0</v>
      </c>
      <c r="BD63" s="230">
        <f t="shared" si="115"/>
        <v>52</v>
      </c>
      <c r="BE63" s="230">
        <f t="shared" si="115"/>
        <v>195</v>
      </c>
      <c r="BF63" s="230">
        <f t="shared" si="115"/>
        <v>106</v>
      </c>
      <c r="BG63" s="230">
        <f t="shared" si="115"/>
        <v>37</v>
      </c>
      <c r="BH63" s="230">
        <f t="shared" si="115"/>
        <v>0</v>
      </c>
      <c r="BI63" s="230"/>
      <c r="BJ63" s="230">
        <f t="shared" si="115"/>
        <v>0</v>
      </c>
      <c r="BK63" s="230">
        <f t="shared" si="115"/>
        <v>52</v>
      </c>
      <c r="BL63" s="230">
        <f t="shared" si="115"/>
        <v>92</v>
      </c>
      <c r="BM63" s="230">
        <f t="shared" si="115"/>
        <v>44</v>
      </c>
      <c r="BN63" s="230">
        <f t="shared" si="115"/>
        <v>22</v>
      </c>
      <c r="BO63" s="230">
        <f t="shared" si="115"/>
        <v>0</v>
      </c>
      <c r="BP63" s="230"/>
      <c r="BQ63" s="230">
        <f t="shared" si="115"/>
        <v>0</v>
      </c>
      <c r="BR63" s="230">
        <f t="shared" si="115"/>
        <v>26</v>
      </c>
      <c r="BS63" s="230">
        <f t="shared" si="115"/>
        <v>33</v>
      </c>
      <c r="BT63" s="230">
        <f t="shared" si="115"/>
        <v>22</v>
      </c>
      <c r="BU63" s="230">
        <f t="shared" si="115"/>
        <v>0</v>
      </c>
      <c r="BV63" s="230">
        <f t="shared" si="115"/>
        <v>0</v>
      </c>
      <c r="BW63" s="230"/>
      <c r="BX63" s="230">
        <f t="shared" si="115"/>
        <v>0</v>
      </c>
      <c r="BY63" s="230">
        <f t="shared" si="115"/>
        <v>11</v>
      </c>
      <c r="BZ63" s="230">
        <f t="shared" si="115"/>
        <v>132</v>
      </c>
      <c r="CA63" s="230">
        <f>SUM(CA64:CA69)</f>
        <v>62</v>
      </c>
      <c r="CB63" s="230">
        <f t="shared" si="115"/>
        <v>26</v>
      </c>
      <c r="CC63" s="230">
        <f t="shared" si="115"/>
        <v>0</v>
      </c>
      <c r="CD63" s="230"/>
      <c r="CE63" s="230">
        <f t="shared" si="115"/>
        <v>0</v>
      </c>
      <c r="CF63" s="230">
        <f t="shared" si="115"/>
        <v>44</v>
      </c>
      <c r="CG63" s="230">
        <f t="shared" si="115"/>
        <v>191</v>
      </c>
      <c r="CH63" s="230">
        <f>SUM(CH64:CH69)</f>
        <v>62</v>
      </c>
      <c r="CI63" s="230">
        <f>SUM(CI64:CI69)</f>
        <v>78</v>
      </c>
      <c r="CJ63" s="230">
        <f>SUM(CJ64:CJ69)</f>
        <v>0</v>
      </c>
      <c r="CK63" s="230"/>
      <c r="CL63" s="230">
        <f>SUM(CL64:CL69)</f>
        <v>0</v>
      </c>
      <c r="CM63" s="230">
        <f>SUM(CM64:CM69)</f>
        <v>51</v>
      </c>
      <c r="CN63" s="218"/>
      <c r="CO63" s="218"/>
    </row>
    <row r="64" spans="1:143" s="451" customFormat="1" ht="25.5" customHeight="1">
      <c r="A64" s="198"/>
      <c r="B64" s="122" t="s">
        <v>381</v>
      </c>
      <c r="C64" s="181" t="s">
        <v>521</v>
      </c>
      <c r="D64" s="180"/>
      <c r="E64" s="199" t="s">
        <v>40</v>
      </c>
      <c r="F64" s="199"/>
      <c r="G64" s="199"/>
      <c r="H64" s="119"/>
      <c r="I64" s="180" t="s">
        <v>39</v>
      </c>
      <c r="J64" s="350"/>
      <c r="K64" s="350"/>
      <c r="L64" s="117"/>
      <c r="M64" s="117"/>
      <c r="N64" s="189">
        <f aca="true" t="shared" si="116" ref="N64:N69">O64+SUM(U64:U64)</f>
        <v>141</v>
      </c>
      <c r="O64" s="189">
        <f aca="true" t="shared" si="117" ref="O64:O69">SUM(P64:T64)</f>
        <v>98</v>
      </c>
      <c r="P64" s="189">
        <f aca="true" t="shared" si="118" ref="P64:R69">W64+AD64+AK64+AR64+AY64+BF64+BM64+BT64+CA64+CH64</f>
        <v>82</v>
      </c>
      <c r="Q64" s="189">
        <f t="shared" si="118"/>
        <v>16</v>
      </c>
      <c r="R64" s="189">
        <f t="shared" si="118"/>
        <v>0</v>
      </c>
      <c r="S64" s="189"/>
      <c r="T64" s="189">
        <f aca="true" t="shared" si="119" ref="T64:U69">AA64+AH64+AO64+AV64+BC64+BJ64+BQ64+BX64+CE64+CL64</f>
        <v>0</v>
      </c>
      <c r="U64" s="189">
        <f t="shared" si="119"/>
        <v>43</v>
      </c>
      <c r="V64" s="182">
        <f>SUM(W64:AB64)</f>
        <v>0</v>
      </c>
      <c r="W64" s="102"/>
      <c r="X64" s="102"/>
      <c r="Y64" s="102"/>
      <c r="Z64" s="102"/>
      <c r="AA64" s="102"/>
      <c r="AB64" s="102"/>
      <c r="AC64" s="182">
        <f>SUM(AD64:AI64)</f>
        <v>0</v>
      </c>
      <c r="AD64" s="102"/>
      <c r="AE64" s="102"/>
      <c r="AF64" s="102"/>
      <c r="AG64" s="102"/>
      <c r="AH64" s="102"/>
      <c r="AI64" s="102"/>
      <c r="AJ64" s="182">
        <f aca="true" t="shared" si="120" ref="AJ64:AJ69">SUM(AK64:AP64)</f>
        <v>0</v>
      </c>
      <c r="AK64" s="102"/>
      <c r="AL64" s="102"/>
      <c r="AM64" s="102"/>
      <c r="AN64" s="102"/>
      <c r="AO64" s="102"/>
      <c r="AP64" s="102"/>
      <c r="AQ64" s="182">
        <f aca="true" t="shared" si="121" ref="AQ64:AQ69">SUM(AR64:AW64)</f>
        <v>49</v>
      </c>
      <c r="AR64" s="102">
        <v>34</v>
      </c>
      <c r="AS64" s="102"/>
      <c r="AT64" s="102"/>
      <c r="AU64" s="102"/>
      <c r="AV64" s="102"/>
      <c r="AW64" s="102">
        <v>15</v>
      </c>
      <c r="AX64" s="182">
        <f aca="true" t="shared" si="122" ref="AX64:AX69">SUM(AY64:BD64)</f>
        <v>92</v>
      </c>
      <c r="AY64" s="116">
        <v>48</v>
      </c>
      <c r="AZ64" s="116">
        <v>16</v>
      </c>
      <c r="BA64" s="102"/>
      <c r="BB64" s="102"/>
      <c r="BC64" s="102"/>
      <c r="BD64" s="102">
        <v>28</v>
      </c>
      <c r="BE64" s="182">
        <f aca="true" t="shared" si="123" ref="BE64:BE69">SUM(BF64:BK64)</f>
        <v>0</v>
      </c>
      <c r="BF64" s="102"/>
      <c r="BG64" s="102"/>
      <c r="BH64" s="102"/>
      <c r="BI64" s="102"/>
      <c r="BJ64" s="102"/>
      <c r="BK64" s="102"/>
      <c r="BL64" s="182">
        <f aca="true" t="shared" si="124" ref="BL64:BL69">SUM(BM64:BR64)</f>
        <v>0</v>
      </c>
      <c r="BM64" s="102"/>
      <c r="BN64" s="102"/>
      <c r="BO64" s="102"/>
      <c r="BP64" s="102"/>
      <c r="BQ64" s="102"/>
      <c r="BR64" s="102"/>
      <c r="BS64" s="182">
        <f aca="true" t="shared" si="125" ref="BS64:BS69">SUM(BT64:BY64)</f>
        <v>0</v>
      </c>
      <c r="BT64" s="102"/>
      <c r="BU64" s="102"/>
      <c r="BV64" s="102"/>
      <c r="BW64" s="102"/>
      <c r="BX64" s="102"/>
      <c r="BY64" s="102"/>
      <c r="BZ64" s="182">
        <f aca="true" t="shared" si="126" ref="BZ64:BZ69">SUM(CA64:CF64)</f>
        <v>0</v>
      </c>
      <c r="CA64" s="117"/>
      <c r="CB64" s="117"/>
      <c r="CC64" s="117"/>
      <c r="CD64" s="117"/>
      <c r="CE64" s="117"/>
      <c r="CF64" s="117"/>
      <c r="CG64" s="182">
        <f aca="true" t="shared" si="127" ref="CG64:CG69">SUM(CH64:CM64)</f>
        <v>0</v>
      </c>
      <c r="CH64" s="117"/>
      <c r="CI64" s="117"/>
      <c r="CJ64" s="117"/>
      <c r="CK64" s="117"/>
      <c r="CL64" s="117"/>
      <c r="CM64" s="117"/>
      <c r="CN64" s="199" t="s">
        <v>469</v>
      </c>
      <c r="CO64" s="117" t="s">
        <v>421</v>
      </c>
      <c r="DS64" s="450"/>
      <c r="DT64" s="450"/>
      <c r="DU64" s="450"/>
      <c r="DV64" s="450"/>
      <c r="DW64" s="450"/>
      <c r="DX64" s="450"/>
      <c r="DY64" s="450"/>
      <c r="DZ64" s="450"/>
      <c r="EA64" s="450"/>
      <c r="EB64" s="450"/>
      <c r="EC64" s="450"/>
      <c r="ED64" s="450"/>
      <c r="EE64" s="450"/>
      <c r="EF64" s="450"/>
      <c r="EG64" s="450"/>
      <c r="EH64" s="450"/>
      <c r="EI64" s="450"/>
      <c r="EJ64" s="450"/>
      <c r="EK64" s="450"/>
      <c r="EL64" s="450"/>
      <c r="EM64" s="450"/>
    </row>
    <row r="65" spans="1:93" s="414" customFormat="1" ht="25.5" customHeight="1">
      <c r="A65" s="407"/>
      <c r="B65" s="408" t="s">
        <v>439</v>
      </c>
      <c r="C65" s="408" t="s">
        <v>522</v>
      </c>
      <c r="D65" s="201"/>
      <c r="E65" s="149" t="s">
        <v>569</v>
      </c>
      <c r="F65" s="149"/>
      <c r="G65" s="149"/>
      <c r="H65" s="149"/>
      <c r="I65" s="201" t="s">
        <v>662</v>
      </c>
      <c r="J65" s="409"/>
      <c r="K65" s="409"/>
      <c r="L65" s="190"/>
      <c r="M65" s="190"/>
      <c r="N65" s="410">
        <f t="shared" si="116"/>
        <v>462</v>
      </c>
      <c r="O65" s="410">
        <f t="shared" si="117"/>
        <v>319</v>
      </c>
      <c r="P65" s="410">
        <f t="shared" si="118"/>
        <v>214</v>
      </c>
      <c r="Q65" s="410">
        <f t="shared" si="118"/>
        <v>105</v>
      </c>
      <c r="R65" s="410">
        <f t="shared" si="118"/>
        <v>0</v>
      </c>
      <c r="S65" s="410"/>
      <c r="T65" s="410">
        <f t="shared" si="119"/>
        <v>0</v>
      </c>
      <c r="U65" s="410">
        <f t="shared" si="119"/>
        <v>143</v>
      </c>
      <c r="V65" s="411">
        <f>SUM(W65:AB65)</f>
        <v>0</v>
      </c>
      <c r="W65" s="190"/>
      <c r="X65" s="190"/>
      <c r="Y65" s="190"/>
      <c r="Z65" s="190"/>
      <c r="AA65" s="190"/>
      <c r="AB65" s="190"/>
      <c r="AC65" s="411"/>
      <c r="AD65" s="190"/>
      <c r="AE65" s="190"/>
      <c r="AF65" s="190"/>
      <c r="AG65" s="190"/>
      <c r="AH65" s="190"/>
      <c r="AI65" s="190"/>
      <c r="AJ65" s="411">
        <f t="shared" si="120"/>
        <v>0</v>
      </c>
      <c r="AK65" s="412"/>
      <c r="AL65" s="412"/>
      <c r="AM65" s="190"/>
      <c r="AN65" s="190"/>
      <c r="AO65" s="190"/>
      <c r="AP65" s="190"/>
      <c r="AQ65" s="411">
        <f t="shared" si="121"/>
        <v>49</v>
      </c>
      <c r="AR65" s="412">
        <v>34</v>
      </c>
      <c r="AS65" s="412"/>
      <c r="AT65" s="190"/>
      <c r="AU65" s="190"/>
      <c r="AV65" s="190"/>
      <c r="AW65" s="412">
        <v>15</v>
      </c>
      <c r="AX65" s="411">
        <f t="shared" si="122"/>
        <v>44</v>
      </c>
      <c r="AY65" s="190">
        <v>28</v>
      </c>
      <c r="AZ65" s="190">
        <v>4</v>
      </c>
      <c r="BA65" s="190"/>
      <c r="BB65" s="190"/>
      <c r="BC65" s="190"/>
      <c r="BD65" s="190">
        <v>12</v>
      </c>
      <c r="BE65" s="411">
        <f t="shared" si="123"/>
        <v>98</v>
      </c>
      <c r="BF65" s="412">
        <v>44</v>
      </c>
      <c r="BG65" s="190">
        <v>22</v>
      </c>
      <c r="BH65" s="190"/>
      <c r="BI65" s="190"/>
      <c r="BJ65" s="190"/>
      <c r="BK65" s="190">
        <v>32</v>
      </c>
      <c r="BL65" s="411">
        <f t="shared" si="124"/>
        <v>43</v>
      </c>
      <c r="BM65" s="412">
        <v>22</v>
      </c>
      <c r="BN65" s="190">
        <v>11</v>
      </c>
      <c r="BO65" s="190"/>
      <c r="BP65" s="190"/>
      <c r="BQ65" s="190"/>
      <c r="BR65" s="190">
        <v>10</v>
      </c>
      <c r="BS65" s="411">
        <f t="shared" si="125"/>
        <v>33</v>
      </c>
      <c r="BT65" s="190">
        <v>22</v>
      </c>
      <c r="BU65" s="190"/>
      <c r="BV65" s="190"/>
      <c r="BW65" s="190"/>
      <c r="BX65" s="190"/>
      <c r="BY65" s="190">
        <v>11</v>
      </c>
      <c r="BZ65" s="411">
        <f t="shared" si="126"/>
        <v>72</v>
      </c>
      <c r="CA65" s="190">
        <v>22</v>
      </c>
      <c r="CB65" s="190">
        <v>26</v>
      </c>
      <c r="CC65" s="190"/>
      <c r="CD65" s="190"/>
      <c r="CE65" s="190"/>
      <c r="CF65" s="190">
        <v>24</v>
      </c>
      <c r="CG65" s="411">
        <f t="shared" si="127"/>
        <v>123</v>
      </c>
      <c r="CH65" s="190">
        <v>42</v>
      </c>
      <c r="CI65" s="190">
        <v>42</v>
      </c>
      <c r="CJ65" s="190"/>
      <c r="CK65" s="190"/>
      <c r="CL65" s="190"/>
      <c r="CM65" s="190">
        <v>39</v>
      </c>
      <c r="CN65" s="201" t="s">
        <v>469</v>
      </c>
      <c r="CO65" s="412" t="s">
        <v>421</v>
      </c>
    </row>
    <row r="66" spans="1:143" s="451" customFormat="1" ht="25.5" customHeight="1">
      <c r="A66" s="198"/>
      <c r="B66" s="122" t="s">
        <v>424</v>
      </c>
      <c r="C66" s="181" t="s">
        <v>523</v>
      </c>
      <c r="D66" s="180"/>
      <c r="E66" s="180" t="s">
        <v>41</v>
      </c>
      <c r="F66" s="180"/>
      <c r="G66" s="180"/>
      <c r="H66" s="119"/>
      <c r="I66" s="180" t="s">
        <v>40</v>
      </c>
      <c r="J66" s="350"/>
      <c r="K66" s="350"/>
      <c r="L66" s="117"/>
      <c r="M66" s="117"/>
      <c r="N66" s="189">
        <f t="shared" si="116"/>
        <v>76</v>
      </c>
      <c r="O66" s="189">
        <f t="shared" si="117"/>
        <v>54</v>
      </c>
      <c r="P66" s="189">
        <f t="shared" si="118"/>
        <v>44</v>
      </c>
      <c r="Q66" s="189">
        <f t="shared" si="118"/>
        <v>10</v>
      </c>
      <c r="R66" s="189">
        <f t="shared" si="118"/>
        <v>0</v>
      </c>
      <c r="S66" s="189"/>
      <c r="T66" s="189">
        <f t="shared" si="119"/>
        <v>0</v>
      </c>
      <c r="U66" s="189">
        <f t="shared" si="119"/>
        <v>22</v>
      </c>
      <c r="V66" s="182">
        <f>SUM(W66:AB66)</f>
        <v>0</v>
      </c>
      <c r="W66" s="102"/>
      <c r="X66" s="102"/>
      <c r="Y66" s="102"/>
      <c r="Z66" s="102"/>
      <c r="AA66" s="102"/>
      <c r="AB66" s="102"/>
      <c r="AC66" s="182">
        <f>SUM(AD66:AI66)</f>
        <v>0</v>
      </c>
      <c r="AD66" s="102"/>
      <c r="AE66" s="102"/>
      <c r="AF66" s="102"/>
      <c r="AG66" s="102"/>
      <c r="AH66" s="102"/>
      <c r="AI66" s="102"/>
      <c r="AJ66" s="182">
        <f t="shared" si="120"/>
        <v>0</v>
      </c>
      <c r="AK66" s="102"/>
      <c r="AL66" s="102"/>
      <c r="AM66" s="102"/>
      <c r="AN66" s="102"/>
      <c r="AO66" s="102"/>
      <c r="AP66" s="102"/>
      <c r="AQ66" s="182">
        <f t="shared" si="121"/>
        <v>0</v>
      </c>
      <c r="AR66" s="102"/>
      <c r="AS66" s="102"/>
      <c r="AT66" s="102"/>
      <c r="AU66" s="102"/>
      <c r="AV66" s="102"/>
      <c r="AW66" s="102"/>
      <c r="AX66" s="182">
        <f t="shared" si="122"/>
        <v>44</v>
      </c>
      <c r="AY66" s="102">
        <v>26</v>
      </c>
      <c r="AZ66" s="102">
        <v>6</v>
      </c>
      <c r="BA66" s="102"/>
      <c r="BB66" s="102"/>
      <c r="BC66" s="102"/>
      <c r="BD66" s="102">
        <v>12</v>
      </c>
      <c r="BE66" s="182">
        <f t="shared" si="123"/>
        <v>32</v>
      </c>
      <c r="BF66" s="102">
        <v>18</v>
      </c>
      <c r="BG66" s="102">
        <v>4</v>
      </c>
      <c r="BH66" s="102"/>
      <c r="BI66" s="102"/>
      <c r="BJ66" s="102"/>
      <c r="BK66" s="102">
        <v>10</v>
      </c>
      <c r="BL66" s="182">
        <f t="shared" si="124"/>
        <v>0</v>
      </c>
      <c r="BM66" s="102"/>
      <c r="BN66" s="102"/>
      <c r="BO66" s="102"/>
      <c r="BP66" s="102"/>
      <c r="BQ66" s="102"/>
      <c r="BR66" s="102"/>
      <c r="BS66" s="182">
        <f t="shared" si="125"/>
        <v>0</v>
      </c>
      <c r="BT66" s="102"/>
      <c r="BU66" s="102"/>
      <c r="BV66" s="102"/>
      <c r="BW66" s="102"/>
      <c r="BX66" s="102"/>
      <c r="BY66" s="102"/>
      <c r="BZ66" s="182">
        <f t="shared" si="126"/>
        <v>0</v>
      </c>
      <c r="CA66" s="117"/>
      <c r="CB66" s="117"/>
      <c r="CC66" s="117"/>
      <c r="CD66" s="117"/>
      <c r="CE66" s="117"/>
      <c r="CF66" s="117"/>
      <c r="CG66" s="182">
        <f t="shared" si="127"/>
        <v>0</v>
      </c>
      <c r="CH66" s="117"/>
      <c r="CI66" s="117"/>
      <c r="CJ66" s="117"/>
      <c r="CK66" s="117"/>
      <c r="CL66" s="117"/>
      <c r="CM66" s="117"/>
      <c r="CN66" s="199" t="s">
        <v>468</v>
      </c>
      <c r="CO66" s="117" t="s">
        <v>421</v>
      </c>
      <c r="DS66" s="450"/>
      <c r="DT66" s="450"/>
      <c r="DU66" s="450"/>
      <c r="DV66" s="450"/>
      <c r="DW66" s="450"/>
      <c r="DX66" s="450"/>
      <c r="DY66" s="450"/>
      <c r="DZ66" s="450"/>
      <c r="EA66" s="450"/>
      <c r="EB66" s="450"/>
      <c r="EC66" s="450"/>
      <c r="ED66" s="450"/>
      <c r="EE66" s="450"/>
      <c r="EF66" s="450"/>
      <c r="EG66" s="450"/>
      <c r="EH66" s="450"/>
      <c r="EI66" s="450"/>
      <c r="EJ66" s="450"/>
      <c r="EK66" s="450"/>
      <c r="EL66" s="450"/>
      <c r="EM66" s="450"/>
    </row>
    <row r="67" spans="1:143" s="451" customFormat="1" ht="25.5" customHeight="1">
      <c r="A67" s="198"/>
      <c r="B67" s="122" t="s">
        <v>425</v>
      </c>
      <c r="C67" s="181"/>
      <c r="D67" s="180"/>
      <c r="E67" s="180" t="s">
        <v>387</v>
      </c>
      <c r="F67" s="180"/>
      <c r="G67" s="180"/>
      <c r="H67" s="119"/>
      <c r="I67" s="180" t="s">
        <v>38</v>
      </c>
      <c r="J67" s="350"/>
      <c r="K67" s="350"/>
      <c r="L67" s="117"/>
      <c r="M67" s="117"/>
      <c r="N67" s="189">
        <f t="shared" si="116"/>
        <v>128</v>
      </c>
      <c r="O67" s="189">
        <f t="shared" si="117"/>
        <v>96</v>
      </c>
      <c r="P67" s="189">
        <f t="shared" si="118"/>
        <v>60</v>
      </c>
      <c r="Q67" s="189">
        <f t="shared" si="118"/>
        <v>36</v>
      </c>
      <c r="R67" s="189">
        <f t="shared" si="118"/>
        <v>0</v>
      </c>
      <c r="S67" s="189"/>
      <c r="T67" s="189">
        <f t="shared" si="119"/>
        <v>0</v>
      </c>
      <c r="U67" s="189">
        <f t="shared" si="119"/>
        <v>32</v>
      </c>
      <c r="V67" s="182"/>
      <c r="W67" s="102"/>
      <c r="X67" s="102"/>
      <c r="Y67" s="102"/>
      <c r="Z67" s="102"/>
      <c r="AA67" s="102"/>
      <c r="AB67" s="102"/>
      <c r="AC67" s="182"/>
      <c r="AD67" s="102"/>
      <c r="AE67" s="102"/>
      <c r="AF67" s="102"/>
      <c r="AG67" s="102"/>
      <c r="AH67" s="102"/>
      <c r="AI67" s="102"/>
      <c r="AJ67" s="182">
        <f t="shared" si="120"/>
        <v>0</v>
      </c>
      <c r="AK67" s="102"/>
      <c r="AL67" s="102"/>
      <c r="AM67" s="102"/>
      <c r="AN67" s="102"/>
      <c r="AO67" s="102"/>
      <c r="AP67" s="102"/>
      <c r="AQ67" s="182">
        <f t="shared" si="121"/>
        <v>0</v>
      </c>
      <c r="AR67" s="102"/>
      <c r="AS67" s="102"/>
      <c r="AT67" s="102"/>
      <c r="AU67" s="102"/>
      <c r="AV67" s="102"/>
      <c r="AW67" s="102"/>
      <c r="AX67" s="182">
        <f t="shared" si="122"/>
        <v>0</v>
      </c>
      <c r="AY67" s="102"/>
      <c r="AZ67" s="102"/>
      <c r="BA67" s="102"/>
      <c r="BB67" s="102"/>
      <c r="BC67" s="102"/>
      <c r="BD67" s="102"/>
      <c r="BE67" s="182">
        <f t="shared" si="123"/>
        <v>0</v>
      </c>
      <c r="BF67" s="102"/>
      <c r="BG67" s="102"/>
      <c r="BH67" s="102"/>
      <c r="BI67" s="102"/>
      <c r="BJ67" s="102"/>
      <c r="BK67" s="102"/>
      <c r="BL67" s="182">
        <f t="shared" si="124"/>
        <v>0</v>
      </c>
      <c r="BM67" s="102"/>
      <c r="BN67" s="102"/>
      <c r="BO67" s="102"/>
      <c r="BP67" s="102"/>
      <c r="BQ67" s="102"/>
      <c r="BR67" s="102"/>
      <c r="BS67" s="182">
        <f t="shared" si="125"/>
        <v>0</v>
      </c>
      <c r="BT67" s="102"/>
      <c r="BU67" s="102"/>
      <c r="BV67" s="102"/>
      <c r="BW67" s="102"/>
      <c r="BX67" s="102"/>
      <c r="BY67" s="102"/>
      <c r="BZ67" s="182">
        <f t="shared" si="126"/>
        <v>60</v>
      </c>
      <c r="CA67" s="117">
        <v>40</v>
      </c>
      <c r="CB67" s="117"/>
      <c r="CC67" s="117"/>
      <c r="CD67" s="117"/>
      <c r="CE67" s="117"/>
      <c r="CF67" s="117">
        <v>20</v>
      </c>
      <c r="CG67" s="182">
        <f t="shared" si="127"/>
        <v>68</v>
      </c>
      <c r="CH67" s="117">
        <v>20</v>
      </c>
      <c r="CI67" s="117">
        <v>36</v>
      </c>
      <c r="CJ67" s="117"/>
      <c r="CK67" s="117"/>
      <c r="CL67" s="117"/>
      <c r="CM67" s="117">
        <v>12</v>
      </c>
      <c r="CN67" s="199" t="s">
        <v>469</v>
      </c>
      <c r="CO67" s="117" t="s">
        <v>421</v>
      </c>
      <c r="DS67" s="450"/>
      <c r="DT67" s="450"/>
      <c r="DU67" s="450"/>
      <c r="DV67" s="450"/>
      <c r="DW67" s="450"/>
      <c r="DX67" s="450"/>
      <c r="DY67" s="450"/>
      <c r="DZ67" s="450"/>
      <c r="EA67" s="450"/>
      <c r="EB67" s="450"/>
      <c r="EC67" s="450"/>
      <c r="ED67" s="450"/>
      <c r="EE67" s="450"/>
      <c r="EF67" s="450"/>
      <c r="EG67" s="450"/>
      <c r="EH67" s="450"/>
      <c r="EI67" s="450"/>
      <c r="EJ67" s="450"/>
      <c r="EK67" s="450"/>
      <c r="EL67" s="450"/>
      <c r="EM67" s="450"/>
    </row>
    <row r="68" spans="1:143" s="451" customFormat="1" ht="25.5" customHeight="1">
      <c r="A68" s="198"/>
      <c r="B68" s="122" t="s">
        <v>382</v>
      </c>
      <c r="C68" s="181"/>
      <c r="D68" s="180"/>
      <c r="E68" s="180" t="s">
        <v>41</v>
      </c>
      <c r="F68" s="180"/>
      <c r="G68" s="180"/>
      <c r="H68" s="119"/>
      <c r="I68" s="180"/>
      <c r="J68" s="350"/>
      <c r="K68" s="350"/>
      <c r="L68" s="117"/>
      <c r="M68" s="117"/>
      <c r="N68" s="189">
        <f t="shared" si="116"/>
        <v>65</v>
      </c>
      <c r="O68" s="189">
        <f t="shared" si="117"/>
        <v>55</v>
      </c>
      <c r="P68" s="189">
        <f t="shared" si="118"/>
        <v>44</v>
      </c>
      <c r="Q68" s="189">
        <f t="shared" si="118"/>
        <v>11</v>
      </c>
      <c r="R68" s="189">
        <f t="shared" si="118"/>
        <v>0</v>
      </c>
      <c r="S68" s="189"/>
      <c r="T68" s="189">
        <f t="shared" si="119"/>
        <v>0</v>
      </c>
      <c r="U68" s="189">
        <f t="shared" si="119"/>
        <v>10</v>
      </c>
      <c r="V68" s="182">
        <f>SUM(W68:AB68)</f>
        <v>0</v>
      </c>
      <c r="W68" s="102"/>
      <c r="X68" s="102"/>
      <c r="Y68" s="102"/>
      <c r="Z68" s="102"/>
      <c r="AA68" s="102"/>
      <c r="AB68" s="102"/>
      <c r="AC68" s="182">
        <f>SUM(AD68:AI68)</f>
        <v>0</v>
      </c>
      <c r="AD68" s="102"/>
      <c r="AE68" s="102"/>
      <c r="AF68" s="102"/>
      <c r="AG68" s="102"/>
      <c r="AH68" s="102"/>
      <c r="AI68" s="102"/>
      <c r="AJ68" s="182">
        <f t="shared" si="120"/>
        <v>0</v>
      </c>
      <c r="AK68" s="102"/>
      <c r="AL68" s="102"/>
      <c r="AM68" s="102"/>
      <c r="AN68" s="102"/>
      <c r="AO68" s="102"/>
      <c r="AP68" s="102"/>
      <c r="AQ68" s="182">
        <f t="shared" si="121"/>
        <v>0</v>
      </c>
      <c r="AR68" s="102"/>
      <c r="AS68" s="102"/>
      <c r="AT68" s="102"/>
      <c r="AU68" s="102"/>
      <c r="AV68" s="102"/>
      <c r="AW68" s="102"/>
      <c r="AX68" s="182">
        <f t="shared" si="122"/>
        <v>0</v>
      </c>
      <c r="AY68" s="102"/>
      <c r="AZ68" s="102"/>
      <c r="BA68" s="102"/>
      <c r="BB68" s="102"/>
      <c r="BC68" s="102"/>
      <c r="BD68" s="102"/>
      <c r="BE68" s="182">
        <f t="shared" si="123"/>
        <v>65</v>
      </c>
      <c r="BF68" s="102">
        <v>44</v>
      </c>
      <c r="BG68" s="102">
        <v>11</v>
      </c>
      <c r="BH68" s="102"/>
      <c r="BI68" s="102"/>
      <c r="BJ68" s="102"/>
      <c r="BK68" s="102">
        <v>10</v>
      </c>
      <c r="BL68" s="182">
        <f t="shared" si="124"/>
        <v>0</v>
      </c>
      <c r="BM68" s="102"/>
      <c r="BN68" s="102"/>
      <c r="BO68" s="102"/>
      <c r="BP68" s="102"/>
      <c r="BQ68" s="102"/>
      <c r="BR68" s="102"/>
      <c r="BS68" s="182">
        <f t="shared" si="125"/>
        <v>0</v>
      </c>
      <c r="BT68" s="102"/>
      <c r="BU68" s="102"/>
      <c r="BV68" s="102"/>
      <c r="BW68" s="102"/>
      <c r="BX68" s="102"/>
      <c r="BY68" s="102"/>
      <c r="BZ68" s="182">
        <f t="shared" si="126"/>
        <v>0</v>
      </c>
      <c r="CA68" s="117"/>
      <c r="CB68" s="117"/>
      <c r="CC68" s="117"/>
      <c r="CD68" s="117"/>
      <c r="CE68" s="117"/>
      <c r="CF68" s="117"/>
      <c r="CG68" s="182">
        <f t="shared" si="127"/>
        <v>0</v>
      </c>
      <c r="CH68" s="117"/>
      <c r="CI68" s="117"/>
      <c r="CJ68" s="117"/>
      <c r="CK68" s="117"/>
      <c r="CL68" s="117"/>
      <c r="CM68" s="117"/>
      <c r="CN68" s="199" t="s">
        <v>468</v>
      </c>
      <c r="CO68" s="116" t="s">
        <v>476</v>
      </c>
      <c r="DS68" s="450"/>
      <c r="DT68" s="450"/>
      <c r="DU68" s="450"/>
      <c r="DV68" s="450"/>
      <c r="DW68" s="450"/>
      <c r="DX68" s="450"/>
      <c r="DY68" s="450"/>
      <c r="DZ68" s="450"/>
      <c r="EA68" s="450"/>
      <c r="EB68" s="450"/>
      <c r="EC68" s="450"/>
      <c r="ED68" s="450"/>
      <c r="EE68" s="450"/>
      <c r="EF68" s="450"/>
      <c r="EG68" s="450"/>
      <c r="EH68" s="450"/>
      <c r="EI68" s="450"/>
      <c r="EJ68" s="450"/>
      <c r="EK68" s="450"/>
      <c r="EL68" s="450"/>
      <c r="EM68" s="450"/>
    </row>
    <row r="69" spans="1:143" s="510" customFormat="1" ht="25.5" customHeight="1">
      <c r="A69" s="407"/>
      <c r="B69" s="408" t="s">
        <v>446</v>
      </c>
      <c r="C69" s="181"/>
      <c r="D69" s="149"/>
      <c r="E69" s="149" t="s">
        <v>42</v>
      </c>
      <c r="F69" s="149"/>
      <c r="G69" s="149"/>
      <c r="H69" s="508"/>
      <c r="I69" s="149"/>
      <c r="J69" s="350"/>
      <c r="K69" s="350"/>
      <c r="L69" s="412"/>
      <c r="M69" s="412"/>
      <c r="N69" s="410">
        <f t="shared" si="116"/>
        <v>49</v>
      </c>
      <c r="O69" s="410">
        <f t="shared" si="117"/>
        <v>33</v>
      </c>
      <c r="P69" s="410">
        <f t="shared" si="118"/>
        <v>22</v>
      </c>
      <c r="Q69" s="410">
        <f t="shared" si="118"/>
        <v>11</v>
      </c>
      <c r="R69" s="410">
        <f t="shared" si="118"/>
        <v>0</v>
      </c>
      <c r="S69" s="410"/>
      <c r="T69" s="410">
        <f t="shared" si="119"/>
        <v>0</v>
      </c>
      <c r="U69" s="410">
        <f t="shared" si="119"/>
        <v>16</v>
      </c>
      <c r="V69" s="411">
        <f>SUM(W69:AB69)</f>
        <v>0</v>
      </c>
      <c r="W69" s="509"/>
      <c r="X69" s="509"/>
      <c r="Y69" s="509"/>
      <c r="Z69" s="509"/>
      <c r="AA69" s="509"/>
      <c r="AB69" s="509"/>
      <c r="AC69" s="411">
        <f>SUM(AD69:AI69)</f>
        <v>0</v>
      </c>
      <c r="AD69" s="509"/>
      <c r="AE69" s="509"/>
      <c r="AF69" s="509"/>
      <c r="AG69" s="509"/>
      <c r="AH69" s="509"/>
      <c r="AI69" s="509"/>
      <c r="AJ69" s="411">
        <f t="shared" si="120"/>
        <v>0</v>
      </c>
      <c r="AK69" s="509"/>
      <c r="AL69" s="509"/>
      <c r="AM69" s="509"/>
      <c r="AN69" s="509"/>
      <c r="AO69" s="509"/>
      <c r="AP69" s="509"/>
      <c r="AQ69" s="411">
        <f t="shared" si="121"/>
        <v>0</v>
      </c>
      <c r="AR69" s="509"/>
      <c r="AS69" s="509"/>
      <c r="AT69" s="509"/>
      <c r="AU69" s="509"/>
      <c r="AV69" s="509"/>
      <c r="AW69" s="509"/>
      <c r="AX69" s="411">
        <f t="shared" si="122"/>
        <v>0</v>
      </c>
      <c r="AY69" s="509"/>
      <c r="AZ69" s="509"/>
      <c r="BA69" s="509"/>
      <c r="BB69" s="509"/>
      <c r="BC69" s="509"/>
      <c r="BD69" s="509"/>
      <c r="BE69" s="411">
        <f t="shared" si="123"/>
        <v>0</v>
      </c>
      <c r="BF69" s="509"/>
      <c r="BG69" s="509"/>
      <c r="BH69" s="509"/>
      <c r="BI69" s="509"/>
      <c r="BJ69" s="509"/>
      <c r="BK69" s="509"/>
      <c r="BL69" s="411">
        <f t="shared" si="124"/>
        <v>49</v>
      </c>
      <c r="BM69" s="509">
        <v>22</v>
      </c>
      <c r="BN69" s="509">
        <v>11</v>
      </c>
      <c r="BO69" s="509"/>
      <c r="BP69" s="509"/>
      <c r="BQ69" s="509"/>
      <c r="BR69" s="509">
        <v>16</v>
      </c>
      <c r="BS69" s="411">
        <f t="shared" si="125"/>
        <v>0</v>
      </c>
      <c r="BT69" s="509"/>
      <c r="BU69" s="509"/>
      <c r="BV69" s="509"/>
      <c r="BW69" s="509"/>
      <c r="BX69" s="509"/>
      <c r="BY69" s="509"/>
      <c r="BZ69" s="411">
        <f t="shared" si="126"/>
        <v>0</v>
      </c>
      <c r="CA69" s="412"/>
      <c r="CB69" s="412"/>
      <c r="CC69" s="412"/>
      <c r="CD69" s="412"/>
      <c r="CE69" s="412"/>
      <c r="CF69" s="412"/>
      <c r="CG69" s="411">
        <f t="shared" si="127"/>
        <v>0</v>
      </c>
      <c r="CH69" s="412"/>
      <c r="CI69" s="412"/>
      <c r="CJ69" s="412"/>
      <c r="CK69" s="412"/>
      <c r="CL69" s="412"/>
      <c r="CM69" s="412"/>
      <c r="CN69" s="201" t="s">
        <v>468</v>
      </c>
      <c r="CO69" s="190" t="s">
        <v>477</v>
      </c>
      <c r="CP69" s="451"/>
      <c r="CQ69" s="451"/>
      <c r="CR69" s="451"/>
      <c r="CS69" s="451"/>
      <c r="CT69" s="451"/>
      <c r="CV69" s="451"/>
      <c r="DS69" s="414"/>
      <c r="DT69" s="414"/>
      <c r="DU69" s="414"/>
      <c r="DV69" s="414"/>
      <c r="DW69" s="414"/>
      <c r="DX69" s="414"/>
      <c r="DY69" s="414"/>
      <c r="DZ69" s="414"/>
      <c r="EA69" s="414"/>
      <c r="EB69" s="414"/>
      <c r="EC69" s="414"/>
      <c r="ED69" s="414"/>
      <c r="EE69" s="414"/>
      <c r="EF69" s="414"/>
      <c r="EG69" s="414"/>
      <c r="EH69" s="414"/>
      <c r="EI69" s="414"/>
      <c r="EJ69" s="414"/>
      <c r="EK69" s="414"/>
      <c r="EL69" s="414"/>
      <c r="EM69" s="414"/>
    </row>
    <row r="70" spans="1:143" s="451" customFormat="1" ht="25.5" customHeight="1">
      <c r="A70" s="217" t="s">
        <v>508</v>
      </c>
      <c r="B70" s="671" t="s">
        <v>426</v>
      </c>
      <c r="C70" s="672"/>
      <c r="D70" s="672"/>
      <c r="E70" s="672"/>
      <c r="F70" s="672"/>
      <c r="G70" s="672"/>
      <c r="H70" s="672"/>
      <c r="I70" s="673"/>
      <c r="J70" s="352"/>
      <c r="K70" s="352"/>
      <c r="L70" s="218"/>
      <c r="M70" s="218"/>
      <c r="N70" s="219">
        <f>SUM(N71:N73)</f>
        <v>516</v>
      </c>
      <c r="O70" s="219">
        <f aca="true" t="shared" si="128" ref="O70:U70">SUM(O71:O73)</f>
        <v>346</v>
      </c>
      <c r="P70" s="219">
        <f t="shared" si="128"/>
        <v>248</v>
      </c>
      <c r="Q70" s="219">
        <f t="shared" si="128"/>
        <v>65</v>
      </c>
      <c r="R70" s="219">
        <f t="shared" si="128"/>
        <v>33</v>
      </c>
      <c r="S70" s="219"/>
      <c r="T70" s="219">
        <f t="shared" si="128"/>
        <v>0</v>
      </c>
      <c r="U70" s="219">
        <f t="shared" si="128"/>
        <v>170</v>
      </c>
      <c r="V70" s="219">
        <f>SUM(V71:V73)</f>
        <v>0</v>
      </c>
      <c r="W70" s="219">
        <f aca="true" t="shared" si="129" ref="W70:AX70">SUM(W71:W73)</f>
        <v>0</v>
      </c>
      <c r="X70" s="219">
        <f t="shared" si="129"/>
        <v>0</v>
      </c>
      <c r="Y70" s="219">
        <f t="shared" si="129"/>
        <v>0</v>
      </c>
      <c r="Z70" s="219"/>
      <c r="AA70" s="219">
        <f t="shared" si="129"/>
        <v>0</v>
      </c>
      <c r="AB70" s="219">
        <f t="shared" si="129"/>
        <v>0</v>
      </c>
      <c r="AC70" s="219">
        <f t="shared" si="129"/>
        <v>0</v>
      </c>
      <c r="AD70" s="219">
        <f t="shared" si="129"/>
        <v>0</v>
      </c>
      <c r="AE70" s="219">
        <f t="shared" si="129"/>
        <v>0</v>
      </c>
      <c r="AF70" s="219">
        <f t="shared" si="129"/>
        <v>0</v>
      </c>
      <c r="AG70" s="219"/>
      <c r="AH70" s="219">
        <f t="shared" si="129"/>
        <v>0</v>
      </c>
      <c r="AI70" s="219">
        <f t="shared" si="129"/>
        <v>0</v>
      </c>
      <c r="AJ70" s="219">
        <f t="shared" si="129"/>
        <v>0</v>
      </c>
      <c r="AK70" s="219">
        <f t="shared" si="129"/>
        <v>0</v>
      </c>
      <c r="AL70" s="219">
        <f t="shared" si="129"/>
        <v>0</v>
      </c>
      <c r="AM70" s="219">
        <f t="shared" si="129"/>
        <v>0</v>
      </c>
      <c r="AN70" s="219"/>
      <c r="AO70" s="219">
        <f t="shared" si="129"/>
        <v>0</v>
      </c>
      <c r="AP70" s="219">
        <f t="shared" si="129"/>
        <v>0</v>
      </c>
      <c r="AQ70" s="219">
        <f t="shared" si="129"/>
        <v>98</v>
      </c>
      <c r="AR70" s="219">
        <f t="shared" si="129"/>
        <v>68</v>
      </c>
      <c r="AS70" s="219">
        <f t="shared" si="129"/>
        <v>0</v>
      </c>
      <c r="AT70" s="219">
        <f t="shared" si="129"/>
        <v>0</v>
      </c>
      <c r="AU70" s="219"/>
      <c r="AV70" s="219">
        <f t="shared" si="129"/>
        <v>0</v>
      </c>
      <c r="AW70" s="219">
        <f t="shared" si="129"/>
        <v>30</v>
      </c>
      <c r="AX70" s="219">
        <f t="shared" si="129"/>
        <v>180</v>
      </c>
      <c r="AY70" s="231">
        <f>SUM(AY71:AY73)</f>
        <v>92</v>
      </c>
      <c r="AZ70" s="231">
        <f aca="true" t="shared" si="130" ref="AZ70:CM70">SUM(AZ71:AZ73)</f>
        <v>32</v>
      </c>
      <c r="BA70" s="231">
        <f t="shared" si="130"/>
        <v>0</v>
      </c>
      <c r="BB70" s="231"/>
      <c r="BC70" s="231">
        <f t="shared" si="130"/>
        <v>0</v>
      </c>
      <c r="BD70" s="231">
        <f t="shared" si="130"/>
        <v>56</v>
      </c>
      <c r="BE70" s="231">
        <f t="shared" si="130"/>
        <v>95</v>
      </c>
      <c r="BF70" s="231">
        <f t="shared" si="130"/>
        <v>22</v>
      </c>
      <c r="BG70" s="231">
        <f t="shared" si="130"/>
        <v>33</v>
      </c>
      <c r="BH70" s="231">
        <f t="shared" si="130"/>
        <v>0</v>
      </c>
      <c r="BI70" s="231"/>
      <c r="BJ70" s="231">
        <f t="shared" si="130"/>
        <v>0</v>
      </c>
      <c r="BK70" s="231">
        <f t="shared" si="130"/>
        <v>40</v>
      </c>
      <c r="BL70" s="231">
        <f t="shared" si="130"/>
        <v>33</v>
      </c>
      <c r="BM70" s="231">
        <f t="shared" si="130"/>
        <v>22</v>
      </c>
      <c r="BN70" s="231">
        <f t="shared" si="130"/>
        <v>0</v>
      </c>
      <c r="BO70" s="231">
        <f t="shared" si="130"/>
        <v>0</v>
      </c>
      <c r="BP70" s="231"/>
      <c r="BQ70" s="231">
        <f t="shared" si="130"/>
        <v>0</v>
      </c>
      <c r="BR70" s="231">
        <f t="shared" si="130"/>
        <v>11</v>
      </c>
      <c r="BS70" s="231">
        <f t="shared" si="130"/>
        <v>110</v>
      </c>
      <c r="BT70" s="231">
        <f t="shared" si="130"/>
        <v>44</v>
      </c>
      <c r="BU70" s="231">
        <f t="shared" si="130"/>
        <v>0</v>
      </c>
      <c r="BV70" s="231">
        <f t="shared" si="130"/>
        <v>33</v>
      </c>
      <c r="BW70" s="231"/>
      <c r="BX70" s="231">
        <f t="shared" si="130"/>
        <v>0</v>
      </c>
      <c r="BY70" s="231">
        <f t="shared" si="130"/>
        <v>33</v>
      </c>
      <c r="BZ70" s="231">
        <f>SUM(BZ71:BZ73)</f>
        <v>0</v>
      </c>
      <c r="CA70" s="231">
        <f>SUM(CA71:CA73)</f>
        <v>0</v>
      </c>
      <c r="CB70" s="231">
        <f t="shared" si="130"/>
        <v>0</v>
      </c>
      <c r="CC70" s="231">
        <f t="shared" si="130"/>
        <v>0</v>
      </c>
      <c r="CD70" s="231"/>
      <c r="CE70" s="231">
        <f t="shared" si="130"/>
        <v>0</v>
      </c>
      <c r="CF70" s="231">
        <f t="shared" si="130"/>
        <v>0</v>
      </c>
      <c r="CG70" s="231">
        <f t="shared" si="130"/>
        <v>0</v>
      </c>
      <c r="CH70" s="231">
        <f>SUM(CH71:CH73)</f>
        <v>0</v>
      </c>
      <c r="CI70" s="231">
        <f t="shared" si="130"/>
        <v>0</v>
      </c>
      <c r="CJ70" s="231">
        <f t="shared" si="130"/>
        <v>0</v>
      </c>
      <c r="CK70" s="231"/>
      <c r="CL70" s="231">
        <f t="shared" si="130"/>
        <v>0</v>
      </c>
      <c r="CM70" s="231">
        <f t="shared" si="130"/>
        <v>0</v>
      </c>
      <c r="CN70" s="218"/>
      <c r="CO70" s="218"/>
      <c r="DS70" s="450"/>
      <c r="DT70" s="450"/>
      <c r="DU70" s="450"/>
      <c r="DV70" s="450"/>
      <c r="DW70" s="450"/>
      <c r="DX70" s="450"/>
      <c r="DY70" s="450"/>
      <c r="DZ70" s="450"/>
      <c r="EA70" s="450"/>
      <c r="EB70" s="450"/>
      <c r="EC70" s="450"/>
      <c r="ED70" s="450"/>
      <c r="EE70" s="450"/>
      <c r="EF70" s="450"/>
      <c r="EG70" s="450"/>
      <c r="EH70" s="450"/>
      <c r="EI70" s="450"/>
      <c r="EJ70" s="450"/>
      <c r="EK70" s="450"/>
      <c r="EL70" s="450"/>
      <c r="EM70" s="450"/>
    </row>
    <row r="71" spans="1:143" s="510" customFormat="1" ht="25.5" customHeight="1">
      <c r="A71" s="511"/>
      <c r="B71" s="408" t="s">
        <v>427</v>
      </c>
      <c r="C71" s="181"/>
      <c r="D71" s="149" t="s">
        <v>41</v>
      </c>
      <c r="E71" s="149" t="s">
        <v>37</v>
      </c>
      <c r="F71" s="149"/>
      <c r="G71" s="149"/>
      <c r="H71" s="149" t="s">
        <v>37</v>
      </c>
      <c r="I71" s="149" t="s">
        <v>556</v>
      </c>
      <c r="J71" s="350"/>
      <c r="K71" s="350"/>
      <c r="L71" s="412"/>
      <c r="M71" s="412"/>
      <c r="N71" s="410">
        <f>O71+SUM(U71:U71)</f>
        <v>270</v>
      </c>
      <c r="O71" s="410">
        <f>SUM(P71:T71)</f>
        <v>187</v>
      </c>
      <c r="P71" s="410">
        <f aca="true" t="shared" si="131" ref="P71:R73">W71+AD71+AK71+AR71+AY71+BF71+BM71+BT71+CA71+CH71</f>
        <v>154</v>
      </c>
      <c r="Q71" s="410">
        <f t="shared" si="131"/>
        <v>0</v>
      </c>
      <c r="R71" s="410">
        <f t="shared" si="131"/>
        <v>33</v>
      </c>
      <c r="S71" s="410"/>
      <c r="T71" s="410">
        <f aca="true" t="shared" si="132" ref="T71:U73">AA71+AH71+AO71+AV71+BC71+BJ71+BQ71+BX71+CE71+CL71</f>
        <v>0</v>
      </c>
      <c r="U71" s="410">
        <f t="shared" si="132"/>
        <v>83</v>
      </c>
      <c r="V71" s="411">
        <f>SUM(W71:AB71)</f>
        <v>0</v>
      </c>
      <c r="W71" s="509"/>
      <c r="X71" s="509"/>
      <c r="Y71" s="509"/>
      <c r="Z71" s="509"/>
      <c r="AA71" s="509"/>
      <c r="AB71" s="509"/>
      <c r="AC71" s="411">
        <f>SUM(AD71:AI71)</f>
        <v>0</v>
      </c>
      <c r="AD71" s="509"/>
      <c r="AE71" s="509"/>
      <c r="AF71" s="509"/>
      <c r="AG71" s="509"/>
      <c r="AH71" s="509"/>
      <c r="AI71" s="509"/>
      <c r="AJ71" s="411">
        <f>SUM(AK71:AP71)</f>
        <v>0</v>
      </c>
      <c r="AK71" s="509"/>
      <c r="AL71" s="509"/>
      <c r="AM71" s="509"/>
      <c r="AN71" s="509"/>
      <c r="AO71" s="509"/>
      <c r="AP71" s="509"/>
      <c r="AQ71" s="411">
        <f>SUM(AR71:AW71)</f>
        <v>49</v>
      </c>
      <c r="AR71" s="509">
        <v>34</v>
      </c>
      <c r="AS71" s="509"/>
      <c r="AT71" s="509"/>
      <c r="AU71" s="509"/>
      <c r="AV71" s="509"/>
      <c r="AW71" s="509">
        <v>15</v>
      </c>
      <c r="AX71" s="411">
        <f>SUM(AY71:BD71)</f>
        <v>46</v>
      </c>
      <c r="AY71" s="509">
        <v>32</v>
      </c>
      <c r="AZ71" s="509"/>
      <c r="BA71" s="509"/>
      <c r="BB71" s="509"/>
      <c r="BC71" s="509"/>
      <c r="BD71" s="509">
        <v>14</v>
      </c>
      <c r="BE71" s="411">
        <f>SUM(BF71:BK71)</f>
        <v>32</v>
      </c>
      <c r="BF71" s="509">
        <v>22</v>
      </c>
      <c r="BG71" s="509"/>
      <c r="BH71" s="509"/>
      <c r="BI71" s="509"/>
      <c r="BJ71" s="509"/>
      <c r="BK71" s="509">
        <v>10</v>
      </c>
      <c r="BL71" s="411">
        <f>SUM(BM71:BR71)</f>
        <v>33</v>
      </c>
      <c r="BM71" s="509">
        <v>22</v>
      </c>
      <c r="BN71" s="509"/>
      <c r="BO71" s="509"/>
      <c r="BP71" s="509"/>
      <c r="BQ71" s="509"/>
      <c r="BR71" s="509">
        <v>11</v>
      </c>
      <c r="BS71" s="411">
        <f>SUM(BT71:BY71)</f>
        <v>110</v>
      </c>
      <c r="BT71" s="509">
        <v>44</v>
      </c>
      <c r="BU71" s="509"/>
      <c r="BV71" s="509">
        <v>33</v>
      </c>
      <c r="BW71" s="509"/>
      <c r="BX71" s="509"/>
      <c r="BY71" s="509">
        <v>33</v>
      </c>
      <c r="BZ71" s="411">
        <f>SUM(CA71:CF71)</f>
        <v>0</v>
      </c>
      <c r="CA71" s="412"/>
      <c r="CB71" s="412"/>
      <c r="CC71" s="412"/>
      <c r="CD71" s="412"/>
      <c r="CE71" s="412"/>
      <c r="CF71" s="412"/>
      <c r="CG71" s="411">
        <f>SUM(CH71:CM71)</f>
        <v>0</v>
      </c>
      <c r="CH71" s="412"/>
      <c r="CI71" s="412"/>
      <c r="CJ71" s="412"/>
      <c r="CK71" s="412"/>
      <c r="CL71" s="412"/>
      <c r="CM71" s="412"/>
      <c r="CN71" s="149" t="s">
        <v>471</v>
      </c>
      <c r="CO71" s="412" t="s">
        <v>418</v>
      </c>
      <c r="CP71" s="451"/>
      <c r="CQ71" s="451"/>
      <c r="CR71" s="451"/>
      <c r="CS71" s="451"/>
      <c r="CT71" s="451"/>
      <c r="CV71" s="451"/>
      <c r="DS71" s="414"/>
      <c r="DT71" s="414"/>
      <c r="DU71" s="414"/>
      <c r="DV71" s="414"/>
      <c r="DW71" s="414"/>
      <c r="DX71" s="414"/>
      <c r="DY71" s="414"/>
      <c r="DZ71" s="414"/>
      <c r="EA71" s="414"/>
      <c r="EB71" s="414"/>
      <c r="EC71" s="414"/>
      <c r="ED71" s="414"/>
      <c r="EE71" s="414"/>
      <c r="EF71" s="414"/>
      <c r="EG71" s="414"/>
      <c r="EH71" s="414"/>
      <c r="EI71" s="414"/>
      <c r="EJ71" s="414"/>
      <c r="EK71" s="414"/>
      <c r="EL71" s="414"/>
      <c r="EM71" s="414"/>
    </row>
    <row r="72" spans="1:143" s="451" customFormat="1" ht="25.5" customHeight="1">
      <c r="A72" s="203"/>
      <c r="B72" s="122" t="s">
        <v>428</v>
      </c>
      <c r="C72" s="181" t="s">
        <v>525</v>
      </c>
      <c r="D72" s="180"/>
      <c r="E72" s="199" t="s">
        <v>40</v>
      </c>
      <c r="F72" s="199"/>
      <c r="G72" s="199"/>
      <c r="H72" s="180"/>
      <c r="I72" s="180" t="s">
        <v>39</v>
      </c>
      <c r="J72" s="350"/>
      <c r="K72" s="350"/>
      <c r="L72" s="117"/>
      <c r="M72" s="117"/>
      <c r="N72" s="189">
        <f>O72+SUM(U72:U72)</f>
        <v>113</v>
      </c>
      <c r="O72" s="189">
        <f>SUM(P72:T72)</f>
        <v>78</v>
      </c>
      <c r="P72" s="189">
        <f t="shared" si="131"/>
        <v>78</v>
      </c>
      <c r="Q72" s="189">
        <f t="shared" si="131"/>
        <v>0</v>
      </c>
      <c r="R72" s="189">
        <f t="shared" si="131"/>
        <v>0</v>
      </c>
      <c r="S72" s="189"/>
      <c r="T72" s="189">
        <f t="shared" si="132"/>
        <v>0</v>
      </c>
      <c r="U72" s="189">
        <f t="shared" si="132"/>
        <v>35</v>
      </c>
      <c r="V72" s="182">
        <f>SUM(W72:AB72)</f>
        <v>0</v>
      </c>
      <c r="W72" s="102"/>
      <c r="X72" s="102"/>
      <c r="Y72" s="102"/>
      <c r="Z72" s="102"/>
      <c r="AA72" s="102"/>
      <c r="AB72" s="102"/>
      <c r="AC72" s="182">
        <f>SUM(AD72:AI72)</f>
        <v>0</v>
      </c>
      <c r="AD72" s="102"/>
      <c r="AE72" s="102"/>
      <c r="AF72" s="102"/>
      <c r="AG72" s="102"/>
      <c r="AH72" s="102"/>
      <c r="AI72" s="102"/>
      <c r="AJ72" s="182">
        <f>SUM(AK72:AP72)</f>
        <v>0</v>
      </c>
      <c r="AK72" s="102"/>
      <c r="AL72" s="102"/>
      <c r="AM72" s="102"/>
      <c r="AN72" s="102"/>
      <c r="AO72" s="102"/>
      <c r="AP72" s="102"/>
      <c r="AQ72" s="182">
        <f>SUM(AR72:AW72)</f>
        <v>49</v>
      </c>
      <c r="AR72" s="102">
        <v>34</v>
      </c>
      <c r="AS72" s="102"/>
      <c r="AT72" s="102"/>
      <c r="AU72" s="102"/>
      <c r="AV72" s="102"/>
      <c r="AW72" s="102">
        <v>15</v>
      </c>
      <c r="AX72" s="182">
        <f>SUM(AY72:BD72)</f>
        <v>64</v>
      </c>
      <c r="AY72" s="102">
        <v>44</v>
      </c>
      <c r="AZ72" s="102"/>
      <c r="BA72" s="102"/>
      <c r="BB72" s="102"/>
      <c r="BC72" s="102"/>
      <c r="BD72" s="102">
        <v>20</v>
      </c>
      <c r="BE72" s="182">
        <f>SUM(BF72:BK72)</f>
        <v>0</v>
      </c>
      <c r="BF72" s="102"/>
      <c r="BG72" s="102"/>
      <c r="BH72" s="102"/>
      <c r="BI72" s="102"/>
      <c r="BJ72" s="102"/>
      <c r="BK72" s="102"/>
      <c r="BL72" s="182">
        <f>SUM(BM72:BR72)</f>
        <v>0</v>
      </c>
      <c r="BM72" s="102"/>
      <c r="BN72" s="102"/>
      <c r="BO72" s="102"/>
      <c r="BP72" s="102"/>
      <c r="BQ72" s="102"/>
      <c r="BR72" s="102"/>
      <c r="BS72" s="182">
        <f>SUM(BT72:BY72)</f>
        <v>0</v>
      </c>
      <c r="BT72" s="102"/>
      <c r="BU72" s="102"/>
      <c r="BV72" s="102"/>
      <c r="BW72" s="102"/>
      <c r="BX72" s="102"/>
      <c r="BY72" s="102"/>
      <c r="BZ72" s="182">
        <f>SUM(CA72:CF72)</f>
        <v>0</v>
      </c>
      <c r="CA72" s="117"/>
      <c r="CB72" s="117"/>
      <c r="CC72" s="117"/>
      <c r="CD72" s="117"/>
      <c r="CE72" s="117"/>
      <c r="CF72" s="117"/>
      <c r="CG72" s="182">
        <f>SUM(CH72:CM72)</f>
        <v>0</v>
      </c>
      <c r="CH72" s="117"/>
      <c r="CI72" s="117"/>
      <c r="CJ72" s="117"/>
      <c r="CK72" s="117"/>
      <c r="CL72" s="117"/>
      <c r="CM72" s="117"/>
      <c r="CN72" s="180" t="s">
        <v>471</v>
      </c>
      <c r="CO72" s="117" t="s">
        <v>418</v>
      </c>
      <c r="DS72" s="450"/>
      <c r="DT72" s="450"/>
      <c r="DU72" s="450"/>
      <c r="DV72" s="450"/>
      <c r="DW72" s="450"/>
      <c r="DX72" s="450"/>
      <c r="DY72" s="450"/>
      <c r="DZ72" s="450"/>
      <c r="EA72" s="450"/>
      <c r="EB72" s="450"/>
      <c r="EC72" s="450"/>
      <c r="ED72" s="450"/>
      <c r="EE72" s="450"/>
      <c r="EF72" s="450"/>
      <c r="EG72" s="450"/>
      <c r="EH72" s="450"/>
      <c r="EI72" s="450"/>
      <c r="EJ72" s="450"/>
      <c r="EK72" s="450"/>
      <c r="EL72" s="450"/>
      <c r="EM72" s="450"/>
    </row>
    <row r="73" spans="1:143" s="451" customFormat="1" ht="25.5" customHeight="1">
      <c r="A73" s="203"/>
      <c r="B73" s="181" t="s">
        <v>350</v>
      </c>
      <c r="C73" s="181" t="s">
        <v>524</v>
      </c>
      <c r="D73" s="199"/>
      <c r="E73" s="199"/>
      <c r="F73" s="199" t="s">
        <v>41</v>
      </c>
      <c r="G73" s="199"/>
      <c r="H73" s="180"/>
      <c r="I73" s="180" t="s">
        <v>40</v>
      </c>
      <c r="J73" s="350"/>
      <c r="K73" s="350"/>
      <c r="L73" s="117"/>
      <c r="M73" s="117"/>
      <c r="N73" s="189">
        <f>O73+SUM(U73:U73)</f>
        <v>133</v>
      </c>
      <c r="O73" s="189">
        <f>SUM(P73:T73)</f>
        <v>81</v>
      </c>
      <c r="P73" s="189">
        <f t="shared" si="131"/>
        <v>16</v>
      </c>
      <c r="Q73" s="189">
        <f t="shared" si="131"/>
        <v>65</v>
      </c>
      <c r="R73" s="189">
        <f t="shared" si="131"/>
        <v>0</v>
      </c>
      <c r="S73" s="189"/>
      <c r="T73" s="189">
        <f t="shared" si="132"/>
        <v>0</v>
      </c>
      <c r="U73" s="189">
        <f t="shared" si="132"/>
        <v>52</v>
      </c>
      <c r="V73" s="182">
        <f>SUM(W73:AB73)</f>
        <v>0</v>
      </c>
      <c r="W73" s="102"/>
      <c r="X73" s="102"/>
      <c r="Y73" s="102"/>
      <c r="Z73" s="102"/>
      <c r="AA73" s="102"/>
      <c r="AB73" s="102"/>
      <c r="AC73" s="182">
        <f>SUM(AD73:AI73)</f>
        <v>0</v>
      </c>
      <c r="AD73" s="102"/>
      <c r="AE73" s="102"/>
      <c r="AF73" s="102"/>
      <c r="AG73" s="102"/>
      <c r="AH73" s="102"/>
      <c r="AI73" s="102"/>
      <c r="AJ73" s="182">
        <f>SUM(AK73:AP73)</f>
        <v>0</v>
      </c>
      <c r="AK73" s="102"/>
      <c r="AL73" s="102"/>
      <c r="AM73" s="102"/>
      <c r="AN73" s="102"/>
      <c r="AO73" s="102"/>
      <c r="AP73" s="102"/>
      <c r="AQ73" s="182">
        <f>SUM(AR73:AW73)</f>
        <v>0</v>
      </c>
      <c r="AR73" s="102"/>
      <c r="AS73" s="102"/>
      <c r="AT73" s="102"/>
      <c r="AU73" s="102"/>
      <c r="AV73" s="102"/>
      <c r="AW73" s="102"/>
      <c r="AX73" s="182">
        <f>SUM(AY73:BD73)</f>
        <v>70</v>
      </c>
      <c r="AY73" s="102">
        <v>16</v>
      </c>
      <c r="AZ73" s="102">
        <v>32</v>
      </c>
      <c r="BA73" s="102"/>
      <c r="BB73" s="102"/>
      <c r="BC73" s="102"/>
      <c r="BD73" s="102">
        <v>22</v>
      </c>
      <c r="BE73" s="182">
        <f>SUM(BF73:BK73)</f>
        <v>63</v>
      </c>
      <c r="BF73" s="102"/>
      <c r="BG73" s="102">
        <v>33</v>
      </c>
      <c r="BH73" s="102"/>
      <c r="BI73" s="102"/>
      <c r="BJ73" s="102"/>
      <c r="BK73" s="102">
        <v>30</v>
      </c>
      <c r="BL73" s="182">
        <f>SUM(BM73:BR73)</f>
        <v>0</v>
      </c>
      <c r="BM73" s="102"/>
      <c r="BN73" s="102"/>
      <c r="BO73" s="102"/>
      <c r="BP73" s="102"/>
      <c r="BQ73" s="102"/>
      <c r="BR73" s="102"/>
      <c r="BS73" s="182">
        <f>SUM(BT73:BY73)</f>
        <v>0</v>
      </c>
      <c r="BT73" s="102"/>
      <c r="BU73" s="102"/>
      <c r="BV73" s="102"/>
      <c r="BW73" s="102"/>
      <c r="BX73" s="102"/>
      <c r="BY73" s="102"/>
      <c r="BZ73" s="182">
        <f>SUM(CA73:CF73)</f>
        <v>0</v>
      </c>
      <c r="CA73" s="117"/>
      <c r="CB73" s="117"/>
      <c r="CC73" s="117"/>
      <c r="CD73" s="117"/>
      <c r="CE73" s="117"/>
      <c r="CF73" s="117"/>
      <c r="CG73" s="182">
        <f>SUM(CH73:CM73)</f>
        <v>0</v>
      </c>
      <c r="CH73" s="117"/>
      <c r="CI73" s="117"/>
      <c r="CJ73" s="117"/>
      <c r="CK73" s="117"/>
      <c r="CL73" s="117"/>
      <c r="CM73" s="117"/>
      <c r="CN73" s="180" t="s">
        <v>471</v>
      </c>
      <c r="CO73" s="117" t="s">
        <v>418</v>
      </c>
      <c r="DS73" s="450"/>
      <c r="DT73" s="450"/>
      <c r="DU73" s="450"/>
      <c r="DV73" s="450"/>
      <c r="DW73" s="450"/>
      <c r="DX73" s="450"/>
      <c r="DY73" s="450"/>
      <c r="DZ73" s="450"/>
      <c r="EA73" s="450"/>
      <c r="EB73" s="450"/>
      <c r="EC73" s="450"/>
      <c r="ED73" s="450"/>
      <c r="EE73" s="450"/>
      <c r="EF73" s="450"/>
      <c r="EG73" s="450"/>
      <c r="EH73" s="450"/>
      <c r="EI73" s="450"/>
      <c r="EJ73" s="450"/>
      <c r="EK73" s="450"/>
      <c r="EL73" s="450"/>
      <c r="EM73" s="450"/>
    </row>
    <row r="74" spans="1:93" s="49" customFormat="1" ht="24" customHeight="1">
      <c r="A74" s="247" t="s">
        <v>364</v>
      </c>
      <c r="B74" s="247"/>
      <c r="C74" s="247"/>
      <c r="D74" s="248" t="s">
        <v>387</v>
      </c>
      <c r="E74" s="249"/>
      <c r="F74" s="249"/>
      <c r="G74" s="249"/>
      <c r="H74" s="247"/>
      <c r="I74" s="250"/>
      <c r="J74" s="353"/>
      <c r="K74" s="353"/>
      <c r="L74" s="251"/>
      <c r="M74" s="251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0"/>
      <c r="CO74" s="251"/>
    </row>
    <row r="75" spans="1:93" s="49" customFormat="1" ht="25.5" customHeight="1">
      <c r="A75" s="253" t="s">
        <v>192</v>
      </c>
      <c r="B75" s="665" t="s">
        <v>193</v>
      </c>
      <c r="C75" s="666"/>
      <c r="D75" s="666"/>
      <c r="E75" s="666"/>
      <c r="F75" s="666"/>
      <c r="G75" s="666"/>
      <c r="H75" s="666"/>
      <c r="I75" s="667"/>
      <c r="J75" s="351"/>
      <c r="K75" s="351"/>
      <c r="L75" s="254"/>
      <c r="M75" s="254"/>
      <c r="N75" s="255">
        <f>N76</f>
        <v>430</v>
      </c>
      <c r="O75" s="255">
        <f>O76</f>
        <v>296</v>
      </c>
      <c r="P75" s="255">
        <f aca="true" t="shared" si="133" ref="P75:U75">P76</f>
        <v>296</v>
      </c>
      <c r="Q75" s="255">
        <f t="shared" si="133"/>
        <v>0</v>
      </c>
      <c r="R75" s="255">
        <f t="shared" si="133"/>
        <v>0</v>
      </c>
      <c r="S75" s="255"/>
      <c r="T75" s="255">
        <f t="shared" si="133"/>
        <v>0</v>
      </c>
      <c r="U75" s="255">
        <f t="shared" si="133"/>
        <v>134</v>
      </c>
      <c r="V75" s="255">
        <f>SUM(V76)</f>
        <v>0</v>
      </c>
      <c r="W75" s="255">
        <f>SUM(W76)</f>
        <v>0</v>
      </c>
      <c r="X75" s="255">
        <f>SUM(X76)</f>
        <v>0</v>
      </c>
      <c r="Y75" s="255">
        <f>SUM(Y76)</f>
        <v>0</v>
      </c>
      <c r="Z75" s="255"/>
      <c r="AA75" s="255">
        <f aca="true" t="shared" si="134" ref="AA75:AF75">SUM(AA76)</f>
        <v>0</v>
      </c>
      <c r="AB75" s="255">
        <f t="shared" si="134"/>
        <v>0</v>
      </c>
      <c r="AC75" s="255">
        <f t="shared" si="134"/>
        <v>0</v>
      </c>
      <c r="AD75" s="255">
        <f t="shared" si="134"/>
        <v>0</v>
      </c>
      <c r="AE75" s="255">
        <f t="shared" si="134"/>
        <v>0</v>
      </c>
      <c r="AF75" s="255">
        <f t="shared" si="134"/>
        <v>0</v>
      </c>
      <c r="AG75" s="255"/>
      <c r="AH75" s="255">
        <f aca="true" t="shared" si="135" ref="AH75:AM75">SUM(AH76)</f>
        <v>0</v>
      </c>
      <c r="AI75" s="255">
        <f t="shared" si="135"/>
        <v>0</v>
      </c>
      <c r="AJ75" s="255">
        <f t="shared" si="135"/>
        <v>72</v>
      </c>
      <c r="AK75" s="255">
        <f t="shared" si="135"/>
        <v>58</v>
      </c>
      <c r="AL75" s="255">
        <f t="shared" si="135"/>
        <v>0</v>
      </c>
      <c r="AM75" s="255">
        <f t="shared" si="135"/>
        <v>0</v>
      </c>
      <c r="AN75" s="255"/>
      <c r="AO75" s="255">
        <f aca="true" t="shared" si="136" ref="AO75:AT75">SUM(AO76)</f>
        <v>0</v>
      </c>
      <c r="AP75" s="255">
        <f t="shared" si="136"/>
        <v>14</v>
      </c>
      <c r="AQ75" s="255">
        <f t="shared" si="136"/>
        <v>46</v>
      </c>
      <c r="AR75" s="255">
        <f t="shared" si="136"/>
        <v>34</v>
      </c>
      <c r="AS75" s="255">
        <f t="shared" si="136"/>
        <v>0</v>
      </c>
      <c r="AT75" s="255">
        <f t="shared" si="136"/>
        <v>0</v>
      </c>
      <c r="AU75" s="255"/>
      <c r="AV75" s="255">
        <f aca="true" t="shared" si="137" ref="AV75:BA75">SUM(AV76)</f>
        <v>0</v>
      </c>
      <c r="AW75" s="255">
        <f t="shared" si="137"/>
        <v>12</v>
      </c>
      <c r="AX75" s="255">
        <f t="shared" si="137"/>
        <v>48</v>
      </c>
      <c r="AY75" s="255">
        <f t="shared" si="137"/>
        <v>36</v>
      </c>
      <c r="AZ75" s="255">
        <f t="shared" si="137"/>
        <v>0</v>
      </c>
      <c r="BA75" s="255">
        <f t="shared" si="137"/>
        <v>0</v>
      </c>
      <c r="BB75" s="255"/>
      <c r="BC75" s="255">
        <f aca="true" t="shared" si="138" ref="BC75:BH75">SUM(BC76)</f>
        <v>0</v>
      </c>
      <c r="BD75" s="255">
        <f t="shared" si="138"/>
        <v>12</v>
      </c>
      <c r="BE75" s="255">
        <f t="shared" si="138"/>
        <v>0</v>
      </c>
      <c r="BF75" s="255">
        <f t="shared" si="138"/>
        <v>0</v>
      </c>
      <c r="BG75" s="255">
        <f t="shared" si="138"/>
        <v>0</v>
      </c>
      <c r="BH75" s="255">
        <f t="shared" si="138"/>
        <v>0</v>
      </c>
      <c r="BI75" s="255"/>
      <c r="BJ75" s="255">
        <f aca="true" t="shared" si="139" ref="BJ75:BO75">SUM(BJ76)</f>
        <v>0</v>
      </c>
      <c r="BK75" s="255">
        <f t="shared" si="139"/>
        <v>0</v>
      </c>
      <c r="BL75" s="255">
        <f t="shared" si="139"/>
        <v>0</v>
      </c>
      <c r="BM75" s="255">
        <f t="shared" si="139"/>
        <v>0</v>
      </c>
      <c r="BN75" s="255">
        <f t="shared" si="139"/>
        <v>0</v>
      </c>
      <c r="BO75" s="255">
        <f t="shared" si="139"/>
        <v>0</v>
      </c>
      <c r="BP75" s="255"/>
      <c r="BQ75" s="255">
        <f aca="true" t="shared" si="140" ref="BQ75:BV75">SUM(BQ76)</f>
        <v>0</v>
      </c>
      <c r="BR75" s="255">
        <f t="shared" si="140"/>
        <v>0</v>
      </c>
      <c r="BS75" s="255">
        <f t="shared" si="140"/>
        <v>0</v>
      </c>
      <c r="BT75" s="255">
        <f t="shared" si="140"/>
        <v>0</v>
      </c>
      <c r="BU75" s="255">
        <f t="shared" si="140"/>
        <v>0</v>
      </c>
      <c r="BV75" s="255">
        <f t="shared" si="140"/>
        <v>0</v>
      </c>
      <c r="BW75" s="255"/>
      <c r="BX75" s="255">
        <f>SUM(BX76)</f>
        <v>0</v>
      </c>
      <c r="BY75" s="255">
        <f>SUM(BY76)</f>
        <v>0</v>
      </c>
      <c r="BZ75" s="255">
        <f>BZ76</f>
        <v>0</v>
      </c>
      <c r="CA75" s="255">
        <f>CA76</f>
        <v>0</v>
      </c>
      <c r="CB75" s="255">
        <f>CB76</f>
        <v>0</v>
      </c>
      <c r="CC75" s="255">
        <f>CC76</f>
        <v>0</v>
      </c>
      <c r="CD75" s="255"/>
      <c r="CE75" s="255">
        <f aca="true" t="shared" si="141" ref="CE75:CJ75">CE76</f>
        <v>0</v>
      </c>
      <c r="CF75" s="255">
        <f t="shared" si="141"/>
        <v>0</v>
      </c>
      <c r="CG75" s="255">
        <f t="shared" si="141"/>
        <v>264</v>
      </c>
      <c r="CH75" s="255">
        <f t="shared" si="141"/>
        <v>168</v>
      </c>
      <c r="CI75" s="255">
        <f t="shared" si="141"/>
        <v>0</v>
      </c>
      <c r="CJ75" s="255">
        <f t="shared" si="141"/>
        <v>0</v>
      </c>
      <c r="CK75" s="255"/>
      <c r="CL75" s="255">
        <f>CL76</f>
        <v>0</v>
      </c>
      <c r="CM75" s="255">
        <f>CM76</f>
        <v>96</v>
      </c>
      <c r="CN75" s="256"/>
      <c r="CO75" s="254" t="s">
        <v>360</v>
      </c>
    </row>
    <row r="76" spans="1:93" s="49" customFormat="1" ht="25.5" customHeight="1">
      <c r="A76" s="257" t="s">
        <v>194</v>
      </c>
      <c r="B76" s="668" t="s">
        <v>346</v>
      </c>
      <c r="C76" s="669"/>
      <c r="D76" s="669"/>
      <c r="E76" s="669"/>
      <c r="F76" s="669"/>
      <c r="G76" s="669"/>
      <c r="H76" s="669"/>
      <c r="I76" s="670"/>
      <c r="J76" s="351"/>
      <c r="K76" s="351"/>
      <c r="L76" s="258"/>
      <c r="M76" s="258"/>
      <c r="N76" s="259">
        <f>O76+SUM(U76:U76)</f>
        <v>430</v>
      </c>
      <c r="O76" s="259">
        <f>SUM(P76:T76)</f>
        <v>296</v>
      </c>
      <c r="P76" s="259">
        <f aca="true" t="shared" si="142" ref="P76:R79">W76+AD76+AK76+AR76+AY76+BF76+BM76+BT76+CA76+CH76</f>
        <v>296</v>
      </c>
      <c r="Q76" s="259">
        <f t="shared" si="142"/>
        <v>0</v>
      </c>
      <c r="R76" s="259">
        <f t="shared" si="142"/>
        <v>0</v>
      </c>
      <c r="S76" s="259"/>
      <c r="T76" s="259">
        <f aca="true" t="shared" si="143" ref="T76:U79">AA76+AH76+AO76+AV76+BC76+BJ76+BQ76+BX76+CE76+CL76</f>
        <v>0</v>
      </c>
      <c r="U76" s="259">
        <f t="shared" si="143"/>
        <v>134</v>
      </c>
      <c r="V76" s="259">
        <f aca="true" t="shared" si="144" ref="V76:BF76">SUM(V77:V79)</f>
        <v>0</v>
      </c>
      <c r="W76" s="259">
        <f t="shared" si="144"/>
        <v>0</v>
      </c>
      <c r="X76" s="259">
        <f t="shared" si="144"/>
        <v>0</v>
      </c>
      <c r="Y76" s="259">
        <f t="shared" si="144"/>
        <v>0</v>
      </c>
      <c r="Z76" s="259"/>
      <c r="AA76" s="259">
        <f t="shared" si="144"/>
        <v>0</v>
      </c>
      <c r="AB76" s="259">
        <f t="shared" si="144"/>
        <v>0</v>
      </c>
      <c r="AC76" s="259">
        <f t="shared" si="144"/>
        <v>0</v>
      </c>
      <c r="AD76" s="259">
        <f t="shared" si="144"/>
        <v>0</v>
      </c>
      <c r="AE76" s="259">
        <f t="shared" si="144"/>
        <v>0</v>
      </c>
      <c r="AF76" s="259">
        <f t="shared" si="144"/>
        <v>0</v>
      </c>
      <c r="AG76" s="259"/>
      <c r="AH76" s="259">
        <f t="shared" si="144"/>
        <v>0</v>
      </c>
      <c r="AI76" s="259">
        <f t="shared" si="144"/>
        <v>0</v>
      </c>
      <c r="AJ76" s="259">
        <f t="shared" si="144"/>
        <v>72</v>
      </c>
      <c r="AK76" s="259">
        <f t="shared" si="144"/>
        <v>58</v>
      </c>
      <c r="AL76" s="259">
        <f t="shared" si="144"/>
        <v>0</v>
      </c>
      <c r="AM76" s="259">
        <f t="shared" si="144"/>
        <v>0</v>
      </c>
      <c r="AN76" s="259"/>
      <c r="AO76" s="259">
        <f t="shared" si="144"/>
        <v>0</v>
      </c>
      <c r="AP76" s="259">
        <f t="shared" si="144"/>
        <v>14</v>
      </c>
      <c r="AQ76" s="259">
        <f t="shared" si="144"/>
        <v>46</v>
      </c>
      <c r="AR76" s="259">
        <f t="shared" si="144"/>
        <v>34</v>
      </c>
      <c r="AS76" s="259">
        <f t="shared" si="144"/>
        <v>0</v>
      </c>
      <c r="AT76" s="259">
        <f t="shared" si="144"/>
        <v>0</v>
      </c>
      <c r="AU76" s="259"/>
      <c r="AV76" s="259">
        <f t="shared" si="144"/>
        <v>0</v>
      </c>
      <c r="AW76" s="259">
        <f t="shared" si="144"/>
        <v>12</v>
      </c>
      <c r="AX76" s="259">
        <f t="shared" si="144"/>
        <v>48</v>
      </c>
      <c r="AY76" s="259">
        <f t="shared" si="144"/>
        <v>36</v>
      </c>
      <c r="AZ76" s="259">
        <f t="shared" si="144"/>
        <v>0</v>
      </c>
      <c r="BA76" s="259">
        <f t="shared" si="144"/>
        <v>0</v>
      </c>
      <c r="BB76" s="259"/>
      <c r="BC76" s="259">
        <f t="shared" si="144"/>
        <v>0</v>
      </c>
      <c r="BD76" s="259">
        <f t="shared" si="144"/>
        <v>12</v>
      </c>
      <c r="BE76" s="259">
        <f t="shared" si="144"/>
        <v>0</v>
      </c>
      <c r="BF76" s="259">
        <f t="shared" si="144"/>
        <v>0</v>
      </c>
      <c r="BG76" s="259">
        <f aca="true" t="shared" si="145" ref="BG76:CM76">SUM(BG77:BG79)</f>
        <v>0</v>
      </c>
      <c r="BH76" s="259">
        <f t="shared" si="145"/>
        <v>0</v>
      </c>
      <c r="BI76" s="259"/>
      <c r="BJ76" s="259">
        <f t="shared" si="145"/>
        <v>0</v>
      </c>
      <c r="BK76" s="259">
        <f t="shared" si="145"/>
        <v>0</v>
      </c>
      <c r="BL76" s="259">
        <f t="shared" si="145"/>
        <v>0</v>
      </c>
      <c r="BM76" s="259">
        <f t="shared" si="145"/>
        <v>0</v>
      </c>
      <c r="BN76" s="259">
        <f t="shared" si="145"/>
        <v>0</v>
      </c>
      <c r="BO76" s="259">
        <f t="shared" si="145"/>
        <v>0</v>
      </c>
      <c r="BP76" s="259"/>
      <c r="BQ76" s="259">
        <f t="shared" si="145"/>
        <v>0</v>
      </c>
      <c r="BR76" s="259">
        <f t="shared" si="145"/>
        <v>0</v>
      </c>
      <c r="BS76" s="259">
        <f t="shared" si="145"/>
        <v>0</v>
      </c>
      <c r="BT76" s="259">
        <f t="shared" si="145"/>
        <v>0</v>
      </c>
      <c r="BU76" s="259">
        <f t="shared" si="145"/>
        <v>0</v>
      </c>
      <c r="BV76" s="259">
        <f t="shared" si="145"/>
        <v>0</v>
      </c>
      <c r="BW76" s="259"/>
      <c r="BX76" s="259">
        <f t="shared" si="145"/>
        <v>0</v>
      </c>
      <c r="BY76" s="259">
        <f t="shared" si="145"/>
        <v>0</v>
      </c>
      <c r="BZ76" s="259">
        <f t="shared" si="145"/>
        <v>0</v>
      </c>
      <c r="CA76" s="259">
        <f t="shared" si="145"/>
        <v>0</v>
      </c>
      <c r="CB76" s="259">
        <f t="shared" si="145"/>
        <v>0</v>
      </c>
      <c r="CC76" s="259">
        <f t="shared" si="145"/>
        <v>0</v>
      </c>
      <c r="CD76" s="259"/>
      <c r="CE76" s="259">
        <f t="shared" si="145"/>
        <v>0</v>
      </c>
      <c r="CF76" s="259">
        <f t="shared" si="145"/>
        <v>0</v>
      </c>
      <c r="CG76" s="259">
        <f t="shared" si="145"/>
        <v>264</v>
      </c>
      <c r="CH76" s="259">
        <f t="shared" si="145"/>
        <v>168</v>
      </c>
      <c r="CI76" s="259">
        <f t="shared" si="145"/>
        <v>0</v>
      </c>
      <c r="CJ76" s="259">
        <f t="shared" si="145"/>
        <v>0</v>
      </c>
      <c r="CK76" s="259"/>
      <c r="CL76" s="259">
        <f t="shared" si="145"/>
        <v>0</v>
      </c>
      <c r="CM76" s="259">
        <f t="shared" si="145"/>
        <v>96</v>
      </c>
      <c r="CN76" s="259"/>
      <c r="CO76" s="259"/>
    </row>
    <row r="77" spans="1:93" s="450" customFormat="1" ht="25.5" customHeight="1">
      <c r="A77" s="198"/>
      <c r="B77" s="452" t="s">
        <v>429</v>
      </c>
      <c r="C77" s="122" t="s">
        <v>526</v>
      </c>
      <c r="D77" s="180"/>
      <c r="E77" s="180"/>
      <c r="F77" s="180" t="s">
        <v>553</v>
      </c>
      <c r="G77" s="180"/>
      <c r="H77" s="180"/>
      <c r="I77" s="180" t="s">
        <v>29</v>
      </c>
      <c r="J77" s="350"/>
      <c r="K77" s="350"/>
      <c r="L77" s="116"/>
      <c r="M77" s="116"/>
      <c r="N77" s="189">
        <f>O77+SUM(U77:U77)</f>
        <v>303</v>
      </c>
      <c r="O77" s="189">
        <f>SUM(P77:T77)</f>
        <v>218</v>
      </c>
      <c r="P77" s="189">
        <f t="shared" si="142"/>
        <v>218</v>
      </c>
      <c r="Q77" s="189">
        <f t="shared" si="142"/>
        <v>0</v>
      </c>
      <c r="R77" s="189">
        <f t="shared" si="142"/>
        <v>0</v>
      </c>
      <c r="S77" s="189"/>
      <c r="T77" s="189">
        <f t="shared" si="143"/>
        <v>0</v>
      </c>
      <c r="U77" s="189">
        <f t="shared" si="143"/>
        <v>85</v>
      </c>
      <c r="V77" s="182">
        <f>SUM(W77:AB77)</f>
        <v>0</v>
      </c>
      <c r="W77" s="116"/>
      <c r="X77" s="116"/>
      <c r="Y77" s="116"/>
      <c r="Z77" s="116"/>
      <c r="AA77" s="116"/>
      <c r="AB77" s="116"/>
      <c r="AC77" s="182"/>
      <c r="AD77" s="116"/>
      <c r="AE77" s="116"/>
      <c r="AF77" s="116"/>
      <c r="AG77" s="116"/>
      <c r="AH77" s="116"/>
      <c r="AI77" s="116"/>
      <c r="AJ77" s="182">
        <f>SUM(AK77:AP77)</f>
        <v>72</v>
      </c>
      <c r="AK77" s="116">
        <v>58</v>
      </c>
      <c r="AL77" s="116"/>
      <c r="AM77" s="116"/>
      <c r="AN77" s="116"/>
      <c r="AO77" s="116"/>
      <c r="AP77" s="117">
        <v>14</v>
      </c>
      <c r="AQ77" s="182">
        <f>SUM(AR77:AW77)</f>
        <v>46</v>
      </c>
      <c r="AR77" s="117">
        <v>34</v>
      </c>
      <c r="AS77" s="116"/>
      <c r="AT77" s="116"/>
      <c r="AU77" s="116"/>
      <c r="AV77" s="116"/>
      <c r="AW77" s="116">
        <v>12</v>
      </c>
      <c r="AX77" s="182">
        <f>SUM(AY77:BD77)</f>
        <v>0</v>
      </c>
      <c r="AY77" s="116"/>
      <c r="AZ77" s="116"/>
      <c r="BA77" s="116"/>
      <c r="BB77" s="116"/>
      <c r="BC77" s="116"/>
      <c r="BD77" s="116"/>
      <c r="BE77" s="182">
        <f>SUM(BF77:BK77)</f>
        <v>0</v>
      </c>
      <c r="BF77" s="116"/>
      <c r="BG77" s="116"/>
      <c r="BH77" s="116"/>
      <c r="BI77" s="116"/>
      <c r="BJ77" s="116"/>
      <c r="BK77" s="116"/>
      <c r="BL77" s="182">
        <f>SUM(BM77:BR77)</f>
        <v>0</v>
      </c>
      <c r="BM77" s="116"/>
      <c r="BN77" s="116"/>
      <c r="BO77" s="116"/>
      <c r="BP77" s="116"/>
      <c r="BQ77" s="116"/>
      <c r="BR77" s="116"/>
      <c r="BS77" s="182">
        <f>SUM(BT77:BY77)</f>
        <v>0</v>
      </c>
      <c r="BT77" s="116"/>
      <c r="BU77" s="116"/>
      <c r="BV77" s="116"/>
      <c r="BW77" s="116"/>
      <c r="BX77" s="116"/>
      <c r="BY77" s="116"/>
      <c r="BZ77" s="182">
        <f>SUM(CA77:CF77)</f>
        <v>0</v>
      </c>
      <c r="CA77" s="116"/>
      <c r="CB77" s="116"/>
      <c r="CC77" s="116"/>
      <c r="CD77" s="116"/>
      <c r="CE77" s="116"/>
      <c r="CF77" s="116"/>
      <c r="CG77" s="182">
        <f>SUM(CH77:CM77)</f>
        <v>185</v>
      </c>
      <c r="CH77" s="116">
        <v>126</v>
      </c>
      <c r="CI77" s="116"/>
      <c r="CJ77" s="116"/>
      <c r="CK77" s="116"/>
      <c r="CL77" s="116"/>
      <c r="CM77" s="117">
        <v>59</v>
      </c>
      <c r="CN77" s="180" t="s">
        <v>703</v>
      </c>
      <c r="CO77" s="116" t="s">
        <v>555</v>
      </c>
    </row>
    <row r="78" spans="1:93" s="450" customFormat="1" ht="25.5" customHeight="1">
      <c r="A78" s="198"/>
      <c r="B78" s="453" t="s">
        <v>430</v>
      </c>
      <c r="C78" s="122"/>
      <c r="D78" s="180"/>
      <c r="E78" s="180" t="s">
        <v>387</v>
      </c>
      <c r="F78" s="180"/>
      <c r="G78" s="180"/>
      <c r="H78" s="180"/>
      <c r="I78" s="180"/>
      <c r="J78" s="350"/>
      <c r="K78" s="350"/>
      <c r="L78" s="116"/>
      <c r="M78" s="116"/>
      <c r="N78" s="189">
        <f>O78+SUM(U78:U78)</f>
        <v>79</v>
      </c>
      <c r="O78" s="189">
        <f>SUM(P78:T78)</f>
        <v>42</v>
      </c>
      <c r="P78" s="189">
        <f t="shared" si="142"/>
        <v>42</v>
      </c>
      <c r="Q78" s="189">
        <f t="shared" si="142"/>
        <v>0</v>
      </c>
      <c r="R78" s="189">
        <f t="shared" si="142"/>
        <v>0</v>
      </c>
      <c r="S78" s="189"/>
      <c r="T78" s="189">
        <f t="shared" si="143"/>
        <v>0</v>
      </c>
      <c r="U78" s="189">
        <f t="shared" si="143"/>
        <v>37</v>
      </c>
      <c r="V78" s="182">
        <f>SUM(W78:AB78)</f>
        <v>0</v>
      </c>
      <c r="W78" s="116"/>
      <c r="X78" s="116"/>
      <c r="Y78" s="116"/>
      <c r="Z78" s="116"/>
      <c r="AA78" s="116"/>
      <c r="AB78" s="116"/>
      <c r="AC78" s="182"/>
      <c r="AD78" s="116"/>
      <c r="AE78" s="116"/>
      <c r="AF78" s="116"/>
      <c r="AG78" s="116"/>
      <c r="AH78" s="116"/>
      <c r="AI78" s="116"/>
      <c r="AJ78" s="182"/>
      <c r="AK78" s="116"/>
      <c r="AL78" s="116"/>
      <c r="AM78" s="116"/>
      <c r="AN78" s="116"/>
      <c r="AO78" s="116"/>
      <c r="AP78" s="116"/>
      <c r="AQ78" s="182"/>
      <c r="AR78" s="116"/>
      <c r="AS78" s="116"/>
      <c r="AT78" s="116"/>
      <c r="AU78" s="116"/>
      <c r="AV78" s="116"/>
      <c r="AW78" s="116"/>
      <c r="AX78" s="182"/>
      <c r="AY78" s="116"/>
      <c r="AZ78" s="116"/>
      <c r="BA78" s="116"/>
      <c r="BB78" s="116"/>
      <c r="BC78" s="116"/>
      <c r="BD78" s="116"/>
      <c r="BE78" s="182"/>
      <c r="BF78" s="116"/>
      <c r="BG78" s="116"/>
      <c r="BH78" s="116"/>
      <c r="BI78" s="116"/>
      <c r="BJ78" s="116"/>
      <c r="BK78" s="116"/>
      <c r="BL78" s="182">
        <f>SUM(BM78:BR78)</f>
        <v>0</v>
      </c>
      <c r="BM78" s="117"/>
      <c r="BN78" s="117"/>
      <c r="BO78" s="117"/>
      <c r="BP78" s="117"/>
      <c r="BQ78" s="117"/>
      <c r="BR78" s="117"/>
      <c r="BS78" s="182">
        <f>SUM(BT78:BY78)</f>
        <v>0</v>
      </c>
      <c r="BT78" s="116"/>
      <c r="BU78" s="116"/>
      <c r="BV78" s="116"/>
      <c r="BW78" s="116"/>
      <c r="BX78" s="116"/>
      <c r="BY78" s="116"/>
      <c r="BZ78" s="182">
        <f>SUM(CA78:CF78)</f>
        <v>0</v>
      </c>
      <c r="CA78" s="116"/>
      <c r="CB78" s="116"/>
      <c r="CC78" s="116"/>
      <c r="CD78" s="116"/>
      <c r="CE78" s="116"/>
      <c r="CF78" s="116"/>
      <c r="CG78" s="182">
        <f>SUM(CH78:CM78)</f>
        <v>79</v>
      </c>
      <c r="CH78" s="116">
        <v>42</v>
      </c>
      <c r="CI78" s="116"/>
      <c r="CJ78" s="116"/>
      <c r="CK78" s="116"/>
      <c r="CL78" s="116"/>
      <c r="CM78" s="116">
        <v>37</v>
      </c>
      <c r="CN78" s="180" t="s">
        <v>471</v>
      </c>
      <c r="CO78" s="116" t="s">
        <v>422</v>
      </c>
    </row>
    <row r="79" spans="1:93" s="450" customFormat="1" ht="25.5" customHeight="1">
      <c r="A79" s="198"/>
      <c r="B79" s="122" t="s">
        <v>308</v>
      </c>
      <c r="C79" s="122"/>
      <c r="D79" s="180" t="s">
        <v>40</v>
      </c>
      <c r="E79" s="180"/>
      <c r="F79" s="180"/>
      <c r="G79" s="180"/>
      <c r="H79" s="180"/>
      <c r="I79" s="180"/>
      <c r="J79" s="350"/>
      <c r="K79" s="350"/>
      <c r="L79" s="116"/>
      <c r="M79" s="117"/>
      <c r="N79" s="189">
        <f>O79+SUM(U79:U79)</f>
        <v>48</v>
      </c>
      <c r="O79" s="189">
        <f>SUM(P79:T79)</f>
        <v>36</v>
      </c>
      <c r="P79" s="189">
        <f t="shared" si="142"/>
        <v>36</v>
      </c>
      <c r="Q79" s="189">
        <f t="shared" si="142"/>
        <v>0</v>
      </c>
      <c r="R79" s="189">
        <f t="shared" si="142"/>
        <v>0</v>
      </c>
      <c r="S79" s="189"/>
      <c r="T79" s="189">
        <f t="shared" si="143"/>
        <v>0</v>
      </c>
      <c r="U79" s="189">
        <f t="shared" si="143"/>
        <v>12</v>
      </c>
      <c r="V79" s="182">
        <f>SUM(W79:AB79)</f>
        <v>0</v>
      </c>
      <c r="W79" s="116"/>
      <c r="X79" s="116"/>
      <c r="Y79" s="116"/>
      <c r="Z79" s="116"/>
      <c r="AA79" s="116"/>
      <c r="AB79" s="116"/>
      <c r="AC79" s="182"/>
      <c r="AD79" s="116"/>
      <c r="AE79" s="116"/>
      <c r="AF79" s="116"/>
      <c r="AG79" s="116"/>
      <c r="AH79" s="116"/>
      <c r="AI79" s="116"/>
      <c r="AJ79" s="182">
        <f>SUM(AK79:AP79)</f>
        <v>0</v>
      </c>
      <c r="AK79" s="116"/>
      <c r="AL79" s="116"/>
      <c r="AM79" s="116"/>
      <c r="AN79" s="116"/>
      <c r="AO79" s="116"/>
      <c r="AP79" s="116"/>
      <c r="AQ79" s="182">
        <f>SUM(AR79:AW79)</f>
        <v>0</v>
      </c>
      <c r="AR79" s="116"/>
      <c r="AS79" s="116"/>
      <c r="AT79" s="116"/>
      <c r="AU79" s="116"/>
      <c r="AV79" s="116"/>
      <c r="AW79" s="116"/>
      <c r="AX79" s="182">
        <f>SUM(AY79:BD79)</f>
        <v>48</v>
      </c>
      <c r="AY79" s="116">
        <v>36</v>
      </c>
      <c r="AZ79" s="116"/>
      <c r="BA79" s="116"/>
      <c r="BB79" s="116"/>
      <c r="BC79" s="116"/>
      <c r="BD79" s="117">
        <v>12</v>
      </c>
      <c r="BE79" s="182">
        <f>SUM(BF79:BK79)</f>
        <v>0</v>
      </c>
      <c r="BF79" s="116"/>
      <c r="BG79" s="116"/>
      <c r="BH79" s="116"/>
      <c r="BI79" s="116"/>
      <c r="BJ79" s="116"/>
      <c r="BK79" s="116"/>
      <c r="BL79" s="182">
        <f>SUM(BM79:BR79)</f>
        <v>0</v>
      </c>
      <c r="BM79" s="116"/>
      <c r="BN79" s="116"/>
      <c r="BO79" s="116"/>
      <c r="BP79" s="116"/>
      <c r="BQ79" s="116"/>
      <c r="BR79" s="116"/>
      <c r="BS79" s="182">
        <f>SUM(BT79:BY79)</f>
        <v>0</v>
      </c>
      <c r="BT79" s="116"/>
      <c r="BU79" s="116"/>
      <c r="BV79" s="116"/>
      <c r="BW79" s="116"/>
      <c r="BX79" s="116"/>
      <c r="BY79" s="116"/>
      <c r="BZ79" s="182">
        <f>SUM(CA79:CF79)</f>
        <v>0</v>
      </c>
      <c r="CA79" s="116"/>
      <c r="CB79" s="116"/>
      <c r="CC79" s="116"/>
      <c r="CD79" s="116"/>
      <c r="CE79" s="116"/>
      <c r="CF79" s="116"/>
      <c r="CG79" s="182">
        <f>SUM(CH79:CM79)</f>
        <v>0</v>
      </c>
      <c r="CH79" s="116"/>
      <c r="CI79" s="116"/>
      <c r="CJ79" s="116"/>
      <c r="CK79" s="116"/>
      <c r="CL79" s="116"/>
      <c r="CM79" s="116"/>
      <c r="CN79" s="180" t="s">
        <v>471</v>
      </c>
      <c r="CO79" s="116" t="s">
        <v>360</v>
      </c>
    </row>
    <row r="80" spans="1:93" s="49" customFormat="1" ht="27.75" customHeight="1">
      <c r="A80" s="247" t="s">
        <v>364</v>
      </c>
      <c r="B80" s="247"/>
      <c r="C80" s="247"/>
      <c r="D80" s="260" t="s">
        <v>387</v>
      </c>
      <c r="E80" s="261"/>
      <c r="F80" s="261"/>
      <c r="G80" s="261"/>
      <c r="H80" s="247"/>
      <c r="I80" s="250"/>
      <c r="J80" s="353"/>
      <c r="K80" s="353"/>
      <c r="L80" s="251"/>
      <c r="M80" s="251"/>
      <c r="N80" s="252"/>
      <c r="O80" s="252"/>
      <c r="P80" s="252"/>
      <c r="Q80" s="252"/>
      <c r="R80" s="252"/>
      <c r="S80" s="252"/>
      <c r="T80" s="252"/>
      <c r="U80" s="252"/>
      <c r="V80" s="252"/>
      <c r="W80" s="251"/>
      <c r="X80" s="251"/>
      <c r="Y80" s="251"/>
      <c r="Z80" s="251"/>
      <c r="AA80" s="251"/>
      <c r="AB80" s="251"/>
      <c r="AC80" s="252"/>
      <c r="AD80" s="251"/>
      <c r="AE80" s="251"/>
      <c r="AF80" s="251"/>
      <c r="AG80" s="251"/>
      <c r="AH80" s="251"/>
      <c r="AI80" s="251"/>
      <c r="AJ80" s="252"/>
      <c r="AK80" s="251"/>
      <c r="AL80" s="251"/>
      <c r="AM80" s="251"/>
      <c r="AN80" s="251"/>
      <c r="AO80" s="251"/>
      <c r="AP80" s="251"/>
      <c r="AQ80" s="252"/>
      <c r="AR80" s="251"/>
      <c r="AS80" s="251"/>
      <c r="AT80" s="251"/>
      <c r="AU80" s="251"/>
      <c r="AV80" s="251"/>
      <c r="AW80" s="251"/>
      <c r="AX80" s="252"/>
      <c r="AY80" s="251"/>
      <c r="AZ80" s="251"/>
      <c r="BA80" s="251"/>
      <c r="BB80" s="251"/>
      <c r="BC80" s="251"/>
      <c r="BD80" s="251"/>
      <c r="BE80" s="252"/>
      <c r="BF80" s="251"/>
      <c r="BG80" s="251"/>
      <c r="BH80" s="251"/>
      <c r="BI80" s="251"/>
      <c r="BJ80" s="251"/>
      <c r="BK80" s="251"/>
      <c r="BL80" s="252"/>
      <c r="BM80" s="251"/>
      <c r="BN80" s="251"/>
      <c r="BO80" s="251"/>
      <c r="BP80" s="251"/>
      <c r="BQ80" s="251"/>
      <c r="BR80" s="251"/>
      <c r="BS80" s="252"/>
      <c r="BT80" s="251"/>
      <c r="BU80" s="251"/>
      <c r="BV80" s="251"/>
      <c r="BW80" s="251"/>
      <c r="BX80" s="251"/>
      <c r="BY80" s="251"/>
      <c r="BZ80" s="252"/>
      <c r="CA80" s="251"/>
      <c r="CB80" s="251"/>
      <c r="CC80" s="251"/>
      <c r="CD80" s="251"/>
      <c r="CE80" s="251"/>
      <c r="CF80" s="251"/>
      <c r="CG80" s="252"/>
      <c r="CH80" s="251"/>
      <c r="CI80" s="251"/>
      <c r="CJ80" s="251"/>
      <c r="CK80" s="251"/>
      <c r="CL80" s="251"/>
      <c r="CM80" s="251"/>
      <c r="CN80" s="250"/>
      <c r="CO80" s="251"/>
    </row>
    <row r="81" spans="1:93" s="49" customFormat="1" ht="25.5" customHeight="1">
      <c r="A81" s="253" t="s">
        <v>195</v>
      </c>
      <c r="B81" s="665" t="s">
        <v>196</v>
      </c>
      <c r="C81" s="666"/>
      <c r="D81" s="666"/>
      <c r="E81" s="666"/>
      <c r="F81" s="666"/>
      <c r="G81" s="666"/>
      <c r="H81" s="666"/>
      <c r="I81" s="667"/>
      <c r="J81" s="351"/>
      <c r="K81" s="351"/>
      <c r="L81" s="254"/>
      <c r="M81" s="254"/>
      <c r="N81" s="255">
        <f>SUM(N83:N84)</f>
        <v>163</v>
      </c>
      <c r="O81" s="255">
        <f aca="true" t="shared" si="146" ref="O81:U81">SUM(O83:O84)</f>
        <v>110</v>
      </c>
      <c r="P81" s="255">
        <f t="shared" si="146"/>
        <v>88</v>
      </c>
      <c r="Q81" s="255">
        <f t="shared" si="146"/>
        <v>0</v>
      </c>
      <c r="R81" s="255">
        <f t="shared" si="146"/>
        <v>22</v>
      </c>
      <c r="S81" s="255"/>
      <c r="T81" s="255">
        <f t="shared" si="146"/>
        <v>0</v>
      </c>
      <c r="U81" s="255">
        <f t="shared" si="146"/>
        <v>53</v>
      </c>
      <c r="V81" s="255">
        <f>SUM(V82)</f>
        <v>0</v>
      </c>
      <c r="W81" s="255">
        <f>SUM(W82)</f>
        <v>0</v>
      </c>
      <c r="X81" s="255">
        <f>SUM(X82)</f>
        <v>0</v>
      </c>
      <c r="Y81" s="255">
        <f>SUM(Y82)</f>
        <v>0</v>
      </c>
      <c r="Z81" s="255"/>
      <c r="AA81" s="255">
        <f aca="true" t="shared" si="147" ref="AA81:AF81">SUM(AA82)</f>
        <v>0</v>
      </c>
      <c r="AB81" s="255">
        <f t="shared" si="147"/>
        <v>0</v>
      </c>
      <c r="AC81" s="255">
        <f t="shared" si="147"/>
        <v>0</v>
      </c>
      <c r="AD81" s="255">
        <f t="shared" si="147"/>
        <v>0</v>
      </c>
      <c r="AE81" s="255">
        <f t="shared" si="147"/>
        <v>0</v>
      </c>
      <c r="AF81" s="255">
        <f t="shared" si="147"/>
        <v>0</v>
      </c>
      <c r="AG81" s="255"/>
      <c r="AH81" s="255">
        <f>SUM(AH82)</f>
        <v>0</v>
      </c>
      <c r="AI81" s="255">
        <f>SUM(AI82)</f>
        <v>0</v>
      </c>
      <c r="AJ81" s="255">
        <f>SUM(AJ82)</f>
        <v>0</v>
      </c>
      <c r="AK81" s="255">
        <f aca="true" t="shared" si="148" ref="AK81:AP81">SUM(AK82)</f>
        <v>0</v>
      </c>
      <c r="AL81" s="255">
        <f t="shared" si="148"/>
        <v>0</v>
      </c>
      <c r="AM81" s="255">
        <f t="shared" si="148"/>
        <v>0</v>
      </c>
      <c r="AN81" s="255"/>
      <c r="AO81" s="255">
        <f t="shared" si="148"/>
        <v>0</v>
      </c>
      <c r="AP81" s="255">
        <f t="shared" si="148"/>
        <v>0</v>
      </c>
      <c r="AQ81" s="255">
        <f>SUM(AQ82)</f>
        <v>0</v>
      </c>
      <c r="AR81" s="255">
        <f>SUM(AR82)</f>
        <v>0</v>
      </c>
      <c r="AS81" s="255">
        <f>SUM(AS82)</f>
        <v>0</v>
      </c>
      <c r="AT81" s="255">
        <f>SUM(AT82)</f>
        <v>0</v>
      </c>
      <c r="AU81" s="255"/>
      <c r="AV81" s="255">
        <f aca="true" t="shared" si="149" ref="AV81:BA81">SUM(AV82)</f>
        <v>0</v>
      </c>
      <c r="AW81" s="255">
        <f t="shared" si="149"/>
        <v>0</v>
      </c>
      <c r="AX81" s="255">
        <f t="shared" si="149"/>
        <v>0</v>
      </c>
      <c r="AY81" s="255">
        <f t="shared" si="149"/>
        <v>0</v>
      </c>
      <c r="AZ81" s="255">
        <f t="shared" si="149"/>
        <v>0</v>
      </c>
      <c r="BA81" s="255">
        <f t="shared" si="149"/>
        <v>0</v>
      </c>
      <c r="BB81" s="255"/>
      <c r="BC81" s="255">
        <f aca="true" t="shared" si="150" ref="BC81:BH81">SUM(BC82)</f>
        <v>0</v>
      </c>
      <c r="BD81" s="255">
        <f t="shared" si="150"/>
        <v>0</v>
      </c>
      <c r="BE81" s="255">
        <f t="shared" si="150"/>
        <v>0</v>
      </c>
      <c r="BF81" s="255">
        <f t="shared" si="150"/>
        <v>0</v>
      </c>
      <c r="BG81" s="255">
        <f t="shared" si="150"/>
        <v>0</v>
      </c>
      <c r="BH81" s="255">
        <f t="shared" si="150"/>
        <v>0</v>
      </c>
      <c r="BI81" s="255"/>
      <c r="BJ81" s="255">
        <f aca="true" t="shared" si="151" ref="BJ81:BO81">SUM(BJ82)</f>
        <v>0</v>
      </c>
      <c r="BK81" s="255">
        <f t="shared" si="151"/>
        <v>0</v>
      </c>
      <c r="BL81" s="255">
        <f t="shared" si="151"/>
        <v>64</v>
      </c>
      <c r="BM81" s="255">
        <f t="shared" si="151"/>
        <v>44</v>
      </c>
      <c r="BN81" s="255">
        <f t="shared" si="151"/>
        <v>0</v>
      </c>
      <c r="BO81" s="255">
        <f t="shared" si="151"/>
        <v>0</v>
      </c>
      <c r="BP81" s="255"/>
      <c r="BQ81" s="255">
        <f aca="true" t="shared" si="152" ref="BQ81:BV81">SUM(BQ82)</f>
        <v>0</v>
      </c>
      <c r="BR81" s="255">
        <f t="shared" si="152"/>
        <v>20</v>
      </c>
      <c r="BS81" s="255">
        <f t="shared" si="152"/>
        <v>99</v>
      </c>
      <c r="BT81" s="255">
        <f t="shared" si="152"/>
        <v>44</v>
      </c>
      <c r="BU81" s="255">
        <f t="shared" si="152"/>
        <v>0</v>
      </c>
      <c r="BV81" s="255">
        <f t="shared" si="152"/>
        <v>22</v>
      </c>
      <c r="BW81" s="255"/>
      <c r="BX81" s="255">
        <f>SUM(BX82)</f>
        <v>0</v>
      </c>
      <c r="BY81" s="255">
        <f>SUM(BY82)</f>
        <v>33</v>
      </c>
      <c r="BZ81" s="255">
        <f>SUM(CA81:CF81)</f>
        <v>0</v>
      </c>
      <c r="CA81" s="255">
        <f aca="true" t="shared" si="153" ref="CA81:CF81">SUM(CA83:CA83)</f>
        <v>0</v>
      </c>
      <c r="CB81" s="255">
        <f t="shared" si="153"/>
        <v>0</v>
      </c>
      <c r="CC81" s="255">
        <f t="shared" si="153"/>
        <v>0</v>
      </c>
      <c r="CD81" s="255"/>
      <c r="CE81" s="255">
        <f t="shared" si="153"/>
        <v>0</v>
      </c>
      <c r="CF81" s="255">
        <f t="shared" si="153"/>
        <v>0</v>
      </c>
      <c r="CG81" s="255">
        <f>SUM(CH81:CM81)</f>
        <v>0</v>
      </c>
      <c r="CH81" s="255">
        <f aca="true" t="shared" si="154" ref="CH81:CM81">SUM(CH83:CH83)</f>
        <v>0</v>
      </c>
      <c r="CI81" s="255">
        <f t="shared" si="154"/>
        <v>0</v>
      </c>
      <c r="CJ81" s="255">
        <f t="shared" si="154"/>
        <v>0</v>
      </c>
      <c r="CK81" s="255"/>
      <c r="CL81" s="255">
        <f t="shared" si="154"/>
        <v>0</v>
      </c>
      <c r="CM81" s="255">
        <f t="shared" si="154"/>
        <v>0</v>
      </c>
      <c r="CN81" s="256"/>
      <c r="CO81" s="262" t="s">
        <v>361</v>
      </c>
    </row>
    <row r="82" spans="1:93" s="49" customFormat="1" ht="25.5" customHeight="1">
      <c r="A82" s="257" t="s">
        <v>347</v>
      </c>
      <c r="B82" s="263" t="s">
        <v>348</v>
      </c>
      <c r="C82" s="263"/>
      <c r="D82" s="263"/>
      <c r="E82" s="264"/>
      <c r="F82" s="264"/>
      <c r="G82" s="264"/>
      <c r="H82" s="263"/>
      <c r="I82" s="265"/>
      <c r="J82" s="354"/>
      <c r="K82" s="354"/>
      <c r="L82" s="258"/>
      <c r="M82" s="258"/>
      <c r="N82" s="259">
        <f>SUM(N83,N84)</f>
        <v>163</v>
      </c>
      <c r="O82" s="259">
        <f aca="true" t="shared" si="155" ref="O82:U82">SUM(O83,O84)</f>
        <v>110</v>
      </c>
      <c r="P82" s="259">
        <f t="shared" si="155"/>
        <v>88</v>
      </c>
      <c r="Q82" s="259">
        <f t="shared" si="155"/>
        <v>0</v>
      </c>
      <c r="R82" s="259">
        <f t="shared" si="155"/>
        <v>22</v>
      </c>
      <c r="S82" s="259"/>
      <c r="T82" s="259">
        <f t="shared" si="155"/>
        <v>0</v>
      </c>
      <c r="U82" s="259">
        <f t="shared" si="155"/>
        <v>53</v>
      </c>
      <c r="V82" s="259">
        <f>SUM(V83,V84)</f>
        <v>0</v>
      </c>
      <c r="W82" s="259">
        <f aca="true" t="shared" si="156" ref="W82:AB82">SUM(W83,W84)</f>
        <v>0</v>
      </c>
      <c r="X82" s="259">
        <f t="shared" si="156"/>
        <v>0</v>
      </c>
      <c r="Y82" s="259">
        <f t="shared" si="156"/>
        <v>0</v>
      </c>
      <c r="Z82" s="259"/>
      <c r="AA82" s="259">
        <f t="shared" si="156"/>
        <v>0</v>
      </c>
      <c r="AB82" s="259">
        <f t="shared" si="156"/>
        <v>0</v>
      </c>
      <c r="AC82" s="259">
        <f>SUM(AC83,AC84)</f>
        <v>0</v>
      </c>
      <c r="AD82" s="259">
        <f>SUM(AD83,AD84)</f>
        <v>0</v>
      </c>
      <c r="AE82" s="259">
        <f>SUM(AE83,AE84)</f>
        <v>0</v>
      </c>
      <c r="AF82" s="259">
        <f>SUM(AF83,AF84)</f>
        <v>0</v>
      </c>
      <c r="AG82" s="259"/>
      <c r="AH82" s="259">
        <f aca="true" t="shared" si="157" ref="AH82:AM82">SUM(AH83,AH84)</f>
        <v>0</v>
      </c>
      <c r="AI82" s="259">
        <f t="shared" si="157"/>
        <v>0</v>
      </c>
      <c r="AJ82" s="259">
        <f t="shared" si="157"/>
        <v>0</v>
      </c>
      <c r="AK82" s="259">
        <f t="shared" si="157"/>
        <v>0</v>
      </c>
      <c r="AL82" s="259">
        <f t="shared" si="157"/>
        <v>0</v>
      </c>
      <c r="AM82" s="259">
        <f t="shared" si="157"/>
        <v>0</v>
      </c>
      <c r="AN82" s="259"/>
      <c r="AO82" s="259">
        <f aca="true" t="shared" si="158" ref="AO82:AT82">SUM(AO83,AO84)</f>
        <v>0</v>
      </c>
      <c r="AP82" s="259">
        <f t="shared" si="158"/>
        <v>0</v>
      </c>
      <c r="AQ82" s="259">
        <f t="shared" si="158"/>
        <v>0</v>
      </c>
      <c r="AR82" s="259">
        <f t="shared" si="158"/>
        <v>0</v>
      </c>
      <c r="AS82" s="259">
        <f t="shared" si="158"/>
        <v>0</v>
      </c>
      <c r="AT82" s="259">
        <f t="shared" si="158"/>
        <v>0</v>
      </c>
      <c r="AU82" s="259"/>
      <c r="AV82" s="259">
        <f aca="true" t="shared" si="159" ref="AV82:BA82">SUM(AV83,AV84)</f>
        <v>0</v>
      </c>
      <c r="AW82" s="259">
        <f t="shared" si="159"/>
        <v>0</v>
      </c>
      <c r="AX82" s="259">
        <f t="shared" si="159"/>
        <v>0</v>
      </c>
      <c r="AY82" s="259">
        <f t="shared" si="159"/>
        <v>0</v>
      </c>
      <c r="AZ82" s="259">
        <f t="shared" si="159"/>
        <v>0</v>
      </c>
      <c r="BA82" s="259">
        <f t="shared" si="159"/>
        <v>0</v>
      </c>
      <c r="BB82" s="259"/>
      <c r="BC82" s="259">
        <f aca="true" t="shared" si="160" ref="BC82:BH82">SUM(BC83,BC84)</f>
        <v>0</v>
      </c>
      <c r="BD82" s="259">
        <f t="shared" si="160"/>
        <v>0</v>
      </c>
      <c r="BE82" s="259">
        <f t="shared" si="160"/>
        <v>0</v>
      </c>
      <c r="BF82" s="259">
        <f t="shared" si="160"/>
        <v>0</v>
      </c>
      <c r="BG82" s="259">
        <f t="shared" si="160"/>
        <v>0</v>
      </c>
      <c r="BH82" s="259">
        <f t="shared" si="160"/>
        <v>0</v>
      </c>
      <c r="BI82" s="259"/>
      <c r="BJ82" s="259">
        <f aca="true" t="shared" si="161" ref="BJ82:BO82">SUM(BJ83,BJ84)</f>
        <v>0</v>
      </c>
      <c r="BK82" s="259">
        <f t="shared" si="161"/>
        <v>0</v>
      </c>
      <c r="BL82" s="259">
        <f t="shared" si="161"/>
        <v>64</v>
      </c>
      <c r="BM82" s="259">
        <f t="shared" si="161"/>
        <v>44</v>
      </c>
      <c r="BN82" s="259">
        <f t="shared" si="161"/>
        <v>0</v>
      </c>
      <c r="BO82" s="259">
        <f t="shared" si="161"/>
        <v>0</v>
      </c>
      <c r="BP82" s="259"/>
      <c r="BQ82" s="259">
        <f aca="true" t="shared" si="162" ref="BQ82:BV82">SUM(BQ83,BQ84)</f>
        <v>0</v>
      </c>
      <c r="BR82" s="259">
        <f t="shared" si="162"/>
        <v>20</v>
      </c>
      <c r="BS82" s="259">
        <f t="shared" si="162"/>
        <v>99</v>
      </c>
      <c r="BT82" s="259">
        <f t="shared" si="162"/>
        <v>44</v>
      </c>
      <c r="BU82" s="259">
        <f t="shared" si="162"/>
        <v>0</v>
      </c>
      <c r="BV82" s="259">
        <f t="shared" si="162"/>
        <v>22</v>
      </c>
      <c r="BW82" s="259"/>
      <c r="BX82" s="259">
        <f>SUM(BX83,BX84)</f>
        <v>0</v>
      </c>
      <c r="BY82" s="259">
        <f>SUM(BY83,BY84)</f>
        <v>33</v>
      </c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65"/>
      <c r="CO82" s="264"/>
    </row>
    <row r="83" spans="1:100" s="414" customFormat="1" ht="25.5" customHeight="1">
      <c r="A83" s="407"/>
      <c r="B83" s="408" t="s">
        <v>331</v>
      </c>
      <c r="C83" s="122"/>
      <c r="D83" s="149"/>
      <c r="E83" s="149" t="s">
        <v>37</v>
      </c>
      <c r="F83" s="149"/>
      <c r="G83" s="149"/>
      <c r="H83" s="149"/>
      <c r="I83" s="149" t="s">
        <v>42</v>
      </c>
      <c r="J83" s="350"/>
      <c r="K83" s="350"/>
      <c r="L83" s="190"/>
      <c r="M83" s="190"/>
      <c r="N83" s="410">
        <f>O83+SUM(U83:U83)</f>
        <v>65</v>
      </c>
      <c r="O83" s="410">
        <f>SUM(P83:T83)</f>
        <v>44</v>
      </c>
      <c r="P83" s="410">
        <f aca="true" t="shared" si="163" ref="P83:R84">W83+AD83+AK83+AR83+AY83+BF83+BM83+BT83+CA83+CH83</f>
        <v>44</v>
      </c>
      <c r="Q83" s="410">
        <f t="shared" si="163"/>
        <v>0</v>
      </c>
      <c r="R83" s="410">
        <f t="shared" si="163"/>
        <v>0</v>
      </c>
      <c r="S83" s="410"/>
      <c r="T83" s="410">
        <f>AA83+AH83+AO83+AV83+BC83+BJ83+BQ83+BX83+CE83+CL83</f>
        <v>0</v>
      </c>
      <c r="U83" s="410">
        <f>AB83+AI83+AP83+AW83+BD83+BK83+BR83+BY83+CF83+CM83</f>
        <v>21</v>
      </c>
      <c r="V83" s="411">
        <f>SUM(W83:AB83)</f>
        <v>0</v>
      </c>
      <c r="W83" s="190"/>
      <c r="X83" s="190"/>
      <c r="Y83" s="190"/>
      <c r="Z83" s="190"/>
      <c r="AA83" s="190"/>
      <c r="AB83" s="190"/>
      <c r="AC83" s="411">
        <f>SUM(AD83:AI83)</f>
        <v>0</v>
      </c>
      <c r="AD83" s="190"/>
      <c r="AE83" s="190"/>
      <c r="AF83" s="190"/>
      <c r="AG83" s="190"/>
      <c r="AH83" s="190"/>
      <c r="AI83" s="190"/>
      <c r="AJ83" s="411">
        <f>SUM(AK83:AP83)</f>
        <v>0</v>
      </c>
      <c r="AK83" s="190"/>
      <c r="AL83" s="190"/>
      <c r="AM83" s="190"/>
      <c r="AN83" s="190"/>
      <c r="AO83" s="190"/>
      <c r="AP83" s="190"/>
      <c r="AQ83" s="411">
        <f>SUM(AR83:AW83)</f>
        <v>0</v>
      </c>
      <c r="AR83" s="190"/>
      <c r="AS83" s="190"/>
      <c r="AT83" s="190"/>
      <c r="AU83" s="190"/>
      <c r="AV83" s="190"/>
      <c r="AW83" s="190"/>
      <c r="AX83" s="411">
        <f>SUM(AY83:BD83)</f>
        <v>0</v>
      </c>
      <c r="AY83" s="190"/>
      <c r="AZ83" s="190"/>
      <c r="BA83" s="190"/>
      <c r="BB83" s="190"/>
      <c r="BC83" s="190"/>
      <c r="BD83" s="190"/>
      <c r="BE83" s="411">
        <f>SUM(BF83:BK83)</f>
        <v>0</v>
      </c>
      <c r="BF83" s="190"/>
      <c r="BG83" s="190"/>
      <c r="BH83" s="190"/>
      <c r="BI83" s="190"/>
      <c r="BJ83" s="190"/>
      <c r="BK83" s="190"/>
      <c r="BL83" s="411">
        <f>SUM(BM83:BR83)</f>
        <v>32</v>
      </c>
      <c r="BM83" s="190">
        <v>22</v>
      </c>
      <c r="BN83" s="190"/>
      <c r="BO83" s="190"/>
      <c r="BP83" s="190"/>
      <c r="BQ83" s="190"/>
      <c r="BR83" s="190">
        <v>10</v>
      </c>
      <c r="BS83" s="411">
        <f>SUM(BT83:BY83)</f>
        <v>33</v>
      </c>
      <c r="BT83" s="190">
        <v>22</v>
      </c>
      <c r="BU83" s="190"/>
      <c r="BV83" s="190"/>
      <c r="BW83" s="190"/>
      <c r="BX83" s="190"/>
      <c r="BY83" s="190">
        <v>11</v>
      </c>
      <c r="BZ83" s="411">
        <f>SUM(CA83:CF83)</f>
        <v>0</v>
      </c>
      <c r="CA83" s="190"/>
      <c r="CB83" s="190"/>
      <c r="CC83" s="190"/>
      <c r="CD83" s="190"/>
      <c r="CE83" s="190"/>
      <c r="CF83" s="190"/>
      <c r="CG83" s="411">
        <f>SUM(CH83:CM83)</f>
        <v>0</v>
      </c>
      <c r="CH83" s="190"/>
      <c r="CI83" s="190"/>
      <c r="CJ83" s="190"/>
      <c r="CK83" s="190"/>
      <c r="CL83" s="190"/>
      <c r="CM83" s="190"/>
      <c r="CN83" s="201" t="s">
        <v>664</v>
      </c>
      <c r="CO83" s="190" t="s">
        <v>361</v>
      </c>
      <c r="CP83" s="450"/>
      <c r="CQ83" s="450"/>
      <c r="CR83" s="450"/>
      <c r="CS83" s="450"/>
      <c r="CT83" s="450"/>
      <c r="CV83" s="450"/>
    </row>
    <row r="84" spans="1:100" s="414" customFormat="1" ht="25.5" customHeight="1">
      <c r="A84" s="407"/>
      <c r="B84" s="408" t="s">
        <v>349</v>
      </c>
      <c r="C84" s="122"/>
      <c r="D84" s="201"/>
      <c r="E84" s="201" t="s">
        <v>37</v>
      </c>
      <c r="F84" s="201"/>
      <c r="G84" s="201"/>
      <c r="H84" s="149" t="s">
        <v>37</v>
      </c>
      <c r="I84" s="149" t="s">
        <v>42</v>
      </c>
      <c r="J84" s="350"/>
      <c r="K84" s="350"/>
      <c r="L84" s="190"/>
      <c r="M84" s="190"/>
      <c r="N84" s="410">
        <f>O84+SUM(U84:U84)</f>
        <v>98</v>
      </c>
      <c r="O84" s="410">
        <f>SUM(P84:T84)</f>
        <v>66</v>
      </c>
      <c r="P84" s="410">
        <f t="shared" si="163"/>
        <v>44</v>
      </c>
      <c r="Q84" s="410">
        <f t="shared" si="163"/>
        <v>0</v>
      </c>
      <c r="R84" s="410">
        <f t="shared" si="163"/>
        <v>22</v>
      </c>
      <c r="S84" s="410"/>
      <c r="T84" s="410">
        <f>AA84+AH84+AO84+AV84+BC84+BJ84+BQ84+BX84+CE84+CL84</f>
        <v>0</v>
      </c>
      <c r="U84" s="410">
        <f>AB84+AI84+AP84+AW84+BD84+BK84+BR84+BY84+CF84+CM84</f>
        <v>32</v>
      </c>
      <c r="V84" s="411">
        <f>SUM(W84:AB84)</f>
        <v>0</v>
      </c>
      <c r="W84" s="190"/>
      <c r="X84" s="190"/>
      <c r="Y84" s="190"/>
      <c r="Z84" s="190"/>
      <c r="AA84" s="190"/>
      <c r="AB84" s="190"/>
      <c r="AC84" s="411">
        <f>SUM(AD84:AI84)</f>
        <v>0</v>
      </c>
      <c r="AD84" s="190"/>
      <c r="AE84" s="190"/>
      <c r="AF84" s="190"/>
      <c r="AG84" s="190"/>
      <c r="AH84" s="190"/>
      <c r="AI84" s="190"/>
      <c r="AJ84" s="411">
        <f>SUM(AK84:AP84)</f>
        <v>0</v>
      </c>
      <c r="AK84" s="190"/>
      <c r="AL84" s="190"/>
      <c r="AM84" s="190"/>
      <c r="AN84" s="190"/>
      <c r="AO84" s="190"/>
      <c r="AP84" s="190"/>
      <c r="AQ84" s="411">
        <f>SUM(AR84:AW84)</f>
        <v>0</v>
      </c>
      <c r="AR84" s="190"/>
      <c r="AS84" s="190"/>
      <c r="AT84" s="190"/>
      <c r="AU84" s="190"/>
      <c r="AV84" s="190"/>
      <c r="AW84" s="190"/>
      <c r="AX84" s="411">
        <f>SUM(AY84:BD84)</f>
        <v>0</v>
      </c>
      <c r="AY84" s="190"/>
      <c r="AZ84" s="412"/>
      <c r="BA84" s="190"/>
      <c r="BB84" s="190"/>
      <c r="BC84" s="190"/>
      <c r="BD84" s="190"/>
      <c r="BE84" s="411">
        <f>SUM(BF84:BK84)</f>
        <v>0</v>
      </c>
      <c r="BF84" s="190"/>
      <c r="BG84" s="412"/>
      <c r="BH84" s="412"/>
      <c r="BI84" s="412"/>
      <c r="BJ84" s="190"/>
      <c r="BK84" s="190"/>
      <c r="BL84" s="411">
        <f>SUM(BM84:BR84)</f>
        <v>32</v>
      </c>
      <c r="BM84" s="190">
        <v>22</v>
      </c>
      <c r="BN84" s="190"/>
      <c r="BO84" s="190"/>
      <c r="BP84" s="190"/>
      <c r="BQ84" s="190"/>
      <c r="BR84" s="190">
        <v>10</v>
      </c>
      <c r="BS84" s="411">
        <f>SUM(BT84:BY84)</f>
        <v>66</v>
      </c>
      <c r="BT84" s="190">
        <v>22</v>
      </c>
      <c r="BU84" s="190"/>
      <c r="BV84" s="190">
        <v>22</v>
      </c>
      <c r="BW84" s="190"/>
      <c r="BX84" s="190"/>
      <c r="BY84" s="190">
        <v>22</v>
      </c>
      <c r="BZ84" s="411"/>
      <c r="CA84" s="190"/>
      <c r="CB84" s="190"/>
      <c r="CC84" s="190"/>
      <c r="CD84" s="190"/>
      <c r="CE84" s="190"/>
      <c r="CF84" s="190"/>
      <c r="CG84" s="411"/>
      <c r="CH84" s="190"/>
      <c r="CI84" s="190"/>
      <c r="CJ84" s="190"/>
      <c r="CK84" s="190"/>
      <c r="CL84" s="190"/>
      <c r="CM84" s="190"/>
      <c r="CN84" s="201" t="s">
        <v>664</v>
      </c>
      <c r="CO84" s="190" t="s">
        <v>361</v>
      </c>
      <c r="CP84" s="450"/>
      <c r="CQ84" s="450"/>
      <c r="CR84" s="450"/>
      <c r="CS84" s="450"/>
      <c r="CT84" s="450"/>
      <c r="CV84" s="450"/>
    </row>
    <row r="85" spans="1:93" s="49" customFormat="1" ht="29.25" customHeight="1">
      <c r="A85" s="247" t="s">
        <v>364</v>
      </c>
      <c r="B85" s="247"/>
      <c r="C85" s="247"/>
      <c r="D85" s="321" t="s">
        <v>387</v>
      </c>
      <c r="E85" s="247"/>
      <c r="F85" s="247"/>
      <c r="G85" s="247"/>
      <c r="H85" s="247"/>
      <c r="I85" s="250"/>
      <c r="J85" s="353"/>
      <c r="K85" s="353"/>
      <c r="L85" s="251"/>
      <c r="M85" s="251"/>
      <c r="N85" s="252"/>
      <c r="O85" s="252"/>
      <c r="P85" s="252"/>
      <c r="Q85" s="252"/>
      <c r="R85" s="252"/>
      <c r="S85" s="252"/>
      <c r="T85" s="252"/>
      <c r="U85" s="252"/>
      <c r="V85" s="252"/>
      <c r="W85" s="251"/>
      <c r="X85" s="251"/>
      <c r="Y85" s="251"/>
      <c r="Z85" s="251"/>
      <c r="AA85" s="251"/>
      <c r="AB85" s="251"/>
      <c r="AC85" s="252"/>
      <c r="AD85" s="251"/>
      <c r="AE85" s="251"/>
      <c r="AF85" s="251"/>
      <c r="AG85" s="251"/>
      <c r="AH85" s="251"/>
      <c r="AI85" s="251"/>
      <c r="AJ85" s="252"/>
      <c r="AK85" s="251"/>
      <c r="AL85" s="251"/>
      <c r="AM85" s="251"/>
      <c r="AN85" s="251"/>
      <c r="AO85" s="251"/>
      <c r="AP85" s="251"/>
      <c r="AQ85" s="252"/>
      <c r="AR85" s="251"/>
      <c r="AS85" s="251"/>
      <c r="AT85" s="251"/>
      <c r="AU85" s="251"/>
      <c r="AV85" s="251"/>
      <c r="AW85" s="251"/>
      <c r="AX85" s="252"/>
      <c r="AY85" s="251"/>
      <c r="AZ85" s="251"/>
      <c r="BA85" s="251"/>
      <c r="BB85" s="251"/>
      <c r="BC85" s="251"/>
      <c r="BD85" s="251"/>
      <c r="BE85" s="252"/>
      <c r="BF85" s="251"/>
      <c r="BG85" s="251"/>
      <c r="BH85" s="251"/>
      <c r="BI85" s="251"/>
      <c r="BJ85" s="251"/>
      <c r="BK85" s="251"/>
      <c r="BL85" s="252"/>
      <c r="BM85" s="251"/>
      <c r="BN85" s="251"/>
      <c r="BO85" s="251"/>
      <c r="BP85" s="251"/>
      <c r="BQ85" s="251"/>
      <c r="BR85" s="251"/>
      <c r="BS85" s="252"/>
      <c r="BT85" s="251"/>
      <c r="BU85" s="251"/>
      <c r="BV85" s="251"/>
      <c r="BW85" s="251"/>
      <c r="BX85" s="251"/>
      <c r="BY85" s="251"/>
      <c r="BZ85" s="252"/>
      <c r="CA85" s="251"/>
      <c r="CB85" s="251"/>
      <c r="CC85" s="251"/>
      <c r="CD85" s="251"/>
      <c r="CE85" s="251"/>
      <c r="CF85" s="251"/>
      <c r="CG85" s="252"/>
      <c r="CH85" s="251"/>
      <c r="CI85" s="251"/>
      <c r="CJ85" s="251"/>
      <c r="CK85" s="251"/>
      <c r="CL85" s="251"/>
      <c r="CM85" s="251"/>
      <c r="CN85" s="250"/>
      <c r="CO85" s="251"/>
    </row>
    <row r="86" spans="1:93" s="49" customFormat="1" ht="25.5" customHeight="1">
      <c r="A86" s="253" t="s">
        <v>197</v>
      </c>
      <c r="B86" s="665" t="s">
        <v>383</v>
      </c>
      <c r="C86" s="666"/>
      <c r="D86" s="666"/>
      <c r="E86" s="666"/>
      <c r="F86" s="666"/>
      <c r="G86" s="666"/>
      <c r="H86" s="666"/>
      <c r="I86" s="667"/>
      <c r="J86" s="351"/>
      <c r="K86" s="351"/>
      <c r="L86" s="254"/>
      <c r="M86" s="254"/>
      <c r="N86" s="255">
        <f>N87</f>
        <v>112</v>
      </c>
      <c r="O86" s="255">
        <f aca="true" t="shared" si="164" ref="O86:U86">O87</f>
        <v>77</v>
      </c>
      <c r="P86" s="255">
        <f t="shared" si="164"/>
        <v>66</v>
      </c>
      <c r="Q86" s="255">
        <f t="shared" si="164"/>
        <v>11</v>
      </c>
      <c r="R86" s="255">
        <f t="shared" si="164"/>
        <v>0</v>
      </c>
      <c r="S86" s="255"/>
      <c r="T86" s="255">
        <f t="shared" si="164"/>
        <v>0</v>
      </c>
      <c r="U86" s="255">
        <f t="shared" si="164"/>
        <v>35</v>
      </c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>
        <f>SUM(AX87)</f>
        <v>0</v>
      </c>
      <c r="AY86" s="255">
        <f>SUM(AY87)</f>
        <v>0</v>
      </c>
      <c r="AZ86" s="255">
        <f>SUM(AZ87)</f>
        <v>0</v>
      </c>
      <c r="BA86" s="255">
        <f>SUM(BA87)</f>
        <v>0</v>
      </c>
      <c r="BB86" s="255"/>
      <c r="BC86" s="255">
        <f aca="true" t="shared" si="165" ref="BC86:BH86">SUM(BC87)</f>
        <v>0</v>
      </c>
      <c r="BD86" s="255">
        <f t="shared" si="165"/>
        <v>0</v>
      </c>
      <c r="BE86" s="255">
        <f t="shared" si="165"/>
        <v>0</v>
      </c>
      <c r="BF86" s="255">
        <f t="shared" si="165"/>
        <v>0</v>
      </c>
      <c r="BG86" s="255">
        <f t="shared" si="165"/>
        <v>0</v>
      </c>
      <c r="BH86" s="255">
        <f t="shared" si="165"/>
        <v>0</v>
      </c>
      <c r="BI86" s="255"/>
      <c r="BJ86" s="255">
        <f aca="true" t="shared" si="166" ref="BJ86:BO86">SUM(BJ87)</f>
        <v>0</v>
      </c>
      <c r="BK86" s="255">
        <f t="shared" si="166"/>
        <v>0</v>
      </c>
      <c r="BL86" s="255">
        <f t="shared" si="166"/>
        <v>32</v>
      </c>
      <c r="BM86" s="255">
        <f t="shared" si="166"/>
        <v>22</v>
      </c>
      <c r="BN86" s="255">
        <f t="shared" si="166"/>
        <v>0</v>
      </c>
      <c r="BO86" s="255">
        <f t="shared" si="166"/>
        <v>0</v>
      </c>
      <c r="BP86" s="255"/>
      <c r="BQ86" s="255">
        <f aca="true" t="shared" si="167" ref="BQ86:BV86">SUM(BQ87)</f>
        <v>0</v>
      </c>
      <c r="BR86" s="255">
        <f t="shared" si="167"/>
        <v>10</v>
      </c>
      <c r="BS86" s="255">
        <f t="shared" si="167"/>
        <v>80</v>
      </c>
      <c r="BT86" s="255">
        <f t="shared" si="167"/>
        <v>44</v>
      </c>
      <c r="BU86" s="255">
        <f t="shared" si="167"/>
        <v>11</v>
      </c>
      <c r="BV86" s="255">
        <f t="shared" si="167"/>
        <v>0</v>
      </c>
      <c r="BW86" s="255"/>
      <c r="BX86" s="255">
        <f aca="true" t="shared" si="168" ref="BX86:CC86">SUM(BX87)</f>
        <v>0</v>
      </c>
      <c r="BY86" s="255">
        <f t="shared" si="168"/>
        <v>25</v>
      </c>
      <c r="BZ86" s="255">
        <f t="shared" si="168"/>
        <v>0</v>
      </c>
      <c r="CA86" s="255">
        <f t="shared" si="168"/>
        <v>0</v>
      </c>
      <c r="CB86" s="255">
        <f t="shared" si="168"/>
        <v>0</v>
      </c>
      <c r="CC86" s="255">
        <f t="shared" si="168"/>
        <v>0</v>
      </c>
      <c r="CD86" s="255"/>
      <c r="CE86" s="255">
        <f aca="true" t="shared" si="169" ref="CE86:CJ86">SUM(CE87)</f>
        <v>0</v>
      </c>
      <c r="CF86" s="255">
        <f t="shared" si="169"/>
        <v>0</v>
      </c>
      <c r="CG86" s="255">
        <f t="shared" si="169"/>
        <v>0</v>
      </c>
      <c r="CH86" s="255">
        <f t="shared" si="169"/>
        <v>0</v>
      </c>
      <c r="CI86" s="255">
        <f t="shared" si="169"/>
        <v>0</v>
      </c>
      <c r="CJ86" s="255">
        <f t="shared" si="169"/>
        <v>0</v>
      </c>
      <c r="CK86" s="255"/>
      <c r="CL86" s="255">
        <f>SUM(CL87)</f>
        <v>0</v>
      </c>
      <c r="CM86" s="255">
        <f>SUM(CM87)</f>
        <v>0</v>
      </c>
      <c r="CN86" s="256"/>
      <c r="CO86" s="262" t="s">
        <v>438</v>
      </c>
    </row>
    <row r="87" spans="1:100" s="414" customFormat="1" ht="33.75" customHeight="1">
      <c r="A87" s="512" t="s">
        <v>384</v>
      </c>
      <c r="B87" s="513" t="s">
        <v>385</v>
      </c>
      <c r="C87" s="232"/>
      <c r="D87" s="514"/>
      <c r="E87" s="514" t="s">
        <v>37</v>
      </c>
      <c r="F87" s="515"/>
      <c r="G87" s="515"/>
      <c r="H87" s="515"/>
      <c r="I87" s="516" t="s">
        <v>42</v>
      </c>
      <c r="J87" s="357"/>
      <c r="K87" s="357"/>
      <c r="L87" s="517"/>
      <c r="M87" s="517"/>
      <c r="N87" s="518">
        <f>O87+SUM(U87:U87)</f>
        <v>112</v>
      </c>
      <c r="O87" s="518">
        <f>SUM(P87:T87)</f>
        <v>77</v>
      </c>
      <c r="P87" s="518">
        <f>W87+AD87+AK87+AR87+AY87+BF87+BM87+BT87+CA87+CH87</f>
        <v>66</v>
      </c>
      <c r="Q87" s="518">
        <f>X87+AE87+AL87+AS87+AZ87+BG87+BN87+BU87+CB87+CI87</f>
        <v>11</v>
      </c>
      <c r="R87" s="518">
        <f>Y87+AF87+AM87+AT87+BA87+BH87+BO87+BV87+CC87+CJ87</f>
        <v>0</v>
      </c>
      <c r="S87" s="518"/>
      <c r="T87" s="518">
        <f>AA87+AH87+AO87+AV87+BC87+BJ87+BQ87+BX87+CE87+CL87</f>
        <v>0</v>
      </c>
      <c r="U87" s="518">
        <f>AB87+AI87+AP87+AW87+BD87+BK87+BR87+BY87+CF87+CM87</f>
        <v>35</v>
      </c>
      <c r="V87" s="518">
        <f>SUM(W87:AB87)</f>
        <v>0</v>
      </c>
      <c r="W87" s="517"/>
      <c r="X87" s="517"/>
      <c r="Y87" s="517"/>
      <c r="Z87" s="517"/>
      <c r="AA87" s="517"/>
      <c r="AB87" s="517"/>
      <c r="AC87" s="518">
        <f>SUM(AD87:AI87)</f>
        <v>0</v>
      </c>
      <c r="AD87" s="517"/>
      <c r="AE87" s="517"/>
      <c r="AF87" s="517"/>
      <c r="AG87" s="517"/>
      <c r="AH87" s="517"/>
      <c r="AI87" s="517"/>
      <c r="AJ87" s="518">
        <f>SUM(AK87:AP87)</f>
        <v>0</v>
      </c>
      <c r="AK87" s="517"/>
      <c r="AL87" s="517"/>
      <c r="AM87" s="517"/>
      <c r="AN87" s="517"/>
      <c r="AO87" s="517"/>
      <c r="AP87" s="517"/>
      <c r="AQ87" s="518">
        <f>SUM(AR87:AW87)</f>
        <v>0</v>
      </c>
      <c r="AR87" s="517"/>
      <c r="AS87" s="517"/>
      <c r="AT87" s="517"/>
      <c r="AU87" s="517"/>
      <c r="AV87" s="517"/>
      <c r="AW87" s="517"/>
      <c r="AX87" s="518">
        <f>SUM(AY87:BD87)</f>
        <v>0</v>
      </c>
      <c r="AY87" s="517"/>
      <c r="AZ87" s="517"/>
      <c r="BA87" s="517"/>
      <c r="BB87" s="517"/>
      <c r="BC87" s="517"/>
      <c r="BD87" s="517"/>
      <c r="BE87" s="518">
        <f>SUM(BF87:BK87)</f>
        <v>0</v>
      </c>
      <c r="BF87" s="517"/>
      <c r="BG87" s="517"/>
      <c r="BH87" s="517"/>
      <c r="BI87" s="517"/>
      <c r="BJ87" s="517"/>
      <c r="BK87" s="517"/>
      <c r="BL87" s="518">
        <f>SUM(BM87:BR87)</f>
        <v>32</v>
      </c>
      <c r="BM87" s="517">
        <v>22</v>
      </c>
      <c r="BN87" s="517"/>
      <c r="BO87" s="517"/>
      <c r="BP87" s="517"/>
      <c r="BQ87" s="517"/>
      <c r="BR87" s="517">
        <v>10</v>
      </c>
      <c r="BS87" s="518">
        <f>SUM(BT87:BY87)</f>
        <v>80</v>
      </c>
      <c r="BT87" s="517">
        <v>44</v>
      </c>
      <c r="BU87" s="517">
        <v>11</v>
      </c>
      <c r="BV87" s="517"/>
      <c r="BW87" s="517"/>
      <c r="BX87" s="517"/>
      <c r="BY87" s="517">
        <v>25</v>
      </c>
      <c r="BZ87" s="518">
        <f>SUM(CA87:CF87)</f>
        <v>0</v>
      </c>
      <c r="CA87" s="517"/>
      <c r="CB87" s="517"/>
      <c r="CC87" s="517"/>
      <c r="CD87" s="517"/>
      <c r="CE87" s="517"/>
      <c r="CF87" s="517"/>
      <c r="CG87" s="518">
        <f>SUM(CH87:CM87)</f>
        <v>0</v>
      </c>
      <c r="CH87" s="517"/>
      <c r="CI87" s="517"/>
      <c r="CJ87" s="517"/>
      <c r="CK87" s="517"/>
      <c r="CL87" s="517"/>
      <c r="CM87" s="517"/>
      <c r="CN87" s="201" t="s">
        <v>469</v>
      </c>
      <c r="CO87" s="517" t="s">
        <v>438</v>
      </c>
      <c r="CP87" s="450"/>
      <c r="CQ87" s="450"/>
      <c r="CR87" s="450"/>
      <c r="CS87" s="450"/>
      <c r="CT87" s="450"/>
      <c r="CV87" s="450"/>
    </row>
    <row r="88" spans="1:93" s="49" customFormat="1" ht="29.25" customHeight="1">
      <c r="A88" s="247" t="s">
        <v>364</v>
      </c>
      <c r="B88" s="247"/>
      <c r="C88" s="247"/>
      <c r="D88" s="260" t="s">
        <v>387</v>
      </c>
      <c r="E88" s="247"/>
      <c r="F88" s="247"/>
      <c r="G88" s="247"/>
      <c r="H88" s="247"/>
      <c r="I88" s="250"/>
      <c r="J88" s="353"/>
      <c r="K88" s="353"/>
      <c r="L88" s="251"/>
      <c r="M88" s="251"/>
      <c r="N88" s="252"/>
      <c r="O88" s="252"/>
      <c r="P88" s="252"/>
      <c r="Q88" s="252"/>
      <c r="R88" s="252"/>
      <c r="S88" s="252"/>
      <c r="T88" s="252"/>
      <c r="U88" s="252"/>
      <c r="V88" s="252"/>
      <c r="W88" s="251"/>
      <c r="X88" s="251"/>
      <c r="Y88" s="251"/>
      <c r="Z88" s="251"/>
      <c r="AA88" s="251"/>
      <c r="AB88" s="251"/>
      <c r="AC88" s="252"/>
      <c r="AD88" s="251"/>
      <c r="AE88" s="251"/>
      <c r="AF88" s="251"/>
      <c r="AG88" s="251"/>
      <c r="AH88" s="251"/>
      <c r="AI88" s="251"/>
      <c r="AJ88" s="252"/>
      <c r="AK88" s="251"/>
      <c r="AL88" s="251"/>
      <c r="AM88" s="251"/>
      <c r="AN88" s="251"/>
      <c r="AO88" s="251"/>
      <c r="AP88" s="251"/>
      <c r="AQ88" s="252"/>
      <c r="AR88" s="251"/>
      <c r="AS88" s="251"/>
      <c r="AT88" s="251"/>
      <c r="AU88" s="251"/>
      <c r="AV88" s="251"/>
      <c r="AW88" s="251"/>
      <c r="AX88" s="252"/>
      <c r="AY88" s="251"/>
      <c r="AZ88" s="251"/>
      <c r="BA88" s="251"/>
      <c r="BB88" s="251"/>
      <c r="BC88" s="251"/>
      <c r="BD88" s="251"/>
      <c r="BE88" s="252"/>
      <c r="BF88" s="251"/>
      <c r="BG88" s="251"/>
      <c r="BH88" s="251"/>
      <c r="BI88" s="251"/>
      <c r="BJ88" s="251"/>
      <c r="BK88" s="251"/>
      <c r="BL88" s="252"/>
      <c r="BM88" s="251"/>
      <c r="BN88" s="251"/>
      <c r="BO88" s="251"/>
      <c r="BP88" s="251"/>
      <c r="BQ88" s="251"/>
      <c r="BR88" s="251"/>
      <c r="BS88" s="252"/>
      <c r="BT88" s="251"/>
      <c r="BU88" s="251"/>
      <c r="BV88" s="251"/>
      <c r="BW88" s="251"/>
      <c r="BX88" s="251"/>
      <c r="BY88" s="251"/>
      <c r="BZ88" s="252"/>
      <c r="CA88" s="251"/>
      <c r="CB88" s="251"/>
      <c r="CC88" s="251"/>
      <c r="CD88" s="251"/>
      <c r="CE88" s="251"/>
      <c r="CF88" s="251"/>
      <c r="CG88" s="252"/>
      <c r="CH88" s="251"/>
      <c r="CI88" s="251"/>
      <c r="CJ88" s="251"/>
      <c r="CK88" s="251"/>
      <c r="CL88" s="251"/>
      <c r="CM88" s="251"/>
      <c r="CN88" s="250"/>
      <c r="CO88" s="251"/>
    </row>
    <row r="89" spans="1:93" s="49" customFormat="1" ht="25.5" customHeight="1">
      <c r="A89" s="253" t="s">
        <v>597</v>
      </c>
      <c r="B89" s="665" t="s">
        <v>198</v>
      </c>
      <c r="C89" s="666"/>
      <c r="D89" s="666"/>
      <c r="E89" s="666"/>
      <c r="F89" s="666"/>
      <c r="G89" s="666"/>
      <c r="H89" s="666"/>
      <c r="I89" s="667"/>
      <c r="J89" s="351"/>
      <c r="K89" s="351"/>
      <c r="L89" s="254"/>
      <c r="M89" s="254"/>
      <c r="N89" s="255">
        <f aca="true" t="shared" si="170" ref="N89:U89">SUM(N90:N90)</f>
        <v>100</v>
      </c>
      <c r="O89" s="255">
        <f t="shared" si="170"/>
        <v>68</v>
      </c>
      <c r="P89" s="255">
        <f t="shared" si="170"/>
        <v>68</v>
      </c>
      <c r="Q89" s="255">
        <f t="shared" si="170"/>
        <v>0</v>
      </c>
      <c r="R89" s="255">
        <f t="shared" si="170"/>
        <v>0</v>
      </c>
      <c r="S89" s="255"/>
      <c r="T89" s="255">
        <f t="shared" si="170"/>
        <v>0</v>
      </c>
      <c r="U89" s="255">
        <f t="shared" si="170"/>
        <v>32</v>
      </c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>
        <f>AQ90</f>
        <v>100</v>
      </c>
      <c r="AR89" s="255">
        <f>AR90</f>
        <v>68</v>
      </c>
      <c r="AS89" s="255">
        <f>AS90</f>
        <v>0</v>
      </c>
      <c r="AT89" s="255">
        <f>AT90</f>
        <v>0</v>
      </c>
      <c r="AU89" s="255"/>
      <c r="AV89" s="255">
        <f>AV90</f>
        <v>0</v>
      </c>
      <c r="AW89" s="255">
        <f>AW90</f>
        <v>32</v>
      </c>
      <c r="AX89" s="255">
        <f>SUM(AX90)</f>
        <v>0</v>
      </c>
      <c r="AY89" s="255">
        <f>SUM(AY90)</f>
        <v>0</v>
      </c>
      <c r="AZ89" s="255">
        <f>SUM(AZ90)</f>
        <v>0</v>
      </c>
      <c r="BA89" s="255">
        <f>SUM(BA90)</f>
        <v>0</v>
      </c>
      <c r="BB89" s="255"/>
      <c r="BC89" s="255">
        <f aca="true" t="shared" si="171" ref="BC89:BH89">SUM(BC90)</f>
        <v>0</v>
      </c>
      <c r="BD89" s="255">
        <f t="shared" si="171"/>
        <v>0</v>
      </c>
      <c r="BE89" s="255">
        <f t="shared" si="171"/>
        <v>0</v>
      </c>
      <c r="BF89" s="255">
        <f t="shared" si="171"/>
        <v>0</v>
      </c>
      <c r="BG89" s="255">
        <f t="shared" si="171"/>
        <v>0</v>
      </c>
      <c r="BH89" s="255">
        <f t="shared" si="171"/>
        <v>0</v>
      </c>
      <c r="BI89" s="255"/>
      <c r="BJ89" s="255">
        <f aca="true" t="shared" si="172" ref="BJ89:BO89">SUM(BJ90)</f>
        <v>0</v>
      </c>
      <c r="BK89" s="255">
        <f t="shared" si="172"/>
        <v>0</v>
      </c>
      <c r="BL89" s="255">
        <f t="shared" si="172"/>
        <v>0</v>
      </c>
      <c r="BM89" s="255">
        <f t="shared" si="172"/>
        <v>0</v>
      </c>
      <c r="BN89" s="255">
        <f t="shared" si="172"/>
        <v>0</v>
      </c>
      <c r="BO89" s="255">
        <f t="shared" si="172"/>
        <v>0</v>
      </c>
      <c r="BP89" s="255"/>
      <c r="BQ89" s="255">
        <f aca="true" t="shared" si="173" ref="BQ89:BV89">SUM(BQ90)</f>
        <v>0</v>
      </c>
      <c r="BR89" s="255">
        <f t="shared" si="173"/>
        <v>0</v>
      </c>
      <c r="BS89" s="255">
        <f t="shared" si="173"/>
        <v>0</v>
      </c>
      <c r="BT89" s="255">
        <f t="shared" si="173"/>
        <v>0</v>
      </c>
      <c r="BU89" s="255">
        <f t="shared" si="173"/>
        <v>0</v>
      </c>
      <c r="BV89" s="255">
        <f t="shared" si="173"/>
        <v>0</v>
      </c>
      <c r="BW89" s="255"/>
      <c r="BX89" s="255">
        <f aca="true" t="shared" si="174" ref="BX89:CC89">SUM(BX90)</f>
        <v>0</v>
      </c>
      <c r="BY89" s="255">
        <f t="shared" si="174"/>
        <v>0</v>
      </c>
      <c r="BZ89" s="255">
        <f t="shared" si="174"/>
        <v>0</v>
      </c>
      <c r="CA89" s="255">
        <f t="shared" si="174"/>
        <v>0</v>
      </c>
      <c r="CB89" s="255">
        <f t="shared" si="174"/>
        <v>0</v>
      </c>
      <c r="CC89" s="255">
        <f t="shared" si="174"/>
        <v>0</v>
      </c>
      <c r="CD89" s="255"/>
      <c r="CE89" s="255">
        <f aca="true" t="shared" si="175" ref="CE89:CJ89">SUM(CE90)</f>
        <v>0</v>
      </c>
      <c r="CF89" s="255">
        <f t="shared" si="175"/>
        <v>0</v>
      </c>
      <c r="CG89" s="255">
        <f t="shared" si="175"/>
        <v>0</v>
      </c>
      <c r="CH89" s="255">
        <f t="shared" si="175"/>
        <v>0</v>
      </c>
      <c r="CI89" s="255">
        <f t="shared" si="175"/>
        <v>0</v>
      </c>
      <c r="CJ89" s="255">
        <f t="shared" si="175"/>
        <v>0</v>
      </c>
      <c r="CK89" s="255"/>
      <c r="CL89" s="255">
        <f>SUM(CL90)</f>
        <v>0</v>
      </c>
      <c r="CM89" s="255">
        <f>SUM(CM90)</f>
        <v>0</v>
      </c>
      <c r="CN89" s="255"/>
      <c r="CO89" s="255"/>
    </row>
    <row r="90" spans="1:256" s="164" customFormat="1" ht="25.5" customHeight="1">
      <c r="A90" s="203"/>
      <c r="B90" s="181" t="s">
        <v>558</v>
      </c>
      <c r="C90" s="122" t="s">
        <v>558</v>
      </c>
      <c r="D90" s="199" t="s">
        <v>39</v>
      </c>
      <c r="E90" s="199"/>
      <c r="F90" s="180"/>
      <c r="G90" s="180"/>
      <c r="H90" s="180"/>
      <c r="I90" s="180"/>
      <c r="J90" s="350"/>
      <c r="K90" s="350"/>
      <c r="L90" s="116"/>
      <c r="M90" s="116"/>
      <c r="N90" s="189">
        <f>O90+SUM(U90:U90)</f>
        <v>100</v>
      </c>
      <c r="O90" s="189">
        <f>SUM(P90:T90)</f>
        <v>68</v>
      </c>
      <c r="P90" s="189">
        <f>W90+AD90+AK90+AR90+AY90+BF90+BM90+BT90+CA90+CH90</f>
        <v>68</v>
      </c>
      <c r="Q90" s="189">
        <f>X90+AE90+AL90+AS90+AZ90+BG90+BN90+BU90+CB90+CI90</f>
        <v>0</v>
      </c>
      <c r="R90" s="189">
        <f>Y90+AF90+AM90+AT90+BA90+BH90+BO90+BV90+CC90+CJ90</f>
        <v>0</v>
      </c>
      <c r="S90" s="189"/>
      <c r="T90" s="189">
        <f>AA90+AH90+AO90+AV90+BC90+BJ90+BQ90+BX90+CE90+CL90</f>
        <v>0</v>
      </c>
      <c r="U90" s="189">
        <f>AB90+AI90+AP90+AW90+BD90+BK90+BR90+BY90+CF90+CM90</f>
        <v>32</v>
      </c>
      <c r="V90" s="182">
        <f>SUM(W90:AB90)</f>
        <v>0</v>
      </c>
      <c r="W90" s="116"/>
      <c r="X90" s="116"/>
      <c r="Y90" s="116"/>
      <c r="Z90" s="116"/>
      <c r="AA90" s="116"/>
      <c r="AB90" s="116"/>
      <c r="AC90" s="182">
        <f>SUM(AD90:AI90)</f>
        <v>0</v>
      </c>
      <c r="AD90" s="116"/>
      <c r="AE90" s="116"/>
      <c r="AF90" s="116"/>
      <c r="AG90" s="116"/>
      <c r="AH90" s="116"/>
      <c r="AI90" s="116"/>
      <c r="AJ90" s="182">
        <f>SUM(AK90:AP90)</f>
        <v>0</v>
      </c>
      <c r="AK90" s="116"/>
      <c r="AL90" s="116"/>
      <c r="AM90" s="116"/>
      <c r="AN90" s="116"/>
      <c r="AO90" s="116"/>
      <c r="AP90" s="116"/>
      <c r="AQ90" s="182">
        <f>SUM(AR90:AW90)</f>
        <v>100</v>
      </c>
      <c r="AR90" s="117">
        <v>68</v>
      </c>
      <c r="AS90" s="116"/>
      <c r="AT90" s="116"/>
      <c r="AU90" s="116"/>
      <c r="AV90" s="116"/>
      <c r="AW90" s="117">
        <v>32</v>
      </c>
      <c r="AX90" s="182">
        <f>SUM(AY90:BD90)</f>
        <v>0</v>
      </c>
      <c r="AY90" s="116"/>
      <c r="AZ90" s="116"/>
      <c r="BA90" s="116"/>
      <c r="BB90" s="116"/>
      <c r="BC90" s="116"/>
      <c r="BD90" s="116"/>
      <c r="BE90" s="182">
        <f>SUM(BF90:BK90)</f>
        <v>0</v>
      </c>
      <c r="BF90" s="116"/>
      <c r="BG90" s="116"/>
      <c r="BH90" s="116"/>
      <c r="BI90" s="116"/>
      <c r="BJ90" s="116"/>
      <c r="BK90" s="116"/>
      <c r="BL90" s="182">
        <f>SUM(BM90:BR90)</f>
        <v>0</v>
      </c>
      <c r="BM90" s="116"/>
      <c r="BN90" s="116"/>
      <c r="BO90" s="116"/>
      <c r="BP90" s="116"/>
      <c r="BQ90" s="116"/>
      <c r="BR90" s="116"/>
      <c r="BS90" s="182">
        <f>SUM(BT90:BY90)</f>
        <v>0</v>
      </c>
      <c r="BT90" s="116"/>
      <c r="BU90" s="116"/>
      <c r="BV90" s="116"/>
      <c r="BW90" s="116"/>
      <c r="BX90" s="116"/>
      <c r="BY90" s="116"/>
      <c r="BZ90" s="182"/>
      <c r="CA90" s="116"/>
      <c r="CB90" s="116"/>
      <c r="CC90" s="116"/>
      <c r="CD90" s="116"/>
      <c r="CE90" s="116"/>
      <c r="CF90" s="116"/>
      <c r="CG90" s="182"/>
      <c r="CH90" s="116"/>
      <c r="CI90" s="116"/>
      <c r="CJ90" s="116"/>
      <c r="CK90" s="116"/>
      <c r="CL90" s="116"/>
      <c r="CM90" s="116"/>
      <c r="CN90" s="180" t="s">
        <v>471</v>
      </c>
      <c r="CO90" s="116" t="s">
        <v>676</v>
      </c>
      <c r="CP90" s="450"/>
      <c r="CQ90" s="450"/>
      <c r="CR90" s="450"/>
      <c r="CS90" s="450"/>
      <c r="CT90" s="450"/>
      <c r="CU90" s="450"/>
      <c r="CV90" s="450"/>
      <c r="CW90" s="450"/>
      <c r="CX90" s="450"/>
      <c r="CY90" s="450"/>
      <c r="CZ90" s="450"/>
      <c r="DA90" s="450"/>
      <c r="DB90" s="450"/>
      <c r="DC90" s="450"/>
      <c r="DD90" s="450"/>
      <c r="DE90" s="450"/>
      <c r="DF90" s="450"/>
      <c r="DG90" s="450"/>
      <c r="DH90" s="450"/>
      <c r="DI90" s="450"/>
      <c r="DJ90" s="450"/>
      <c r="DK90" s="450"/>
      <c r="DL90" s="450"/>
      <c r="DM90" s="450"/>
      <c r="DN90" s="450"/>
      <c r="DO90" s="450"/>
      <c r="DP90" s="450"/>
      <c r="DQ90" s="450"/>
      <c r="DR90" s="450"/>
      <c r="DS90" s="450"/>
      <c r="DT90" s="450"/>
      <c r="DU90" s="450"/>
      <c r="DV90" s="450"/>
      <c r="DW90" s="450"/>
      <c r="DX90" s="450"/>
      <c r="DY90" s="450"/>
      <c r="DZ90" s="450"/>
      <c r="EA90" s="450"/>
      <c r="EB90" s="450"/>
      <c r="EC90" s="450"/>
      <c r="ED90" s="450"/>
      <c r="EE90" s="450"/>
      <c r="EF90" s="450"/>
      <c r="EG90" s="450"/>
      <c r="EH90" s="450"/>
      <c r="EI90" s="450"/>
      <c r="EJ90" s="450"/>
      <c r="EK90" s="450"/>
      <c r="EL90" s="450"/>
      <c r="EM90" s="450"/>
      <c r="EN90" s="450"/>
      <c r="EO90" s="450"/>
      <c r="EP90" s="450"/>
      <c r="EQ90" s="450"/>
      <c r="ER90" s="450"/>
      <c r="ES90" s="450"/>
      <c r="ET90" s="450"/>
      <c r="EU90" s="450"/>
      <c r="EV90" s="450"/>
      <c r="EW90" s="450"/>
      <c r="EX90" s="450"/>
      <c r="EY90" s="450"/>
      <c r="EZ90" s="450"/>
      <c r="FA90" s="450"/>
      <c r="FB90" s="450"/>
      <c r="FC90" s="450"/>
      <c r="FD90" s="450"/>
      <c r="FE90" s="450"/>
      <c r="FF90" s="450"/>
      <c r="FG90" s="450"/>
      <c r="FH90" s="450"/>
      <c r="FI90" s="450"/>
      <c r="FJ90" s="450"/>
      <c r="FK90" s="450"/>
      <c r="FL90" s="450"/>
      <c r="FM90" s="450"/>
      <c r="FN90" s="450"/>
      <c r="FO90" s="450"/>
      <c r="FP90" s="450"/>
      <c r="FQ90" s="450"/>
      <c r="FR90" s="450"/>
      <c r="FS90" s="450"/>
      <c r="FT90" s="450"/>
      <c r="FU90" s="450"/>
      <c r="FV90" s="450"/>
      <c r="FW90" s="450"/>
      <c r="FX90" s="450"/>
      <c r="FY90" s="450"/>
      <c r="FZ90" s="450"/>
      <c r="GA90" s="450"/>
      <c r="GB90" s="450"/>
      <c r="GC90" s="450"/>
      <c r="GD90" s="450"/>
      <c r="GE90" s="450"/>
      <c r="GF90" s="450"/>
      <c r="GG90" s="450"/>
      <c r="GH90" s="450"/>
      <c r="GI90" s="450"/>
      <c r="GJ90" s="450"/>
      <c r="GK90" s="450"/>
      <c r="GL90" s="450"/>
      <c r="GM90" s="450"/>
      <c r="GN90" s="450"/>
      <c r="GO90" s="450"/>
      <c r="GP90" s="450"/>
      <c r="GQ90" s="450"/>
      <c r="GR90" s="450"/>
      <c r="GS90" s="450"/>
      <c r="GT90" s="450"/>
      <c r="GU90" s="450"/>
      <c r="GV90" s="450"/>
      <c r="GW90" s="450"/>
      <c r="GX90" s="450"/>
      <c r="GY90" s="450"/>
      <c r="GZ90" s="450"/>
      <c r="HA90" s="450"/>
      <c r="HB90" s="450"/>
      <c r="HC90" s="450"/>
      <c r="HD90" s="450"/>
      <c r="HE90" s="450"/>
      <c r="HF90" s="450"/>
      <c r="HG90" s="450"/>
      <c r="HH90" s="450"/>
      <c r="HI90" s="450"/>
      <c r="HJ90" s="450"/>
      <c r="HK90" s="450"/>
      <c r="HL90" s="450"/>
      <c r="HM90" s="450"/>
      <c r="HN90" s="450"/>
      <c r="HO90" s="450"/>
      <c r="HP90" s="450"/>
      <c r="HQ90" s="450"/>
      <c r="HR90" s="450"/>
      <c r="HS90" s="450"/>
      <c r="HT90" s="450"/>
      <c r="HU90" s="450"/>
      <c r="HV90" s="450"/>
      <c r="HW90" s="450"/>
      <c r="HX90" s="450"/>
      <c r="HY90" s="450"/>
      <c r="HZ90" s="450"/>
      <c r="IA90" s="450"/>
      <c r="IB90" s="450"/>
      <c r="IC90" s="450"/>
      <c r="ID90" s="450"/>
      <c r="IE90" s="450"/>
      <c r="IF90" s="450"/>
      <c r="IG90" s="450"/>
      <c r="IH90" s="450"/>
      <c r="II90" s="450"/>
      <c r="IJ90" s="450"/>
      <c r="IK90" s="450"/>
      <c r="IL90" s="450"/>
      <c r="IM90" s="450"/>
      <c r="IN90" s="450"/>
      <c r="IO90" s="450"/>
      <c r="IP90" s="450"/>
      <c r="IQ90" s="450"/>
      <c r="IR90" s="450"/>
      <c r="IS90" s="450"/>
      <c r="IT90" s="450"/>
      <c r="IU90" s="450"/>
      <c r="IV90" s="450"/>
    </row>
    <row r="91" spans="1:93" s="49" customFormat="1" ht="27.75" customHeight="1">
      <c r="A91" s="247" t="s">
        <v>364</v>
      </c>
      <c r="B91" s="247"/>
      <c r="C91" s="247"/>
      <c r="D91" s="261">
        <v>5</v>
      </c>
      <c r="E91" s="247"/>
      <c r="F91" s="247"/>
      <c r="G91" s="247"/>
      <c r="H91" s="247"/>
      <c r="I91" s="250"/>
      <c r="J91" s="353"/>
      <c r="K91" s="353"/>
      <c r="L91" s="251"/>
      <c r="M91" s="251"/>
      <c r="N91" s="252"/>
      <c r="O91" s="252"/>
      <c r="P91" s="252"/>
      <c r="Q91" s="252"/>
      <c r="R91" s="252"/>
      <c r="S91" s="252"/>
      <c r="T91" s="252"/>
      <c r="U91" s="252"/>
      <c r="V91" s="252"/>
      <c r="W91" s="251"/>
      <c r="X91" s="251"/>
      <c r="Y91" s="251"/>
      <c r="Z91" s="251"/>
      <c r="AA91" s="251"/>
      <c r="AB91" s="251"/>
      <c r="AC91" s="252"/>
      <c r="AD91" s="251"/>
      <c r="AE91" s="251"/>
      <c r="AF91" s="251"/>
      <c r="AG91" s="251"/>
      <c r="AH91" s="251"/>
      <c r="AI91" s="251"/>
      <c r="AJ91" s="252"/>
      <c r="AK91" s="251"/>
      <c r="AL91" s="251"/>
      <c r="AM91" s="251"/>
      <c r="AN91" s="251"/>
      <c r="AO91" s="251"/>
      <c r="AP91" s="251"/>
      <c r="AQ91" s="252"/>
      <c r="AR91" s="251"/>
      <c r="AS91" s="251"/>
      <c r="AT91" s="251"/>
      <c r="AU91" s="251"/>
      <c r="AV91" s="251"/>
      <c r="AW91" s="251"/>
      <c r="AX91" s="252"/>
      <c r="AY91" s="251"/>
      <c r="AZ91" s="251"/>
      <c r="BA91" s="251"/>
      <c r="BB91" s="251"/>
      <c r="BC91" s="251"/>
      <c r="BD91" s="251"/>
      <c r="BE91" s="252"/>
      <c r="BF91" s="251"/>
      <c r="BG91" s="251"/>
      <c r="BH91" s="251"/>
      <c r="BI91" s="251"/>
      <c r="BJ91" s="251"/>
      <c r="BK91" s="251"/>
      <c r="BL91" s="252"/>
      <c r="BM91" s="251"/>
      <c r="BN91" s="251"/>
      <c r="BO91" s="251"/>
      <c r="BP91" s="251"/>
      <c r="BQ91" s="251"/>
      <c r="BR91" s="251"/>
      <c r="BS91" s="252"/>
      <c r="BT91" s="251"/>
      <c r="BU91" s="251"/>
      <c r="BV91" s="251"/>
      <c r="BW91" s="251"/>
      <c r="BX91" s="251"/>
      <c r="BY91" s="251"/>
      <c r="BZ91" s="252"/>
      <c r="CA91" s="251"/>
      <c r="CB91" s="251"/>
      <c r="CC91" s="251"/>
      <c r="CD91" s="251"/>
      <c r="CE91" s="251"/>
      <c r="CF91" s="251"/>
      <c r="CG91" s="252"/>
      <c r="CH91" s="251"/>
      <c r="CI91" s="251"/>
      <c r="CJ91" s="251"/>
      <c r="CK91" s="251"/>
      <c r="CL91" s="251"/>
      <c r="CM91" s="251"/>
      <c r="CN91" s="250"/>
      <c r="CO91" s="251"/>
    </row>
    <row r="92" spans="1:100" s="48" customFormat="1" ht="25.5" customHeight="1">
      <c r="A92" s="266" t="s">
        <v>329</v>
      </c>
      <c r="B92" s="655" t="s">
        <v>362</v>
      </c>
      <c r="C92" s="656"/>
      <c r="D92" s="656"/>
      <c r="E92" s="656"/>
      <c r="F92" s="656"/>
      <c r="G92" s="656"/>
      <c r="H92" s="656"/>
      <c r="I92" s="657"/>
      <c r="J92" s="342">
        <f>K92*O92</f>
        <v>121.5</v>
      </c>
      <c r="K92" s="343">
        <f>L92/M92</f>
        <v>1.5</v>
      </c>
      <c r="L92" s="267">
        <v>1674</v>
      </c>
      <c r="M92" s="267">
        <v>1116</v>
      </c>
      <c r="N92" s="267">
        <f>SUM(N93:N94)</f>
        <v>122</v>
      </c>
      <c r="O92" s="267">
        <f>SUM(O93:O94)</f>
        <v>81</v>
      </c>
      <c r="P92" s="267">
        <f aca="true" t="shared" si="176" ref="P92:U92">SUM(P93:P94)</f>
        <v>64</v>
      </c>
      <c r="Q92" s="267">
        <f t="shared" si="176"/>
        <v>17</v>
      </c>
      <c r="R92" s="267">
        <f t="shared" si="176"/>
        <v>0</v>
      </c>
      <c r="S92" s="267"/>
      <c r="T92" s="267">
        <f t="shared" si="176"/>
        <v>0</v>
      </c>
      <c r="U92" s="267">
        <f t="shared" si="176"/>
        <v>41</v>
      </c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>
        <f>AJ93</f>
        <v>45</v>
      </c>
      <c r="AK92" s="267">
        <f aca="true" t="shared" si="177" ref="AK92:AP92">AK93</f>
        <v>30</v>
      </c>
      <c r="AL92" s="267">
        <f t="shared" si="177"/>
        <v>0</v>
      </c>
      <c r="AM92" s="267">
        <f t="shared" si="177"/>
        <v>0</v>
      </c>
      <c r="AN92" s="267"/>
      <c r="AO92" s="267">
        <f t="shared" si="177"/>
        <v>0</v>
      </c>
      <c r="AP92" s="267">
        <f t="shared" si="177"/>
        <v>15</v>
      </c>
      <c r="AQ92" s="267">
        <f>AQ93</f>
        <v>77</v>
      </c>
      <c r="AR92" s="267">
        <f>AR93</f>
        <v>34</v>
      </c>
      <c r="AS92" s="267">
        <f>AS93</f>
        <v>17</v>
      </c>
      <c r="AT92" s="267">
        <f>AT93</f>
        <v>0</v>
      </c>
      <c r="AU92" s="267"/>
      <c r="AV92" s="267">
        <f>AV93</f>
        <v>0</v>
      </c>
      <c r="AW92" s="267">
        <f>AW93</f>
        <v>26</v>
      </c>
      <c r="AX92" s="267">
        <f>SUM(AX93:AX94)</f>
        <v>0</v>
      </c>
      <c r="AY92" s="267">
        <f>SUM(AY93:AY94)</f>
        <v>0</v>
      </c>
      <c r="AZ92" s="267">
        <f>SUM(AZ93:AZ94)</f>
        <v>0</v>
      </c>
      <c r="BA92" s="267">
        <f>SUM(BA93:BA94)</f>
        <v>0</v>
      </c>
      <c r="BB92" s="267"/>
      <c r="BC92" s="267">
        <f aca="true" t="shared" si="178" ref="BC92:BH92">SUM(BC93:BC94)</f>
        <v>0</v>
      </c>
      <c r="BD92" s="267">
        <f t="shared" si="178"/>
        <v>0</v>
      </c>
      <c r="BE92" s="267">
        <f t="shared" si="178"/>
        <v>0</v>
      </c>
      <c r="BF92" s="267">
        <f t="shared" si="178"/>
        <v>0</v>
      </c>
      <c r="BG92" s="267">
        <f t="shared" si="178"/>
        <v>0</v>
      </c>
      <c r="BH92" s="267">
        <f t="shared" si="178"/>
        <v>0</v>
      </c>
      <c r="BI92" s="267"/>
      <c r="BJ92" s="267">
        <f aca="true" t="shared" si="179" ref="BJ92:BO92">SUM(BJ93:BJ94)</f>
        <v>0</v>
      </c>
      <c r="BK92" s="267">
        <f t="shared" si="179"/>
        <v>0</v>
      </c>
      <c r="BL92" s="267">
        <f t="shared" si="179"/>
        <v>0</v>
      </c>
      <c r="BM92" s="267">
        <f t="shared" si="179"/>
        <v>0</v>
      </c>
      <c r="BN92" s="267">
        <f t="shared" si="179"/>
        <v>0</v>
      </c>
      <c r="BO92" s="267">
        <f t="shared" si="179"/>
        <v>0</v>
      </c>
      <c r="BP92" s="267"/>
      <c r="BQ92" s="267">
        <f aca="true" t="shared" si="180" ref="BQ92:BV92">SUM(BQ93:BQ94)</f>
        <v>0</v>
      </c>
      <c r="BR92" s="267">
        <f t="shared" si="180"/>
        <v>0</v>
      </c>
      <c r="BS92" s="267">
        <f t="shared" si="180"/>
        <v>0</v>
      </c>
      <c r="BT92" s="267">
        <f t="shared" si="180"/>
        <v>0</v>
      </c>
      <c r="BU92" s="267">
        <f t="shared" si="180"/>
        <v>0</v>
      </c>
      <c r="BV92" s="267">
        <f t="shared" si="180"/>
        <v>0</v>
      </c>
      <c r="BW92" s="267"/>
      <c r="BX92" s="267">
        <f aca="true" t="shared" si="181" ref="BX92:CC92">SUM(BX93:BX94)</f>
        <v>0</v>
      </c>
      <c r="BY92" s="267">
        <f t="shared" si="181"/>
        <v>0</v>
      </c>
      <c r="BZ92" s="267">
        <f t="shared" si="181"/>
        <v>0</v>
      </c>
      <c r="CA92" s="267">
        <f t="shared" si="181"/>
        <v>0</v>
      </c>
      <c r="CB92" s="267">
        <f t="shared" si="181"/>
        <v>0</v>
      </c>
      <c r="CC92" s="267">
        <f t="shared" si="181"/>
        <v>0</v>
      </c>
      <c r="CD92" s="267"/>
      <c r="CE92" s="267">
        <f aca="true" t="shared" si="182" ref="CE92:CJ92">SUM(CE93:CE94)</f>
        <v>0</v>
      </c>
      <c r="CF92" s="267">
        <f t="shared" si="182"/>
        <v>0</v>
      </c>
      <c r="CG92" s="267">
        <f t="shared" si="182"/>
        <v>0</v>
      </c>
      <c r="CH92" s="267">
        <f t="shared" si="182"/>
        <v>0</v>
      </c>
      <c r="CI92" s="267">
        <f t="shared" si="182"/>
        <v>0</v>
      </c>
      <c r="CJ92" s="267">
        <f t="shared" si="182"/>
        <v>0</v>
      </c>
      <c r="CK92" s="267"/>
      <c r="CL92" s="267">
        <f>SUM(CL93:CL94)</f>
        <v>0</v>
      </c>
      <c r="CM92" s="267">
        <f>SUM(CM93:CM94)</f>
        <v>0</v>
      </c>
      <c r="CN92" s="268"/>
      <c r="CO92" s="268"/>
      <c r="CV92" s="337">
        <f>SUM(N92-L92)</f>
        <v>-1552</v>
      </c>
    </row>
    <row r="93" spans="1:256" s="164" customFormat="1" ht="25.5" customHeight="1">
      <c r="A93" s="198" t="s">
        <v>502</v>
      </c>
      <c r="B93" s="122" t="s">
        <v>431</v>
      </c>
      <c r="C93" s="122" t="s">
        <v>527</v>
      </c>
      <c r="D93" s="199" t="s">
        <v>39</v>
      </c>
      <c r="E93" s="199"/>
      <c r="F93" s="199"/>
      <c r="G93" s="199"/>
      <c r="H93" s="180"/>
      <c r="I93" s="180" t="s">
        <v>29</v>
      </c>
      <c r="J93" s="350"/>
      <c r="K93" s="350"/>
      <c r="L93" s="117"/>
      <c r="M93" s="116"/>
      <c r="N93" s="189">
        <f>O93+SUM(U93:U93)</f>
        <v>122</v>
      </c>
      <c r="O93" s="189">
        <f>SUM(P93:T93)</f>
        <v>81</v>
      </c>
      <c r="P93" s="189">
        <f aca="true" t="shared" si="183" ref="P93:R94">W93+AD93+AK93+AR93+AY93+BF93+BM93+BT93+CA93+CH93</f>
        <v>64</v>
      </c>
      <c r="Q93" s="189">
        <f t="shared" si="183"/>
        <v>17</v>
      </c>
      <c r="R93" s="189">
        <f t="shared" si="183"/>
        <v>0</v>
      </c>
      <c r="S93" s="189"/>
      <c r="T93" s="189">
        <f>AA93+AH93+AO93+AV93+BC93+BJ93+BQ93+BX93+CE93+CL93</f>
        <v>0</v>
      </c>
      <c r="U93" s="189">
        <f>AB93+AI93+AP93+AW93+BD93+BK93+BR93+BY93+CF93+CM93</f>
        <v>41</v>
      </c>
      <c r="V93" s="182"/>
      <c r="W93" s="116"/>
      <c r="X93" s="116"/>
      <c r="Y93" s="116"/>
      <c r="Z93" s="116"/>
      <c r="AA93" s="116"/>
      <c r="AB93" s="116"/>
      <c r="AC93" s="182"/>
      <c r="AD93" s="116"/>
      <c r="AE93" s="116"/>
      <c r="AF93" s="116"/>
      <c r="AG93" s="116"/>
      <c r="AH93" s="116"/>
      <c r="AI93" s="116"/>
      <c r="AJ93" s="182">
        <f>SUM(AK93:AP93)</f>
        <v>45</v>
      </c>
      <c r="AK93" s="117">
        <v>30</v>
      </c>
      <c r="AL93" s="117"/>
      <c r="AM93" s="117"/>
      <c r="AN93" s="117"/>
      <c r="AO93" s="117"/>
      <c r="AP93" s="117">
        <v>15</v>
      </c>
      <c r="AQ93" s="182">
        <f>SUM(AR93:AW93)</f>
        <v>77</v>
      </c>
      <c r="AR93" s="117">
        <v>34</v>
      </c>
      <c r="AS93" s="117">
        <v>17</v>
      </c>
      <c r="AT93" s="117"/>
      <c r="AU93" s="117"/>
      <c r="AV93" s="117"/>
      <c r="AW93" s="117">
        <v>26</v>
      </c>
      <c r="AX93" s="182">
        <f>SUM(AY93:BD93)</f>
        <v>0</v>
      </c>
      <c r="AY93" s="116"/>
      <c r="AZ93" s="116"/>
      <c r="BA93" s="116"/>
      <c r="BB93" s="116"/>
      <c r="BC93" s="116"/>
      <c r="BD93" s="116"/>
      <c r="BE93" s="182"/>
      <c r="BF93" s="116"/>
      <c r="BG93" s="116"/>
      <c r="BH93" s="116"/>
      <c r="BI93" s="116"/>
      <c r="BJ93" s="116"/>
      <c r="BK93" s="116"/>
      <c r="BL93" s="182"/>
      <c r="BM93" s="116"/>
      <c r="BN93" s="116"/>
      <c r="BO93" s="116"/>
      <c r="BP93" s="116"/>
      <c r="BQ93" s="116"/>
      <c r="BR93" s="116"/>
      <c r="BS93" s="182"/>
      <c r="BT93" s="116"/>
      <c r="BU93" s="116"/>
      <c r="BV93" s="116"/>
      <c r="BW93" s="116"/>
      <c r="BX93" s="116"/>
      <c r="BY93" s="116"/>
      <c r="BZ93" s="182"/>
      <c r="CA93" s="116"/>
      <c r="CB93" s="116"/>
      <c r="CC93" s="116"/>
      <c r="CD93" s="116"/>
      <c r="CE93" s="116"/>
      <c r="CF93" s="116"/>
      <c r="CG93" s="182"/>
      <c r="CH93" s="116"/>
      <c r="CI93" s="116"/>
      <c r="CJ93" s="116"/>
      <c r="CK93" s="116"/>
      <c r="CL93" s="116"/>
      <c r="CM93" s="116"/>
      <c r="CN93" s="119" t="s">
        <v>469</v>
      </c>
      <c r="CO93" s="116" t="s">
        <v>566</v>
      </c>
      <c r="CP93" s="450"/>
      <c r="CQ93" s="450"/>
      <c r="CR93" s="450"/>
      <c r="CS93" s="450"/>
      <c r="CT93" s="450"/>
      <c r="CU93" s="450"/>
      <c r="CV93" s="450"/>
      <c r="CW93" s="450"/>
      <c r="CX93" s="450"/>
      <c r="CY93" s="450"/>
      <c r="CZ93" s="450"/>
      <c r="DA93" s="450"/>
      <c r="DB93" s="450"/>
      <c r="DC93" s="450"/>
      <c r="DD93" s="450"/>
      <c r="DE93" s="450"/>
      <c r="DF93" s="450"/>
      <c r="DG93" s="450"/>
      <c r="DH93" s="450"/>
      <c r="DI93" s="450"/>
      <c r="DJ93" s="450"/>
      <c r="DK93" s="450"/>
      <c r="DL93" s="450"/>
      <c r="DM93" s="450"/>
      <c r="DN93" s="450"/>
      <c r="DO93" s="450"/>
      <c r="DP93" s="450"/>
      <c r="DQ93" s="450"/>
      <c r="DR93" s="450"/>
      <c r="DS93" s="450"/>
      <c r="DT93" s="450"/>
      <c r="DU93" s="450"/>
      <c r="DV93" s="450"/>
      <c r="DW93" s="450"/>
      <c r="DX93" s="450"/>
      <c r="DY93" s="450"/>
      <c r="DZ93" s="450"/>
      <c r="EA93" s="450"/>
      <c r="EB93" s="450"/>
      <c r="EC93" s="450"/>
      <c r="ED93" s="450"/>
      <c r="EE93" s="450"/>
      <c r="EF93" s="450"/>
      <c r="EG93" s="450"/>
      <c r="EH93" s="450"/>
      <c r="EI93" s="450"/>
      <c r="EJ93" s="450"/>
      <c r="EK93" s="450"/>
      <c r="EL93" s="450"/>
      <c r="EM93" s="450"/>
      <c r="EN93" s="450"/>
      <c r="EO93" s="450"/>
      <c r="EP93" s="450"/>
      <c r="EQ93" s="450"/>
      <c r="ER93" s="450"/>
      <c r="ES93" s="450"/>
      <c r="ET93" s="450"/>
      <c r="EU93" s="450"/>
      <c r="EV93" s="450"/>
      <c r="EW93" s="450"/>
      <c r="EX93" s="450"/>
      <c r="EY93" s="450"/>
      <c r="EZ93" s="450"/>
      <c r="FA93" s="450"/>
      <c r="FB93" s="450"/>
      <c r="FC93" s="450"/>
      <c r="FD93" s="450"/>
      <c r="FE93" s="450"/>
      <c r="FF93" s="450"/>
      <c r="FG93" s="450"/>
      <c r="FH93" s="450"/>
      <c r="FI93" s="450"/>
      <c r="FJ93" s="450"/>
      <c r="FK93" s="450"/>
      <c r="FL93" s="450"/>
      <c r="FM93" s="450"/>
      <c r="FN93" s="450"/>
      <c r="FO93" s="450"/>
      <c r="FP93" s="450"/>
      <c r="FQ93" s="450"/>
      <c r="FR93" s="450"/>
      <c r="FS93" s="450"/>
      <c r="FT93" s="450"/>
      <c r="FU93" s="450"/>
      <c r="FV93" s="450"/>
      <c r="FW93" s="450"/>
      <c r="FX93" s="450"/>
      <c r="FY93" s="450"/>
      <c r="FZ93" s="450"/>
      <c r="GA93" s="450"/>
      <c r="GB93" s="450"/>
      <c r="GC93" s="450"/>
      <c r="GD93" s="450"/>
      <c r="GE93" s="450"/>
      <c r="GF93" s="450"/>
      <c r="GG93" s="450"/>
      <c r="GH93" s="450"/>
      <c r="GI93" s="450"/>
      <c r="GJ93" s="450"/>
      <c r="GK93" s="450"/>
      <c r="GL93" s="450"/>
      <c r="GM93" s="450"/>
      <c r="GN93" s="450"/>
      <c r="GO93" s="450"/>
      <c r="GP93" s="450"/>
      <c r="GQ93" s="450"/>
      <c r="GR93" s="450"/>
      <c r="GS93" s="450"/>
      <c r="GT93" s="450"/>
      <c r="GU93" s="450"/>
      <c r="GV93" s="450"/>
      <c r="GW93" s="450"/>
      <c r="GX93" s="450"/>
      <c r="GY93" s="450"/>
      <c r="GZ93" s="450"/>
      <c r="HA93" s="450"/>
      <c r="HB93" s="450"/>
      <c r="HC93" s="450"/>
      <c r="HD93" s="450"/>
      <c r="HE93" s="450"/>
      <c r="HF93" s="450"/>
      <c r="HG93" s="450"/>
      <c r="HH93" s="450"/>
      <c r="HI93" s="450"/>
      <c r="HJ93" s="450"/>
      <c r="HK93" s="450"/>
      <c r="HL93" s="450"/>
      <c r="HM93" s="450"/>
      <c r="HN93" s="450"/>
      <c r="HO93" s="450"/>
      <c r="HP93" s="450"/>
      <c r="HQ93" s="450"/>
      <c r="HR93" s="450"/>
      <c r="HS93" s="450"/>
      <c r="HT93" s="450"/>
      <c r="HU93" s="450"/>
      <c r="HV93" s="450"/>
      <c r="HW93" s="450"/>
      <c r="HX93" s="450"/>
      <c r="HY93" s="450"/>
      <c r="HZ93" s="450"/>
      <c r="IA93" s="450"/>
      <c r="IB93" s="450"/>
      <c r="IC93" s="450"/>
      <c r="ID93" s="450"/>
      <c r="IE93" s="450"/>
      <c r="IF93" s="450"/>
      <c r="IG93" s="450"/>
      <c r="IH93" s="450"/>
      <c r="II93" s="450"/>
      <c r="IJ93" s="450"/>
      <c r="IK93" s="450"/>
      <c r="IL93" s="450"/>
      <c r="IM93" s="450"/>
      <c r="IN93" s="450"/>
      <c r="IO93" s="450"/>
      <c r="IP93" s="450"/>
      <c r="IQ93" s="450"/>
      <c r="IR93" s="450"/>
      <c r="IS93" s="450"/>
      <c r="IT93" s="450"/>
      <c r="IU93" s="450"/>
      <c r="IV93" s="450"/>
    </row>
    <row r="94" spans="1:93" s="450" customFormat="1" ht="25.5" customHeight="1">
      <c r="A94" s="198"/>
      <c r="B94" s="122"/>
      <c r="C94" s="122"/>
      <c r="D94" s="180"/>
      <c r="E94" s="180"/>
      <c r="F94" s="180"/>
      <c r="G94" s="180"/>
      <c r="H94" s="180"/>
      <c r="I94" s="180"/>
      <c r="J94" s="350"/>
      <c r="K94" s="350"/>
      <c r="L94" s="116"/>
      <c r="M94" s="116"/>
      <c r="N94" s="189">
        <f>O94+SUM(U94:U94)</f>
        <v>0</v>
      </c>
      <c r="O94" s="189">
        <f>SUM(P94:T94)</f>
        <v>0</v>
      </c>
      <c r="P94" s="189">
        <f t="shared" si="183"/>
        <v>0</v>
      </c>
      <c r="Q94" s="189">
        <f t="shared" si="183"/>
        <v>0</v>
      </c>
      <c r="R94" s="189">
        <f t="shared" si="183"/>
        <v>0</v>
      </c>
      <c r="S94" s="189"/>
      <c r="T94" s="189">
        <f>AA94+AH94+AO94+AV94+BC94+BJ94+BQ94+BX94+CE94+CL94</f>
        <v>0</v>
      </c>
      <c r="U94" s="189">
        <f>AB94+AI94+AP94+AW94+BD94+BK94+BR94+BY94+CF94+CM94</f>
        <v>0</v>
      </c>
      <c r="V94" s="182"/>
      <c r="W94" s="116"/>
      <c r="X94" s="116"/>
      <c r="Y94" s="116"/>
      <c r="Z94" s="116"/>
      <c r="AA94" s="116"/>
      <c r="AB94" s="116"/>
      <c r="AC94" s="182"/>
      <c r="AD94" s="116"/>
      <c r="AE94" s="116"/>
      <c r="AF94" s="116"/>
      <c r="AG94" s="116"/>
      <c r="AH94" s="116"/>
      <c r="AI94" s="116"/>
      <c r="AJ94" s="182"/>
      <c r="AK94" s="116"/>
      <c r="AL94" s="116"/>
      <c r="AM94" s="116"/>
      <c r="AN94" s="116"/>
      <c r="AO94" s="116"/>
      <c r="AP94" s="116"/>
      <c r="AQ94" s="182"/>
      <c r="AR94" s="116"/>
      <c r="AS94" s="116"/>
      <c r="AT94" s="116"/>
      <c r="AU94" s="116"/>
      <c r="AV94" s="116"/>
      <c r="AW94" s="116"/>
      <c r="AX94" s="182"/>
      <c r="AY94" s="116"/>
      <c r="AZ94" s="116"/>
      <c r="BA94" s="116"/>
      <c r="BB94" s="116"/>
      <c r="BC94" s="116"/>
      <c r="BD94" s="116"/>
      <c r="BE94" s="182"/>
      <c r="BF94" s="116"/>
      <c r="BG94" s="116"/>
      <c r="BH94" s="116"/>
      <c r="BI94" s="116"/>
      <c r="BJ94" s="116"/>
      <c r="BK94" s="116"/>
      <c r="BL94" s="182"/>
      <c r="BM94" s="116"/>
      <c r="BN94" s="116"/>
      <c r="BO94" s="116"/>
      <c r="BP94" s="116"/>
      <c r="BQ94" s="116"/>
      <c r="BR94" s="116"/>
      <c r="BS94" s="182"/>
      <c r="BT94" s="116"/>
      <c r="BU94" s="116"/>
      <c r="BV94" s="116"/>
      <c r="BW94" s="116"/>
      <c r="BX94" s="116"/>
      <c r="BY94" s="116"/>
      <c r="BZ94" s="182">
        <f>SUM(CA94:CF94)</f>
        <v>0</v>
      </c>
      <c r="CA94" s="116"/>
      <c r="CB94" s="116"/>
      <c r="CC94" s="116"/>
      <c r="CD94" s="116"/>
      <c r="CE94" s="116"/>
      <c r="CF94" s="116"/>
      <c r="CG94" s="182">
        <f>SUM(CH94:CM94)</f>
        <v>0</v>
      </c>
      <c r="CH94" s="116"/>
      <c r="CI94" s="116"/>
      <c r="CJ94" s="116"/>
      <c r="CK94" s="116"/>
      <c r="CL94" s="116"/>
      <c r="CM94" s="116"/>
      <c r="CN94" s="180"/>
      <c r="CO94" s="200"/>
    </row>
    <row r="95" spans="1:93" s="48" customFormat="1" ht="25.5" customHeight="1">
      <c r="A95" s="266" t="s">
        <v>200</v>
      </c>
      <c r="B95" s="269" t="s">
        <v>6</v>
      </c>
      <c r="C95" s="269"/>
      <c r="D95" s="269"/>
      <c r="E95" s="270">
        <v>4</v>
      </c>
      <c r="F95" s="270"/>
      <c r="G95" s="270"/>
      <c r="H95" s="269"/>
      <c r="I95" s="269"/>
      <c r="J95" s="355"/>
      <c r="K95" s="355"/>
      <c r="L95" s="173"/>
      <c r="M95" s="173">
        <v>324</v>
      </c>
      <c r="N95" s="173"/>
      <c r="O95" s="173">
        <f aca="true" t="shared" si="184" ref="O95:AL95">SUM(O96:O99)</f>
        <v>324</v>
      </c>
      <c r="P95" s="173">
        <f t="shared" si="184"/>
        <v>0</v>
      </c>
      <c r="Q95" s="173">
        <f t="shared" si="184"/>
        <v>0</v>
      </c>
      <c r="R95" s="173">
        <f t="shared" si="184"/>
        <v>0</v>
      </c>
      <c r="S95" s="173"/>
      <c r="T95" s="173">
        <f t="shared" si="184"/>
        <v>324</v>
      </c>
      <c r="U95" s="173">
        <f t="shared" si="184"/>
        <v>0</v>
      </c>
      <c r="V95" s="173">
        <f t="shared" si="184"/>
        <v>0</v>
      </c>
      <c r="W95" s="173">
        <f t="shared" si="184"/>
        <v>0</v>
      </c>
      <c r="X95" s="173">
        <f t="shared" si="184"/>
        <v>0</v>
      </c>
      <c r="Y95" s="173">
        <f t="shared" si="184"/>
        <v>0</v>
      </c>
      <c r="Z95" s="173"/>
      <c r="AA95" s="173">
        <f t="shared" si="184"/>
        <v>0</v>
      </c>
      <c r="AB95" s="173">
        <f t="shared" si="184"/>
        <v>0</v>
      </c>
      <c r="AC95" s="173">
        <f t="shared" si="184"/>
        <v>0</v>
      </c>
      <c r="AD95" s="173">
        <f t="shared" si="184"/>
        <v>0</v>
      </c>
      <c r="AE95" s="173">
        <f t="shared" si="184"/>
        <v>0</v>
      </c>
      <c r="AF95" s="173">
        <f t="shared" si="184"/>
        <v>0</v>
      </c>
      <c r="AG95" s="173"/>
      <c r="AH95" s="173">
        <f t="shared" si="184"/>
        <v>0</v>
      </c>
      <c r="AI95" s="173">
        <f t="shared" si="184"/>
        <v>0</v>
      </c>
      <c r="AJ95" s="173">
        <f t="shared" si="184"/>
        <v>0</v>
      </c>
      <c r="AK95" s="173">
        <f t="shared" si="184"/>
        <v>0</v>
      </c>
      <c r="AL95" s="173">
        <f t="shared" si="184"/>
        <v>0</v>
      </c>
      <c r="AM95" s="173">
        <f aca="true" t="shared" si="185" ref="AM95:BK95">SUM(AM96:AM99)</f>
        <v>0</v>
      </c>
      <c r="AN95" s="173"/>
      <c r="AO95" s="173">
        <f t="shared" si="185"/>
        <v>0</v>
      </c>
      <c r="AP95" s="173">
        <f t="shared" si="185"/>
        <v>0</v>
      </c>
      <c r="AQ95" s="173">
        <f t="shared" si="185"/>
        <v>324</v>
      </c>
      <c r="AR95" s="173">
        <f t="shared" si="185"/>
        <v>0</v>
      </c>
      <c r="AS95" s="173">
        <f t="shared" si="185"/>
        <v>0</v>
      </c>
      <c r="AT95" s="173">
        <f t="shared" si="185"/>
        <v>0</v>
      </c>
      <c r="AU95" s="173"/>
      <c r="AV95" s="173">
        <f t="shared" si="185"/>
        <v>324</v>
      </c>
      <c r="AW95" s="173">
        <f t="shared" si="185"/>
        <v>0</v>
      </c>
      <c r="AX95" s="173">
        <f t="shared" si="185"/>
        <v>0</v>
      </c>
      <c r="AY95" s="173">
        <f t="shared" si="185"/>
        <v>0</v>
      </c>
      <c r="AZ95" s="173">
        <f t="shared" si="185"/>
        <v>0</v>
      </c>
      <c r="BA95" s="173">
        <f t="shared" si="185"/>
        <v>0</v>
      </c>
      <c r="BB95" s="173"/>
      <c r="BC95" s="173">
        <f t="shared" si="185"/>
        <v>0</v>
      </c>
      <c r="BD95" s="173">
        <f t="shared" si="185"/>
        <v>0</v>
      </c>
      <c r="BE95" s="173">
        <f t="shared" si="185"/>
        <v>0</v>
      </c>
      <c r="BF95" s="173">
        <f t="shared" si="185"/>
        <v>0</v>
      </c>
      <c r="BG95" s="173">
        <f t="shared" si="185"/>
        <v>0</v>
      </c>
      <c r="BH95" s="173">
        <f t="shared" si="185"/>
        <v>0</v>
      </c>
      <c r="BI95" s="173"/>
      <c r="BJ95" s="173">
        <f t="shared" si="185"/>
        <v>0</v>
      </c>
      <c r="BK95" s="173">
        <f t="shared" si="185"/>
        <v>0</v>
      </c>
      <c r="BL95" s="173">
        <f aca="true" t="shared" si="186" ref="BL95:CJ95">SUM(BL96:BL99)</f>
        <v>0</v>
      </c>
      <c r="BM95" s="173">
        <f t="shared" si="186"/>
        <v>0</v>
      </c>
      <c r="BN95" s="173">
        <f t="shared" si="186"/>
        <v>0</v>
      </c>
      <c r="BO95" s="173">
        <f t="shared" si="186"/>
        <v>0</v>
      </c>
      <c r="BP95" s="173"/>
      <c r="BQ95" s="173">
        <f t="shared" si="186"/>
        <v>0</v>
      </c>
      <c r="BR95" s="173">
        <f t="shared" si="186"/>
        <v>0</v>
      </c>
      <c r="BS95" s="173">
        <f t="shared" si="186"/>
        <v>0</v>
      </c>
      <c r="BT95" s="173">
        <f t="shared" si="186"/>
        <v>0</v>
      </c>
      <c r="BU95" s="173">
        <f t="shared" si="186"/>
        <v>0</v>
      </c>
      <c r="BV95" s="173">
        <f t="shared" si="186"/>
        <v>0</v>
      </c>
      <c r="BW95" s="173"/>
      <c r="BX95" s="173">
        <f t="shared" si="186"/>
        <v>0</v>
      </c>
      <c r="BY95" s="173">
        <f t="shared" si="186"/>
        <v>0</v>
      </c>
      <c r="BZ95" s="173">
        <f t="shared" si="186"/>
        <v>0</v>
      </c>
      <c r="CA95" s="173">
        <f t="shared" si="186"/>
        <v>0</v>
      </c>
      <c r="CB95" s="173">
        <f t="shared" si="186"/>
        <v>0</v>
      </c>
      <c r="CC95" s="173">
        <f t="shared" si="186"/>
        <v>0</v>
      </c>
      <c r="CD95" s="173"/>
      <c r="CE95" s="173">
        <f t="shared" si="186"/>
        <v>0</v>
      </c>
      <c r="CF95" s="173">
        <f t="shared" si="186"/>
        <v>0</v>
      </c>
      <c r="CG95" s="173">
        <f t="shared" si="186"/>
        <v>0</v>
      </c>
      <c r="CH95" s="173">
        <f t="shared" si="186"/>
        <v>0</v>
      </c>
      <c r="CI95" s="173">
        <f t="shared" si="186"/>
        <v>0</v>
      </c>
      <c r="CJ95" s="173">
        <f t="shared" si="186"/>
        <v>0</v>
      </c>
      <c r="CK95" s="173"/>
      <c r="CL95" s="173">
        <f>SUM(CL96:CL99)</f>
        <v>0</v>
      </c>
      <c r="CM95" s="173">
        <f>SUM(CM96:CM99)</f>
        <v>0</v>
      </c>
      <c r="CN95" s="268" t="s">
        <v>478</v>
      </c>
      <c r="CO95" s="271" t="s">
        <v>677</v>
      </c>
    </row>
    <row r="96" spans="1:93" s="49" customFormat="1" ht="25.5" customHeight="1">
      <c r="A96" s="272" t="s">
        <v>201</v>
      </c>
      <c r="B96" s="122" t="s">
        <v>456</v>
      </c>
      <c r="C96" s="273"/>
      <c r="D96" s="274"/>
      <c r="E96" s="274"/>
      <c r="F96" s="274"/>
      <c r="G96" s="274"/>
      <c r="H96" s="274"/>
      <c r="I96" s="274"/>
      <c r="J96" s="353"/>
      <c r="K96" s="353"/>
      <c r="L96" s="275"/>
      <c r="M96" s="275"/>
      <c r="N96" s="276">
        <f>O96+SUM(U96:U96)</f>
        <v>72</v>
      </c>
      <c r="O96" s="276">
        <f>SUM(P96:T96)</f>
        <v>72</v>
      </c>
      <c r="P96" s="276">
        <f aca="true" t="shared" si="187" ref="P96:R99">W96+AD96+AK96+AR96+AY96+BF96+BM96+BT96+CA96+CH96</f>
        <v>0</v>
      </c>
      <c r="Q96" s="276">
        <f t="shared" si="187"/>
        <v>0</v>
      </c>
      <c r="R96" s="276">
        <f t="shared" si="187"/>
        <v>0</v>
      </c>
      <c r="S96" s="276"/>
      <c r="T96" s="276">
        <f aca="true" t="shared" si="188" ref="T96:U99">AA96+AH96+AO96+AV96+BC96+BJ96+BQ96+BX96+CE96+CL96</f>
        <v>72</v>
      </c>
      <c r="U96" s="276">
        <f t="shared" si="188"/>
        <v>0</v>
      </c>
      <c r="V96" s="277">
        <f>SUM(W96:AB96)</f>
        <v>0</v>
      </c>
      <c r="W96" s="275"/>
      <c r="X96" s="275"/>
      <c r="Y96" s="275"/>
      <c r="Z96" s="275"/>
      <c r="AA96" s="275"/>
      <c r="AB96" s="275"/>
      <c r="AC96" s="277">
        <f>SUM(AD96:AI96)</f>
        <v>0</v>
      </c>
      <c r="AD96" s="275"/>
      <c r="AE96" s="275"/>
      <c r="AF96" s="275"/>
      <c r="AG96" s="275"/>
      <c r="AH96" s="275"/>
      <c r="AI96" s="275"/>
      <c r="AJ96" s="277">
        <f>SUM(AK96:AP96)</f>
        <v>0</v>
      </c>
      <c r="AK96" s="275"/>
      <c r="AL96" s="275"/>
      <c r="AM96" s="275"/>
      <c r="AN96" s="275"/>
      <c r="AO96" s="275"/>
      <c r="AP96" s="275"/>
      <c r="AQ96" s="277">
        <f>SUM(AR96:AW96)</f>
        <v>72</v>
      </c>
      <c r="AR96" s="275"/>
      <c r="AS96" s="275"/>
      <c r="AT96" s="275"/>
      <c r="AU96" s="275"/>
      <c r="AV96" s="275">
        <v>72</v>
      </c>
      <c r="AW96" s="275"/>
      <c r="AX96" s="277">
        <f>SUM(AY96:BD96)</f>
        <v>0</v>
      </c>
      <c r="AY96" s="275"/>
      <c r="AZ96" s="275"/>
      <c r="BA96" s="275"/>
      <c r="BB96" s="275"/>
      <c r="BC96" s="275"/>
      <c r="BD96" s="275"/>
      <c r="BE96" s="277">
        <f>SUM(BF96:BK96)</f>
        <v>0</v>
      </c>
      <c r="BF96" s="275"/>
      <c r="BG96" s="275"/>
      <c r="BH96" s="275"/>
      <c r="BI96" s="275"/>
      <c r="BJ96" s="275"/>
      <c r="BK96" s="275"/>
      <c r="BL96" s="277">
        <f>SUM(BM96:BR96)</f>
        <v>0</v>
      </c>
      <c r="BM96" s="275"/>
      <c r="BN96" s="275"/>
      <c r="BO96" s="275"/>
      <c r="BP96" s="275"/>
      <c r="BQ96" s="275"/>
      <c r="BR96" s="275"/>
      <c r="BS96" s="277">
        <f>SUM(BT96:BY96)</f>
        <v>0</v>
      </c>
      <c r="BT96" s="275"/>
      <c r="BU96" s="275"/>
      <c r="BV96" s="275"/>
      <c r="BW96" s="275"/>
      <c r="BX96" s="275"/>
      <c r="BY96" s="275"/>
      <c r="BZ96" s="277">
        <f>SUM(CA96:CF96)</f>
        <v>0</v>
      </c>
      <c r="CA96" s="275"/>
      <c r="CB96" s="275"/>
      <c r="CC96" s="275"/>
      <c r="CD96" s="275"/>
      <c r="CE96" s="275"/>
      <c r="CF96" s="275"/>
      <c r="CG96" s="277">
        <f>SUM(CH96:CM96)</f>
        <v>0</v>
      </c>
      <c r="CH96" s="275"/>
      <c r="CI96" s="275"/>
      <c r="CJ96" s="275"/>
      <c r="CK96" s="275"/>
      <c r="CL96" s="275"/>
      <c r="CM96" s="275"/>
      <c r="CN96" s="274" t="s">
        <v>469</v>
      </c>
      <c r="CO96" s="278" t="s">
        <v>370</v>
      </c>
    </row>
    <row r="97" spans="1:93" s="49" customFormat="1" ht="25.5" customHeight="1">
      <c r="A97" s="272" t="s">
        <v>202</v>
      </c>
      <c r="B97" s="122" t="s">
        <v>455</v>
      </c>
      <c r="C97" s="273"/>
      <c r="D97" s="274"/>
      <c r="E97" s="274"/>
      <c r="F97" s="274"/>
      <c r="G97" s="274"/>
      <c r="H97" s="274"/>
      <c r="I97" s="274"/>
      <c r="J97" s="353"/>
      <c r="K97" s="353"/>
      <c r="L97" s="275"/>
      <c r="M97" s="275"/>
      <c r="N97" s="276">
        <f>O97+SUM(U97:U97)</f>
        <v>72</v>
      </c>
      <c r="O97" s="276">
        <f>SUM(P97:T97)</f>
        <v>72</v>
      </c>
      <c r="P97" s="276">
        <f t="shared" si="187"/>
        <v>0</v>
      </c>
      <c r="Q97" s="276">
        <f t="shared" si="187"/>
        <v>0</v>
      </c>
      <c r="R97" s="276">
        <f t="shared" si="187"/>
        <v>0</v>
      </c>
      <c r="S97" s="276"/>
      <c r="T97" s="276">
        <f t="shared" si="188"/>
        <v>72</v>
      </c>
      <c r="U97" s="276">
        <f t="shared" si="188"/>
        <v>0</v>
      </c>
      <c r="V97" s="277">
        <f>SUM(W97:AB97)</f>
        <v>0</v>
      </c>
      <c r="W97" s="275"/>
      <c r="X97" s="275"/>
      <c r="Y97" s="275"/>
      <c r="Z97" s="275"/>
      <c r="AA97" s="275"/>
      <c r="AB97" s="275"/>
      <c r="AC97" s="277"/>
      <c r="AD97" s="275"/>
      <c r="AE97" s="275"/>
      <c r="AF97" s="275"/>
      <c r="AG97" s="275"/>
      <c r="AH97" s="275"/>
      <c r="AI97" s="275"/>
      <c r="AJ97" s="277"/>
      <c r="AK97" s="275"/>
      <c r="AL97" s="275"/>
      <c r="AM97" s="275"/>
      <c r="AN97" s="275"/>
      <c r="AO97" s="275"/>
      <c r="AP97" s="275"/>
      <c r="AQ97" s="277">
        <f>SUM(AR97:AW97)</f>
        <v>72</v>
      </c>
      <c r="AR97" s="275"/>
      <c r="AS97" s="275"/>
      <c r="AT97" s="275"/>
      <c r="AU97" s="275"/>
      <c r="AV97" s="275">
        <v>72</v>
      </c>
      <c r="AW97" s="275"/>
      <c r="AX97" s="277">
        <f>SUM(AY97:BD97)</f>
        <v>0</v>
      </c>
      <c r="AY97" s="275"/>
      <c r="AZ97" s="275"/>
      <c r="BA97" s="275"/>
      <c r="BB97" s="275"/>
      <c r="BC97" s="275"/>
      <c r="BD97" s="275"/>
      <c r="BE97" s="277">
        <f>SUM(BF97:BK97)</f>
        <v>0</v>
      </c>
      <c r="BF97" s="275"/>
      <c r="BG97" s="275"/>
      <c r="BH97" s="275"/>
      <c r="BI97" s="275"/>
      <c r="BJ97" s="275"/>
      <c r="BK97" s="275"/>
      <c r="BL97" s="277">
        <f>SUM(BM97:BR97)</f>
        <v>0</v>
      </c>
      <c r="BM97" s="275"/>
      <c r="BN97" s="275"/>
      <c r="BO97" s="275"/>
      <c r="BP97" s="275"/>
      <c r="BQ97" s="275"/>
      <c r="BR97" s="275"/>
      <c r="BS97" s="277"/>
      <c r="BT97" s="275"/>
      <c r="BU97" s="275"/>
      <c r="BV97" s="275"/>
      <c r="BW97" s="275"/>
      <c r="BX97" s="275"/>
      <c r="BY97" s="275"/>
      <c r="BZ97" s="277"/>
      <c r="CA97" s="275"/>
      <c r="CB97" s="275"/>
      <c r="CC97" s="275"/>
      <c r="CD97" s="275"/>
      <c r="CE97" s="275"/>
      <c r="CF97" s="275"/>
      <c r="CG97" s="277"/>
      <c r="CH97" s="275"/>
      <c r="CI97" s="275"/>
      <c r="CJ97" s="275"/>
      <c r="CK97" s="275"/>
      <c r="CL97" s="275"/>
      <c r="CM97" s="275"/>
      <c r="CN97" s="274" t="s">
        <v>469</v>
      </c>
      <c r="CO97" s="278" t="s">
        <v>370</v>
      </c>
    </row>
    <row r="98" spans="1:93" s="49" customFormat="1" ht="25.5" customHeight="1">
      <c r="A98" s="272" t="s">
        <v>351</v>
      </c>
      <c r="B98" s="122" t="s">
        <v>458</v>
      </c>
      <c r="C98" s="273"/>
      <c r="D98" s="274"/>
      <c r="E98" s="274"/>
      <c r="F98" s="274"/>
      <c r="G98" s="274"/>
      <c r="H98" s="274"/>
      <c r="I98" s="274"/>
      <c r="J98" s="353"/>
      <c r="K98" s="353"/>
      <c r="L98" s="275"/>
      <c r="M98" s="275"/>
      <c r="N98" s="276">
        <f>O98+SUM(U98:U98)</f>
        <v>144</v>
      </c>
      <c r="O98" s="276">
        <f>SUM(P98:T98)</f>
        <v>144</v>
      </c>
      <c r="P98" s="276">
        <f t="shared" si="187"/>
        <v>0</v>
      </c>
      <c r="Q98" s="276">
        <f t="shared" si="187"/>
        <v>0</v>
      </c>
      <c r="R98" s="276">
        <f t="shared" si="187"/>
        <v>0</v>
      </c>
      <c r="S98" s="276"/>
      <c r="T98" s="276">
        <f t="shared" si="188"/>
        <v>144</v>
      </c>
      <c r="U98" s="276">
        <f t="shared" si="188"/>
        <v>0</v>
      </c>
      <c r="V98" s="277"/>
      <c r="W98" s="275"/>
      <c r="X98" s="275"/>
      <c r="Y98" s="275"/>
      <c r="Z98" s="275"/>
      <c r="AA98" s="275"/>
      <c r="AB98" s="275"/>
      <c r="AC98" s="277"/>
      <c r="AD98" s="275"/>
      <c r="AE98" s="275"/>
      <c r="AF98" s="275"/>
      <c r="AG98" s="275"/>
      <c r="AH98" s="275"/>
      <c r="AI98" s="275"/>
      <c r="AJ98" s="277"/>
      <c r="AK98" s="275"/>
      <c r="AL98" s="275"/>
      <c r="AM98" s="275"/>
      <c r="AN98" s="275"/>
      <c r="AO98" s="275"/>
      <c r="AP98" s="275"/>
      <c r="AQ98" s="277">
        <f>SUM(AR98:AW98)</f>
        <v>144</v>
      </c>
      <c r="AR98" s="275"/>
      <c r="AS98" s="275"/>
      <c r="AT98" s="275"/>
      <c r="AU98" s="275"/>
      <c r="AV98" s="275">
        <v>144</v>
      </c>
      <c r="AW98" s="275"/>
      <c r="AX98" s="277">
        <f>SUM(AY98:BD98)</f>
        <v>0</v>
      </c>
      <c r="AY98" s="275"/>
      <c r="AZ98" s="275"/>
      <c r="BA98" s="275"/>
      <c r="BB98" s="275"/>
      <c r="BC98" s="275"/>
      <c r="BD98" s="275"/>
      <c r="BE98" s="277">
        <f>SUM(BF98:BK98)</f>
        <v>0</v>
      </c>
      <c r="BF98" s="275"/>
      <c r="BG98" s="275"/>
      <c r="BH98" s="275"/>
      <c r="BI98" s="275"/>
      <c r="BJ98" s="275"/>
      <c r="BK98" s="275"/>
      <c r="BL98" s="277">
        <f>SUM(BM98:BR98)</f>
        <v>0</v>
      </c>
      <c r="BM98" s="275"/>
      <c r="BN98" s="275"/>
      <c r="BO98" s="275"/>
      <c r="BP98" s="275"/>
      <c r="BQ98" s="275"/>
      <c r="BR98" s="275"/>
      <c r="BS98" s="277"/>
      <c r="BT98" s="275"/>
      <c r="BU98" s="275"/>
      <c r="BV98" s="275"/>
      <c r="BW98" s="275"/>
      <c r="BX98" s="275"/>
      <c r="BY98" s="275"/>
      <c r="BZ98" s="277"/>
      <c r="CA98" s="275"/>
      <c r="CB98" s="275"/>
      <c r="CC98" s="275"/>
      <c r="CD98" s="275"/>
      <c r="CE98" s="275"/>
      <c r="CF98" s="275"/>
      <c r="CG98" s="277"/>
      <c r="CH98" s="275"/>
      <c r="CI98" s="275"/>
      <c r="CJ98" s="275"/>
      <c r="CK98" s="275"/>
      <c r="CL98" s="275"/>
      <c r="CM98" s="275"/>
      <c r="CN98" s="274" t="s">
        <v>40</v>
      </c>
      <c r="CO98" s="278" t="s">
        <v>414</v>
      </c>
    </row>
    <row r="99" spans="1:143" s="283" customFormat="1" ht="25.5" customHeight="1">
      <c r="A99" s="279" t="s">
        <v>352</v>
      </c>
      <c r="B99" s="207" t="s">
        <v>671</v>
      </c>
      <c r="C99" s="280"/>
      <c r="D99" s="281"/>
      <c r="E99" s="281"/>
      <c r="F99" s="281"/>
      <c r="G99" s="281"/>
      <c r="H99" s="281"/>
      <c r="I99" s="281"/>
      <c r="J99" s="353"/>
      <c r="K99" s="353"/>
      <c r="L99" s="282"/>
      <c r="M99" s="282"/>
      <c r="N99" s="276">
        <f>O99+SUM(U99:U99)</f>
        <v>36</v>
      </c>
      <c r="O99" s="276">
        <f>SUM(P99:T99)</f>
        <v>36</v>
      </c>
      <c r="P99" s="276">
        <f t="shared" si="187"/>
        <v>0</v>
      </c>
      <c r="Q99" s="276">
        <f t="shared" si="187"/>
        <v>0</v>
      </c>
      <c r="R99" s="276">
        <f t="shared" si="187"/>
        <v>0</v>
      </c>
      <c r="S99" s="276"/>
      <c r="T99" s="276">
        <f t="shared" si="188"/>
        <v>36</v>
      </c>
      <c r="U99" s="276">
        <f t="shared" si="188"/>
        <v>0</v>
      </c>
      <c r="V99" s="277"/>
      <c r="W99" s="282"/>
      <c r="X99" s="282"/>
      <c r="Y99" s="282"/>
      <c r="Z99" s="282"/>
      <c r="AA99" s="282"/>
      <c r="AB99" s="282"/>
      <c r="AC99" s="277"/>
      <c r="AD99" s="282"/>
      <c r="AE99" s="282"/>
      <c r="AF99" s="282"/>
      <c r="AG99" s="282"/>
      <c r="AH99" s="282"/>
      <c r="AI99" s="282"/>
      <c r="AJ99" s="277"/>
      <c r="AK99" s="282"/>
      <c r="AL99" s="282"/>
      <c r="AM99" s="282"/>
      <c r="AN99" s="282"/>
      <c r="AO99" s="282"/>
      <c r="AP99" s="282"/>
      <c r="AQ99" s="277">
        <f>SUM(AR99:AW99)</f>
        <v>36</v>
      </c>
      <c r="AR99" s="282"/>
      <c r="AS99" s="282"/>
      <c r="AT99" s="282"/>
      <c r="AU99" s="282"/>
      <c r="AV99" s="282">
        <v>36</v>
      </c>
      <c r="AW99" s="282"/>
      <c r="AX99" s="277">
        <f>SUM(AY99:BD99)</f>
        <v>0</v>
      </c>
      <c r="AY99" s="282"/>
      <c r="AZ99" s="282"/>
      <c r="BA99" s="282"/>
      <c r="BB99" s="282"/>
      <c r="BC99" s="282"/>
      <c r="BD99" s="282"/>
      <c r="BE99" s="277">
        <f>SUM(BF99:BK99)</f>
        <v>0</v>
      </c>
      <c r="BF99" s="282"/>
      <c r="BG99" s="282"/>
      <c r="BH99" s="282"/>
      <c r="BI99" s="282"/>
      <c r="BJ99" s="282"/>
      <c r="BK99" s="282"/>
      <c r="BL99" s="277">
        <f>SUM(BM99:BR99)</f>
        <v>0</v>
      </c>
      <c r="BM99" s="282"/>
      <c r="BN99" s="282"/>
      <c r="BO99" s="282"/>
      <c r="BP99" s="282"/>
      <c r="BQ99" s="282"/>
      <c r="BR99" s="282"/>
      <c r="BS99" s="277"/>
      <c r="BT99" s="282"/>
      <c r="BU99" s="282"/>
      <c r="BV99" s="282"/>
      <c r="BW99" s="282"/>
      <c r="BX99" s="282"/>
      <c r="BY99" s="282"/>
      <c r="BZ99" s="277"/>
      <c r="CA99" s="282"/>
      <c r="CB99" s="282"/>
      <c r="CC99" s="282"/>
      <c r="CD99" s="282"/>
      <c r="CE99" s="282"/>
      <c r="CF99" s="282"/>
      <c r="CG99" s="277"/>
      <c r="CH99" s="282"/>
      <c r="CI99" s="282"/>
      <c r="CJ99" s="282"/>
      <c r="CK99" s="282"/>
      <c r="CL99" s="282"/>
      <c r="CM99" s="282"/>
      <c r="CN99" s="274" t="s">
        <v>469</v>
      </c>
      <c r="CO99" s="278" t="s">
        <v>325</v>
      </c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</row>
    <row r="100" spans="1:93" s="48" customFormat="1" ht="25.5" customHeight="1">
      <c r="A100" s="266" t="s">
        <v>203</v>
      </c>
      <c r="B100" s="269" t="s">
        <v>137</v>
      </c>
      <c r="C100" s="284"/>
      <c r="D100" s="268"/>
      <c r="E100" s="268"/>
      <c r="F100" s="268"/>
      <c r="G100" s="268"/>
      <c r="H100" s="268"/>
      <c r="I100" s="268"/>
      <c r="J100" s="354"/>
      <c r="K100" s="354"/>
      <c r="L100" s="173"/>
      <c r="M100" s="173">
        <f>Нормы!E19</f>
        <v>1656</v>
      </c>
      <c r="N100" s="173"/>
      <c r="O100" s="173">
        <f aca="true" t="shared" si="189" ref="O100:AL100">SUM(O101:O102)</f>
        <v>1656</v>
      </c>
      <c r="P100" s="173">
        <f t="shared" si="189"/>
        <v>0</v>
      </c>
      <c r="Q100" s="173">
        <f t="shared" si="189"/>
        <v>0</v>
      </c>
      <c r="R100" s="173">
        <f t="shared" si="189"/>
        <v>0</v>
      </c>
      <c r="S100" s="173"/>
      <c r="T100" s="173">
        <f t="shared" si="189"/>
        <v>1656</v>
      </c>
      <c r="U100" s="173">
        <f t="shared" si="189"/>
        <v>0</v>
      </c>
      <c r="V100" s="173">
        <f t="shared" si="189"/>
        <v>0</v>
      </c>
      <c r="W100" s="173">
        <f t="shared" si="189"/>
        <v>0</v>
      </c>
      <c r="X100" s="173">
        <f t="shared" si="189"/>
        <v>0</v>
      </c>
      <c r="Y100" s="173">
        <f t="shared" si="189"/>
        <v>0</v>
      </c>
      <c r="Z100" s="173"/>
      <c r="AA100" s="173">
        <f t="shared" si="189"/>
        <v>0</v>
      </c>
      <c r="AB100" s="173">
        <f t="shared" si="189"/>
        <v>0</v>
      </c>
      <c r="AC100" s="173">
        <f t="shared" si="189"/>
        <v>0</v>
      </c>
      <c r="AD100" s="173">
        <f t="shared" si="189"/>
        <v>0</v>
      </c>
      <c r="AE100" s="173">
        <f t="shared" si="189"/>
        <v>0</v>
      </c>
      <c r="AF100" s="173">
        <f t="shared" si="189"/>
        <v>0</v>
      </c>
      <c r="AG100" s="173"/>
      <c r="AH100" s="173">
        <f t="shared" si="189"/>
        <v>0</v>
      </c>
      <c r="AI100" s="173">
        <f t="shared" si="189"/>
        <v>0</v>
      </c>
      <c r="AJ100" s="173">
        <f t="shared" si="189"/>
        <v>0</v>
      </c>
      <c r="AK100" s="173">
        <f t="shared" si="189"/>
        <v>0</v>
      </c>
      <c r="AL100" s="173">
        <f t="shared" si="189"/>
        <v>0</v>
      </c>
      <c r="AM100" s="173">
        <f aca="true" t="shared" si="190" ref="AM100:BK100">SUM(AM101:AM102)</f>
        <v>0</v>
      </c>
      <c r="AN100" s="173"/>
      <c r="AO100" s="173">
        <f t="shared" si="190"/>
        <v>0</v>
      </c>
      <c r="AP100" s="173">
        <f t="shared" si="190"/>
        <v>0</v>
      </c>
      <c r="AQ100" s="173">
        <f t="shared" si="190"/>
        <v>0</v>
      </c>
      <c r="AR100" s="173">
        <f t="shared" si="190"/>
        <v>0</v>
      </c>
      <c r="AS100" s="173">
        <f t="shared" si="190"/>
        <v>0</v>
      </c>
      <c r="AT100" s="173">
        <f t="shared" si="190"/>
        <v>0</v>
      </c>
      <c r="AU100" s="173"/>
      <c r="AV100" s="173">
        <f t="shared" si="190"/>
        <v>0</v>
      </c>
      <c r="AW100" s="173">
        <f t="shared" si="190"/>
        <v>0</v>
      </c>
      <c r="AX100" s="173">
        <f t="shared" si="190"/>
        <v>0</v>
      </c>
      <c r="AY100" s="173">
        <f t="shared" si="190"/>
        <v>0</v>
      </c>
      <c r="AZ100" s="173">
        <f t="shared" si="190"/>
        <v>0</v>
      </c>
      <c r="BA100" s="173">
        <f t="shared" si="190"/>
        <v>0</v>
      </c>
      <c r="BB100" s="173"/>
      <c r="BC100" s="173">
        <f t="shared" si="190"/>
        <v>0</v>
      </c>
      <c r="BD100" s="173">
        <f t="shared" si="190"/>
        <v>0</v>
      </c>
      <c r="BE100" s="173">
        <f t="shared" si="190"/>
        <v>540</v>
      </c>
      <c r="BF100" s="173">
        <f t="shared" si="190"/>
        <v>0</v>
      </c>
      <c r="BG100" s="173">
        <f t="shared" si="190"/>
        <v>0</v>
      </c>
      <c r="BH100" s="173">
        <f t="shared" si="190"/>
        <v>0</v>
      </c>
      <c r="BI100" s="173"/>
      <c r="BJ100" s="173">
        <f t="shared" si="190"/>
        <v>540</v>
      </c>
      <c r="BK100" s="173">
        <f t="shared" si="190"/>
        <v>0</v>
      </c>
      <c r="BL100" s="173">
        <f aca="true" t="shared" si="191" ref="BL100:CM100">SUM(BL101:BL102)</f>
        <v>216</v>
      </c>
      <c r="BM100" s="173">
        <f t="shared" si="191"/>
        <v>0</v>
      </c>
      <c r="BN100" s="173">
        <f t="shared" si="191"/>
        <v>0</v>
      </c>
      <c r="BO100" s="173">
        <f t="shared" si="191"/>
        <v>0</v>
      </c>
      <c r="BP100" s="173"/>
      <c r="BQ100" s="173">
        <f t="shared" si="191"/>
        <v>216</v>
      </c>
      <c r="BR100" s="173">
        <f t="shared" si="191"/>
        <v>0</v>
      </c>
      <c r="BS100" s="173">
        <f t="shared" si="191"/>
        <v>432</v>
      </c>
      <c r="BT100" s="173">
        <f t="shared" si="191"/>
        <v>0</v>
      </c>
      <c r="BU100" s="173">
        <f t="shared" si="191"/>
        <v>0</v>
      </c>
      <c r="BV100" s="173">
        <f t="shared" si="191"/>
        <v>0</v>
      </c>
      <c r="BW100" s="173"/>
      <c r="BX100" s="173">
        <f t="shared" si="191"/>
        <v>432</v>
      </c>
      <c r="BY100" s="173">
        <f t="shared" si="191"/>
        <v>0</v>
      </c>
      <c r="BZ100" s="173">
        <f t="shared" si="191"/>
        <v>468</v>
      </c>
      <c r="CA100" s="173">
        <f t="shared" si="191"/>
        <v>0</v>
      </c>
      <c r="CB100" s="173">
        <f t="shared" si="191"/>
        <v>0</v>
      </c>
      <c r="CC100" s="173">
        <f t="shared" si="191"/>
        <v>0</v>
      </c>
      <c r="CD100" s="173"/>
      <c r="CE100" s="173">
        <f t="shared" si="191"/>
        <v>468</v>
      </c>
      <c r="CF100" s="173">
        <f t="shared" si="191"/>
        <v>0</v>
      </c>
      <c r="CG100" s="173">
        <f t="shared" si="191"/>
        <v>0</v>
      </c>
      <c r="CH100" s="173">
        <f t="shared" si="191"/>
        <v>0</v>
      </c>
      <c r="CI100" s="173">
        <f t="shared" si="191"/>
        <v>0</v>
      </c>
      <c r="CJ100" s="173">
        <f t="shared" si="191"/>
        <v>0</v>
      </c>
      <c r="CK100" s="173"/>
      <c r="CL100" s="173">
        <f t="shared" si="191"/>
        <v>0</v>
      </c>
      <c r="CM100" s="173">
        <f t="shared" si="191"/>
        <v>0</v>
      </c>
      <c r="CN100" s="268"/>
      <c r="CO100" s="173" t="s">
        <v>601</v>
      </c>
    </row>
    <row r="101" spans="1:93" s="450" customFormat="1" ht="35.25" customHeight="1">
      <c r="A101" s="198" t="s">
        <v>204</v>
      </c>
      <c r="B101" s="181" t="s">
        <v>663</v>
      </c>
      <c r="C101" s="122"/>
      <c r="D101" s="180"/>
      <c r="E101" s="180" t="s">
        <v>540</v>
      </c>
      <c r="F101" s="180"/>
      <c r="G101" s="180"/>
      <c r="H101" s="180"/>
      <c r="I101" s="180"/>
      <c r="J101" s="350"/>
      <c r="K101" s="350"/>
      <c r="L101" s="116"/>
      <c r="M101" s="116"/>
      <c r="N101" s="189"/>
      <c r="O101" s="189">
        <f>SUM(P101:T101)</f>
        <v>1512</v>
      </c>
      <c r="P101" s="189">
        <f aca="true" t="shared" si="192" ref="P101:R102">W101+AD101+AK101+AR101+AY101+BF101+BM101+BT101+CA101+CH101</f>
        <v>0</v>
      </c>
      <c r="Q101" s="189">
        <f t="shared" si="192"/>
        <v>0</v>
      </c>
      <c r="R101" s="189">
        <f t="shared" si="192"/>
        <v>0</v>
      </c>
      <c r="S101" s="189"/>
      <c r="T101" s="189">
        <f>AA101+AH101+AO101+AV101+BC101+BJ101+BQ101+BX101+CE101+CL101</f>
        <v>1512</v>
      </c>
      <c r="U101" s="189">
        <f>AB101+AI101+AP101+AW101+BD101+BK101+BR101+BY101+CF101+CM101</f>
        <v>0</v>
      </c>
      <c r="V101" s="182">
        <f>SUM(W101:AB101)</f>
        <v>0</v>
      </c>
      <c r="W101" s="116"/>
      <c r="X101" s="116"/>
      <c r="Y101" s="116"/>
      <c r="Z101" s="116"/>
      <c r="AA101" s="116"/>
      <c r="AB101" s="116"/>
      <c r="AC101" s="182">
        <f>SUM(AD101:AI101)</f>
        <v>0</v>
      </c>
      <c r="AD101" s="116"/>
      <c r="AE101" s="116"/>
      <c r="AF101" s="116"/>
      <c r="AG101" s="116"/>
      <c r="AH101" s="116"/>
      <c r="AI101" s="116"/>
      <c r="AJ101" s="182">
        <f>SUM(AK101:AP101)</f>
        <v>0</v>
      </c>
      <c r="AK101" s="116"/>
      <c r="AL101" s="116"/>
      <c r="AM101" s="116"/>
      <c r="AN101" s="116"/>
      <c r="AO101" s="116"/>
      <c r="AP101" s="116"/>
      <c r="AQ101" s="182">
        <f>SUM(AR101:AW101)</f>
        <v>0</v>
      </c>
      <c r="AR101" s="116"/>
      <c r="AS101" s="116"/>
      <c r="AT101" s="116"/>
      <c r="AU101" s="116"/>
      <c r="AV101" s="116"/>
      <c r="AW101" s="116"/>
      <c r="AX101" s="182">
        <f>SUM(AY101:BD101)</f>
        <v>0</v>
      </c>
      <c r="AY101" s="116"/>
      <c r="AZ101" s="116"/>
      <c r="BA101" s="116"/>
      <c r="BB101" s="116"/>
      <c r="BC101" s="116"/>
      <c r="BD101" s="116"/>
      <c r="BE101" s="182">
        <f>SUM(BF101:BK101)</f>
        <v>540</v>
      </c>
      <c r="BF101" s="116"/>
      <c r="BG101" s="116"/>
      <c r="BH101" s="116"/>
      <c r="BI101" s="116"/>
      <c r="BJ101" s="116">
        <v>540</v>
      </c>
      <c r="BK101" s="116"/>
      <c r="BL101" s="182">
        <f>SUM(BM101:BR101)</f>
        <v>216</v>
      </c>
      <c r="BM101" s="116"/>
      <c r="BN101" s="116"/>
      <c r="BO101" s="116"/>
      <c r="BP101" s="116"/>
      <c r="BQ101" s="116">
        <f>6*36</f>
        <v>216</v>
      </c>
      <c r="BR101" s="116"/>
      <c r="BS101" s="182">
        <f>SUM(BT101:BY101)</f>
        <v>432</v>
      </c>
      <c r="BT101" s="116"/>
      <c r="BU101" s="116"/>
      <c r="BV101" s="116"/>
      <c r="BW101" s="116"/>
      <c r="BX101" s="116">
        <f>12*36</f>
        <v>432</v>
      </c>
      <c r="BY101" s="116"/>
      <c r="BZ101" s="182">
        <f>SUM(CA101:CF101)</f>
        <v>324</v>
      </c>
      <c r="CA101" s="116"/>
      <c r="CB101" s="116"/>
      <c r="CC101" s="116"/>
      <c r="CD101" s="116"/>
      <c r="CE101" s="116">
        <f>9*36</f>
        <v>324</v>
      </c>
      <c r="CF101" s="116"/>
      <c r="CG101" s="182">
        <f>SUM(CH101:CM101)</f>
        <v>0</v>
      </c>
      <c r="CH101" s="116"/>
      <c r="CI101" s="116"/>
      <c r="CJ101" s="116"/>
      <c r="CK101" s="116"/>
      <c r="CL101" s="116"/>
      <c r="CM101" s="116"/>
      <c r="CN101" s="117" t="s">
        <v>665</v>
      </c>
      <c r="CO101" s="119" t="s">
        <v>601</v>
      </c>
    </row>
    <row r="102" spans="1:93" s="450" customFormat="1" ht="37.5" customHeight="1">
      <c r="A102" s="198" t="s">
        <v>205</v>
      </c>
      <c r="B102" s="286" t="s">
        <v>661</v>
      </c>
      <c r="C102" s="207"/>
      <c r="D102" s="180"/>
      <c r="E102" s="180" t="s">
        <v>38</v>
      </c>
      <c r="F102" s="180"/>
      <c r="G102" s="180"/>
      <c r="H102" s="180"/>
      <c r="I102" s="180"/>
      <c r="J102" s="350"/>
      <c r="K102" s="350"/>
      <c r="L102" s="116"/>
      <c r="M102" s="116"/>
      <c r="N102" s="189"/>
      <c r="O102" s="189">
        <f>SUM(P102:T102)</f>
        <v>144</v>
      </c>
      <c r="P102" s="189">
        <f t="shared" si="192"/>
        <v>0</v>
      </c>
      <c r="Q102" s="189">
        <f t="shared" si="192"/>
        <v>0</v>
      </c>
      <c r="R102" s="189">
        <f t="shared" si="192"/>
        <v>0</v>
      </c>
      <c r="S102" s="189"/>
      <c r="T102" s="189">
        <f>AA102+AH102+AO102+AV102+BC102+BJ102+BQ102+BX102+CE102+CL102</f>
        <v>144</v>
      </c>
      <c r="U102" s="189">
        <f>AB102+AI102+AP102+AW102+BD102+BK102+BR102+BY102+CF102+CM102</f>
        <v>0</v>
      </c>
      <c r="V102" s="182">
        <f>SUM(W102:AB102)</f>
        <v>0</v>
      </c>
      <c r="W102" s="116"/>
      <c r="X102" s="116"/>
      <c r="Y102" s="116"/>
      <c r="Z102" s="116"/>
      <c r="AA102" s="116"/>
      <c r="AB102" s="116"/>
      <c r="AC102" s="182">
        <f>SUM(AD102:AI102)</f>
        <v>0</v>
      </c>
      <c r="AD102" s="116"/>
      <c r="AE102" s="116"/>
      <c r="AF102" s="116"/>
      <c r="AG102" s="116"/>
      <c r="AH102" s="116"/>
      <c r="AI102" s="116"/>
      <c r="AJ102" s="182">
        <f>SUM(AK102:AP102)</f>
        <v>0</v>
      </c>
      <c r="AK102" s="116"/>
      <c r="AL102" s="116"/>
      <c r="AM102" s="116"/>
      <c r="AN102" s="116"/>
      <c r="AO102" s="116"/>
      <c r="AP102" s="116"/>
      <c r="AQ102" s="182">
        <f>SUM(AR102:AW102)</f>
        <v>0</v>
      </c>
      <c r="AR102" s="116"/>
      <c r="AS102" s="116"/>
      <c r="AT102" s="116"/>
      <c r="AU102" s="116"/>
      <c r="AV102" s="116"/>
      <c r="AW102" s="116"/>
      <c r="AX102" s="182">
        <f>SUM(AY102:BD102)</f>
        <v>0</v>
      </c>
      <c r="AY102" s="116"/>
      <c r="AZ102" s="116"/>
      <c r="BA102" s="116"/>
      <c r="BB102" s="116"/>
      <c r="BC102" s="116"/>
      <c r="BD102" s="116"/>
      <c r="BE102" s="182">
        <f>SUM(BF102:BK102)</f>
        <v>0</v>
      </c>
      <c r="BF102" s="116"/>
      <c r="BG102" s="116"/>
      <c r="BH102" s="116"/>
      <c r="BI102" s="116"/>
      <c r="BJ102" s="116"/>
      <c r="BK102" s="116"/>
      <c r="BL102" s="182">
        <f>SUM(BM102:BR102)</f>
        <v>0</v>
      </c>
      <c r="BM102" s="116"/>
      <c r="BN102" s="116"/>
      <c r="BO102" s="116"/>
      <c r="BP102" s="116"/>
      <c r="BQ102" s="116"/>
      <c r="BR102" s="116"/>
      <c r="BS102" s="182">
        <f>SUM(BT102:BY102)</f>
        <v>0</v>
      </c>
      <c r="BT102" s="116"/>
      <c r="BU102" s="116"/>
      <c r="BV102" s="116"/>
      <c r="BW102" s="116"/>
      <c r="BX102" s="116"/>
      <c r="BY102" s="116"/>
      <c r="BZ102" s="182">
        <f>SUM(CA102:CF102)</f>
        <v>144</v>
      </c>
      <c r="CA102" s="116"/>
      <c r="CB102" s="116"/>
      <c r="CC102" s="116"/>
      <c r="CD102" s="116"/>
      <c r="CE102" s="116">
        <v>144</v>
      </c>
      <c r="CF102" s="116"/>
      <c r="CG102" s="182">
        <f>SUM(CH102:CM102)</f>
        <v>0</v>
      </c>
      <c r="CH102" s="116"/>
      <c r="CI102" s="116"/>
      <c r="CJ102" s="116"/>
      <c r="CK102" s="116"/>
      <c r="CL102" s="116"/>
      <c r="CM102" s="116"/>
      <c r="CN102" s="117" t="s">
        <v>665</v>
      </c>
      <c r="CO102" s="119" t="s">
        <v>601</v>
      </c>
    </row>
    <row r="103" spans="1:93" s="48" customFormat="1" ht="25.5" customHeight="1">
      <c r="A103" s="266" t="s">
        <v>206</v>
      </c>
      <c r="B103" s="676" t="s">
        <v>353</v>
      </c>
      <c r="C103" s="677"/>
      <c r="D103" s="677"/>
      <c r="E103" s="677"/>
      <c r="F103" s="677"/>
      <c r="G103" s="677"/>
      <c r="H103" s="677"/>
      <c r="I103" s="678"/>
      <c r="J103" s="356"/>
      <c r="K103" s="356"/>
      <c r="L103" s="173">
        <v>216</v>
      </c>
      <c r="M103" s="173"/>
      <c r="N103" s="173">
        <v>216</v>
      </c>
      <c r="O103" s="173"/>
      <c r="P103" s="173">
        <f aca="true" t="shared" si="193" ref="P103:AL103">SUM(P104:P104)</f>
        <v>0</v>
      </c>
      <c r="Q103" s="173">
        <f t="shared" si="193"/>
        <v>0</v>
      </c>
      <c r="R103" s="173">
        <f t="shared" si="193"/>
        <v>0</v>
      </c>
      <c r="S103" s="173"/>
      <c r="T103" s="173">
        <f t="shared" si="193"/>
        <v>0</v>
      </c>
      <c r="U103" s="173">
        <f t="shared" si="193"/>
        <v>216</v>
      </c>
      <c r="V103" s="173">
        <f t="shared" si="193"/>
        <v>0</v>
      </c>
      <c r="W103" s="173">
        <f t="shared" si="193"/>
        <v>0</v>
      </c>
      <c r="X103" s="173">
        <f t="shared" si="193"/>
        <v>0</v>
      </c>
      <c r="Y103" s="173">
        <f t="shared" si="193"/>
        <v>0</v>
      </c>
      <c r="Z103" s="173"/>
      <c r="AA103" s="173">
        <f t="shared" si="193"/>
        <v>0</v>
      </c>
      <c r="AB103" s="173">
        <f t="shared" si="193"/>
        <v>0</v>
      </c>
      <c r="AC103" s="173">
        <f t="shared" si="193"/>
        <v>0</v>
      </c>
      <c r="AD103" s="173">
        <f t="shared" si="193"/>
        <v>0</v>
      </c>
      <c r="AE103" s="173">
        <f t="shared" si="193"/>
        <v>0</v>
      </c>
      <c r="AF103" s="173">
        <f t="shared" si="193"/>
        <v>0</v>
      </c>
      <c r="AG103" s="173"/>
      <c r="AH103" s="173">
        <f t="shared" si="193"/>
        <v>0</v>
      </c>
      <c r="AI103" s="173">
        <f t="shared" si="193"/>
        <v>0</v>
      </c>
      <c r="AJ103" s="173">
        <f t="shared" si="193"/>
        <v>0</v>
      </c>
      <c r="AK103" s="173">
        <f t="shared" si="193"/>
        <v>0</v>
      </c>
      <c r="AL103" s="173">
        <f t="shared" si="193"/>
        <v>0</v>
      </c>
      <c r="AM103" s="173">
        <f aca="true" t="shared" si="194" ref="AM103:BK103">SUM(AM104:AM104)</f>
        <v>0</v>
      </c>
      <c r="AN103" s="173"/>
      <c r="AO103" s="173">
        <f t="shared" si="194"/>
        <v>0</v>
      </c>
      <c r="AP103" s="173">
        <f t="shared" si="194"/>
        <v>0</v>
      </c>
      <c r="AQ103" s="173">
        <f t="shared" si="194"/>
        <v>0</v>
      </c>
      <c r="AR103" s="173">
        <f t="shared" si="194"/>
        <v>0</v>
      </c>
      <c r="AS103" s="173">
        <f t="shared" si="194"/>
        <v>0</v>
      </c>
      <c r="AT103" s="173">
        <f t="shared" si="194"/>
        <v>0</v>
      </c>
      <c r="AU103" s="173"/>
      <c r="AV103" s="173">
        <f t="shared" si="194"/>
        <v>0</v>
      </c>
      <c r="AW103" s="173">
        <f t="shared" si="194"/>
        <v>0</v>
      </c>
      <c r="AX103" s="173">
        <f t="shared" si="194"/>
        <v>0</v>
      </c>
      <c r="AY103" s="173">
        <f t="shared" si="194"/>
        <v>0</v>
      </c>
      <c r="AZ103" s="173">
        <f t="shared" si="194"/>
        <v>0</v>
      </c>
      <c r="BA103" s="173">
        <f t="shared" si="194"/>
        <v>0</v>
      </c>
      <c r="BB103" s="173"/>
      <c r="BC103" s="173">
        <f t="shared" si="194"/>
        <v>0</v>
      </c>
      <c r="BD103" s="173">
        <f t="shared" si="194"/>
        <v>0</v>
      </c>
      <c r="BE103" s="173">
        <f t="shared" si="194"/>
        <v>0</v>
      </c>
      <c r="BF103" s="173">
        <f t="shared" si="194"/>
        <v>0</v>
      </c>
      <c r="BG103" s="173">
        <f t="shared" si="194"/>
        <v>0</v>
      </c>
      <c r="BH103" s="173">
        <f t="shared" si="194"/>
        <v>0</v>
      </c>
      <c r="BI103" s="173"/>
      <c r="BJ103" s="173">
        <f t="shared" si="194"/>
        <v>0</v>
      </c>
      <c r="BK103" s="173">
        <f t="shared" si="194"/>
        <v>0</v>
      </c>
      <c r="BL103" s="173">
        <f aca="true" t="shared" si="195" ref="BL103:CM103">SUM(BL104:BL104)</f>
        <v>0</v>
      </c>
      <c r="BM103" s="173">
        <f t="shared" si="195"/>
        <v>0</v>
      </c>
      <c r="BN103" s="173">
        <f t="shared" si="195"/>
        <v>0</v>
      </c>
      <c r="BO103" s="173">
        <f t="shared" si="195"/>
        <v>0</v>
      </c>
      <c r="BP103" s="173"/>
      <c r="BQ103" s="173">
        <f t="shared" si="195"/>
        <v>0</v>
      </c>
      <c r="BR103" s="173">
        <f t="shared" si="195"/>
        <v>0</v>
      </c>
      <c r="BS103" s="173">
        <f t="shared" si="195"/>
        <v>0</v>
      </c>
      <c r="BT103" s="173">
        <f>SUM(BT104:BT104)</f>
        <v>0</v>
      </c>
      <c r="BU103" s="173">
        <f t="shared" si="195"/>
        <v>0</v>
      </c>
      <c r="BV103" s="173">
        <f t="shared" si="195"/>
        <v>0</v>
      </c>
      <c r="BW103" s="173"/>
      <c r="BX103" s="173">
        <f t="shared" si="195"/>
        <v>0</v>
      </c>
      <c r="BY103" s="173">
        <f t="shared" si="195"/>
        <v>0</v>
      </c>
      <c r="BZ103" s="173">
        <f t="shared" si="195"/>
        <v>0</v>
      </c>
      <c r="CA103" s="173">
        <f t="shared" si="195"/>
        <v>0</v>
      </c>
      <c r="CB103" s="173">
        <f t="shared" si="195"/>
        <v>0</v>
      </c>
      <c r="CC103" s="173">
        <f t="shared" si="195"/>
        <v>0</v>
      </c>
      <c r="CD103" s="173"/>
      <c r="CE103" s="173">
        <f t="shared" si="195"/>
        <v>0</v>
      </c>
      <c r="CF103" s="173">
        <f t="shared" si="195"/>
        <v>0</v>
      </c>
      <c r="CG103" s="173">
        <f t="shared" si="195"/>
        <v>216</v>
      </c>
      <c r="CH103" s="173">
        <f t="shared" si="195"/>
        <v>0</v>
      </c>
      <c r="CI103" s="173">
        <f t="shared" si="195"/>
        <v>0</v>
      </c>
      <c r="CJ103" s="173">
        <f t="shared" si="195"/>
        <v>0</v>
      </c>
      <c r="CK103" s="173"/>
      <c r="CL103" s="173">
        <f t="shared" si="195"/>
        <v>0</v>
      </c>
      <c r="CM103" s="173">
        <f t="shared" si="195"/>
        <v>216</v>
      </c>
      <c r="CN103" s="173" t="s">
        <v>665</v>
      </c>
      <c r="CO103" s="173" t="s">
        <v>479</v>
      </c>
    </row>
    <row r="104" spans="1:93" s="450" customFormat="1" ht="30.75" customHeight="1">
      <c r="A104" s="198" t="s">
        <v>208</v>
      </c>
      <c r="B104" s="181" t="s">
        <v>666</v>
      </c>
      <c r="C104" s="122"/>
      <c r="D104" s="185"/>
      <c r="E104" s="180"/>
      <c r="F104" s="180"/>
      <c r="G104" s="180"/>
      <c r="H104" s="180"/>
      <c r="I104" s="180"/>
      <c r="J104" s="350"/>
      <c r="K104" s="350"/>
      <c r="L104" s="116"/>
      <c r="M104" s="116"/>
      <c r="N104" s="189">
        <v>216</v>
      </c>
      <c r="O104" s="189">
        <f>SUM(P104:T104)</f>
        <v>0</v>
      </c>
      <c r="P104" s="189">
        <f>W104+AD104+AK104+AR104+AY104+BF104+BM104+BT104+CA104+CH104</f>
        <v>0</v>
      </c>
      <c r="Q104" s="189">
        <f>X104+AE104+AL104+AS104+AZ104+BG104+BN104+BU104+CB104+CI104</f>
        <v>0</v>
      </c>
      <c r="R104" s="189">
        <f>Y104+AF104+AM104+AT104+BA104+BH104+BO104+BV104+CC104+CJ104</f>
        <v>0</v>
      </c>
      <c r="S104" s="189"/>
      <c r="T104" s="189">
        <f>AA104+AH104+AO104+AV104+BC104+BJ104+BQ104+BX104+CE104+CL104</f>
        <v>0</v>
      </c>
      <c r="U104" s="189">
        <f>AB104+AI104+AP104+AW104+BD104+BK104+BR104+BY104+CF104+CM104</f>
        <v>216</v>
      </c>
      <c r="V104" s="182"/>
      <c r="W104" s="116"/>
      <c r="X104" s="116"/>
      <c r="Y104" s="116"/>
      <c r="Z104" s="116"/>
      <c r="AA104" s="116"/>
      <c r="AB104" s="116"/>
      <c r="AC104" s="182">
        <f>SUM(AD104:AI104)</f>
        <v>0</v>
      </c>
      <c r="AD104" s="116"/>
      <c r="AE104" s="116"/>
      <c r="AF104" s="116"/>
      <c r="AG104" s="116"/>
      <c r="AH104" s="116"/>
      <c r="AI104" s="116"/>
      <c r="AJ104" s="182">
        <f>SUM(AK104:AP104)</f>
        <v>0</v>
      </c>
      <c r="AK104" s="116"/>
      <c r="AL104" s="116"/>
      <c r="AM104" s="116"/>
      <c r="AN104" s="116"/>
      <c r="AO104" s="116"/>
      <c r="AP104" s="116"/>
      <c r="AQ104" s="182">
        <f>SUM(AR104:AW104)</f>
        <v>0</v>
      </c>
      <c r="AR104" s="116"/>
      <c r="AS104" s="116"/>
      <c r="AT104" s="116"/>
      <c r="AU104" s="116"/>
      <c r="AV104" s="116"/>
      <c r="AW104" s="116"/>
      <c r="AX104" s="182">
        <f>SUM(AY104:BD104)</f>
        <v>0</v>
      </c>
      <c r="AY104" s="116"/>
      <c r="AZ104" s="116"/>
      <c r="BA104" s="116"/>
      <c r="BB104" s="116"/>
      <c r="BC104" s="116"/>
      <c r="BD104" s="116"/>
      <c r="BE104" s="182">
        <f>SUM(BF104:BK104)</f>
        <v>0</v>
      </c>
      <c r="BF104" s="116"/>
      <c r="BG104" s="116"/>
      <c r="BH104" s="116"/>
      <c r="BI104" s="116"/>
      <c r="BJ104" s="116"/>
      <c r="BK104" s="116"/>
      <c r="BL104" s="182">
        <f>SUM(BM104:BR104)</f>
        <v>0</v>
      </c>
      <c r="BM104" s="116"/>
      <c r="BN104" s="116"/>
      <c r="BO104" s="116"/>
      <c r="BP104" s="116"/>
      <c r="BQ104" s="116"/>
      <c r="BR104" s="116"/>
      <c r="BS104" s="182">
        <f>SUM(BT104:BY104)</f>
        <v>0</v>
      </c>
      <c r="BT104" s="116"/>
      <c r="BU104" s="116"/>
      <c r="BV104" s="116"/>
      <c r="BW104" s="116"/>
      <c r="BX104" s="116"/>
      <c r="BY104" s="116"/>
      <c r="BZ104" s="182">
        <f>SUM(CA104:CF104)</f>
        <v>0</v>
      </c>
      <c r="CA104" s="116"/>
      <c r="CB104" s="116"/>
      <c r="CC104" s="116"/>
      <c r="CD104" s="116"/>
      <c r="CE104" s="116"/>
      <c r="CF104" s="116"/>
      <c r="CG104" s="182">
        <f>SUM(CH104:CM104)</f>
        <v>216</v>
      </c>
      <c r="CH104" s="116"/>
      <c r="CI104" s="116"/>
      <c r="CJ104" s="116"/>
      <c r="CK104" s="116"/>
      <c r="CL104" s="116"/>
      <c r="CM104" s="116">
        <v>216</v>
      </c>
      <c r="CN104" s="117" t="s">
        <v>665</v>
      </c>
      <c r="CO104" s="119" t="s">
        <v>479</v>
      </c>
    </row>
    <row r="105" spans="1:93" s="48" customFormat="1" ht="18" customHeight="1">
      <c r="A105" s="208"/>
      <c r="B105" s="170" t="s">
        <v>176</v>
      </c>
      <c r="C105" s="170"/>
      <c r="D105" s="196"/>
      <c r="E105" s="196"/>
      <c r="F105" s="196"/>
      <c r="G105" s="196"/>
      <c r="H105" s="196"/>
      <c r="I105" s="196"/>
      <c r="J105" s="357"/>
      <c r="K105" s="357"/>
      <c r="L105" s="171"/>
      <c r="M105" s="171"/>
      <c r="N105" s="171">
        <f>SUM(V105+AC105+AJ105+AQ105+AX105+BE105+BS105)</f>
        <v>0</v>
      </c>
      <c r="O105" s="171"/>
      <c r="P105" s="171"/>
      <c r="Q105" s="171"/>
      <c r="R105" s="171"/>
      <c r="S105" s="171"/>
      <c r="T105" s="171"/>
      <c r="U105" s="171"/>
      <c r="V105" s="171">
        <f>SUM(W105:AB105)</f>
        <v>0</v>
      </c>
      <c r="W105" s="171"/>
      <c r="X105" s="171"/>
      <c r="Y105" s="171"/>
      <c r="Z105" s="171"/>
      <c r="AA105" s="171"/>
      <c r="AB105" s="171"/>
      <c r="AC105" s="171">
        <f>SUM(AD105:AI105)</f>
        <v>0</v>
      </c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>
        <f>SUM(AR105:AW105)</f>
        <v>0</v>
      </c>
      <c r="AR105" s="171"/>
      <c r="AS105" s="171"/>
      <c r="AT105" s="171"/>
      <c r="AU105" s="171"/>
      <c r="AV105" s="171"/>
      <c r="AW105" s="171"/>
      <c r="AX105" s="171">
        <f>SUM(AY105:BD105)</f>
        <v>0</v>
      </c>
      <c r="AY105" s="171"/>
      <c r="AZ105" s="171"/>
      <c r="BA105" s="171"/>
      <c r="BB105" s="171"/>
      <c r="BC105" s="171"/>
      <c r="BD105" s="171"/>
      <c r="BE105" s="171">
        <f>SUM(BF105:BK105)</f>
        <v>0</v>
      </c>
      <c r="BF105" s="171"/>
      <c r="BG105" s="171"/>
      <c r="BH105" s="171"/>
      <c r="BI105" s="171"/>
      <c r="BJ105" s="171"/>
      <c r="BK105" s="171"/>
      <c r="BL105" s="171">
        <f>SUM(BM105:BR105)</f>
        <v>0</v>
      </c>
      <c r="BM105" s="171"/>
      <c r="BN105" s="171"/>
      <c r="BO105" s="171"/>
      <c r="BP105" s="171"/>
      <c r="BQ105" s="171"/>
      <c r="BR105" s="171"/>
      <c r="BS105" s="171">
        <f>SUM(BT105:BY105)</f>
        <v>0</v>
      </c>
      <c r="BT105" s="171"/>
      <c r="BU105" s="171"/>
      <c r="BV105" s="171"/>
      <c r="BW105" s="171"/>
      <c r="BX105" s="171"/>
      <c r="BY105" s="171"/>
      <c r="BZ105" s="171">
        <f>SUM(CA105:CF105)</f>
        <v>0</v>
      </c>
      <c r="CA105" s="171"/>
      <c r="CB105" s="171"/>
      <c r="CC105" s="171"/>
      <c r="CD105" s="171"/>
      <c r="CE105" s="171"/>
      <c r="CF105" s="171"/>
      <c r="CG105" s="171">
        <f>SUM(CH105:CM105)</f>
        <v>0</v>
      </c>
      <c r="CH105" s="171"/>
      <c r="CI105" s="171"/>
      <c r="CJ105" s="171"/>
      <c r="CK105" s="171"/>
      <c r="CL105" s="171"/>
      <c r="CM105" s="171"/>
      <c r="CN105" s="196"/>
      <c r="CO105" s="196"/>
    </row>
    <row r="106" spans="1:93" s="47" customFormat="1" ht="26.25" customHeight="1" hidden="1">
      <c r="A106" s="209"/>
      <c r="B106" s="599"/>
      <c r="C106" s="600"/>
      <c r="D106" s="600"/>
      <c r="E106" s="600"/>
      <c r="F106" s="600"/>
      <c r="G106" s="600"/>
      <c r="H106" s="600"/>
      <c r="I106" s="600"/>
      <c r="J106" s="600"/>
      <c r="K106" s="600"/>
      <c r="L106" s="600"/>
      <c r="M106" s="600"/>
      <c r="N106" s="600"/>
      <c r="O106" s="600"/>
      <c r="P106" s="600"/>
      <c r="Q106" s="600"/>
      <c r="R106" s="600"/>
      <c r="S106" s="600"/>
      <c r="T106" s="600"/>
      <c r="U106" s="60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1"/>
      <c r="CO106" s="211"/>
    </row>
    <row r="107" spans="1:93" s="47" customFormat="1" ht="27.75" customHeight="1" hidden="1">
      <c r="A107" s="597" t="str">
        <f>'Титульный лист'!A12:N12</f>
        <v>Специфика:</v>
      </c>
      <c r="B107" s="598"/>
      <c r="C107" s="598"/>
      <c r="D107" s="455"/>
      <c r="E107" s="455"/>
      <c r="F107" s="455"/>
      <c r="G107" s="455"/>
      <c r="H107" s="455"/>
      <c r="I107" s="455"/>
      <c r="J107" s="456"/>
      <c r="K107" s="456"/>
      <c r="L107" s="457"/>
      <c r="M107" s="457"/>
      <c r="N107" s="455"/>
      <c r="O107" s="455"/>
      <c r="P107" s="455"/>
      <c r="Q107" s="455"/>
      <c r="R107" s="455"/>
      <c r="S107" s="455"/>
      <c r="T107" s="455"/>
      <c r="U107" s="455"/>
      <c r="V107" s="457"/>
      <c r="W107" s="458"/>
      <c r="X107" s="458"/>
      <c r="Y107" s="458"/>
      <c r="Z107" s="458"/>
      <c r="AA107" s="458"/>
      <c r="AB107" s="458"/>
      <c r="AC107" s="457"/>
      <c r="AD107" s="458"/>
      <c r="AE107" s="458"/>
      <c r="AF107" s="458"/>
      <c r="AG107" s="458"/>
      <c r="AH107" s="458"/>
      <c r="AI107" s="458"/>
      <c r="AJ107" s="457"/>
      <c r="AK107" s="458"/>
      <c r="AL107" s="458"/>
      <c r="AM107" s="458"/>
      <c r="AN107" s="458"/>
      <c r="AO107" s="458"/>
      <c r="AP107" s="458"/>
      <c r="AQ107" s="457"/>
      <c r="AR107" s="458"/>
      <c r="AS107" s="458"/>
      <c r="AT107" s="458"/>
      <c r="AU107" s="458"/>
      <c r="AV107" s="458"/>
      <c r="AW107" s="458"/>
      <c r="AX107" s="457"/>
      <c r="AY107" s="458"/>
      <c r="AZ107" s="458"/>
      <c r="BA107" s="458"/>
      <c r="BB107" s="458"/>
      <c r="BC107" s="458"/>
      <c r="BD107" s="458"/>
      <c r="BE107" s="457"/>
      <c r="BF107" s="458"/>
      <c r="BG107" s="458"/>
      <c r="BH107" s="458"/>
      <c r="BI107" s="458"/>
      <c r="BJ107" s="458"/>
      <c r="BK107" s="458"/>
      <c r="BL107" s="457"/>
      <c r="BM107" s="458"/>
      <c r="BN107" s="458"/>
      <c r="BO107" s="458"/>
      <c r="BP107" s="458"/>
      <c r="BQ107" s="458"/>
      <c r="BR107" s="458"/>
      <c r="BS107" s="457"/>
      <c r="BT107" s="458"/>
      <c r="BU107" s="458"/>
      <c r="BV107" s="458"/>
      <c r="BW107" s="458"/>
      <c r="BX107" s="458"/>
      <c r="BY107" s="458"/>
      <c r="BZ107" s="457"/>
      <c r="CA107" s="458"/>
      <c r="CB107" s="458"/>
      <c r="CC107" s="458"/>
      <c r="CD107" s="458"/>
      <c r="CE107" s="458"/>
      <c r="CF107" s="458"/>
      <c r="CG107" s="457"/>
      <c r="CH107" s="458"/>
      <c r="CI107" s="458"/>
      <c r="CJ107" s="458"/>
      <c r="CK107" s="458"/>
      <c r="CL107" s="458"/>
      <c r="CM107" s="458"/>
      <c r="CN107" s="459"/>
      <c r="CO107" s="459"/>
    </row>
    <row r="108" spans="1:93" s="47" customFormat="1" ht="27.75" customHeight="1" hidden="1">
      <c r="A108" s="674">
        <f>'Титульный лист'!O12:O12</f>
        <v>0</v>
      </c>
      <c r="B108" s="675"/>
      <c r="C108" s="675"/>
      <c r="D108" s="460"/>
      <c r="E108" s="460"/>
      <c r="F108" s="460"/>
      <c r="G108" s="460"/>
      <c r="H108" s="460"/>
      <c r="I108" s="460"/>
      <c r="J108" s="461"/>
      <c r="K108" s="461"/>
      <c r="L108" s="462"/>
      <c r="M108" s="462"/>
      <c r="N108" s="460"/>
      <c r="O108" s="460"/>
      <c r="P108" s="460"/>
      <c r="Q108" s="460"/>
      <c r="R108" s="460"/>
      <c r="S108" s="460"/>
      <c r="T108" s="460"/>
      <c r="U108" s="460"/>
      <c r="V108" s="457"/>
      <c r="W108" s="458"/>
      <c r="X108" s="458"/>
      <c r="Y108" s="458"/>
      <c r="Z108" s="458"/>
      <c r="AA108" s="458"/>
      <c r="AB108" s="458"/>
      <c r="AC108" s="457"/>
      <c r="AD108" s="458"/>
      <c r="AE108" s="458"/>
      <c r="AF108" s="458"/>
      <c r="AG108" s="458"/>
      <c r="AH108" s="458"/>
      <c r="AI108" s="458"/>
      <c r="AJ108" s="457"/>
      <c r="AK108" s="458"/>
      <c r="AL108" s="458"/>
      <c r="AM108" s="458"/>
      <c r="AN108" s="458"/>
      <c r="AO108" s="458"/>
      <c r="AP108" s="458"/>
      <c r="AQ108" s="457"/>
      <c r="AR108" s="458"/>
      <c r="AS108" s="458"/>
      <c r="AT108" s="458"/>
      <c r="AU108" s="458"/>
      <c r="AV108" s="458"/>
      <c r="AW108" s="458"/>
      <c r="AX108" s="457"/>
      <c r="AY108" s="458"/>
      <c r="AZ108" s="458"/>
      <c r="BA108" s="458"/>
      <c r="BB108" s="458"/>
      <c r="BC108" s="458"/>
      <c r="BD108" s="458"/>
      <c r="BE108" s="457"/>
      <c r="BF108" s="458"/>
      <c r="BG108" s="458"/>
      <c r="BH108" s="458"/>
      <c r="BI108" s="458"/>
      <c r="BJ108" s="458"/>
      <c r="BK108" s="458"/>
      <c r="BL108" s="457"/>
      <c r="BM108" s="458"/>
      <c r="BN108" s="458"/>
      <c r="BO108" s="458"/>
      <c r="BP108" s="458"/>
      <c r="BQ108" s="458"/>
      <c r="BR108" s="458"/>
      <c r="BS108" s="457"/>
      <c r="BT108" s="458"/>
      <c r="BU108" s="458"/>
      <c r="BV108" s="458"/>
      <c r="BW108" s="458"/>
      <c r="BX108" s="458"/>
      <c r="BY108" s="458"/>
      <c r="BZ108" s="457"/>
      <c r="CA108" s="458"/>
      <c r="CB108" s="458"/>
      <c r="CC108" s="458"/>
      <c r="CD108" s="458"/>
      <c r="CE108" s="458"/>
      <c r="CF108" s="458"/>
      <c r="CG108" s="457"/>
      <c r="CH108" s="458"/>
      <c r="CI108" s="458"/>
      <c r="CJ108" s="458"/>
      <c r="CK108" s="458"/>
      <c r="CL108" s="458"/>
      <c r="CM108" s="458"/>
      <c r="CN108" s="459"/>
      <c r="CO108" s="459"/>
    </row>
    <row r="109" spans="1:93" s="47" customFormat="1" ht="12.75" customHeight="1">
      <c r="A109" s="454"/>
      <c r="B109" s="591" t="s">
        <v>541</v>
      </c>
      <c r="C109" s="592"/>
      <c r="D109" s="592"/>
      <c r="E109" s="592"/>
      <c r="F109" s="592"/>
      <c r="G109" s="592"/>
      <c r="H109" s="592"/>
      <c r="I109" s="593"/>
      <c r="J109" s="356"/>
      <c r="K109" s="356"/>
      <c r="L109" s="52">
        <f aca="true" t="shared" si="196" ref="L109:R109">L11+L28+L92</f>
        <v>7722</v>
      </c>
      <c r="M109" s="52">
        <f t="shared" si="196"/>
        <v>5148</v>
      </c>
      <c r="N109" s="53">
        <f t="shared" si="196"/>
        <v>7722</v>
      </c>
      <c r="O109" s="53">
        <f t="shared" si="196"/>
        <v>5148</v>
      </c>
      <c r="P109" s="53">
        <f t="shared" si="196"/>
        <v>3966</v>
      </c>
      <c r="Q109" s="53">
        <f t="shared" si="196"/>
        <v>1099</v>
      </c>
      <c r="R109" s="53">
        <f t="shared" si="196"/>
        <v>83</v>
      </c>
      <c r="S109" s="53"/>
      <c r="T109" s="53">
        <f>T11+T28+T92</f>
        <v>0</v>
      </c>
      <c r="U109" s="214">
        <f>U11+U28+U92</f>
        <v>2574</v>
      </c>
      <c r="V109" s="463">
        <f>SUM(W109:AB109)</f>
        <v>918</v>
      </c>
      <c r="W109" s="464">
        <f>W11+W28+W92</f>
        <v>527</v>
      </c>
      <c r="X109" s="464">
        <f>X11+X28+X92</f>
        <v>85</v>
      </c>
      <c r="Y109" s="464">
        <f>Y11+Y28+Y92</f>
        <v>0</v>
      </c>
      <c r="Z109" s="464"/>
      <c r="AA109" s="464">
        <f>AA11+AA28+AA92</f>
        <v>0</v>
      </c>
      <c r="AB109" s="464">
        <f>AB11+AB28+AB92</f>
        <v>306</v>
      </c>
      <c r="AC109" s="465">
        <f>SUM(AD109:AI109)</f>
        <v>1188</v>
      </c>
      <c r="AD109" s="464">
        <f>AD11+AD28+AD92</f>
        <v>671</v>
      </c>
      <c r="AE109" s="464">
        <f>AE11+AE28+AE92</f>
        <v>121</v>
      </c>
      <c r="AF109" s="464">
        <f>AF11+AF28+AF92</f>
        <v>0</v>
      </c>
      <c r="AG109" s="464"/>
      <c r="AH109" s="464">
        <f>AH11+AH28+AH92</f>
        <v>0</v>
      </c>
      <c r="AI109" s="466">
        <f>AI11+AI28+AI92</f>
        <v>396</v>
      </c>
      <c r="AJ109" s="463">
        <f>SUM(AK109:AP109)</f>
        <v>864</v>
      </c>
      <c r="AK109" s="464">
        <f>AK11+AK28+AK92</f>
        <v>466</v>
      </c>
      <c r="AL109" s="464">
        <f>AL11+AL28+AL92</f>
        <v>110</v>
      </c>
      <c r="AM109" s="464">
        <f>AM11+AM28+AM92</f>
        <v>0</v>
      </c>
      <c r="AN109" s="464"/>
      <c r="AO109" s="464">
        <f>AO11+AO28+AO92</f>
        <v>0</v>
      </c>
      <c r="AP109" s="464">
        <f>AP11+AP28+AP92</f>
        <v>288</v>
      </c>
      <c r="AQ109" s="465">
        <f>SUM(AR109:AW109)</f>
        <v>918</v>
      </c>
      <c r="AR109" s="464">
        <f>AR11+AR28+AR92</f>
        <v>527</v>
      </c>
      <c r="AS109" s="464">
        <f>AS11+AS28+AS92</f>
        <v>85</v>
      </c>
      <c r="AT109" s="464">
        <f>AT11+AT28+AT92</f>
        <v>0</v>
      </c>
      <c r="AU109" s="464"/>
      <c r="AV109" s="464">
        <f>AV11+AV28+AV92</f>
        <v>0</v>
      </c>
      <c r="AW109" s="466">
        <f>AW11+AW28+AW92</f>
        <v>306</v>
      </c>
      <c r="AX109" s="463">
        <f>SUM(AY109:BD109)</f>
        <v>864</v>
      </c>
      <c r="AY109" s="464">
        <f>AY11+AY28+AY92</f>
        <v>454</v>
      </c>
      <c r="AZ109" s="464">
        <f>AZ11+AZ28+AZ92</f>
        <v>122</v>
      </c>
      <c r="BA109" s="464">
        <f>BA11+BA28+BA92</f>
        <v>0</v>
      </c>
      <c r="BB109" s="464"/>
      <c r="BC109" s="464">
        <f>BC11+BC28+BC92</f>
        <v>0</v>
      </c>
      <c r="BD109" s="464">
        <f>BD11+BD28+BD92</f>
        <v>288</v>
      </c>
      <c r="BE109" s="465">
        <f>SUM(BF109:BK109)</f>
        <v>594</v>
      </c>
      <c r="BF109" s="464">
        <f>BF11+BF28+BF92</f>
        <v>255</v>
      </c>
      <c r="BG109" s="464">
        <f>BG11+BG28+BG92</f>
        <v>141</v>
      </c>
      <c r="BH109" s="464">
        <f>BH11+BH28+BH92</f>
        <v>0</v>
      </c>
      <c r="BI109" s="464"/>
      <c r="BJ109" s="464">
        <f>BJ11+BJ28+BJ92</f>
        <v>0</v>
      </c>
      <c r="BK109" s="466">
        <f>BK11+BK28+BK92</f>
        <v>198</v>
      </c>
      <c r="BL109" s="463">
        <f>SUM(BM109:BR109)</f>
        <v>594</v>
      </c>
      <c r="BM109" s="464">
        <f>BM11+BM28+BM92</f>
        <v>290</v>
      </c>
      <c r="BN109" s="464">
        <f>BN11+BN28+BN92</f>
        <v>106</v>
      </c>
      <c r="BO109" s="464">
        <f>BO11+BO28+BO92</f>
        <v>0</v>
      </c>
      <c r="BP109" s="464"/>
      <c r="BQ109" s="464">
        <f>BQ11+BQ28+BQ92</f>
        <v>0</v>
      </c>
      <c r="BR109" s="464">
        <f>BR11+BR28+BR92</f>
        <v>198</v>
      </c>
      <c r="BS109" s="465">
        <f>SUM(BT109:BY109)</f>
        <v>594</v>
      </c>
      <c r="BT109" s="464">
        <f>BT11+BT28+BT92</f>
        <v>308</v>
      </c>
      <c r="BU109" s="464">
        <f>BU11+BU28+BU92</f>
        <v>33</v>
      </c>
      <c r="BV109" s="464">
        <f>BV11+BV28+BV92</f>
        <v>55</v>
      </c>
      <c r="BW109" s="464"/>
      <c r="BX109" s="464">
        <f>BX11+BX28+BX92</f>
        <v>0</v>
      </c>
      <c r="BY109" s="466">
        <f>BY11+BY28+BY92</f>
        <v>198</v>
      </c>
      <c r="BZ109" s="463">
        <f>SUM(CA109:CF109)</f>
        <v>432</v>
      </c>
      <c r="CA109" s="464">
        <f>CA11+CA28+CA92</f>
        <v>162</v>
      </c>
      <c r="CB109" s="464">
        <f>CB11+CB28+CB92</f>
        <v>126</v>
      </c>
      <c r="CC109" s="464">
        <f>CC11+CC28+CC92</f>
        <v>0</v>
      </c>
      <c r="CD109" s="464"/>
      <c r="CE109" s="464">
        <f>CE11+CE28+CE92</f>
        <v>0</v>
      </c>
      <c r="CF109" s="464">
        <f>CF11+CF28+CF92</f>
        <v>144</v>
      </c>
      <c r="CG109" s="463">
        <f>SUM(CH109:CM109)</f>
        <v>756</v>
      </c>
      <c r="CH109" s="464">
        <f>CH11+CH28+CH92</f>
        <v>306</v>
      </c>
      <c r="CI109" s="464">
        <f>CI11+CI28+CI92</f>
        <v>170</v>
      </c>
      <c r="CJ109" s="464">
        <f>CJ11+CJ28+CJ92</f>
        <v>28</v>
      </c>
      <c r="CK109" s="464"/>
      <c r="CL109" s="464">
        <f>CL11+CL28+CL92</f>
        <v>0</v>
      </c>
      <c r="CM109" s="464">
        <f>CM11+CM28+CM92</f>
        <v>252</v>
      </c>
      <c r="CN109" s="459"/>
      <c r="CO109" s="459"/>
    </row>
    <row r="110" spans="1:93" s="47" customFormat="1" ht="12.75" customHeight="1">
      <c r="A110" s="454"/>
      <c r="B110" s="591" t="s">
        <v>256</v>
      </c>
      <c r="C110" s="592"/>
      <c r="D110" s="592"/>
      <c r="E110" s="592"/>
      <c r="F110" s="592"/>
      <c r="G110" s="592"/>
      <c r="H110" s="592"/>
      <c r="I110" s="593"/>
      <c r="J110" s="356"/>
      <c r="K110" s="356"/>
      <c r="L110" s="52">
        <f aca="true" t="shared" si="197" ref="L110:U110">L95+L100</f>
        <v>0</v>
      </c>
      <c r="M110" s="52">
        <f t="shared" si="197"/>
        <v>1980</v>
      </c>
      <c r="N110" s="53">
        <f t="shared" si="197"/>
        <v>0</v>
      </c>
      <c r="O110" s="53">
        <f t="shared" si="197"/>
        <v>1980</v>
      </c>
      <c r="P110" s="53">
        <f t="shared" si="197"/>
        <v>0</v>
      </c>
      <c r="Q110" s="53">
        <f t="shared" si="197"/>
        <v>0</v>
      </c>
      <c r="R110" s="53">
        <f t="shared" si="197"/>
        <v>0</v>
      </c>
      <c r="S110" s="53"/>
      <c r="T110" s="53">
        <f t="shared" si="197"/>
        <v>1980</v>
      </c>
      <c r="U110" s="215">
        <f t="shared" si="197"/>
        <v>0</v>
      </c>
      <c r="V110" s="463">
        <f>SUM(W110:AB110)</f>
        <v>0</v>
      </c>
      <c r="W110" s="464">
        <f aca="true" t="shared" si="198" ref="W110:AB110">W95+W100</f>
        <v>0</v>
      </c>
      <c r="X110" s="464">
        <f t="shared" si="198"/>
        <v>0</v>
      </c>
      <c r="Y110" s="464">
        <f t="shared" si="198"/>
        <v>0</v>
      </c>
      <c r="Z110" s="464"/>
      <c r="AA110" s="464">
        <f t="shared" si="198"/>
        <v>0</v>
      </c>
      <c r="AB110" s="467">
        <f t="shared" si="198"/>
        <v>0</v>
      </c>
      <c r="AC110" s="465">
        <f>SUM(AD110:AI110)</f>
        <v>0</v>
      </c>
      <c r="AD110" s="464">
        <f aca="true" t="shared" si="199" ref="AD110:AI110">AD95+AD100</f>
        <v>0</v>
      </c>
      <c r="AE110" s="464">
        <f t="shared" si="199"/>
        <v>0</v>
      </c>
      <c r="AF110" s="464">
        <f t="shared" si="199"/>
        <v>0</v>
      </c>
      <c r="AG110" s="464"/>
      <c r="AH110" s="464">
        <f t="shared" si="199"/>
        <v>0</v>
      </c>
      <c r="AI110" s="468">
        <f t="shared" si="199"/>
        <v>0</v>
      </c>
      <c r="AJ110" s="463">
        <f>SUM(AK110:AP110)</f>
        <v>0</v>
      </c>
      <c r="AK110" s="464">
        <f aca="true" t="shared" si="200" ref="AK110:AP110">AK95+AK100</f>
        <v>0</v>
      </c>
      <c r="AL110" s="464">
        <f t="shared" si="200"/>
        <v>0</v>
      </c>
      <c r="AM110" s="464">
        <f t="shared" si="200"/>
        <v>0</v>
      </c>
      <c r="AN110" s="464"/>
      <c r="AO110" s="464">
        <f t="shared" si="200"/>
        <v>0</v>
      </c>
      <c r="AP110" s="467">
        <f t="shared" si="200"/>
        <v>0</v>
      </c>
      <c r="AQ110" s="465">
        <f>SUM(AR110:AW110)</f>
        <v>324</v>
      </c>
      <c r="AR110" s="464">
        <f aca="true" t="shared" si="201" ref="AR110:AW110">AR95+AR100</f>
        <v>0</v>
      </c>
      <c r="AS110" s="464">
        <f t="shared" si="201"/>
        <v>0</v>
      </c>
      <c r="AT110" s="464">
        <f t="shared" si="201"/>
        <v>0</v>
      </c>
      <c r="AU110" s="464"/>
      <c r="AV110" s="464">
        <f t="shared" si="201"/>
        <v>324</v>
      </c>
      <c r="AW110" s="468">
        <f t="shared" si="201"/>
        <v>0</v>
      </c>
      <c r="AX110" s="463">
        <f>SUM(AY110:BD110)</f>
        <v>0</v>
      </c>
      <c r="AY110" s="464">
        <f aca="true" t="shared" si="202" ref="AY110:BD110">AY95+AY100</f>
        <v>0</v>
      </c>
      <c r="AZ110" s="464">
        <f t="shared" si="202"/>
        <v>0</v>
      </c>
      <c r="BA110" s="464">
        <f t="shared" si="202"/>
        <v>0</v>
      </c>
      <c r="BB110" s="464"/>
      <c r="BC110" s="464">
        <f t="shared" si="202"/>
        <v>0</v>
      </c>
      <c r="BD110" s="467">
        <f t="shared" si="202"/>
        <v>0</v>
      </c>
      <c r="BE110" s="465">
        <f>SUM(BF110:BK110)</f>
        <v>540</v>
      </c>
      <c r="BF110" s="464">
        <f aca="true" t="shared" si="203" ref="BF110:BK110">BF95+BF100</f>
        <v>0</v>
      </c>
      <c r="BG110" s="464">
        <f t="shared" si="203"/>
        <v>0</v>
      </c>
      <c r="BH110" s="464">
        <f t="shared" si="203"/>
        <v>0</v>
      </c>
      <c r="BI110" s="464"/>
      <c r="BJ110" s="464">
        <f t="shared" si="203"/>
        <v>540</v>
      </c>
      <c r="BK110" s="468">
        <f t="shared" si="203"/>
        <v>0</v>
      </c>
      <c r="BL110" s="463">
        <f>SUM(BM110:BR110)</f>
        <v>216</v>
      </c>
      <c r="BM110" s="464">
        <f aca="true" t="shared" si="204" ref="BM110:BR110">BM95+BM100</f>
        <v>0</v>
      </c>
      <c r="BN110" s="464">
        <f t="shared" si="204"/>
        <v>0</v>
      </c>
      <c r="BO110" s="464">
        <f t="shared" si="204"/>
        <v>0</v>
      </c>
      <c r="BP110" s="464"/>
      <c r="BQ110" s="464">
        <f t="shared" si="204"/>
        <v>216</v>
      </c>
      <c r="BR110" s="467">
        <f t="shared" si="204"/>
        <v>0</v>
      </c>
      <c r="BS110" s="465">
        <f>SUM(BT110:BY110)</f>
        <v>432</v>
      </c>
      <c r="BT110" s="464">
        <f aca="true" t="shared" si="205" ref="BT110:BY110">BT95+BT100</f>
        <v>0</v>
      </c>
      <c r="BU110" s="464">
        <f t="shared" si="205"/>
        <v>0</v>
      </c>
      <c r="BV110" s="464">
        <f t="shared" si="205"/>
        <v>0</v>
      </c>
      <c r="BW110" s="464"/>
      <c r="BX110" s="464">
        <f t="shared" si="205"/>
        <v>432</v>
      </c>
      <c r="BY110" s="468">
        <f t="shared" si="205"/>
        <v>0</v>
      </c>
      <c r="BZ110" s="463">
        <f>SUM(CA110:CF110)</f>
        <v>468</v>
      </c>
      <c r="CA110" s="464">
        <f aca="true" t="shared" si="206" ref="CA110:CF110">CA95+CA100</f>
        <v>0</v>
      </c>
      <c r="CB110" s="464">
        <f t="shared" si="206"/>
        <v>0</v>
      </c>
      <c r="CC110" s="464">
        <f t="shared" si="206"/>
        <v>0</v>
      </c>
      <c r="CD110" s="464"/>
      <c r="CE110" s="464">
        <f t="shared" si="206"/>
        <v>468</v>
      </c>
      <c r="CF110" s="467">
        <f t="shared" si="206"/>
        <v>0</v>
      </c>
      <c r="CG110" s="463">
        <f>SUM(CH110:CM110)</f>
        <v>0</v>
      </c>
      <c r="CH110" s="464">
        <f aca="true" t="shared" si="207" ref="CH110:CM110">CH95+CH100</f>
        <v>0</v>
      </c>
      <c r="CI110" s="464">
        <f t="shared" si="207"/>
        <v>0</v>
      </c>
      <c r="CJ110" s="464">
        <f t="shared" si="207"/>
        <v>0</v>
      </c>
      <c r="CK110" s="464"/>
      <c r="CL110" s="464">
        <f t="shared" si="207"/>
        <v>0</v>
      </c>
      <c r="CM110" s="467">
        <f t="shared" si="207"/>
        <v>0</v>
      </c>
      <c r="CN110" s="459"/>
      <c r="CO110" s="459"/>
    </row>
    <row r="111" spans="1:93" s="47" customFormat="1" ht="12.75" customHeight="1">
      <c r="A111" s="454"/>
      <c r="B111" s="591" t="s">
        <v>534</v>
      </c>
      <c r="C111" s="592"/>
      <c r="D111" s="592"/>
      <c r="E111" s="592"/>
      <c r="F111" s="592"/>
      <c r="G111" s="592"/>
      <c r="H111" s="592"/>
      <c r="I111" s="593"/>
      <c r="J111" s="356"/>
      <c r="K111" s="356"/>
      <c r="L111" s="52">
        <f>L103</f>
        <v>216</v>
      </c>
      <c r="M111" s="52">
        <f>M103</f>
        <v>0</v>
      </c>
      <c r="N111" s="53">
        <f>N103</f>
        <v>216</v>
      </c>
      <c r="O111" s="53">
        <f aca="true" t="shared" si="208" ref="O111:T111">O103</f>
        <v>0</v>
      </c>
      <c r="P111" s="53">
        <f t="shared" si="208"/>
        <v>0</v>
      </c>
      <c r="Q111" s="53">
        <f t="shared" si="208"/>
        <v>0</v>
      </c>
      <c r="R111" s="53">
        <f t="shared" si="208"/>
        <v>0</v>
      </c>
      <c r="S111" s="53"/>
      <c r="T111" s="53">
        <f t="shared" si="208"/>
        <v>0</v>
      </c>
      <c r="U111" s="215">
        <f>U103</f>
        <v>216</v>
      </c>
      <c r="V111" s="463">
        <f>SUM(W111:AB111)</f>
        <v>0</v>
      </c>
      <c r="W111" s="464">
        <f aca="true" t="shared" si="209" ref="W111:AB111">W103</f>
        <v>0</v>
      </c>
      <c r="X111" s="464">
        <f t="shared" si="209"/>
        <v>0</v>
      </c>
      <c r="Y111" s="464">
        <f t="shared" si="209"/>
        <v>0</v>
      </c>
      <c r="Z111" s="464"/>
      <c r="AA111" s="464">
        <f t="shared" si="209"/>
        <v>0</v>
      </c>
      <c r="AB111" s="467">
        <f t="shared" si="209"/>
        <v>0</v>
      </c>
      <c r="AC111" s="465">
        <f aca="true" t="shared" si="210" ref="AC111:AI111">AC103</f>
        <v>0</v>
      </c>
      <c r="AD111" s="464">
        <f t="shared" si="210"/>
        <v>0</v>
      </c>
      <c r="AE111" s="464">
        <f t="shared" si="210"/>
        <v>0</v>
      </c>
      <c r="AF111" s="464">
        <f t="shared" si="210"/>
        <v>0</v>
      </c>
      <c r="AG111" s="464"/>
      <c r="AH111" s="464">
        <f t="shared" si="210"/>
        <v>0</v>
      </c>
      <c r="AI111" s="468">
        <f t="shared" si="210"/>
        <v>0</v>
      </c>
      <c r="AJ111" s="463">
        <f aca="true" t="shared" si="211" ref="AJ111:AP111">AJ103</f>
        <v>0</v>
      </c>
      <c r="AK111" s="464">
        <f t="shared" si="211"/>
        <v>0</v>
      </c>
      <c r="AL111" s="464">
        <f t="shared" si="211"/>
        <v>0</v>
      </c>
      <c r="AM111" s="464">
        <f t="shared" si="211"/>
        <v>0</v>
      </c>
      <c r="AN111" s="464"/>
      <c r="AO111" s="464">
        <f t="shared" si="211"/>
        <v>0</v>
      </c>
      <c r="AP111" s="467">
        <f t="shared" si="211"/>
        <v>0</v>
      </c>
      <c r="AQ111" s="465">
        <f aca="true" t="shared" si="212" ref="AQ111:AW111">AQ103</f>
        <v>0</v>
      </c>
      <c r="AR111" s="464">
        <f t="shared" si="212"/>
        <v>0</v>
      </c>
      <c r="AS111" s="464">
        <f t="shared" si="212"/>
        <v>0</v>
      </c>
      <c r="AT111" s="464">
        <f t="shared" si="212"/>
        <v>0</v>
      </c>
      <c r="AU111" s="464"/>
      <c r="AV111" s="464">
        <f t="shared" si="212"/>
        <v>0</v>
      </c>
      <c r="AW111" s="468">
        <f t="shared" si="212"/>
        <v>0</v>
      </c>
      <c r="AX111" s="463">
        <f aca="true" t="shared" si="213" ref="AX111:BD111">AX103</f>
        <v>0</v>
      </c>
      <c r="AY111" s="464">
        <f t="shared" si="213"/>
        <v>0</v>
      </c>
      <c r="AZ111" s="464">
        <f t="shared" si="213"/>
        <v>0</v>
      </c>
      <c r="BA111" s="464">
        <f t="shared" si="213"/>
        <v>0</v>
      </c>
      <c r="BB111" s="464"/>
      <c r="BC111" s="464">
        <f t="shared" si="213"/>
        <v>0</v>
      </c>
      <c r="BD111" s="467">
        <f t="shared" si="213"/>
        <v>0</v>
      </c>
      <c r="BE111" s="465">
        <f aca="true" t="shared" si="214" ref="BE111:BK111">BE103</f>
        <v>0</v>
      </c>
      <c r="BF111" s="464">
        <f t="shared" si="214"/>
        <v>0</v>
      </c>
      <c r="BG111" s="464">
        <f t="shared" si="214"/>
        <v>0</v>
      </c>
      <c r="BH111" s="464">
        <f t="shared" si="214"/>
        <v>0</v>
      </c>
      <c r="BI111" s="464"/>
      <c r="BJ111" s="464">
        <f t="shared" si="214"/>
        <v>0</v>
      </c>
      <c r="BK111" s="468">
        <f t="shared" si="214"/>
        <v>0</v>
      </c>
      <c r="BL111" s="463">
        <f aca="true" t="shared" si="215" ref="BL111:BR111">BL103</f>
        <v>0</v>
      </c>
      <c r="BM111" s="464">
        <f t="shared" si="215"/>
        <v>0</v>
      </c>
      <c r="BN111" s="464">
        <f t="shared" si="215"/>
        <v>0</v>
      </c>
      <c r="BO111" s="464">
        <f t="shared" si="215"/>
        <v>0</v>
      </c>
      <c r="BP111" s="464"/>
      <c r="BQ111" s="464">
        <f t="shared" si="215"/>
        <v>0</v>
      </c>
      <c r="BR111" s="467">
        <f t="shared" si="215"/>
        <v>0</v>
      </c>
      <c r="BS111" s="465">
        <f aca="true" t="shared" si="216" ref="BS111:BY111">BS103</f>
        <v>0</v>
      </c>
      <c r="BT111" s="464">
        <f t="shared" si="216"/>
        <v>0</v>
      </c>
      <c r="BU111" s="464">
        <f t="shared" si="216"/>
        <v>0</v>
      </c>
      <c r="BV111" s="464">
        <f t="shared" si="216"/>
        <v>0</v>
      </c>
      <c r="BW111" s="464"/>
      <c r="BX111" s="464">
        <f t="shared" si="216"/>
        <v>0</v>
      </c>
      <c r="BY111" s="468">
        <f t="shared" si="216"/>
        <v>0</v>
      </c>
      <c r="BZ111" s="463">
        <f aca="true" t="shared" si="217" ref="BZ111:CF111">BZ103</f>
        <v>0</v>
      </c>
      <c r="CA111" s="464">
        <f t="shared" si="217"/>
        <v>0</v>
      </c>
      <c r="CB111" s="464">
        <f t="shared" si="217"/>
        <v>0</v>
      </c>
      <c r="CC111" s="464">
        <f t="shared" si="217"/>
        <v>0</v>
      </c>
      <c r="CD111" s="464"/>
      <c r="CE111" s="464">
        <f t="shared" si="217"/>
        <v>0</v>
      </c>
      <c r="CF111" s="467">
        <f t="shared" si="217"/>
        <v>0</v>
      </c>
      <c r="CG111" s="463">
        <f aca="true" t="shared" si="218" ref="CG111:CM111">CG103</f>
        <v>216</v>
      </c>
      <c r="CH111" s="464">
        <f t="shared" si="218"/>
        <v>0</v>
      </c>
      <c r="CI111" s="464">
        <f t="shared" si="218"/>
        <v>0</v>
      </c>
      <c r="CJ111" s="464">
        <f t="shared" si="218"/>
        <v>0</v>
      </c>
      <c r="CK111" s="464"/>
      <c r="CL111" s="464">
        <f t="shared" si="218"/>
        <v>0</v>
      </c>
      <c r="CM111" s="467">
        <f t="shared" si="218"/>
        <v>216</v>
      </c>
      <c r="CN111" s="459"/>
      <c r="CO111" s="459"/>
    </row>
    <row r="112" spans="1:93" s="47" customFormat="1" ht="12.75" customHeight="1">
      <c r="A112" s="469"/>
      <c r="B112" s="594" t="s">
        <v>297</v>
      </c>
      <c r="C112" s="595"/>
      <c r="D112" s="595"/>
      <c r="E112" s="595"/>
      <c r="F112" s="595"/>
      <c r="G112" s="595"/>
      <c r="H112" s="595"/>
      <c r="I112" s="596"/>
      <c r="J112" s="470"/>
      <c r="K112" s="470"/>
      <c r="L112" s="471">
        <f>L105</f>
        <v>0</v>
      </c>
      <c r="M112" s="471">
        <f>M105</f>
        <v>0</v>
      </c>
      <c r="N112" s="467">
        <f>N105</f>
        <v>0</v>
      </c>
      <c r="O112" s="467">
        <f aca="true" t="shared" si="219" ref="O112:T112">O105</f>
        <v>0</v>
      </c>
      <c r="P112" s="467">
        <f t="shared" si="219"/>
        <v>0</v>
      </c>
      <c r="Q112" s="467">
        <f t="shared" si="219"/>
        <v>0</v>
      </c>
      <c r="R112" s="467">
        <f t="shared" si="219"/>
        <v>0</v>
      </c>
      <c r="S112" s="467"/>
      <c r="T112" s="467">
        <f t="shared" si="219"/>
        <v>0</v>
      </c>
      <c r="U112" s="468">
        <f>U105</f>
        <v>0</v>
      </c>
      <c r="V112" s="472">
        <f aca="true" t="shared" si="220" ref="V112:AB112">V105</f>
        <v>0</v>
      </c>
      <c r="W112" s="464">
        <f t="shared" si="220"/>
        <v>0</v>
      </c>
      <c r="X112" s="464">
        <f t="shared" si="220"/>
        <v>0</v>
      </c>
      <c r="Y112" s="464">
        <f t="shared" si="220"/>
        <v>0</v>
      </c>
      <c r="Z112" s="464"/>
      <c r="AA112" s="464">
        <f t="shared" si="220"/>
        <v>0</v>
      </c>
      <c r="AB112" s="467">
        <f t="shared" si="220"/>
        <v>0</v>
      </c>
      <c r="AC112" s="473">
        <f aca="true" t="shared" si="221" ref="AC112:AI112">AC105</f>
        <v>0</v>
      </c>
      <c r="AD112" s="464">
        <f t="shared" si="221"/>
        <v>0</v>
      </c>
      <c r="AE112" s="464">
        <f t="shared" si="221"/>
        <v>0</v>
      </c>
      <c r="AF112" s="464">
        <f t="shared" si="221"/>
        <v>0</v>
      </c>
      <c r="AG112" s="464"/>
      <c r="AH112" s="464">
        <f t="shared" si="221"/>
        <v>0</v>
      </c>
      <c r="AI112" s="468">
        <f t="shared" si="221"/>
        <v>0</v>
      </c>
      <c r="AJ112" s="472">
        <f aca="true" t="shared" si="222" ref="AJ112:AP112">AJ105</f>
        <v>0</v>
      </c>
      <c r="AK112" s="464">
        <f t="shared" si="222"/>
        <v>0</v>
      </c>
      <c r="AL112" s="464">
        <f t="shared" si="222"/>
        <v>0</v>
      </c>
      <c r="AM112" s="464">
        <f t="shared" si="222"/>
        <v>0</v>
      </c>
      <c r="AN112" s="464"/>
      <c r="AO112" s="464">
        <f t="shared" si="222"/>
        <v>0</v>
      </c>
      <c r="AP112" s="467">
        <f t="shared" si="222"/>
        <v>0</v>
      </c>
      <c r="AQ112" s="473">
        <f aca="true" t="shared" si="223" ref="AQ112:AW112">AQ105</f>
        <v>0</v>
      </c>
      <c r="AR112" s="464">
        <f t="shared" si="223"/>
        <v>0</v>
      </c>
      <c r="AS112" s="464">
        <f t="shared" si="223"/>
        <v>0</v>
      </c>
      <c r="AT112" s="464">
        <f t="shared" si="223"/>
        <v>0</v>
      </c>
      <c r="AU112" s="464"/>
      <c r="AV112" s="464">
        <f t="shared" si="223"/>
        <v>0</v>
      </c>
      <c r="AW112" s="468">
        <f t="shared" si="223"/>
        <v>0</v>
      </c>
      <c r="AX112" s="472">
        <f aca="true" t="shared" si="224" ref="AX112:BD112">AX105</f>
        <v>0</v>
      </c>
      <c r="AY112" s="464">
        <f t="shared" si="224"/>
        <v>0</v>
      </c>
      <c r="AZ112" s="464">
        <f t="shared" si="224"/>
        <v>0</v>
      </c>
      <c r="BA112" s="464">
        <f t="shared" si="224"/>
        <v>0</v>
      </c>
      <c r="BB112" s="464"/>
      <c r="BC112" s="464">
        <f t="shared" si="224"/>
        <v>0</v>
      </c>
      <c r="BD112" s="467">
        <f t="shared" si="224"/>
        <v>0</v>
      </c>
      <c r="BE112" s="473">
        <f aca="true" t="shared" si="225" ref="BE112:BK112">BE105</f>
        <v>0</v>
      </c>
      <c r="BF112" s="464">
        <f t="shared" si="225"/>
        <v>0</v>
      </c>
      <c r="BG112" s="464">
        <f t="shared" si="225"/>
        <v>0</v>
      </c>
      <c r="BH112" s="464">
        <f t="shared" si="225"/>
        <v>0</v>
      </c>
      <c r="BI112" s="464"/>
      <c r="BJ112" s="464">
        <f t="shared" si="225"/>
        <v>0</v>
      </c>
      <c r="BK112" s="468">
        <f t="shared" si="225"/>
        <v>0</v>
      </c>
      <c r="BL112" s="472">
        <f aca="true" t="shared" si="226" ref="BL112:BR112">BL105</f>
        <v>0</v>
      </c>
      <c r="BM112" s="464">
        <f t="shared" si="226"/>
        <v>0</v>
      </c>
      <c r="BN112" s="464">
        <f t="shared" si="226"/>
        <v>0</v>
      </c>
      <c r="BO112" s="464">
        <f t="shared" si="226"/>
        <v>0</v>
      </c>
      <c r="BP112" s="464"/>
      <c r="BQ112" s="464">
        <f t="shared" si="226"/>
        <v>0</v>
      </c>
      <c r="BR112" s="467">
        <f t="shared" si="226"/>
        <v>0</v>
      </c>
      <c r="BS112" s="473">
        <f aca="true" t="shared" si="227" ref="BS112:BY112">BS105</f>
        <v>0</v>
      </c>
      <c r="BT112" s="464">
        <f t="shared" si="227"/>
        <v>0</v>
      </c>
      <c r="BU112" s="464">
        <f t="shared" si="227"/>
        <v>0</v>
      </c>
      <c r="BV112" s="464">
        <f t="shared" si="227"/>
        <v>0</v>
      </c>
      <c r="BW112" s="464"/>
      <c r="BX112" s="464">
        <f t="shared" si="227"/>
        <v>0</v>
      </c>
      <c r="BY112" s="468">
        <f t="shared" si="227"/>
        <v>0</v>
      </c>
      <c r="BZ112" s="472">
        <f aca="true" t="shared" si="228" ref="BZ112:CF112">BZ105</f>
        <v>0</v>
      </c>
      <c r="CA112" s="464">
        <f t="shared" si="228"/>
        <v>0</v>
      </c>
      <c r="CB112" s="464">
        <f t="shared" si="228"/>
        <v>0</v>
      </c>
      <c r="CC112" s="464">
        <f t="shared" si="228"/>
        <v>0</v>
      </c>
      <c r="CD112" s="464"/>
      <c r="CE112" s="464">
        <f t="shared" si="228"/>
        <v>0</v>
      </c>
      <c r="CF112" s="467">
        <f t="shared" si="228"/>
        <v>0</v>
      </c>
      <c r="CG112" s="472">
        <f aca="true" t="shared" si="229" ref="CG112:CM112">CG105</f>
        <v>0</v>
      </c>
      <c r="CH112" s="464">
        <f t="shared" si="229"/>
        <v>0</v>
      </c>
      <c r="CI112" s="464">
        <f t="shared" si="229"/>
        <v>0</v>
      </c>
      <c r="CJ112" s="464">
        <f t="shared" si="229"/>
        <v>0</v>
      </c>
      <c r="CK112" s="464"/>
      <c r="CL112" s="464">
        <f t="shared" si="229"/>
        <v>0</v>
      </c>
      <c r="CM112" s="467">
        <f t="shared" si="229"/>
        <v>0</v>
      </c>
      <c r="CN112" s="459"/>
      <c r="CO112" s="459"/>
    </row>
    <row r="113" spans="1:93" s="47" customFormat="1" ht="12.75" customHeight="1">
      <c r="A113" s="474"/>
      <c r="B113" s="591" t="s">
        <v>217</v>
      </c>
      <c r="C113" s="592"/>
      <c r="D113" s="592"/>
      <c r="E113" s="592"/>
      <c r="F113" s="592"/>
      <c r="G113" s="592"/>
      <c r="H113" s="592"/>
      <c r="I113" s="593"/>
      <c r="J113" s="356"/>
      <c r="K113" s="356"/>
      <c r="L113" s="54">
        <f>SUM(L109:L111)</f>
        <v>7938</v>
      </c>
      <c r="M113" s="54">
        <f>SUM(M109:M111)</f>
        <v>7128</v>
      </c>
      <c r="N113" s="55">
        <f>SUM(N109:N111)</f>
        <v>7938</v>
      </c>
      <c r="O113" s="55">
        <f aca="true" t="shared" si="230" ref="O113:T113">SUM(O109:O111)</f>
        <v>7128</v>
      </c>
      <c r="P113" s="55">
        <f t="shared" si="230"/>
        <v>3966</v>
      </c>
      <c r="Q113" s="55">
        <f t="shared" si="230"/>
        <v>1099</v>
      </c>
      <c r="R113" s="55">
        <f t="shared" si="230"/>
        <v>83</v>
      </c>
      <c r="S113" s="55"/>
      <c r="T113" s="55">
        <f t="shared" si="230"/>
        <v>1980</v>
      </c>
      <c r="U113" s="215">
        <f>SUM(U109:U111)</f>
        <v>2790</v>
      </c>
      <c r="V113" s="463">
        <f aca="true" t="shared" si="231" ref="V113:AI113">SUM(V109:V111)</f>
        <v>918</v>
      </c>
      <c r="W113" s="464">
        <f t="shared" si="231"/>
        <v>527</v>
      </c>
      <c r="X113" s="464">
        <f t="shared" si="231"/>
        <v>85</v>
      </c>
      <c r="Y113" s="464">
        <f t="shared" si="231"/>
        <v>0</v>
      </c>
      <c r="Z113" s="464"/>
      <c r="AA113" s="464">
        <f t="shared" si="231"/>
        <v>0</v>
      </c>
      <c r="AB113" s="464">
        <f t="shared" si="231"/>
        <v>306</v>
      </c>
      <c r="AC113" s="465">
        <f t="shared" si="231"/>
        <v>1188</v>
      </c>
      <c r="AD113" s="464">
        <f t="shared" si="231"/>
        <v>671</v>
      </c>
      <c r="AE113" s="464">
        <f t="shared" si="231"/>
        <v>121</v>
      </c>
      <c r="AF113" s="464">
        <f t="shared" si="231"/>
        <v>0</v>
      </c>
      <c r="AG113" s="464"/>
      <c r="AH113" s="464">
        <f t="shared" si="231"/>
        <v>0</v>
      </c>
      <c r="AI113" s="466">
        <f t="shared" si="231"/>
        <v>396</v>
      </c>
      <c r="AJ113" s="463">
        <f aca="true" t="shared" si="232" ref="AJ113:AW113">SUM(AJ109:AJ111)</f>
        <v>864</v>
      </c>
      <c r="AK113" s="464">
        <f t="shared" si="232"/>
        <v>466</v>
      </c>
      <c r="AL113" s="464">
        <f t="shared" si="232"/>
        <v>110</v>
      </c>
      <c r="AM113" s="464">
        <f t="shared" si="232"/>
        <v>0</v>
      </c>
      <c r="AN113" s="464"/>
      <c r="AO113" s="464">
        <f t="shared" si="232"/>
        <v>0</v>
      </c>
      <c r="AP113" s="464">
        <f t="shared" si="232"/>
        <v>288</v>
      </c>
      <c r="AQ113" s="465">
        <f t="shared" si="232"/>
        <v>1242</v>
      </c>
      <c r="AR113" s="464">
        <f t="shared" si="232"/>
        <v>527</v>
      </c>
      <c r="AS113" s="464">
        <f t="shared" si="232"/>
        <v>85</v>
      </c>
      <c r="AT113" s="464">
        <f t="shared" si="232"/>
        <v>0</v>
      </c>
      <c r="AU113" s="464"/>
      <c r="AV113" s="464">
        <f t="shared" si="232"/>
        <v>324</v>
      </c>
      <c r="AW113" s="466">
        <f t="shared" si="232"/>
        <v>306</v>
      </c>
      <c r="AX113" s="463">
        <f aca="true" t="shared" si="233" ref="AX113:BK113">SUM(AX109:AX111)</f>
        <v>864</v>
      </c>
      <c r="AY113" s="464">
        <f t="shared" si="233"/>
        <v>454</v>
      </c>
      <c r="AZ113" s="464">
        <f t="shared" si="233"/>
        <v>122</v>
      </c>
      <c r="BA113" s="464">
        <f t="shared" si="233"/>
        <v>0</v>
      </c>
      <c r="BB113" s="464"/>
      <c r="BC113" s="464">
        <f t="shared" si="233"/>
        <v>0</v>
      </c>
      <c r="BD113" s="464">
        <f t="shared" si="233"/>
        <v>288</v>
      </c>
      <c r="BE113" s="465">
        <f t="shared" si="233"/>
        <v>1134</v>
      </c>
      <c r="BF113" s="464">
        <f t="shared" si="233"/>
        <v>255</v>
      </c>
      <c r="BG113" s="464">
        <f t="shared" si="233"/>
        <v>141</v>
      </c>
      <c r="BH113" s="464">
        <f t="shared" si="233"/>
        <v>0</v>
      </c>
      <c r="BI113" s="464"/>
      <c r="BJ113" s="464">
        <f t="shared" si="233"/>
        <v>540</v>
      </c>
      <c r="BK113" s="466">
        <f t="shared" si="233"/>
        <v>198</v>
      </c>
      <c r="BL113" s="463">
        <f aca="true" t="shared" si="234" ref="BL113:BY113">SUM(BL109:BL111)</f>
        <v>810</v>
      </c>
      <c r="BM113" s="464">
        <f t="shared" si="234"/>
        <v>290</v>
      </c>
      <c r="BN113" s="464">
        <f t="shared" si="234"/>
        <v>106</v>
      </c>
      <c r="BO113" s="464">
        <f t="shared" si="234"/>
        <v>0</v>
      </c>
      <c r="BP113" s="464"/>
      <c r="BQ113" s="464">
        <f t="shared" si="234"/>
        <v>216</v>
      </c>
      <c r="BR113" s="464">
        <f t="shared" si="234"/>
        <v>198</v>
      </c>
      <c r="BS113" s="465">
        <f t="shared" si="234"/>
        <v>1026</v>
      </c>
      <c r="BT113" s="464">
        <f t="shared" si="234"/>
        <v>308</v>
      </c>
      <c r="BU113" s="464">
        <f t="shared" si="234"/>
        <v>33</v>
      </c>
      <c r="BV113" s="464">
        <f t="shared" si="234"/>
        <v>55</v>
      </c>
      <c r="BW113" s="464"/>
      <c r="BX113" s="464">
        <f t="shared" si="234"/>
        <v>432</v>
      </c>
      <c r="BY113" s="466">
        <f t="shared" si="234"/>
        <v>198</v>
      </c>
      <c r="BZ113" s="463">
        <f aca="true" t="shared" si="235" ref="BZ113:CM113">SUM(BZ109:BZ111)</f>
        <v>900</v>
      </c>
      <c r="CA113" s="464">
        <f t="shared" si="235"/>
        <v>162</v>
      </c>
      <c r="CB113" s="464">
        <f t="shared" si="235"/>
        <v>126</v>
      </c>
      <c r="CC113" s="464">
        <f t="shared" si="235"/>
        <v>0</v>
      </c>
      <c r="CD113" s="464"/>
      <c r="CE113" s="464">
        <f t="shared" si="235"/>
        <v>468</v>
      </c>
      <c r="CF113" s="464">
        <f t="shared" si="235"/>
        <v>144</v>
      </c>
      <c r="CG113" s="463">
        <f t="shared" si="235"/>
        <v>972</v>
      </c>
      <c r="CH113" s="464">
        <f t="shared" si="235"/>
        <v>306</v>
      </c>
      <c r="CI113" s="464">
        <f t="shared" si="235"/>
        <v>170</v>
      </c>
      <c r="CJ113" s="464">
        <f t="shared" si="235"/>
        <v>28</v>
      </c>
      <c r="CK113" s="464"/>
      <c r="CL113" s="464">
        <f t="shared" si="235"/>
        <v>0</v>
      </c>
      <c r="CM113" s="464">
        <f t="shared" si="235"/>
        <v>468</v>
      </c>
      <c r="CN113" s="459"/>
      <c r="CO113" s="459"/>
    </row>
    <row r="114" spans="1:93" s="47" customFormat="1" ht="12.75" customHeight="1">
      <c r="A114" s="474"/>
      <c r="B114" s="594" t="s">
        <v>257</v>
      </c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  <c r="M114" s="596"/>
      <c r="N114" s="605">
        <f>COUNTIF(N13:N19,"&gt;0")+COUNTIF(N24:N27,"&gt;0")+COUNTIF(N30:N34,"&gt;0")+COUNTIF(N36:N38,"&gt;0")+COUNTIF(N41:N47,"&gt;0")+COUNTIF(N51:N55,"&gt;0")+COUNTIF(N57:N62,"&gt;0")+COUNTIF(N64:N69,"&gt;0")+COUNTIF(N71:N73,"&gt;0")+COUNTIF(N77:N79,"&gt;0")+COUNTIF(N83:N84,"&gt;0")+COUNTIF(N87,"&gt;0")+COUNTIF(N90,"&gt;0")+COUNTIF(N93:N94,"&gt;0")</f>
        <v>54</v>
      </c>
      <c r="O114" s="590"/>
      <c r="P114" s="590"/>
      <c r="Q114" s="590"/>
      <c r="R114" s="590"/>
      <c r="S114" s="590"/>
      <c r="T114" s="590"/>
      <c r="U114" s="590"/>
      <c r="V114" s="639">
        <f>COUNTIF(V13:V20,"&gt;0")+COUNTIF(V24:V27,"&gt;0")+COUNTIF(V30:V34,"&gt;0")+COUNTIF(V36:V38,"&gt;0")+COUNTIF(V41:V47,"&gt;0")+COUNTIF(V53:V55,"&gt;0")+COUNTIF(V57:V62,"&gt;0")+COUNTIF(V64:V69,"&gt;0")+COUNTIF(V41:V47,"&gt;0")+COUNTIF(V71:V73,"&gt;0")+COUNTIF(V77:V79,"&gt;0")+COUNTIF(V83:V84,"&gt;0")+COUNTIF(V87,"&gt;0")+COUNTIF(V90:V90,"&gt;0")</f>
        <v>11</v>
      </c>
      <c r="W114" s="638"/>
      <c r="X114" s="638"/>
      <c r="Y114" s="638"/>
      <c r="Z114" s="638"/>
      <c r="AA114" s="638"/>
      <c r="AB114" s="645"/>
      <c r="AC114" s="638">
        <f>COUNTIF(AC13:AC20,"&gt;0")+COUNTIF(AC24:AC27,"&gt;0")+COUNTIF(AC30:AC34,"&gt;0")+COUNTIF(AC36:AC38,"&gt;0")+COUNTIF(AC41:AC47,"&gt;0")+COUNTIF(AC53:AC55,"&gt;0")+COUNTIF(AC57:AC62,"&gt;0")+COUNTIF(AC64:AC69,"&gt;0")+COUNTIF(AC41:AC47,"&gt;0")+COUNTIF(AC71:AC73,"&gt;0")+COUNTIF(AC77:AC79,"&gt;0")+COUNTIF(AC83:AC84,"&gt;0")+COUNTIF(AC87,"&gt;0")+COUNTIF(AC90:AC90,"&gt;0")</f>
        <v>12</v>
      </c>
      <c r="AD114" s="638"/>
      <c r="AE114" s="638"/>
      <c r="AF114" s="638"/>
      <c r="AG114" s="638"/>
      <c r="AH114" s="638"/>
      <c r="AI114" s="638"/>
      <c r="AJ114" s="639">
        <f>COUNTIF(AJ13:AJ20,"&gt;0")+COUNTIF(AJ24:AJ27,"&gt;0")+COUNTIF(AJ30:AJ34,"&gt;0")+COUNTIF(AJ36:AJ38,"&gt;0")+COUNTIF(AJ41:AJ47,"&gt;0")+COUNTIF(AJ53:AJ55,"&gt;0")+COUNTIF(AJ57:AJ62,"&gt;0")+COUNTIF(AJ64:AJ69,"&gt;0")+COUNTIF(AJ41:AJ47,"&gt;0")+COUNTIF(AJ71:AJ73,"&gt;0")+COUNTIF(AJ77:AJ79,"&gt;0")+COUNTIF(AJ83:AJ84,"&gt;0")+COUNTIF(AJ87,"&gt;0")+COUNTIF(AJ90:AJ90,"&gt;0")</f>
        <v>18</v>
      </c>
      <c r="AK114" s="638"/>
      <c r="AL114" s="638"/>
      <c r="AM114" s="638"/>
      <c r="AN114" s="638"/>
      <c r="AO114" s="638"/>
      <c r="AP114" s="645"/>
      <c r="AQ114" s="638">
        <f>COUNTIF(AQ13:AQ20,"&gt;0")+COUNTIF(AQ24:AQ27,"&gt;0")+COUNTIF(AQ30:AQ34,"&gt;0")+COUNTIF(AQ36:AQ38,"&gt;0")+COUNTIF(AQ41:AQ47,"&gt;0")+COUNTIF(AQ53:AQ55,"&gt;0")+COUNTIF(AQ57:AQ62,"&gt;0")+COUNTIF(AQ64:AQ69,"&gt;0")+COUNTIF(AQ41:AQ47,"&gt;0")+COUNTIF(AQ71:AQ73,"&gt;0")+COUNTIF(AQ77:AQ79,"&gt;0")+COUNTIF(AQ83:AQ84,"&gt;0")+COUNTIF(AQ87,"&gt;0")+COUNTIF(AQ90:AQ90,"&gt;0")</f>
        <v>16</v>
      </c>
      <c r="AR114" s="638"/>
      <c r="AS114" s="638"/>
      <c r="AT114" s="638"/>
      <c r="AU114" s="638"/>
      <c r="AV114" s="638"/>
      <c r="AW114" s="638"/>
      <c r="AX114" s="639">
        <f>COUNTIF(AX13:AX20,"&gt;0")+COUNTIF(AX24:AX27,"&gt;0")+COUNTIF(AX30:AX34,"&gt;0")+COUNTIF(AX36:AX38,"&gt;0")+COUNTIF(AX41:AX47,"&gt;0")+COUNTIF(AX53:AX55,"&gt;0")+COUNTIF(AX57:AX62,"&gt;0")+COUNTIF(AX64:AX69,"&gt;0")+COUNTIF(AX41:AX47,"&gt;0")+COUNTIF(AX71:AX73,"&gt;0")+COUNTIF(AX77:AX79,"&gt;0")+COUNTIF(AX83:AX84,"&gt;0")+COUNTIF(AX87,"&gt;0")+COUNTIF(AX90:AX90,"&gt;0")</f>
        <v>13</v>
      </c>
      <c r="AY114" s="638"/>
      <c r="AZ114" s="638"/>
      <c r="BA114" s="638"/>
      <c r="BB114" s="638"/>
      <c r="BC114" s="638"/>
      <c r="BD114" s="645"/>
      <c r="BE114" s="638">
        <f>COUNTIF(BE13:BE20,"&gt;0")+COUNTIF(BE24:BE27,"&gt;0")+COUNTIF(BE30:BE34,"&gt;0")+COUNTIF(BE36:BE38,"&gt;0")+COUNTIF(BE41:BE47,"&gt;0")+COUNTIF(BE53:BE55,"&gt;0")+COUNTIF(BE57:BE62,"&gt;0")+COUNTIF(BE64:BE69,"&gt;0")+COUNTIF(BE41:BE47,"&gt;0")+COUNTIF(BE71:BE73,"&gt;0")+COUNTIF(BE77:BE79,"&gt;0")+COUNTIF(BE83:BE84,"&gt;0")+COUNTIF(BE87,"&gt;0")+COUNTIF(BE90:BE90,"&gt;0")</f>
        <v>11</v>
      </c>
      <c r="BF114" s="638"/>
      <c r="BG114" s="638"/>
      <c r="BH114" s="638"/>
      <c r="BI114" s="638"/>
      <c r="BJ114" s="638"/>
      <c r="BK114" s="638"/>
      <c r="BL114" s="639">
        <f>COUNTIF(BL13:BL20,"&gt;0")+COUNTIF(BL24:BL27,"&gt;0")+COUNTIF(BL30:BL34,"&gt;0")+COUNTIF(BL36:BL38,"&gt;0")+COUNTIF(BL41:BL47,"&gt;0")+COUNTIF(BL53:BL55,"&gt;0")+COUNTIF(BL57:BL62,"&gt;0")+COUNTIF(BL64:BL69,"&gt;0")+COUNTIF(BL41:BL47,"&gt;0")+COUNTIF(BL71:BL73,"&gt;0")+COUNTIF(BL77:BL79,"&gt;0")+COUNTIF(BL83:BL84,"&gt;0")+COUNTIF(BL87,"&gt;0")+COUNTIF(BL90:BL90,"&gt;0")</f>
        <v>14</v>
      </c>
      <c r="BM114" s="638"/>
      <c r="BN114" s="638"/>
      <c r="BO114" s="638"/>
      <c r="BP114" s="638"/>
      <c r="BQ114" s="638"/>
      <c r="BR114" s="645"/>
      <c r="BS114" s="638">
        <f>COUNTIF(BS13:BS20,"&gt;0")+COUNTIF(BS24:BS27,"&gt;0")+COUNTIF(BS30:BS34,"&gt;0")+COUNTIF(BS36:BS38,"&gt;0")+COUNTIF(BS41:BS47,"&gt;0")+COUNTIF(BS53:BS55,"&gt;0")+COUNTIF(BS57:BS62,"&gt;0")+COUNTIF(BS64:BS69,"&gt;0")+COUNTIF(BS41:BS47,"&gt;0")+COUNTIF(BS71:BS73,"&gt;0")+COUNTIF(BS77:BS79,"&gt;0")+COUNTIF(BS83:BS84,"&gt;0")+COUNTIF(BS87,"&gt;0")+COUNTIF(BS90:BS90,"&gt;0")</f>
        <v>11</v>
      </c>
      <c r="BT114" s="638"/>
      <c r="BU114" s="638"/>
      <c r="BV114" s="638"/>
      <c r="BW114" s="638"/>
      <c r="BX114" s="638"/>
      <c r="BY114" s="638"/>
      <c r="BZ114" s="639">
        <f>COUNTIF(BZ13:BZ20,"&gt;0")+COUNTIF(BZ24:BZ27,"&gt;0")+COUNTIF(BZ30:BZ34,"&gt;0")+COUNTIF(BZ36:BZ38,"&gt;0")+COUNTIF(BZ41:BZ47,"&gt;0")+COUNTIF(BZ53:BZ55,"&gt;0")+COUNTIF(BZ57:BZ62,"&gt;0")+COUNTIF(BZ64:BZ69,"&gt;0")+COUNTIF(BZ41:BZ47,"&gt;0")+COUNTIF(BZ71:BZ73,"&gt;0")+COUNTIF(BZ77:BZ79,"&gt;0")+COUNTIF(BZ83:BZ84,"&gt;0")+COUNTIF(BZ87,"&gt;0")+COUNTIF(BZ90:BZ90,"&gt;0")</f>
        <v>6</v>
      </c>
      <c r="CA114" s="638"/>
      <c r="CB114" s="638"/>
      <c r="CC114" s="638"/>
      <c r="CD114" s="638"/>
      <c r="CE114" s="638"/>
      <c r="CF114" s="645"/>
      <c r="CG114" s="639">
        <f>COUNTIF(CG13:CG20,"&gt;0")+COUNTIF(CG24:CG27,"&gt;0")+COUNTIF(CG30:CG34,"&gt;0")+COUNTIF(CG36:CG38,"&gt;0")+COUNTIF(CG41:CG47,"&gt;0")+COUNTIF(CG53:CG55,"&gt;0")+COUNTIF(CG57:CG62,"&gt;0")+COUNTIF(CG64:CG69,"&gt;0")+COUNTIF(CG41:CG47,"&gt;0")+COUNTIF(CG71:CG73,"&gt;0")+COUNTIF(CG77:CG79,"&gt;0")+COUNTIF(CG83:CG84,"&gt;0")+COUNTIF(CG87,"&gt;0")+COUNTIF(CG90:CG90,"&gt;0")</f>
        <v>8</v>
      </c>
      <c r="CH114" s="638"/>
      <c r="CI114" s="638"/>
      <c r="CJ114" s="638"/>
      <c r="CK114" s="638"/>
      <c r="CL114" s="638"/>
      <c r="CM114" s="645"/>
      <c r="CN114" s="459"/>
      <c r="CO114" s="459"/>
    </row>
    <row r="115" spans="1:93" s="47" customFormat="1" ht="12.75" customHeight="1">
      <c r="A115" s="474"/>
      <c r="B115" s="594" t="s">
        <v>80</v>
      </c>
      <c r="C115" s="595"/>
      <c r="D115" s="595"/>
      <c r="E115" s="595"/>
      <c r="F115" s="595"/>
      <c r="G115" s="595"/>
      <c r="H115" s="595"/>
      <c r="I115" s="595"/>
      <c r="J115" s="595"/>
      <c r="K115" s="595"/>
      <c r="L115" s="595"/>
      <c r="M115" s="596"/>
      <c r="N115" s="679">
        <f>COUNTIF(N96:N99,"&gt;0")+COUNTIF(N101:N102,"&gt;0")</f>
        <v>4</v>
      </c>
      <c r="O115" s="680"/>
      <c r="P115" s="680"/>
      <c r="Q115" s="680"/>
      <c r="R115" s="680"/>
      <c r="S115" s="680"/>
      <c r="T115" s="680"/>
      <c r="U115" s="681"/>
      <c r="V115" s="649">
        <f>COUNTIF(V96:V99,"&gt;0")+COUNTIF(V101:V102,"&gt;0")</f>
        <v>0</v>
      </c>
      <c r="W115" s="647"/>
      <c r="X115" s="647"/>
      <c r="Y115" s="647"/>
      <c r="Z115" s="647"/>
      <c r="AA115" s="647"/>
      <c r="AB115" s="650"/>
      <c r="AC115" s="646">
        <f>COUNTIF(AC96:AC99,"&gt;0")+COUNTIF(AC101:AC102,"&gt;0")</f>
        <v>0</v>
      </c>
      <c r="AD115" s="647"/>
      <c r="AE115" s="647"/>
      <c r="AF115" s="647"/>
      <c r="AG115" s="647"/>
      <c r="AH115" s="647"/>
      <c r="AI115" s="648"/>
      <c r="AJ115" s="649">
        <f>COUNTIF(AJ96:AJ99,"&gt;0")+COUNTIF(AJ101:AJ102,"&gt;0")</f>
        <v>0</v>
      </c>
      <c r="AK115" s="647"/>
      <c r="AL115" s="647"/>
      <c r="AM115" s="647"/>
      <c r="AN115" s="647"/>
      <c r="AO115" s="647"/>
      <c r="AP115" s="650"/>
      <c r="AQ115" s="646">
        <f>COUNTIF(AQ95,"&gt;0")+COUNTIF(AQ101:AQ102,"&gt;0")</f>
        <v>1</v>
      </c>
      <c r="AR115" s="647"/>
      <c r="AS115" s="647"/>
      <c r="AT115" s="647"/>
      <c r="AU115" s="647"/>
      <c r="AV115" s="647"/>
      <c r="AW115" s="648"/>
      <c r="AX115" s="649">
        <f>COUNTIF(AX96:AX99,"&gt;0")+COUNTIF(AX101:AX102,"&gt;0")</f>
        <v>0</v>
      </c>
      <c r="AY115" s="647"/>
      <c r="AZ115" s="647"/>
      <c r="BA115" s="647"/>
      <c r="BB115" s="647"/>
      <c r="BC115" s="647"/>
      <c r="BD115" s="650"/>
      <c r="BE115" s="646">
        <f>COUNTIF(BE96:BE99,"&gt;0")+COUNTIF(BE101:BE102,"&gt;0")</f>
        <v>1</v>
      </c>
      <c r="BF115" s="647"/>
      <c r="BG115" s="647"/>
      <c r="BH115" s="647"/>
      <c r="BI115" s="647"/>
      <c r="BJ115" s="647"/>
      <c r="BK115" s="648"/>
      <c r="BL115" s="649">
        <f>COUNTIF(BL96:BL99,"&gt;0")+COUNTIF(BL101:BL102,"&gt;0")</f>
        <v>1</v>
      </c>
      <c r="BM115" s="647"/>
      <c r="BN115" s="647"/>
      <c r="BO115" s="647"/>
      <c r="BP115" s="647"/>
      <c r="BQ115" s="647"/>
      <c r="BR115" s="650"/>
      <c r="BS115" s="646">
        <f>COUNTIF(BS96:BS99,"&gt;0")+COUNTIF(BS101:BS102,"&gt;0")</f>
        <v>1</v>
      </c>
      <c r="BT115" s="647"/>
      <c r="BU115" s="647"/>
      <c r="BV115" s="647"/>
      <c r="BW115" s="647"/>
      <c r="BX115" s="647"/>
      <c r="BY115" s="648"/>
      <c r="BZ115" s="649">
        <f>COUNTIF(BZ96:BZ99,"&gt;0")+COUNTIF(BZ101:BZ102,"&gt;0")</f>
        <v>2</v>
      </c>
      <c r="CA115" s="647"/>
      <c r="CB115" s="647"/>
      <c r="CC115" s="647"/>
      <c r="CD115" s="647"/>
      <c r="CE115" s="647"/>
      <c r="CF115" s="650"/>
      <c r="CG115" s="649">
        <f>COUNTIF(CG96:CG99,"&gt;0")+COUNTIF(CG101:CG102,"&gt;0")</f>
        <v>0</v>
      </c>
      <c r="CH115" s="647"/>
      <c r="CI115" s="647"/>
      <c r="CJ115" s="647"/>
      <c r="CK115" s="647"/>
      <c r="CL115" s="647"/>
      <c r="CM115" s="650"/>
      <c r="CN115" s="459"/>
      <c r="CO115" s="459"/>
    </row>
    <row r="116" spans="1:93" s="47" customFormat="1" ht="12.75" customHeight="1">
      <c r="A116" s="476"/>
      <c r="B116" s="594" t="s">
        <v>545</v>
      </c>
      <c r="C116" s="595"/>
      <c r="D116" s="595"/>
      <c r="E116" s="595"/>
      <c r="F116" s="595"/>
      <c r="G116" s="595"/>
      <c r="H116" s="595"/>
      <c r="I116" s="595"/>
      <c r="J116" s="595"/>
      <c r="K116" s="595"/>
      <c r="L116" s="595"/>
      <c r="M116" s="596"/>
      <c r="N116" s="601">
        <f>N109/(AA5+AH5+AO5+AV5+BC5+BJ5+BQ5+BX5+CE5+CL5)</f>
        <v>54</v>
      </c>
      <c r="O116" s="602"/>
      <c r="P116" s="602"/>
      <c r="Q116" s="602"/>
      <c r="R116" s="602"/>
      <c r="S116" s="602"/>
      <c r="T116" s="602"/>
      <c r="U116" s="603"/>
      <c r="V116" s="643">
        <f>V109/AA5</f>
        <v>54</v>
      </c>
      <c r="W116" s="641"/>
      <c r="X116" s="641"/>
      <c r="Y116" s="641"/>
      <c r="Z116" s="641"/>
      <c r="AA116" s="641"/>
      <c r="AB116" s="644"/>
      <c r="AC116" s="640">
        <f>AC109/AH5</f>
        <v>54</v>
      </c>
      <c r="AD116" s="641"/>
      <c r="AE116" s="641"/>
      <c r="AF116" s="641"/>
      <c r="AG116" s="641"/>
      <c r="AH116" s="641"/>
      <c r="AI116" s="642"/>
      <c r="AJ116" s="643">
        <f>AJ109/AO5</f>
        <v>54</v>
      </c>
      <c r="AK116" s="641"/>
      <c r="AL116" s="641"/>
      <c r="AM116" s="641"/>
      <c r="AN116" s="641"/>
      <c r="AO116" s="641"/>
      <c r="AP116" s="644"/>
      <c r="AQ116" s="640">
        <f>AQ109/AV5</f>
        <v>54</v>
      </c>
      <c r="AR116" s="641"/>
      <c r="AS116" s="641"/>
      <c r="AT116" s="641"/>
      <c r="AU116" s="641"/>
      <c r="AV116" s="641"/>
      <c r="AW116" s="642"/>
      <c r="AX116" s="643">
        <f>AX109/BC5</f>
        <v>54</v>
      </c>
      <c r="AY116" s="641"/>
      <c r="AZ116" s="641"/>
      <c r="BA116" s="641"/>
      <c r="BB116" s="641"/>
      <c r="BC116" s="641"/>
      <c r="BD116" s="644"/>
      <c r="BE116" s="640">
        <f>BE109/BJ5</f>
        <v>54</v>
      </c>
      <c r="BF116" s="641"/>
      <c r="BG116" s="641"/>
      <c r="BH116" s="641"/>
      <c r="BI116" s="641"/>
      <c r="BJ116" s="641"/>
      <c r="BK116" s="642"/>
      <c r="BL116" s="643">
        <f>BL109/BQ5</f>
        <v>54</v>
      </c>
      <c r="BM116" s="641"/>
      <c r="BN116" s="641"/>
      <c r="BO116" s="641"/>
      <c r="BP116" s="641"/>
      <c r="BQ116" s="641"/>
      <c r="BR116" s="644"/>
      <c r="BS116" s="640">
        <f>BS109/BX5</f>
        <v>54</v>
      </c>
      <c r="BT116" s="641"/>
      <c r="BU116" s="641"/>
      <c r="BV116" s="641"/>
      <c r="BW116" s="641"/>
      <c r="BX116" s="641"/>
      <c r="BY116" s="642"/>
      <c r="BZ116" s="643">
        <f>BZ109/CE5</f>
        <v>54</v>
      </c>
      <c r="CA116" s="641"/>
      <c r="CB116" s="641"/>
      <c r="CC116" s="641"/>
      <c r="CD116" s="641"/>
      <c r="CE116" s="641"/>
      <c r="CF116" s="644"/>
      <c r="CG116" s="643">
        <f>CG109/CL5</f>
        <v>54</v>
      </c>
      <c r="CH116" s="641"/>
      <c r="CI116" s="641"/>
      <c r="CJ116" s="641"/>
      <c r="CK116" s="641"/>
      <c r="CL116" s="641"/>
      <c r="CM116" s="644"/>
      <c r="CN116" s="459"/>
      <c r="CO116" s="477"/>
    </row>
    <row r="117" spans="1:93" s="47" customFormat="1" ht="12.75" customHeight="1">
      <c r="A117" s="478"/>
      <c r="B117" s="594" t="s">
        <v>255</v>
      </c>
      <c r="C117" s="595"/>
      <c r="D117" s="595"/>
      <c r="E117" s="595"/>
      <c r="F117" s="595"/>
      <c r="G117" s="595"/>
      <c r="H117" s="595"/>
      <c r="I117" s="595"/>
      <c r="J117" s="595"/>
      <c r="K117" s="595"/>
      <c r="L117" s="595"/>
      <c r="M117" s="596"/>
      <c r="N117" s="601">
        <f>IF('Титульный лист'!BD30=0,0,IF(O109=0,0,O109/(AA5+AH5+AO5+AV5+BC5+BJ5+BQ5+BX5+CE5+CL5)))</f>
        <v>36</v>
      </c>
      <c r="O117" s="602"/>
      <c r="P117" s="602"/>
      <c r="Q117" s="602"/>
      <c r="R117" s="602"/>
      <c r="S117" s="602"/>
      <c r="T117" s="602"/>
      <c r="U117" s="603"/>
      <c r="V117" s="643">
        <f>IF(AA5=0,0,IF(SUM(W109:AA109)=0,0,SUM(W109:AA109)/AA5))</f>
        <v>36</v>
      </c>
      <c r="W117" s="641"/>
      <c r="X117" s="641"/>
      <c r="Y117" s="641"/>
      <c r="Z117" s="641"/>
      <c r="AA117" s="641"/>
      <c r="AB117" s="644"/>
      <c r="AC117" s="640">
        <f>IF(AH5=0,0,IF(SUM(AD109:AH109)=0,0,SUM(AD109:AH109)/AH5))</f>
        <v>36</v>
      </c>
      <c r="AD117" s="641"/>
      <c r="AE117" s="641"/>
      <c r="AF117" s="641"/>
      <c r="AG117" s="641"/>
      <c r="AH117" s="641"/>
      <c r="AI117" s="642"/>
      <c r="AJ117" s="643">
        <f>IF(AO5=0,0,IF(SUM(AK109:AO109)=0,0,SUM(AK109:AO109)/AO5))</f>
        <v>36</v>
      </c>
      <c r="AK117" s="641"/>
      <c r="AL117" s="641"/>
      <c r="AM117" s="641"/>
      <c r="AN117" s="641"/>
      <c r="AO117" s="641"/>
      <c r="AP117" s="644"/>
      <c r="AQ117" s="640">
        <f>IF(AV5=0,0,IF(SUM(AR109:AV109)=0,0,SUM(AR109:AV109)/AV5))</f>
        <v>36</v>
      </c>
      <c r="AR117" s="641"/>
      <c r="AS117" s="641"/>
      <c r="AT117" s="641"/>
      <c r="AU117" s="641"/>
      <c r="AV117" s="641"/>
      <c r="AW117" s="642"/>
      <c r="AX117" s="643">
        <f>IF(BC5=0,0,IF(SUM(AY109:BC109)=0,0,SUM(AY109:BC109)/BC5))</f>
        <v>36</v>
      </c>
      <c r="AY117" s="641"/>
      <c r="AZ117" s="641"/>
      <c r="BA117" s="641"/>
      <c r="BB117" s="641"/>
      <c r="BC117" s="641"/>
      <c r="BD117" s="644"/>
      <c r="BE117" s="640">
        <f>IF(BJ5=0,0,IF(SUM(BF109:BJ109)=0,0,SUM(BF109:BJ109)/BJ5))</f>
        <v>36</v>
      </c>
      <c r="BF117" s="641"/>
      <c r="BG117" s="641"/>
      <c r="BH117" s="641"/>
      <c r="BI117" s="641"/>
      <c r="BJ117" s="641"/>
      <c r="BK117" s="642"/>
      <c r="BL117" s="643">
        <f>IF(BQ5=0,0,IF(SUM(BM109:BQ109)=0,0,SUM(BM109:BQ109)/BQ5))</f>
        <v>36</v>
      </c>
      <c r="BM117" s="641"/>
      <c r="BN117" s="641"/>
      <c r="BO117" s="641"/>
      <c r="BP117" s="641"/>
      <c r="BQ117" s="641"/>
      <c r="BR117" s="644"/>
      <c r="BS117" s="640">
        <f>IF(BX5=0,0,IF(SUM(BT109:BX109)=0,0,SUM(BT109:BX109)/BX5))</f>
        <v>36</v>
      </c>
      <c r="BT117" s="641"/>
      <c r="BU117" s="641"/>
      <c r="BV117" s="641"/>
      <c r="BW117" s="641"/>
      <c r="BX117" s="641"/>
      <c r="BY117" s="642"/>
      <c r="BZ117" s="643">
        <f>IF(CE5=0,0,IF(SUM(CA109:CE109)=0,0,SUM(CA109:CE109)/CE5))</f>
        <v>36</v>
      </c>
      <c r="CA117" s="641"/>
      <c r="CB117" s="641"/>
      <c r="CC117" s="641"/>
      <c r="CD117" s="641"/>
      <c r="CE117" s="641"/>
      <c r="CF117" s="644"/>
      <c r="CG117" s="643">
        <f>IF(CL5=0,0,IF(SUM(CH109:CL109)=0,0,SUM(CH109:CL109)/CL5))</f>
        <v>36</v>
      </c>
      <c r="CH117" s="641"/>
      <c r="CI117" s="641"/>
      <c r="CJ117" s="641"/>
      <c r="CK117" s="641"/>
      <c r="CL117" s="641"/>
      <c r="CM117" s="644"/>
      <c r="CN117" s="459"/>
      <c r="CO117" s="459"/>
    </row>
    <row r="118" spans="1:93" s="47" customFormat="1" ht="12.75" customHeight="1">
      <c r="A118" s="478"/>
      <c r="B118" s="594" t="s">
        <v>254</v>
      </c>
      <c r="C118" s="595"/>
      <c r="D118" s="595"/>
      <c r="E118" s="595"/>
      <c r="F118" s="595"/>
      <c r="G118" s="595"/>
      <c r="H118" s="595"/>
      <c r="I118" s="595"/>
      <c r="J118" s="595"/>
      <c r="K118" s="595"/>
      <c r="L118" s="595"/>
      <c r="M118" s="596"/>
      <c r="N118" s="605">
        <f>V118+AC118+AJ118+AQ118+AX118+BE118+BL118+BS118+BZ118+CG118</f>
        <v>17</v>
      </c>
      <c r="O118" s="590"/>
      <c r="P118" s="590" t="s">
        <v>281</v>
      </c>
      <c r="Q118" s="590"/>
      <c r="R118" s="590"/>
      <c r="S118" s="242"/>
      <c r="T118" s="590">
        <f>AA118+AH118+AO118+AV118+BC118+BJ118+BQ118+BX118+CE118+CL118</f>
        <v>17</v>
      </c>
      <c r="U118" s="590"/>
      <c r="V118" s="639">
        <f>COUNTIF($D$11:$D$95,"*1*")</f>
        <v>0</v>
      </c>
      <c r="W118" s="638"/>
      <c r="X118" s="638" t="s">
        <v>281</v>
      </c>
      <c r="Y118" s="638"/>
      <c r="Z118" s="475"/>
      <c r="AA118" s="638">
        <f>COUNTIF($D$11:$D$94,"*1*")-DCOUNTA($A$10:$I$95,"5",E125:H126)</f>
        <v>0</v>
      </c>
      <c r="AB118" s="645"/>
      <c r="AC118" s="638">
        <f>COUNTIF($D$11:$D$95,"*2*")</f>
        <v>3</v>
      </c>
      <c r="AD118" s="638"/>
      <c r="AE118" s="638" t="s">
        <v>281</v>
      </c>
      <c r="AF118" s="638"/>
      <c r="AG118" s="475"/>
      <c r="AH118" s="638">
        <f>COUNTIF($D$11:$D$92,"*2*")-DCOUNTA($A$10:$I$95,"5",E127:H128)</f>
        <v>3</v>
      </c>
      <c r="AI118" s="638"/>
      <c r="AJ118" s="639">
        <f>COUNTIF($D$11:$D$94,"*3*")</f>
        <v>2</v>
      </c>
      <c r="AK118" s="638"/>
      <c r="AL118" s="638" t="s">
        <v>281</v>
      </c>
      <c r="AM118" s="638"/>
      <c r="AN118" s="475"/>
      <c r="AO118" s="638">
        <f>COUNTIF($D$11:$D$94,"*3*")-DCOUNTA($A$10:$H$94,"5",E129:H130)</f>
        <v>2</v>
      </c>
      <c r="AP118" s="645"/>
      <c r="AQ118" s="653">
        <f>COUNTIF($D$11:$D$94,"*4*")</f>
        <v>3</v>
      </c>
      <c r="AR118" s="653"/>
      <c r="AS118" s="638" t="s">
        <v>281</v>
      </c>
      <c r="AT118" s="638"/>
      <c r="AU118" s="475"/>
      <c r="AV118" s="638">
        <f>COUNTIF($D$11:$D$94,"*4*")-DCOUNTA($A$10:$H$90,"5",E131:H132)</f>
        <v>3</v>
      </c>
      <c r="AW118" s="638"/>
      <c r="AX118" s="651">
        <f>COUNTIF($D$11:$D$94,"*5*")</f>
        <v>1</v>
      </c>
      <c r="AY118" s="652"/>
      <c r="AZ118" s="638" t="s">
        <v>281</v>
      </c>
      <c r="BA118" s="638"/>
      <c r="BB118" s="475"/>
      <c r="BC118" s="638">
        <f>COUNTIF($D$11:$D$94,"*5*")-DCOUNTA($A$10:$I$94,"5",E133:H134)</f>
        <v>1</v>
      </c>
      <c r="BD118" s="645"/>
      <c r="BE118" s="653">
        <f>COUNTIF($D$11:$D$94,"*6*")</f>
        <v>2</v>
      </c>
      <c r="BF118" s="653"/>
      <c r="BG118" s="638" t="s">
        <v>281</v>
      </c>
      <c r="BH118" s="638"/>
      <c r="BI118" s="475"/>
      <c r="BJ118" s="638">
        <f>COUNTIF($D$11:$D$94,"*6*")-DCOUNTA($A$10:$I$94,"5",E135:H136)</f>
        <v>2</v>
      </c>
      <c r="BK118" s="638"/>
      <c r="BL118" s="639">
        <f>COUNTIF($D$11:$D$94,"*7*")</f>
        <v>0</v>
      </c>
      <c r="BM118" s="638"/>
      <c r="BN118" s="638" t="s">
        <v>281</v>
      </c>
      <c r="BO118" s="638"/>
      <c r="BP118" s="475"/>
      <c r="BQ118" s="638">
        <f>COUNTIF($D$11:$D$94,"*7*")-DCOUNTA($A$10:$I$94,"5",E137:H138)</f>
        <v>0</v>
      </c>
      <c r="BR118" s="645"/>
      <c r="BS118" s="638">
        <f>COUNTIF($D$11:$D$94,"*8*")</f>
        <v>2</v>
      </c>
      <c r="BT118" s="638"/>
      <c r="BU118" s="638" t="s">
        <v>281</v>
      </c>
      <c r="BV118" s="638"/>
      <c r="BW118" s="475"/>
      <c r="BX118" s="638">
        <f>COUNTIF($D$11:$D$94,"*8*")-DCOUNTA($A$10:$I$94,"5",E139:H140)</f>
        <v>2</v>
      </c>
      <c r="BY118" s="638"/>
      <c r="BZ118" s="639">
        <f>COUNTIF($D$11:$D$94,"*9*")</f>
        <v>0</v>
      </c>
      <c r="CA118" s="638"/>
      <c r="CB118" s="638" t="s">
        <v>281</v>
      </c>
      <c r="CC118" s="638"/>
      <c r="CD118" s="475"/>
      <c r="CE118" s="638">
        <f>COUNTIF($D$11:$D$94,"*9*")-DCOUNTA($A$10:$I$94,"5",E141:H142)</f>
        <v>0</v>
      </c>
      <c r="CF118" s="645"/>
      <c r="CG118" s="639">
        <f>COUNTIF($D$11:$D$94,"*Х*")</f>
        <v>4</v>
      </c>
      <c r="CH118" s="638"/>
      <c r="CI118" s="638" t="s">
        <v>281</v>
      </c>
      <c r="CJ118" s="638"/>
      <c r="CK118" s="475"/>
      <c r="CL118" s="638">
        <f>COUNTIF($D$11:$D$94,"*Х*")-DCOUNTA($A$10:$I$94,"5",E143:H144)</f>
        <v>4</v>
      </c>
      <c r="CM118" s="645"/>
      <c r="CN118" s="459"/>
      <c r="CO118" s="459"/>
    </row>
    <row r="119" spans="1:93" s="47" customFormat="1" ht="12.75" customHeight="1">
      <c r="A119" s="474"/>
      <c r="B119" s="594" t="s">
        <v>253</v>
      </c>
      <c r="C119" s="595"/>
      <c r="D119" s="595"/>
      <c r="E119" s="595"/>
      <c r="F119" s="595"/>
      <c r="G119" s="595"/>
      <c r="H119" s="595"/>
      <c r="I119" s="595"/>
      <c r="J119" s="595"/>
      <c r="K119" s="595"/>
      <c r="L119" s="595"/>
      <c r="M119" s="596"/>
      <c r="N119" s="605">
        <f>V119+AC119+AJ119+AQ119+AX119+BE119+BL119+BS119+BZ119+CG119</f>
        <v>57</v>
      </c>
      <c r="O119" s="590"/>
      <c r="P119" s="590" t="s">
        <v>281</v>
      </c>
      <c r="Q119" s="590"/>
      <c r="R119" s="590"/>
      <c r="S119" s="242"/>
      <c r="T119" s="590">
        <f>AA119+AH119+AO119+AV119+BC119+BJ119+BQ119+BX119+CE119+CL119</f>
        <v>49</v>
      </c>
      <c r="U119" s="590"/>
      <c r="V119" s="639">
        <f>COUNTIF($E$11:$E$92,"*1*")</f>
        <v>3</v>
      </c>
      <c r="W119" s="638"/>
      <c r="X119" s="638" t="s">
        <v>281</v>
      </c>
      <c r="Y119" s="638"/>
      <c r="Z119" s="475"/>
      <c r="AA119" s="638">
        <f>COUNTIF($E$11:$F$94,"*1*")-DCOUNTA($A$10:$I$95,"5",C125:D126)</f>
        <v>2</v>
      </c>
      <c r="AB119" s="645"/>
      <c r="AC119" s="638">
        <f>COUNTIF($E$11:$F$94,"*2*")</f>
        <v>9</v>
      </c>
      <c r="AD119" s="638"/>
      <c r="AE119" s="638" t="s">
        <v>281</v>
      </c>
      <c r="AF119" s="638"/>
      <c r="AG119" s="475"/>
      <c r="AH119" s="638">
        <f>COUNTIF($E$11:$F$94,"*2*")-DCOUNTA($A$10:$I$95,"5",C127:D128)</f>
        <v>8</v>
      </c>
      <c r="AI119" s="638"/>
      <c r="AJ119" s="639">
        <f>COUNTIF($E$11:$F$94,"*3*")</f>
        <v>7</v>
      </c>
      <c r="AK119" s="638"/>
      <c r="AL119" s="638" t="s">
        <v>281</v>
      </c>
      <c r="AM119" s="638"/>
      <c r="AN119" s="475"/>
      <c r="AO119" s="638">
        <f>COUNTIF($E$11:$F$102,"*3*")-DCOUNTA($A$10:$I$102,"6",C129:D130)</f>
        <v>6</v>
      </c>
      <c r="AP119" s="645"/>
      <c r="AQ119" s="638">
        <f>COUNTIF($E$11:$F$102,"*4*")</f>
        <v>4</v>
      </c>
      <c r="AR119" s="638"/>
      <c r="AS119" s="638" t="s">
        <v>281</v>
      </c>
      <c r="AT119" s="638"/>
      <c r="AU119" s="475"/>
      <c r="AV119" s="638">
        <f>COUNTIF($E$11:$F$102,"*4*")-DCOUNTA($A$10:$H$102,"6",C131:D132)</f>
        <v>3</v>
      </c>
      <c r="AW119" s="638"/>
      <c r="AX119" s="639">
        <f>COUNTIF($E$11:$F$94,"*5*")</f>
        <v>7</v>
      </c>
      <c r="AY119" s="638"/>
      <c r="AZ119" s="638" t="s">
        <v>281</v>
      </c>
      <c r="BA119" s="638"/>
      <c r="BB119" s="475"/>
      <c r="BC119" s="638">
        <f>COUNTIF($E$11:$F$94,"*5*")-DCOUNTA($A$10:$I$94,"6",C133:D134)</f>
        <v>6</v>
      </c>
      <c r="BD119" s="645"/>
      <c r="BE119" s="638">
        <f>COUNTIF($E$11:$F$94,"*6*")</f>
        <v>5</v>
      </c>
      <c r="BF119" s="638"/>
      <c r="BG119" s="638" t="s">
        <v>281</v>
      </c>
      <c r="BH119" s="638"/>
      <c r="BI119" s="475"/>
      <c r="BJ119" s="638">
        <f>COUNTIF($E$11:$F$94,"*6*")-DCOUNTA($A$10:$I$94,"6",C135:D136)</f>
        <v>4</v>
      </c>
      <c r="BK119" s="638"/>
      <c r="BL119" s="639">
        <f>COUNTIF($E$11:$F$102,"*7*")</f>
        <v>6</v>
      </c>
      <c r="BM119" s="638"/>
      <c r="BN119" s="638" t="s">
        <v>281</v>
      </c>
      <c r="BO119" s="638"/>
      <c r="BP119" s="475"/>
      <c r="BQ119" s="638">
        <f>COUNTIF($E$11:$F$102,"*7*")-DCOUNTA($A$10:$I$102,"6",C137:D138)</f>
        <v>5</v>
      </c>
      <c r="BR119" s="645"/>
      <c r="BS119" s="638">
        <f>COUNTIF($E$11:$F$94,"*8*")</f>
        <v>6</v>
      </c>
      <c r="BT119" s="638"/>
      <c r="BU119" s="638" t="s">
        <v>281</v>
      </c>
      <c r="BV119" s="638"/>
      <c r="BW119" s="475"/>
      <c r="BX119" s="638">
        <f>COUNTIF($E$11:$F$102,"*8*")-DCOUNTA($A$10:$I$102,"6",C139:D140)</f>
        <v>5</v>
      </c>
      <c r="BY119" s="638"/>
      <c r="BZ119" s="639">
        <f>COUNTIF($E$11:$F$92,"*9*")</f>
        <v>1</v>
      </c>
      <c r="CA119" s="638"/>
      <c r="CB119" s="638" t="s">
        <v>281</v>
      </c>
      <c r="CC119" s="638"/>
      <c r="CD119" s="475"/>
      <c r="CE119" s="638">
        <f>COUNTIF($E$11:$F$102,"*9*")-DCOUNTA($A$10:$I$102,"6",C141:D142)</f>
        <v>2</v>
      </c>
      <c r="CF119" s="645"/>
      <c r="CG119" s="639">
        <f>COUNTIF($E$11:$F$94,"*Х*")</f>
        <v>9</v>
      </c>
      <c r="CH119" s="638"/>
      <c r="CI119" s="638" t="s">
        <v>281</v>
      </c>
      <c r="CJ119" s="638"/>
      <c r="CK119" s="475"/>
      <c r="CL119" s="638">
        <f>COUNTIF($E$11:$F$102,"*Х*")-DCOUNTA($A$10:$I$102,"6",C143:D144)</f>
        <v>8</v>
      </c>
      <c r="CM119" s="645"/>
      <c r="CN119" s="459"/>
      <c r="CO119" s="459"/>
    </row>
    <row r="120" spans="1:93" s="47" customFormat="1" ht="12.75" customHeight="1">
      <c r="A120" s="474"/>
      <c r="B120" s="594" t="s">
        <v>533</v>
      </c>
      <c r="C120" s="595"/>
      <c r="D120" s="595"/>
      <c r="E120" s="595"/>
      <c r="F120" s="595"/>
      <c r="G120" s="595"/>
      <c r="H120" s="595"/>
      <c r="I120" s="595"/>
      <c r="J120" s="595"/>
      <c r="K120" s="595"/>
      <c r="L120" s="595"/>
      <c r="M120" s="596"/>
      <c r="N120" s="605">
        <f>V120+AC120+AJ120+AQ120+AX120+BE120+BL120+BS120+BZ120+CG120</f>
        <v>3</v>
      </c>
      <c r="O120" s="590"/>
      <c r="P120" s="590"/>
      <c r="Q120" s="590"/>
      <c r="R120" s="590"/>
      <c r="S120" s="590"/>
      <c r="T120" s="590"/>
      <c r="U120" s="590"/>
      <c r="V120" s="639">
        <f>COUNTIF($H$11:$H$92,"*1*")</f>
        <v>0</v>
      </c>
      <c r="W120" s="638"/>
      <c r="X120" s="638"/>
      <c r="Y120" s="638"/>
      <c r="Z120" s="638"/>
      <c r="AA120" s="638"/>
      <c r="AB120" s="645"/>
      <c r="AC120" s="638">
        <f>COUNTIF($H$11:$H$92,"*2*")</f>
        <v>0</v>
      </c>
      <c r="AD120" s="638"/>
      <c r="AE120" s="638"/>
      <c r="AF120" s="638"/>
      <c r="AG120" s="638"/>
      <c r="AH120" s="638"/>
      <c r="AI120" s="638"/>
      <c r="AJ120" s="639">
        <f>COUNTIF($H$11:$H$92,"*3*")</f>
        <v>0</v>
      </c>
      <c r="AK120" s="638"/>
      <c r="AL120" s="638"/>
      <c r="AM120" s="638"/>
      <c r="AN120" s="638"/>
      <c r="AO120" s="638"/>
      <c r="AP120" s="645"/>
      <c r="AQ120" s="638">
        <f>COUNTIF($H$11:$H$92,"*4*")</f>
        <v>0</v>
      </c>
      <c r="AR120" s="638"/>
      <c r="AS120" s="638"/>
      <c r="AT120" s="638"/>
      <c r="AU120" s="638"/>
      <c r="AV120" s="638"/>
      <c r="AW120" s="638"/>
      <c r="AX120" s="639">
        <f>COUNTIF($H$11:$H$92,"*5*")</f>
        <v>0</v>
      </c>
      <c r="AY120" s="638"/>
      <c r="AZ120" s="638"/>
      <c r="BA120" s="638"/>
      <c r="BB120" s="638"/>
      <c r="BC120" s="638"/>
      <c r="BD120" s="645"/>
      <c r="BE120" s="638">
        <f>COUNTIF($H$11:$H$92,"*6*")</f>
        <v>0</v>
      </c>
      <c r="BF120" s="638"/>
      <c r="BG120" s="638"/>
      <c r="BH120" s="638"/>
      <c r="BI120" s="638"/>
      <c r="BJ120" s="638"/>
      <c r="BK120" s="638"/>
      <c r="BL120" s="639">
        <f>COUNTIF($H$11:$H$94,"*7*")</f>
        <v>0</v>
      </c>
      <c r="BM120" s="638"/>
      <c r="BN120" s="638"/>
      <c r="BO120" s="638"/>
      <c r="BP120" s="638"/>
      <c r="BQ120" s="638"/>
      <c r="BR120" s="645"/>
      <c r="BS120" s="638">
        <f>COUNTIF($H$11:$H$94,"*8*")</f>
        <v>2</v>
      </c>
      <c r="BT120" s="638"/>
      <c r="BU120" s="638"/>
      <c r="BV120" s="638"/>
      <c r="BW120" s="638"/>
      <c r="BX120" s="638"/>
      <c r="BY120" s="638"/>
      <c r="BZ120" s="639">
        <f>COUNTIF($H$11:$H$92,"*9*")</f>
        <v>0</v>
      </c>
      <c r="CA120" s="638"/>
      <c r="CB120" s="638"/>
      <c r="CC120" s="638"/>
      <c r="CD120" s="638"/>
      <c r="CE120" s="638"/>
      <c r="CF120" s="645"/>
      <c r="CG120" s="639">
        <f>COUNTIF($H$11:$H$92,"*Х*")</f>
        <v>1</v>
      </c>
      <c r="CH120" s="638"/>
      <c r="CI120" s="638"/>
      <c r="CJ120" s="638"/>
      <c r="CK120" s="638"/>
      <c r="CL120" s="638"/>
      <c r="CM120" s="645"/>
      <c r="CN120" s="459"/>
      <c r="CO120" s="459"/>
    </row>
    <row r="121" spans="1:93" s="47" customFormat="1" ht="12.75" customHeight="1">
      <c r="A121" s="479"/>
      <c r="B121" s="594" t="s">
        <v>535</v>
      </c>
      <c r="C121" s="595"/>
      <c r="D121" s="595"/>
      <c r="E121" s="595"/>
      <c r="F121" s="595"/>
      <c r="G121" s="595"/>
      <c r="H121" s="595"/>
      <c r="I121" s="595"/>
      <c r="J121" s="595"/>
      <c r="K121" s="595"/>
      <c r="L121" s="595"/>
      <c r="M121" s="596"/>
      <c r="N121" s="605">
        <f>V121+AC121+AJ121+AQ121+AX121+BE121+BL121+BS121+BZ121+CG121</f>
        <v>52</v>
      </c>
      <c r="O121" s="590"/>
      <c r="P121" s="590"/>
      <c r="Q121" s="590"/>
      <c r="R121" s="590"/>
      <c r="S121" s="590"/>
      <c r="T121" s="590"/>
      <c r="U121" s="590"/>
      <c r="V121" s="639">
        <f>COUNTIF($I$10:$I$94,"*1*")</f>
        <v>10</v>
      </c>
      <c r="W121" s="638"/>
      <c r="X121" s="638"/>
      <c r="Y121" s="638"/>
      <c r="Z121" s="638"/>
      <c r="AA121" s="638"/>
      <c r="AB121" s="645"/>
      <c r="AC121" s="638">
        <f>COUNTIF($I$10:$I$94,"*2*")</f>
        <v>0</v>
      </c>
      <c r="AD121" s="638"/>
      <c r="AE121" s="638"/>
      <c r="AF121" s="638"/>
      <c r="AG121" s="638"/>
      <c r="AH121" s="638"/>
      <c r="AI121" s="638"/>
      <c r="AJ121" s="639">
        <f>COUNTIF($I$10:$I$94,"*3*")</f>
        <v>5</v>
      </c>
      <c r="AK121" s="638"/>
      <c r="AL121" s="638"/>
      <c r="AM121" s="638"/>
      <c r="AN121" s="638"/>
      <c r="AO121" s="638"/>
      <c r="AP121" s="645"/>
      <c r="AQ121" s="638">
        <f>COUNTIF($I$10:$I$94,"*4*")</f>
        <v>8</v>
      </c>
      <c r="AR121" s="638"/>
      <c r="AS121" s="638"/>
      <c r="AT121" s="638"/>
      <c r="AU121" s="638"/>
      <c r="AV121" s="638"/>
      <c r="AW121" s="638"/>
      <c r="AX121" s="639">
        <f>COUNTIF($I$10:$I$94,"*5*")</f>
        <v>6</v>
      </c>
      <c r="AY121" s="638"/>
      <c r="AZ121" s="638"/>
      <c r="BA121" s="638"/>
      <c r="BB121" s="638"/>
      <c r="BC121" s="638"/>
      <c r="BD121" s="645"/>
      <c r="BE121" s="638">
        <f>COUNTIF($I$10:$I$94,"*6*")</f>
        <v>5</v>
      </c>
      <c r="BF121" s="638"/>
      <c r="BG121" s="638"/>
      <c r="BH121" s="638"/>
      <c r="BI121" s="638"/>
      <c r="BJ121" s="638"/>
      <c r="BK121" s="638"/>
      <c r="BL121" s="639">
        <f>COUNTIF($I$10:$I$94,"*7*")</f>
        <v>9</v>
      </c>
      <c r="BM121" s="638"/>
      <c r="BN121" s="638"/>
      <c r="BO121" s="638"/>
      <c r="BP121" s="638"/>
      <c r="BQ121" s="638"/>
      <c r="BR121" s="645"/>
      <c r="BS121" s="638">
        <f>COUNTIF($I$10:$I$94,"*8*")</f>
        <v>3</v>
      </c>
      <c r="BT121" s="638"/>
      <c r="BU121" s="638"/>
      <c r="BV121" s="638"/>
      <c r="BW121" s="638"/>
      <c r="BX121" s="638"/>
      <c r="BY121" s="638"/>
      <c r="BZ121" s="639">
        <f>COUNTIF($I$10:$I$94,"*9*")</f>
        <v>6</v>
      </c>
      <c r="CA121" s="638"/>
      <c r="CB121" s="638"/>
      <c r="CC121" s="638"/>
      <c r="CD121" s="638"/>
      <c r="CE121" s="638"/>
      <c r="CF121" s="645"/>
      <c r="CG121" s="639">
        <f>COUNTIF($I$10:$I$94,"*Х*")</f>
        <v>0</v>
      </c>
      <c r="CH121" s="638"/>
      <c r="CI121" s="638"/>
      <c r="CJ121" s="638"/>
      <c r="CK121" s="638"/>
      <c r="CL121" s="638"/>
      <c r="CM121" s="645"/>
      <c r="CN121" s="459"/>
      <c r="CO121" s="459"/>
    </row>
    <row r="122" spans="1:93" s="47" customFormat="1" ht="12.75">
      <c r="A122" s="480"/>
      <c r="B122" s="480"/>
      <c r="C122" s="480"/>
      <c r="D122" s="481"/>
      <c r="E122" s="481"/>
      <c r="F122" s="481"/>
      <c r="G122" s="481"/>
      <c r="H122" s="481"/>
      <c r="I122" s="481"/>
      <c r="J122" s="482"/>
      <c r="K122" s="482"/>
      <c r="L122" s="483"/>
      <c r="M122" s="483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/>
      <c r="AB122" s="480"/>
      <c r="AC122" s="480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/>
      <c r="BG122" s="480"/>
      <c r="BH122" s="480"/>
      <c r="BI122" s="480"/>
      <c r="BJ122" s="480"/>
      <c r="BK122" s="480"/>
      <c r="BL122" s="480"/>
      <c r="BM122" s="480"/>
      <c r="BN122" s="480"/>
      <c r="BO122" s="480"/>
      <c r="BP122" s="480"/>
      <c r="BQ122" s="480"/>
      <c r="BR122" s="480"/>
      <c r="BS122" s="480"/>
      <c r="BT122" s="480"/>
      <c r="BU122" s="480"/>
      <c r="BV122" s="480"/>
      <c r="BW122" s="480"/>
      <c r="BX122" s="480"/>
      <c r="BY122" s="480"/>
      <c r="BZ122" s="480"/>
      <c r="CA122" s="480"/>
      <c r="CB122" s="480"/>
      <c r="CC122" s="480"/>
      <c r="CD122" s="480"/>
      <c r="CE122" s="480"/>
      <c r="CF122" s="480"/>
      <c r="CG122" s="480"/>
      <c r="CH122" s="480"/>
      <c r="CI122" s="480"/>
      <c r="CJ122" s="480"/>
      <c r="CK122" s="480"/>
      <c r="CL122" s="480"/>
      <c r="CM122" s="480"/>
      <c r="CN122" s="459"/>
      <c r="CO122" s="459"/>
    </row>
    <row r="123" ht="12.75" hidden="1"/>
    <row r="124" spans="1:8" ht="12.75" customHeight="1" hidden="1">
      <c r="A124" s="604" t="s">
        <v>279</v>
      </c>
      <c r="B124" s="604"/>
      <c r="C124" s="606" t="s">
        <v>280</v>
      </c>
      <c r="D124" s="606"/>
      <c r="E124" s="606" t="s">
        <v>301</v>
      </c>
      <c r="F124" s="606"/>
      <c r="G124" s="606"/>
      <c r="H124" s="606"/>
    </row>
    <row r="125" spans="1:8" ht="12.75" hidden="1">
      <c r="A125" s="487">
        <v>1</v>
      </c>
      <c r="B125" s="487">
        <v>11</v>
      </c>
      <c r="C125" s="488">
        <v>2</v>
      </c>
      <c r="D125" s="489" t="s">
        <v>40</v>
      </c>
      <c r="E125" s="488">
        <v>2</v>
      </c>
      <c r="F125" s="488"/>
      <c r="G125" s="488"/>
      <c r="H125" s="489" t="s">
        <v>39</v>
      </c>
    </row>
    <row r="126" spans="1:8" ht="51" hidden="1">
      <c r="A126" s="487" t="s">
        <v>260</v>
      </c>
      <c r="B126" s="487" t="s">
        <v>147</v>
      </c>
      <c r="C126" s="487" t="s">
        <v>7</v>
      </c>
      <c r="D126" s="490" t="s">
        <v>282</v>
      </c>
      <c r="E126" s="487" t="s">
        <v>7</v>
      </c>
      <c r="F126" s="487"/>
      <c r="G126" s="487"/>
      <c r="H126" s="490" t="s">
        <v>282</v>
      </c>
    </row>
    <row r="127" spans="1:8" ht="12.75" hidden="1">
      <c r="A127" s="487">
        <v>1</v>
      </c>
      <c r="B127" s="487">
        <v>21</v>
      </c>
      <c r="C127" s="488">
        <v>2</v>
      </c>
      <c r="D127" s="489" t="s">
        <v>40</v>
      </c>
      <c r="E127" s="488">
        <v>2</v>
      </c>
      <c r="F127" s="488"/>
      <c r="G127" s="488"/>
      <c r="H127" s="489" t="s">
        <v>39</v>
      </c>
    </row>
    <row r="128" spans="1:8" ht="51" hidden="1">
      <c r="A128" s="487" t="s">
        <v>260</v>
      </c>
      <c r="B128" s="487" t="s">
        <v>147</v>
      </c>
      <c r="C128" s="487" t="s">
        <v>7</v>
      </c>
      <c r="D128" s="490" t="s">
        <v>283</v>
      </c>
      <c r="E128" s="487" t="s">
        <v>7</v>
      </c>
      <c r="F128" s="487"/>
      <c r="G128" s="487"/>
      <c r="H128" s="490" t="s">
        <v>283</v>
      </c>
    </row>
    <row r="129" spans="1:8" ht="12.75" hidden="1">
      <c r="A129" s="487">
        <v>1</v>
      </c>
      <c r="B129" s="487">
        <v>30</v>
      </c>
      <c r="C129" s="488">
        <v>2</v>
      </c>
      <c r="D129" s="489" t="s">
        <v>41</v>
      </c>
      <c r="E129" s="488">
        <v>2</v>
      </c>
      <c r="F129" s="488"/>
      <c r="G129" s="488"/>
      <c r="H129" s="489" t="s">
        <v>39</v>
      </c>
    </row>
    <row r="130" spans="1:8" ht="51" hidden="1">
      <c r="A130" s="487" t="s">
        <v>260</v>
      </c>
      <c r="B130" s="487" t="s">
        <v>147</v>
      </c>
      <c r="C130" s="487" t="s">
        <v>7</v>
      </c>
      <c r="D130" s="490" t="s">
        <v>284</v>
      </c>
      <c r="E130" s="487" t="s">
        <v>7</v>
      </c>
      <c r="F130" s="487"/>
      <c r="G130" s="487"/>
      <c r="H130" s="490" t="s">
        <v>284</v>
      </c>
    </row>
    <row r="131" spans="1:8" ht="12.75" hidden="1">
      <c r="A131" s="487">
        <v>1</v>
      </c>
      <c r="B131" s="487">
        <v>39</v>
      </c>
      <c r="C131" s="488">
        <v>2</v>
      </c>
      <c r="D131" s="489" t="s">
        <v>41</v>
      </c>
      <c r="E131" s="488">
        <v>2</v>
      </c>
      <c r="F131" s="488"/>
      <c r="G131" s="488"/>
      <c r="H131" s="489" t="s">
        <v>39</v>
      </c>
    </row>
    <row r="132" spans="1:8" ht="51" hidden="1">
      <c r="A132" s="487" t="s">
        <v>260</v>
      </c>
      <c r="B132" s="487" t="s">
        <v>147</v>
      </c>
      <c r="C132" s="487" t="s">
        <v>7</v>
      </c>
      <c r="D132" s="490" t="s">
        <v>285</v>
      </c>
      <c r="E132" s="487" t="s">
        <v>7</v>
      </c>
      <c r="F132" s="487"/>
      <c r="G132" s="487"/>
      <c r="H132" s="490" t="s">
        <v>285</v>
      </c>
    </row>
    <row r="133" spans="1:8" ht="12.75" hidden="1">
      <c r="A133" s="487">
        <v>1</v>
      </c>
      <c r="B133" s="487">
        <v>48</v>
      </c>
      <c r="C133" s="488">
        <v>2</v>
      </c>
      <c r="D133" s="489" t="s">
        <v>41</v>
      </c>
      <c r="E133" s="488">
        <v>2</v>
      </c>
      <c r="F133" s="488"/>
      <c r="G133" s="488"/>
      <c r="H133" s="489" t="s">
        <v>39</v>
      </c>
    </row>
    <row r="134" spans="1:8" ht="51" hidden="1">
      <c r="A134" s="487" t="s">
        <v>260</v>
      </c>
      <c r="B134" s="487" t="s">
        <v>147</v>
      </c>
      <c r="C134" s="487" t="s">
        <v>7</v>
      </c>
      <c r="D134" s="490" t="s">
        <v>286</v>
      </c>
      <c r="E134" s="487" t="s">
        <v>7</v>
      </c>
      <c r="F134" s="487"/>
      <c r="G134" s="487"/>
      <c r="H134" s="490" t="s">
        <v>286</v>
      </c>
    </row>
    <row r="135" spans="1:8" ht="12.75" hidden="1">
      <c r="A135" s="487">
        <v>1</v>
      </c>
      <c r="B135" s="487">
        <v>57</v>
      </c>
      <c r="C135" s="488">
        <v>2</v>
      </c>
      <c r="D135" s="489" t="s">
        <v>41</v>
      </c>
      <c r="E135" s="488">
        <v>2</v>
      </c>
      <c r="F135" s="488"/>
      <c r="G135" s="488"/>
      <c r="H135" s="489" t="s">
        <v>39</v>
      </c>
    </row>
    <row r="136" spans="1:8" ht="51" hidden="1">
      <c r="A136" s="487" t="s">
        <v>260</v>
      </c>
      <c r="B136" s="487" t="s">
        <v>147</v>
      </c>
      <c r="C136" s="487" t="s">
        <v>7</v>
      </c>
      <c r="D136" s="490" t="s">
        <v>287</v>
      </c>
      <c r="E136" s="487" t="s">
        <v>7</v>
      </c>
      <c r="F136" s="487"/>
      <c r="G136" s="487"/>
      <c r="H136" s="490" t="s">
        <v>287</v>
      </c>
    </row>
    <row r="137" spans="1:8" ht="12.75" hidden="1">
      <c r="A137" s="487">
        <v>1</v>
      </c>
      <c r="B137" s="487">
        <v>66</v>
      </c>
      <c r="C137" s="488">
        <v>2</v>
      </c>
      <c r="D137" s="489" t="s">
        <v>41</v>
      </c>
      <c r="E137" s="488">
        <v>2</v>
      </c>
      <c r="F137" s="488"/>
      <c r="G137" s="488"/>
      <c r="H137" s="489" t="s">
        <v>39</v>
      </c>
    </row>
    <row r="138" spans="1:8" ht="51" hidden="1">
      <c r="A138" s="487" t="s">
        <v>260</v>
      </c>
      <c r="B138" s="487" t="s">
        <v>147</v>
      </c>
      <c r="C138" s="487" t="s">
        <v>7</v>
      </c>
      <c r="D138" s="490" t="s">
        <v>288</v>
      </c>
      <c r="E138" s="487" t="s">
        <v>7</v>
      </c>
      <c r="F138" s="487"/>
      <c r="G138" s="487"/>
      <c r="H138" s="490" t="s">
        <v>288</v>
      </c>
    </row>
    <row r="139" spans="1:8" ht="12.75" hidden="1">
      <c r="A139" s="487">
        <v>1</v>
      </c>
      <c r="B139" s="487">
        <v>75</v>
      </c>
      <c r="C139" s="488">
        <v>2</v>
      </c>
      <c r="D139" s="489" t="s">
        <v>41</v>
      </c>
      <c r="E139" s="488">
        <v>2</v>
      </c>
      <c r="F139" s="488"/>
      <c r="G139" s="488"/>
      <c r="H139" s="489" t="s">
        <v>39</v>
      </c>
    </row>
    <row r="140" spans="1:8" ht="51" hidden="1">
      <c r="A140" s="487" t="s">
        <v>260</v>
      </c>
      <c r="B140" s="487" t="s">
        <v>147</v>
      </c>
      <c r="C140" s="487" t="s">
        <v>7</v>
      </c>
      <c r="D140" s="490" t="s">
        <v>289</v>
      </c>
      <c r="E140" s="487" t="s">
        <v>7</v>
      </c>
      <c r="F140" s="487"/>
      <c r="G140" s="487"/>
      <c r="H140" s="490" t="s">
        <v>289</v>
      </c>
    </row>
    <row r="141" spans="1:8" ht="12.75" hidden="1">
      <c r="A141" s="487">
        <v>1</v>
      </c>
      <c r="B141" s="487">
        <v>84</v>
      </c>
      <c r="C141" s="488">
        <v>2</v>
      </c>
      <c r="D141" s="489" t="s">
        <v>41</v>
      </c>
      <c r="E141" s="488">
        <v>2</v>
      </c>
      <c r="F141" s="488"/>
      <c r="G141" s="488"/>
      <c r="H141" s="489" t="s">
        <v>39</v>
      </c>
    </row>
    <row r="142" spans="1:8" ht="51" hidden="1">
      <c r="A142" s="487" t="s">
        <v>260</v>
      </c>
      <c r="B142" s="487" t="s">
        <v>147</v>
      </c>
      <c r="C142" s="487" t="s">
        <v>7</v>
      </c>
      <c r="D142" s="490" t="s">
        <v>290</v>
      </c>
      <c r="E142" s="487" t="s">
        <v>7</v>
      </c>
      <c r="F142" s="487"/>
      <c r="G142" s="487"/>
      <c r="H142" s="490" t="s">
        <v>290</v>
      </c>
    </row>
    <row r="143" spans="1:8" ht="12.75" hidden="1">
      <c r="A143" s="487">
        <v>1</v>
      </c>
      <c r="B143" s="487">
        <v>93</v>
      </c>
      <c r="C143" s="488">
        <v>2</v>
      </c>
      <c r="D143" s="489" t="s">
        <v>41</v>
      </c>
      <c r="E143" s="488">
        <v>2</v>
      </c>
      <c r="F143" s="488"/>
      <c r="G143" s="488"/>
      <c r="H143" s="489" t="s">
        <v>39</v>
      </c>
    </row>
    <row r="144" spans="1:8" ht="51" hidden="1">
      <c r="A144" s="487" t="s">
        <v>260</v>
      </c>
      <c r="B144" s="487" t="s">
        <v>147</v>
      </c>
      <c r="C144" s="487" t="s">
        <v>7</v>
      </c>
      <c r="D144" s="490" t="s">
        <v>291</v>
      </c>
      <c r="E144" s="487" t="s">
        <v>7</v>
      </c>
      <c r="F144" s="487"/>
      <c r="G144" s="487"/>
      <c r="H144" s="490" t="s">
        <v>291</v>
      </c>
    </row>
    <row r="145" spans="1:3" ht="12.75" hidden="1">
      <c r="A145" s="487">
        <v>1</v>
      </c>
      <c r="B145" s="487">
        <v>102</v>
      </c>
      <c r="C145" s="484"/>
    </row>
    <row r="146" spans="1:3" ht="12.75" hidden="1">
      <c r="A146" s="487" t="s">
        <v>260</v>
      </c>
      <c r="B146" s="487" t="s">
        <v>147</v>
      </c>
      <c r="C146" s="484"/>
    </row>
    <row r="147" ht="12.75" hidden="1"/>
    <row r="148" spans="8:14" ht="25.5" hidden="1">
      <c r="H148" s="484" t="s">
        <v>432</v>
      </c>
      <c r="I148" s="484" t="s">
        <v>73</v>
      </c>
      <c r="L148" s="486">
        <v>90</v>
      </c>
      <c r="N148" s="422">
        <f>W109*3+X109*6+AD109*3+AE109*6</f>
        <v>4830</v>
      </c>
    </row>
    <row r="149" spans="8:14" ht="25.5" hidden="1">
      <c r="H149" s="484" t="s">
        <v>432</v>
      </c>
      <c r="I149" s="484" t="s">
        <v>74</v>
      </c>
      <c r="L149" s="486">
        <v>90</v>
      </c>
      <c r="N149" s="422">
        <f>AK109*3+AL109*6+AR109*3+AS109*6+(SUM(AR96:AR97,AR99))*6+AR98*3</f>
        <v>4149</v>
      </c>
    </row>
    <row r="150" spans="8:14" ht="25.5" hidden="1">
      <c r="H150" s="484" t="s">
        <v>433</v>
      </c>
      <c r="I150" s="484" t="s">
        <v>75</v>
      </c>
      <c r="L150" s="486">
        <v>75</v>
      </c>
      <c r="N150" s="422">
        <f>AY109*3+BF109*3+AZ109*5+BG109*5</f>
        <v>3442</v>
      </c>
    </row>
    <row r="151" spans="8:14" ht="25.5" hidden="1">
      <c r="H151" s="484" t="s">
        <v>433</v>
      </c>
      <c r="I151" s="484" t="s">
        <v>76</v>
      </c>
      <c r="L151" s="486">
        <v>75</v>
      </c>
      <c r="N151" s="422">
        <f>BM109*3+BT109*3+BN109*5+BU109*5</f>
        <v>2489</v>
      </c>
    </row>
    <row r="152" spans="8:14" ht="25.5" hidden="1">
      <c r="H152" s="484" t="s">
        <v>433</v>
      </c>
      <c r="I152" s="484" t="s">
        <v>77</v>
      </c>
      <c r="L152" s="486">
        <v>60</v>
      </c>
      <c r="N152" s="422">
        <f>CA109*3+CB109*5+CH109*3+CI109*5</f>
        <v>2884</v>
      </c>
    </row>
    <row r="153" ht="12.75" hidden="1"/>
    <row r="154" spans="2:14" ht="12.75" hidden="1">
      <c r="B154" s="491" t="s">
        <v>434</v>
      </c>
      <c r="N154" s="422">
        <f>SUM(N148:N152)</f>
        <v>17794</v>
      </c>
    </row>
    <row r="155" ht="12.75" hidden="1"/>
    <row r="156" spans="2:14" ht="12.75" hidden="1">
      <c r="B156" s="422" t="s">
        <v>435</v>
      </c>
      <c r="N156" s="492">
        <f>N154/720</f>
        <v>24.714</v>
      </c>
    </row>
    <row r="157" spans="2:12" ht="12.75" hidden="1">
      <c r="B157" s="422" t="s">
        <v>436</v>
      </c>
      <c r="L157" s="486">
        <f>SUM(L148:L152)</f>
        <v>390</v>
      </c>
    </row>
    <row r="158" ht="12.75" hidden="1"/>
    <row r="159" spans="2:12" ht="12.75" hidden="1">
      <c r="B159" s="422" t="s">
        <v>437</v>
      </c>
      <c r="L159" s="492">
        <f>L157/N156</f>
        <v>15.781</v>
      </c>
    </row>
    <row r="160" spans="49:57" ht="19.5" customHeight="1">
      <c r="AW160" s="493"/>
      <c r="BE160" s="341"/>
    </row>
    <row r="161" spans="2:93" ht="38.25" customHeight="1" hidden="1">
      <c r="B161" s="494" t="s">
        <v>440</v>
      </c>
      <c r="C161" s="494"/>
      <c r="D161" s="495">
        <f>SUM(W161:BX161)</f>
        <v>260</v>
      </c>
      <c r="W161" s="486">
        <v>90</v>
      </c>
      <c r="AK161" s="486">
        <v>90</v>
      </c>
      <c r="AY161" s="486"/>
      <c r="BJ161" s="493"/>
      <c r="BM161" s="486">
        <v>80</v>
      </c>
      <c r="CA161" s="422">
        <v>70</v>
      </c>
      <c r="CF161" s="427"/>
      <c r="CG161" s="423"/>
      <c r="CH161" s="423"/>
      <c r="CI161" s="423"/>
      <c r="CJ161" s="423"/>
      <c r="CK161" s="423"/>
      <c r="CL161" s="423"/>
      <c r="CM161" s="423"/>
      <c r="CN161" s="423"/>
      <c r="CO161" s="423"/>
    </row>
    <row r="162" spans="23:93" ht="12.75" hidden="1">
      <c r="W162" s="496"/>
      <c r="AK162" s="496"/>
      <c r="AY162" s="496"/>
      <c r="BJ162" s="493"/>
      <c r="BM162" s="496"/>
      <c r="CF162" s="427"/>
      <c r="CG162" s="423"/>
      <c r="CH162" s="423"/>
      <c r="CI162" s="423"/>
      <c r="CJ162" s="423"/>
      <c r="CK162" s="423"/>
      <c r="CL162" s="423"/>
      <c r="CM162" s="423"/>
      <c r="CN162" s="423"/>
      <c r="CO162" s="423"/>
    </row>
    <row r="163" spans="23:93" ht="12.75" hidden="1">
      <c r="W163" s="496"/>
      <c r="AK163" s="496"/>
      <c r="AY163" s="496"/>
      <c r="BJ163" s="493"/>
      <c r="BM163" s="496"/>
      <c r="CF163" s="427"/>
      <c r="CG163" s="423"/>
      <c r="CH163" s="423"/>
      <c r="CI163" s="423"/>
      <c r="CJ163" s="423"/>
      <c r="CK163" s="423"/>
      <c r="CL163" s="423"/>
      <c r="CM163" s="423"/>
      <c r="CN163" s="423"/>
      <c r="CO163" s="423"/>
    </row>
    <row r="164" spans="23:93" ht="12.75" hidden="1">
      <c r="W164" s="496"/>
      <c r="AK164" s="496"/>
      <c r="AY164" s="496"/>
      <c r="BJ164" s="493"/>
      <c r="BM164" s="496"/>
      <c r="CF164" s="427"/>
      <c r="CG164" s="423"/>
      <c r="CH164" s="423"/>
      <c r="CI164" s="423"/>
      <c r="CJ164" s="423"/>
      <c r="CK164" s="423"/>
      <c r="CL164" s="423"/>
      <c r="CM164" s="423"/>
      <c r="CN164" s="423"/>
      <c r="CO164" s="423"/>
    </row>
    <row r="165" spans="2:93" ht="15.75" hidden="1">
      <c r="B165" s="120" t="s">
        <v>441</v>
      </c>
      <c r="W165" s="496"/>
      <c r="AK165" s="496"/>
      <c r="AY165" s="496"/>
      <c r="BC165" s="497"/>
      <c r="BJ165" s="498"/>
      <c r="BM165" s="496"/>
      <c r="BN165" s="497"/>
      <c r="CF165" s="427"/>
      <c r="CG165" s="423"/>
      <c r="CH165" s="423"/>
      <c r="CI165" s="423"/>
      <c r="CJ165" s="423"/>
      <c r="CK165" s="423"/>
      <c r="CL165" s="423"/>
      <c r="CM165" s="423"/>
      <c r="CN165" s="423"/>
      <c r="CO165" s="423"/>
    </row>
    <row r="166" spans="2:93" ht="15.75" hidden="1">
      <c r="B166" s="120" t="s">
        <v>442</v>
      </c>
      <c r="W166" s="496"/>
      <c r="AK166" s="496"/>
      <c r="AY166" s="496"/>
      <c r="BC166" s="497"/>
      <c r="BJ166" s="498"/>
      <c r="BM166" s="496"/>
      <c r="BN166" s="497"/>
      <c r="CF166" s="427"/>
      <c r="CG166" s="423"/>
      <c r="CH166" s="423"/>
      <c r="CI166" s="423"/>
      <c r="CJ166" s="423"/>
      <c r="CK166" s="423"/>
      <c r="CL166" s="423"/>
      <c r="CM166" s="423"/>
      <c r="CN166" s="423"/>
      <c r="CO166" s="423"/>
    </row>
    <row r="167" spans="2:93" ht="15.75" hidden="1">
      <c r="B167" s="120" t="s">
        <v>443</v>
      </c>
      <c r="W167" s="496"/>
      <c r="AK167" s="496"/>
      <c r="AY167" s="496"/>
      <c r="BC167" s="497"/>
      <c r="BJ167" s="121"/>
      <c r="BM167" s="496"/>
      <c r="BN167" s="497"/>
      <c r="CF167" s="427"/>
      <c r="CG167" s="423"/>
      <c r="CH167" s="423"/>
      <c r="CI167" s="423"/>
      <c r="CJ167" s="423"/>
      <c r="CK167" s="423"/>
      <c r="CL167" s="423"/>
      <c r="CM167" s="423"/>
      <c r="CN167" s="423"/>
      <c r="CO167" s="423"/>
    </row>
    <row r="168" spans="23:93" ht="15.75" hidden="1">
      <c r="W168" s="496"/>
      <c r="BC168" s="497"/>
      <c r="BJ168" s="497"/>
      <c r="BN168" s="497"/>
      <c r="CF168" s="427"/>
      <c r="CG168" s="423"/>
      <c r="CH168" s="423"/>
      <c r="CI168" s="423"/>
      <c r="CJ168" s="423"/>
      <c r="CK168" s="423"/>
      <c r="CL168" s="423"/>
      <c r="CM168" s="423"/>
      <c r="CN168" s="423"/>
      <c r="CO168" s="423"/>
    </row>
    <row r="169" spans="55:93" ht="15.75" hidden="1">
      <c r="BC169" s="497"/>
      <c r="BJ169" s="497"/>
      <c r="BN169" s="497"/>
      <c r="CF169" s="427"/>
      <c r="CG169" s="423"/>
      <c r="CH169" s="423"/>
      <c r="CI169" s="423"/>
      <c r="CJ169" s="423"/>
      <c r="CK169" s="423"/>
      <c r="CL169" s="423"/>
      <c r="CM169" s="423"/>
      <c r="CN169" s="423"/>
      <c r="CO169" s="423"/>
    </row>
    <row r="170" spans="84:93" ht="12.75" hidden="1">
      <c r="CF170" s="427"/>
      <c r="CG170" s="423"/>
      <c r="CH170" s="423"/>
      <c r="CI170" s="423"/>
      <c r="CJ170" s="423"/>
      <c r="CK170" s="423"/>
      <c r="CL170" s="423"/>
      <c r="CM170" s="423"/>
      <c r="CN170" s="423"/>
      <c r="CO170" s="423"/>
    </row>
    <row r="171" spans="84:93" ht="12.75" hidden="1">
      <c r="CF171" s="427"/>
      <c r="CG171" s="423"/>
      <c r="CH171" s="423"/>
      <c r="CI171" s="423"/>
      <c r="CJ171" s="423"/>
      <c r="CK171" s="423"/>
      <c r="CL171" s="423"/>
      <c r="CM171" s="423"/>
      <c r="CN171" s="423"/>
      <c r="CO171" s="423"/>
    </row>
    <row r="172" spans="2:93" ht="12.75" hidden="1">
      <c r="B172" s="494" t="s">
        <v>444</v>
      </c>
      <c r="C172" s="494"/>
      <c r="D172" s="499">
        <f>SUM(V165:BX165)</f>
        <v>0</v>
      </c>
      <c r="CF172" s="427"/>
      <c r="CG172" s="423"/>
      <c r="CH172" s="423"/>
      <c r="CI172" s="423"/>
      <c r="CJ172" s="423"/>
      <c r="CK172" s="423"/>
      <c r="CL172" s="423"/>
      <c r="CM172" s="423"/>
      <c r="CN172" s="423"/>
      <c r="CO172" s="423"/>
    </row>
    <row r="173" spans="2:93" ht="12.75" hidden="1">
      <c r="B173" s="494" t="s">
        <v>445</v>
      </c>
      <c r="C173" s="494"/>
      <c r="D173" s="499">
        <f>D172/720</f>
        <v>0</v>
      </c>
      <c r="E173" s="496">
        <f>SUM(V166:CO166,BY166)</f>
        <v>0</v>
      </c>
      <c r="F173" s="496"/>
      <c r="G173" s="496"/>
      <c r="CF173" s="427"/>
      <c r="CG173" s="423"/>
      <c r="CH173" s="423"/>
      <c r="CI173" s="423"/>
      <c r="CJ173" s="423"/>
      <c r="CK173" s="423"/>
      <c r="CL173" s="423"/>
      <c r="CM173" s="423"/>
      <c r="CN173" s="423"/>
      <c r="CO173" s="423"/>
    </row>
    <row r="174" spans="2:93" ht="12.75" hidden="1">
      <c r="B174" s="494"/>
      <c r="C174" s="494"/>
      <c r="D174" s="500"/>
      <c r="CF174" s="427"/>
      <c r="CG174" s="423"/>
      <c r="CH174" s="423"/>
      <c r="CI174" s="423"/>
      <c r="CJ174" s="423"/>
      <c r="CK174" s="423"/>
      <c r="CL174" s="423"/>
      <c r="CM174" s="423"/>
      <c r="CN174" s="423"/>
      <c r="CO174" s="423"/>
    </row>
    <row r="175" spans="2:93" ht="12.75" hidden="1">
      <c r="B175" s="494" t="s">
        <v>443</v>
      </c>
      <c r="C175" s="494"/>
      <c r="D175" s="501" t="e">
        <f>D161/D173</f>
        <v>#DIV/0!</v>
      </c>
      <c r="E175" s="496" t="e">
        <f>D161/E173</f>
        <v>#DIV/0!</v>
      </c>
      <c r="F175" s="496"/>
      <c r="G175" s="496"/>
      <c r="CF175" s="427"/>
      <c r="CG175" s="423"/>
      <c r="CH175" s="423"/>
      <c r="CI175" s="423"/>
      <c r="CJ175" s="423"/>
      <c r="CK175" s="423"/>
      <c r="CL175" s="423"/>
      <c r="CM175" s="423"/>
      <c r="CN175" s="423"/>
      <c r="CO175" s="423"/>
    </row>
    <row r="176" ht="12.75" hidden="1"/>
    <row r="177" ht="12.75" hidden="1"/>
    <row r="178" ht="12.75" hidden="1"/>
    <row r="179" spans="43:51" ht="12.75">
      <c r="AQ179" s="684"/>
      <c r="AR179" s="684"/>
      <c r="AS179" s="684"/>
      <c r="AY179" s="341"/>
    </row>
  </sheetData>
  <sheetProtection selectLockedCells="1" sort="0" autoFilter="0" pivotTables="0" selectUnlockedCells="1"/>
  <autoFilter ref="A10:CO121"/>
  <mergeCells count="243">
    <mergeCell ref="N118:O118"/>
    <mergeCell ref="B114:M114"/>
    <mergeCell ref="C3:C9"/>
    <mergeCell ref="H5:H9"/>
    <mergeCell ref="D3:I4"/>
    <mergeCell ref="D5:D9"/>
    <mergeCell ref="I5:I9"/>
    <mergeCell ref="B12:I12"/>
    <mergeCell ref="B28:I28"/>
    <mergeCell ref="B29:I29"/>
    <mergeCell ref="V5:W5"/>
    <mergeCell ref="AC117:AI117"/>
    <mergeCell ref="AJ117:AP117"/>
    <mergeCell ref="AJ115:AP115"/>
    <mergeCell ref="V114:AB114"/>
    <mergeCell ref="B117:M117"/>
    <mergeCell ref="V117:AB117"/>
    <mergeCell ref="B116:M116"/>
    <mergeCell ref="V7:W7"/>
    <mergeCell ref="V8:X8"/>
    <mergeCell ref="AQ179:AS179"/>
    <mergeCell ref="AC7:AD7"/>
    <mergeCell ref="AC8:AE8"/>
    <mergeCell ref="P5:R5"/>
    <mergeCell ref="S6:S9"/>
    <mergeCell ref="L3:M8"/>
    <mergeCell ref="P6:P9"/>
    <mergeCell ref="T6:T9"/>
    <mergeCell ref="N4:N9"/>
    <mergeCell ref="V4:AI4"/>
    <mergeCell ref="BE7:BF7"/>
    <mergeCell ref="BE8:BG8"/>
    <mergeCell ref="AX7:AY7"/>
    <mergeCell ref="AX8:AZ8"/>
    <mergeCell ref="AQ7:AR7"/>
    <mergeCell ref="AQ8:AS8"/>
    <mergeCell ref="AJ7:AK7"/>
    <mergeCell ref="AJ8:AL8"/>
    <mergeCell ref="AQ117:AW117"/>
    <mergeCell ref="BE117:BK117"/>
    <mergeCell ref="CG8:CI8"/>
    <mergeCell ref="BZ7:CA7"/>
    <mergeCell ref="BZ8:CB8"/>
    <mergeCell ref="BS7:BT7"/>
    <mergeCell ref="BS8:BU8"/>
    <mergeCell ref="BL7:BM7"/>
    <mergeCell ref="BL8:BN8"/>
    <mergeCell ref="CG116:CM116"/>
    <mergeCell ref="CG115:CM115"/>
    <mergeCell ref="BL114:BR114"/>
    <mergeCell ref="BC119:BD119"/>
    <mergeCell ref="BJ119:BK119"/>
    <mergeCell ref="BE118:BF118"/>
    <mergeCell ref="AX117:BD117"/>
    <mergeCell ref="BE115:BK115"/>
    <mergeCell ref="AX114:BD114"/>
    <mergeCell ref="BE114:BK114"/>
    <mergeCell ref="BZ114:CF114"/>
    <mergeCell ref="BS114:BY114"/>
    <mergeCell ref="N114:U114"/>
    <mergeCell ref="V115:AB115"/>
    <mergeCell ref="AC114:AI114"/>
    <mergeCell ref="AC115:AI115"/>
    <mergeCell ref="AQ114:AW114"/>
    <mergeCell ref="N115:U115"/>
    <mergeCell ref="V116:AB116"/>
    <mergeCell ref="AX116:BD116"/>
    <mergeCell ref="AX115:BD115"/>
    <mergeCell ref="AJ114:AP114"/>
    <mergeCell ref="CG114:CM114"/>
    <mergeCell ref="N116:U116"/>
    <mergeCell ref="AQ116:AW116"/>
    <mergeCell ref="BE116:BK116"/>
    <mergeCell ref="AC116:AI116"/>
    <mergeCell ref="AQ115:AW115"/>
    <mergeCell ref="AJ116:AP116"/>
    <mergeCell ref="B48:I48"/>
    <mergeCell ref="B49:I49"/>
    <mergeCell ref="B50:I50"/>
    <mergeCell ref="B56:I56"/>
    <mergeCell ref="B63:I63"/>
    <mergeCell ref="B70:I70"/>
    <mergeCell ref="B89:I89"/>
    <mergeCell ref="A108:C108"/>
    <mergeCell ref="B103:I103"/>
    <mergeCell ref="B11:I11"/>
    <mergeCell ref="B92:I92"/>
    <mergeCell ref="B35:I35"/>
    <mergeCell ref="B39:I39"/>
    <mergeCell ref="B24:I24"/>
    <mergeCell ref="B40:I40"/>
    <mergeCell ref="B75:I75"/>
    <mergeCell ref="B76:I76"/>
    <mergeCell ref="B81:I81"/>
    <mergeCell ref="B86:I86"/>
    <mergeCell ref="AJ4:AW4"/>
    <mergeCell ref="AC5:AD5"/>
    <mergeCell ref="BL6:BM6"/>
    <mergeCell ref="AJ6:AK6"/>
    <mergeCell ref="AX5:AY5"/>
    <mergeCell ref="AX6:AY6"/>
    <mergeCell ref="AJ5:AK5"/>
    <mergeCell ref="AC6:AD6"/>
    <mergeCell ref="AX4:BK4"/>
    <mergeCell ref="AC120:AI120"/>
    <mergeCell ref="AO118:AP118"/>
    <mergeCell ref="AL118:AM118"/>
    <mergeCell ref="AJ120:AP120"/>
    <mergeCell ref="AJ119:AK119"/>
    <mergeCell ref="AL119:AM119"/>
    <mergeCell ref="AC119:AD119"/>
    <mergeCell ref="AH119:AI119"/>
    <mergeCell ref="AV119:AW119"/>
    <mergeCell ref="AQ119:AR119"/>
    <mergeCell ref="AZ118:BA118"/>
    <mergeCell ref="AH118:AI118"/>
    <mergeCell ref="BC118:BD118"/>
    <mergeCell ref="AJ118:AK118"/>
    <mergeCell ref="AS118:AT118"/>
    <mergeCell ref="AX119:AY119"/>
    <mergeCell ref="AZ119:BA119"/>
    <mergeCell ref="CG121:CM121"/>
    <mergeCell ref="BZ121:CF121"/>
    <mergeCell ref="BL121:BR121"/>
    <mergeCell ref="BS120:BY120"/>
    <mergeCell ref="BZ120:CF120"/>
    <mergeCell ref="AS119:AT119"/>
    <mergeCell ref="BL120:BR120"/>
    <mergeCell ref="BE120:BK120"/>
    <mergeCell ref="BE119:BF119"/>
    <mergeCell ref="BG119:BH119"/>
    <mergeCell ref="V121:AB121"/>
    <mergeCell ref="V120:AB120"/>
    <mergeCell ref="AA119:AB119"/>
    <mergeCell ref="V118:W118"/>
    <mergeCell ref="X118:Y118"/>
    <mergeCell ref="AA118:AB118"/>
    <mergeCell ref="AQ120:AW120"/>
    <mergeCell ref="AX120:BD120"/>
    <mergeCell ref="BJ118:BK118"/>
    <mergeCell ref="AV118:AW118"/>
    <mergeCell ref="X119:Y119"/>
    <mergeCell ref="V119:W119"/>
    <mergeCell ref="AO119:AP119"/>
    <mergeCell ref="AX118:AY118"/>
    <mergeCell ref="AQ118:AR118"/>
    <mergeCell ref="AE119:AF119"/>
    <mergeCell ref="BE121:BK121"/>
    <mergeCell ref="AX121:BD121"/>
    <mergeCell ref="AC121:AI121"/>
    <mergeCell ref="AJ121:AP121"/>
    <mergeCell ref="AQ121:AW121"/>
    <mergeCell ref="P118:R118"/>
    <mergeCell ref="T118:U118"/>
    <mergeCell ref="BG118:BH118"/>
    <mergeCell ref="AC118:AD118"/>
    <mergeCell ref="AE118:AF118"/>
    <mergeCell ref="BS116:BY116"/>
    <mergeCell ref="BZ116:CF116"/>
    <mergeCell ref="BL117:BR117"/>
    <mergeCell ref="BL116:BR116"/>
    <mergeCell ref="BL118:BM118"/>
    <mergeCell ref="BQ118:BR118"/>
    <mergeCell ref="BN118:BO118"/>
    <mergeCell ref="BS121:BY121"/>
    <mergeCell ref="CE118:CF118"/>
    <mergeCell ref="BS115:BY115"/>
    <mergeCell ref="BL115:BR115"/>
    <mergeCell ref="CB118:CC118"/>
    <mergeCell ref="BZ115:CF115"/>
    <mergeCell ref="CB119:CC119"/>
    <mergeCell ref="BS119:BT119"/>
    <mergeCell ref="BU119:BV119"/>
    <mergeCell ref="BS118:BT118"/>
    <mergeCell ref="CG120:CM120"/>
    <mergeCell ref="CL119:CM119"/>
    <mergeCell ref="BL119:BM119"/>
    <mergeCell ref="BN119:BO119"/>
    <mergeCell ref="BQ119:BR119"/>
    <mergeCell ref="CG118:CH118"/>
    <mergeCell ref="CI118:CJ118"/>
    <mergeCell ref="CL118:CM118"/>
    <mergeCell ref="BX118:BY118"/>
    <mergeCell ref="CI119:CJ119"/>
    <mergeCell ref="BX119:BY119"/>
    <mergeCell ref="BZ119:CA119"/>
    <mergeCell ref="BS117:BY117"/>
    <mergeCell ref="BZ117:CF117"/>
    <mergeCell ref="CG119:CH119"/>
    <mergeCell ref="BZ118:CA118"/>
    <mergeCell ref="CG117:CM117"/>
    <mergeCell ref="BU118:BV118"/>
    <mergeCell ref="CE119:CF119"/>
    <mergeCell ref="B3:B9"/>
    <mergeCell ref="E5:E9"/>
    <mergeCell ref="BZ5:CA5"/>
    <mergeCell ref="BL5:BM5"/>
    <mergeCell ref="BS5:BT5"/>
    <mergeCell ref="BS6:BT6"/>
    <mergeCell ref="BE5:BF5"/>
    <mergeCell ref="BE6:BF6"/>
    <mergeCell ref="AQ6:AR6"/>
    <mergeCell ref="BL4:BY4"/>
    <mergeCell ref="Q6:Q9"/>
    <mergeCell ref="BZ4:CM4"/>
    <mergeCell ref="N3:U3"/>
    <mergeCell ref="R6:R9"/>
    <mergeCell ref="V6:W6"/>
    <mergeCell ref="X6:AA6"/>
    <mergeCell ref="W3:CM3"/>
    <mergeCell ref="O5:O9"/>
    <mergeCell ref="CG7:CH7"/>
    <mergeCell ref="AQ5:AR5"/>
    <mergeCell ref="B109:I109"/>
    <mergeCell ref="A1:CO1"/>
    <mergeCell ref="CN3:CN9"/>
    <mergeCell ref="A3:A9"/>
    <mergeCell ref="O4:U4"/>
    <mergeCell ref="U5:U9"/>
    <mergeCell ref="CO3:CO9"/>
    <mergeCell ref="BZ6:CA6"/>
    <mergeCell ref="CG5:CH5"/>
    <mergeCell ref="CG6:CH6"/>
    <mergeCell ref="A124:B124"/>
    <mergeCell ref="B121:M121"/>
    <mergeCell ref="P119:R119"/>
    <mergeCell ref="B119:M119"/>
    <mergeCell ref="N121:U121"/>
    <mergeCell ref="N120:U120"/>
    <mergeCell ref="C124:D124"/>
    <mergeCell ref="E124:H124"/>
    <mergeCell ref="B120:M120"/>
    <mergeCell ref="N119:O119"/>
    <mergeCell ref="T119:U119"/>
    <mergeCell ref="B113:I113"/>
    <mergeCell ref="B115:M115"/>
    <mergeCell ref="A107:C107"/>
    <mergeCell ref="B106:U106"/>
    <mergeCell ref="B111:I111"/>
    <mergeCell ref="B110:I110"/>
    <mergeCell ref="B118:M118"/>
    <mergeCell ref="N117:U117"/>
    <mergeCell ref="B112:I112"/>
  </mergeCells>
  <conditionalFormatting sqref="CN36:CN38 CN41:CN47 CN25:CN27 CN74 CN88 CN83:CN85 CN30:CN34 CN96:CN99 CN51:CN54 CN57:CN59 CN90:CN91 CN77:CN80 CN13:CN23">
    <cfRule type="expression" priority="428" dxfId="2" stopIfTrue="1">
      <formula>AND(N13&gt;0,CN13=0)</formula>
    </cfRule>
    <cfRule type="expression" priority="429" dxfId="2" stopIfTrue="1">
      <formula>AND(N13=0,CN13&lt;&gt;0)</formula>
    </cfRule>
  </conditionalFormatting>
  <conditionalFormatting sqref="CN87">
    <cfRule type="expression" priority="423" dxfId="2" stopIfTrue="1">
      <formula>AND(N87&gt;0,CN87=0)</formula>
    </cfRule>
    <cfRule type="expression" priority="424" dxfId="2" stopIfTrue="1">
      <formula>AND(N87=0,CN87&lt;&gt;0)</formula>
    </cfRule>
  </conditionalFormatting>
  <conditionalFormatting sqref="CN36:CN38">
    <cfRule type="expression" priority="411" dxfId="2" stopIfTrue="1">
      <formula>AND(N36&gt;0,CN36=0)</formula>
    </cfRule>
    <cfRule type="expression" priority="412" dxfId="2" stopIfTrue="1">
      <formula>AND(N36=0,CN36&lt;&gt;0)</formula>
    </cfRule>
  </conditionalFormatting>
  <conditionalFormatting sqref="CN41:CN47">
    <cfRule type="expression" priority="409" dxfId="2" stopIfTrue="1">
      <formula>AND(N41&gt;0,CN41=0)</formula>
    </cfRule>
    <cfRule type="expression" priority="410" dxfId="2" stopIfTrue="1">
      <formula>AND(N41=0,CN41&lt;&gt;0)</formula>
    </cfRule>
  </conditionalFormatting>
  <conditionalFormatting sqref="CN51:CN54">
    <cfRule type="expression" priority="407" dxfId="2" stopIfTrue="1">
      <formula>AND(N51&gt;0,CN51=0)</formula>
    </cfRule>
    <cfRule type="expression" priority="408" dxfId="2" stopIfTrue="1">
      <formula>AND(N51=0,CN51&lt;&gt;0)</formula>
    </cfRule>
  </conditionalFormatting>
  <conditionalFormatting sqref="CN55">
    <cfRule type="expression" priority="405" dxfId="2" stopIfTrue="1">
      <formula>AND(N55&gt;0,CN55=0)</formula>
    </cfRule>
    <cfRule type="expression" priority="406" dxfId="2" stopIfTrue="1">
      <formula>AND(N55=0,CN55&lt;&gt;0)</formula>
    </cfRule>
  </conditionalFormatting>
  <conditionalFormatting sqref="CN57:CN59">
    <cfRule type="expression" priority="403" dxfId="2" stopIfTrue="1">
      <formula>AND(N57&gt;0,CN57=0)</formula>
    </cfRule>
    <cfRule type="expression" priority="404" dxfId="2" stopIfTrue="1">
      <formula>AND(N57=0,CN57&lt;&gt;0)</formula>
    </cfRule>
  </conditionalFormatting>
  <conditionalFormatting sqref="CN60:CN61">
    <cfRule type="expression" priority="401" dxfId="2" stopIfTrue="1">
      <formula>AND(N60&gt;0,CN60=0)</formula>
    </cfRule>
    <cfRule type="expression" priority="402" dxfId="2" stopIfTrue="1">
      <formula>AND(N60=0,CN60&lt;&gt;0)</formula>
    </cfRule>
  </conditionalFormatting>
  <conditionalFormatting sqref="CN62">
    <cfRule type="expression" priority="399" dxfId="2" stopIfTrue="1">
      <formula>AND(N62&gt;0,CN62=0)</formula>
    </cfRule>
    <cfRule type="expression" priority="400" dxfId="2" stopIfTrue="1">
      <formula>AND(N62=0,CN62&lt;&gt;0)</formula>
    </cfRule>
  </conditionalFormatting>
  <conditionalFormatting sqref="CN68:CN69">
    <cfRule type="expression" priority="397" dxfId="2" stopIfTrue="1">
      <formula>AND(N68&gt;0,CN68=0)</formula>
    </cfRule>
    <cfRule type="expression" priority="398" dxfId="2" stopIfTrue="1">
      <formula>AND(N68=0,CN68&lt;&gt;0)</formula>
    </cfRule>
  </conditionalFormatting>
  <conditionalFormatting sqref="CN64:CN65">
    <cfRule type="expression" priority="395" dxfId="2" stopIfTrue="1">
      <formula>AND(N64&gt;0,CN64=0)</formula>
    </cfRule>
    <cfRule type="expression" priority="396" dxfId="2" stopIfTrue="1">
      <formula>AND(N64=0,CN64&lt;&gt;0)</formula>
    </cfRule>
  </conditionalFormatting>
  <conditionalFormatting sqref="CN65">
    <cfRule type="expression" priority="393" dxfId="2" stopIfTrue="1">
      <formula>AND(N65&gt;0,CN65=0)</formula>
    </cfRule>
    <cfRule type="expression" priority="394" dxfId="2" stopIfTrue="1">
      <formula>AND(N65=0,CN65&lt;&gt;0)</formula>
    </cfRule>
  </conditionalFormatting>
  <conditionalFormatting sqref="CN66">
    <cfRule type="expression" priority="391" dxfId="2" stopIfTrue="1">
      <formula>AND(N66&gt;0,CN66=0)</formula>
    </cfRule>
    <cfRule type="expression" priority="392" dxfId="2" stopIfTrue="1">
      <formula>AND(N66=0,CN66&lt;&gt;0)</formula>
    </cfRule>
  </conditionalFormatting>
  <conditionalFormatting sqref="CN67">
    <cfRule type="expression" priority="389" dxfId="2" stopIfTrue="1">
      <formula>AND(N67&gt;0,CN67=0)</formula>
    </cfRule>
    <cfRule type="expression" priority="390" dxfId="2" stopIfTrue="1">
      <formula>AND(N67=0,CN67&lt;&gt;0)</formula>
    </cfRule>
  </conditionalFormatting>
  <conditionalFormatting sqref="CN71">
    <cfRule type="expression" priority="387" dxfId="2" stopIfTrue="1">
      <formula>AND(N71&gt;0,CN71=0)</formula>
    </cfRule>
    <cfRule type="expression" priority="388" dxfId="2" stopIfTrue="1">
      <formula>AND(N71=0,CN71&lt;&gt;0)</formula>
    </cfRule>
  </conditionalFormatting>
  <conditionalFormatting sqref="CN72">
    <cfRule type="expression" priority="385" dxfId="2" stopIfTrue="1">
      <formula>AND(N72&gt;0,CN72=0)</formula>
    </cfRule>
    <cfRule type="expression" priority="386" dxfId="2" stopIfTrue="1">
      <formula>AND(N72=0,CN72&lt;&gt;0)</formula>
    </cfRule>
  </conditionalFormatting>
  <conditionalFormatting sqref="CN73">
    <cfRule type="expression" priority="383" dxfId="2" stopIfTrue="1">
      <formula>AND(N73&gt;0,CN73=0)</formula>
    </cfRule>
    <cfRule type="expression" priority="384" dxfId="2" stopIfTrue="1">
      <formula>AND(N73=0,CN73&lt;&gt;0)</formula>
    </cfRule>
  </conditionalFormatting>
  <conditionalFormatting sqref="CN71">
    <cfRule type="expression" priority="381" dxfId="2" stopIfTrue="1">
      <formula>AND(N71&gt;0,CN71=0)</formula>
    </cfRule>
    <cfRule type="expression" priority="382" dxfId="2" stopIfTrue="1">
      <formula>AND(N71=0,CN71&lt;&gt;0)</formula>
    </cfRule>
  </conditionalFormatting>
  <conditionalFormatting sqref="CN72">
    <cfRule type="expression" priority="379" dxfId="2" stopIfTrue="1">
      <formula>AND(N72&gt;0,CN72=0)</formula>
    </cfRule>
    <cfRule type="expression" priority="380" dxfId="2" stopIfTrue="1">
      <formula>AND(N72=0,CN72&lt;&gt;0)</formula>
    </cfRule>
  </conditionalFormatting>
  <conditionalFormatting sqref="CN73">
    <cfRule type="expression" priority="377" dxfId="2" stopIfTrue="1">
      <formula>AND(N73&gt;0,CN73=0)</formula>
    </cfRule>
    <cfRule type="expression" priority="378" dxfId="2" stopIfTrue="1">
      <formula>AND(N73=0,CN73&lt;&gt;0)</formula>
    </cfRule>
  </conditionalFormatting>
  <conditionalFormatting sqref="CN71">
    <cfRule type="expression" priority="375" dxfId="2" stopIfTrue="1">
      <formula>AND(N71&gt;0,CN71=0)</formula>
    </cfRule>
    <cfRule type="expression" priority="376" dxfId="2" stopIfTrue="1">
      <formula>AND(N71=0,CN71&lt;&gt;0)</formula>
    </cfRule>
  </conditionalFormatting>
  <conditionalFormatting sqref="CN72">
    <cfRule type="expression" priority="373" dxfId="2" stopIfTrue="1">
      <formula>AND(N72&gt;0,CN72=0)</formula>
    </cfRule>
    <cfRule type="expression" priority="374" dxfId="2" stopIfTrue="1">
      <formula>AND(N72=0,CN72&lt;&gt;0)</formula>
    </cfRule>
  </conditionalFormatting>
  <conditionalFormatting sqref="CN73">
    <cfRule type="expression" priority="371" dxfId="2" stopIfTrue="1">
      <formula>AND(N73&gt;0,CN73=0)</formula>
    </cfRule>
    <cfRule type="expression" priority="372" dxfId="2" stopIfTrue="1">
      <formula>AND(N73=0,CN73&lt;&gt;0)</formula>
    </cfRule>
  </conditionalFormatting>
  <conditionalFormatting sqref="CN77">
    <cfRule type="expression" priority="369" dxfId="2" stopIfTrue="1">
      <formula>AND(N77&gt;0,CN77=0)</formula>
    </cfRule>
    <cfRule type="expression" priority="370" dxfId="2" stopIfTrue="1">
      <formula>AND(N77=0,CN77&lt;&gt;0)</formula>
    </cfRule>
  </conditionalFormatting>
  <conditionalFormatting sqref="CN78">
    <cfRule type="expression" priority="367" dxfId="2" stopIfTrue="1">
      <formula>AND(N78&gt;0,CN78=0)</formula>
    </cfRule>
    <cfRule type="expression" priority="368" dxfId="2" stopIfTrue="1">
      <formula>AND(N78=0,CN78&lt;&gt;0)</formula>
    </cfRule>
  </conditionalFormatting>
  <conditionalFormatting sqref="CN79">
    <cfRule type="expression" priority="365" dxfId="2" stopIfTrue="1">
      <formula>AND(N79&gt;0,CN79=0)</formula>
    </cfRule>
    <cfRule type="expression" priority="366" dxfId="2" stopIfTrue="1">
      <formula>AND(N79=0,CN79&lt;&gt;0)</formula>
    </cfRule>
  </conditionalFormatting>
  <conditionalFormatting sqref="CN83">
    <cfRule type="expression" priority="363" dxfId="2" stopIfTrue="1">
      <formula>AND(N83&gt;0,CN83=0)</formula>
    </cfRule>
    <cfRule type="expression" priority="364" dxfId="2" stopIfTrue="1">
      <formula>AND(N83=0,CN83&lt;&gt;0)</formula>
    </cfRule>
  </conditionalFormatting>
  <conditionalFormatting sqref="CN84">
    <cfRule type="expression" priority="361" dxfId="2" stopIfTrue="1">
      <formula>AND(N84&gt;0,CN84=0)</formula>
    </cfRule>
    <cfRule type="expression" priority="362" dxfId="2" stopIfTrue="1">
      <formula>AND(N84=0,CN84&lt;&gt;0)</formula>
    </cfRule>
  </conditionalFormatting>
  <conditionalFormatting sqref="CN87">
    <cfRule type="expression" priority="359" dxfId="2" stopIfTrue="1">
      <formula>AND(N87&gt;0,CN87=0)</formula>
    </cfRule>
    <cfRule type="expression" priority="360" dxfId="2" stopIfTrue="1">
      <formula>AND(N87=0,CN87&lt;&gt;0)</formula>
    </cfRule>
  </conditionalFormatting>
  <conditionalFormatting sqref="CN90">
    <cfRule type="expression" priority="357" dxfId="2" stopIfTrue="1">
      <formula>AND(N90&gt;0,CN90=0)</formula>
    </cfRule>
    <cfRule type="expression" priority="358" dxfId="2" stopIfTrue="1">
      <formula>AND(N90=0,CN90&lt;&gt;0)</formula>
    </cfRule>
  </conditionalFormatting>
  <conditionalFormatting sqref="CN98">
    <cfRule type="expression" priority="355" dxfId="2" stopIfTrue="1">
      <formula>AND(N98&gt;0,CN98=0)</formula>
    </cfRule>
    <cfRule type="expression" priority="356" dxfId="2" stopIfTrue="1">
      <formula>AND(N98=0,CN98&lt;&gt;0)</formula>
    </cfRule>
  </conditionalFormatting>
  <conditionalFormatting sqref="CN96">
    <cfRule type="expression" priority="353" dxfId="2" stopIfTrue="1">
      <formula>AND(N96&gt;0,CN96=0)</formula>
    </cfRule>
    <cfRule type="expression" priority="354" dxfId="2" stopIfTrue="1">
      <formula>AND(N96=0,CN96&lt;&gt;0)</formula>
    </cfRule>
  </conditionalFormatting>
  <conditionalFormatting sqref="CN97">
    <cfRule type="expression" priority="351" dxfId="2" stopIfTrue="1">
      <formula>AND(N97&gt;0,CN97=0)</formula>
    </cfRule>
    <cfRule type="expression" priority="352" dxfId="2" stopIfTrue="1">
      <formula>AND(N97=0,CN97&lt;&gt;0)</formula>
    </cfRule>
  </conditionalFormatting>
  <conditionalFormatting sqref="CN99">
    <cfRule type="expression" priority="349" dxfId="2" stopIfTrue="1">
      <formula>AND(N99&gt;0,CN99=0)</formula>
    </cfRule>
    <cfRule type="expression" priority="350" dxfId="2" stopIfTrue="1">
      <formula>AND(N99=0,CN99&lt;&gt;0)</formula>
    </cfRule>
  </conditionalFormatting>
  <conditionalFormatting sqref="CN93:CN94">
    <cfRule type="expression" priority="341" dxfId="2" stopIfTrue="1">
      <formula>AND(N93&gt;0,CN93=0)</formula>
    </cfRule>
    <cfRule type="expression" priority="342" dxfId="2" stopIfTrue="1">
      <formula>AND(N93=0,CN93&lt;&gt;0)</formula>
    </cfRule>
  </conditionalFormatting>
  <conditionalFormatting sqref="CN94">
    <cfRule type="expression" priority="339" dxfId="2" stopIfTrue="1">
      <formula>AND(N94&gt;0,CN94=0)</formula>
    </cfRule>
    <cfRule type="expression" priority="340" dxfId="2" stopIfTrue="1">
      <formula>AND(N94=0,CN94&lt;&gt;0)</formula>
    </cfRule>
  </conditionalFormatting>
  <conditionalFormatting sqref="CN94">
    <cfRule type="expression" priority="337" dxfId="2" stopIfTrue="1">
      <formula>AND(N94&gt;0,CN94=0)</formula>
    </cfRule>
    <cfRule type="expression" priority="338" dxfId="2" stopIfTrue="1">
      <formula>AND(N94=0,CN94&lt;&gt;0)</formula>
    </cfRule>
  </conditionalFormatting>
  <conditionalFormatting sqref="CN19">
    <cfRule type="expression" priority="327" dxfId="2" stopIfTrue="1">
      <formula>AND(N19&gt;0,CN19=0)</formula>
    </cfRule>
    <cfRule type="expression" priority="328" dxfId="2" stopIfTrue="1">
      <formula>AND(N19=0,CN19&lt;&gt;0)</formula>
    </cfRule>
  </conditionalFormatting>
  <conditionalFormatting sqref="CN19">
    <cfRule type="expression" priority="325" dxfId="2" stopIfTrue="1">
      <formula>AND(N19&gt;0,CN19=0)</formula>
    </cfRule>
    <cfRule type="expression" priority="326" dxfId="2" stopIfTrue="1">
      <formula>AND(N19=0,CN19&lt;&gt;0)</formula>
    </cfRule>
  </conditionalFormatting>
  <conditionalFormatting sqref="CN20:CN23">
    <cfRule type="expression" priority="323" dxfId="2" stopIfTrue="1">
      <formula>AND(N20&gt;0,CN20=0)</formula>
    </cfRule>
    <cfRule type="expression" priority="324" dxfId="2" stopIfTrue="1">
      <formula>AND(N20=0,CN20&lt;&gt;0)</formula>
    </cfRule>
  </conditionalFormatting>
  <conditionalFormatting sqref="CN20:CN23">
    <cfRule type="expression" priority="321" dxfId="2" stopIfTrue="1">
      <formula>AND(N20&gt;0,CN20=0)</formula>
    </cfRule>
    <cfRule type="expression" priority="322" dxfId="2" stopIfTrue="1">
      <formula>AND(N20=0,CN20&lt;&gt;0)</formula>
    </cfRule>
  </conditionalFormatting>
  <conditionalFormatting sqref="CN13">
    <cfRule type="expression" priority="319" dxfId="2" stopIfTrue="1">
      <formula>AND(N13&gt;0,CN13=0)</formula>
    </cfRule>
    <cfRule type="expression" priority="320" dxfId="2" stopIfTrue="1">
      <formula>AND(N13=0,CN13&lt;&gt;0)</formula>
    </cfRule>
  </conditionalFormatting>
  <conditionalFormatting sqref="CN13">
    <cfRule type="expression" priority="317" dxfId="2" stopIfTrue="1">
      <formula>AND(N13&gt;0,CN13=0)</formula>
    </cfRule>
    <cfRule type="expression" priority="318" dxfId="2" stopIfTrue="1">
      <formula>AND(N13=0,CN13&lt;&gt;0)</formula>
    </cfRule>
  </conditionalFormatting>
  <conditionalFormatting sqref="CN14">
    <cfRule type="expression" priority="315" dxfId="2" stopIfTrue="1">
      <formula>AND(N14&gt;0,CN14=0)</formula>
    </cfRule>
    <cfRule type="expression" priority="316" dxfId="2" stopIfTrue="1">
      <formula>AND(N14=0,CN14&lt;&gt;0)</formula>
    </cfRule>
  </conditionalFormatting>
  <conditionalFormatting sqref="CN14">
    <cfRule type="expression" priority="313" dxfId="2" stopIfTrue="1">
      <formula>AND(N14&gt;0,CN14=0)</formula>
    </cfRule>
    <cfRule type="expression" priority="314" dxfId="2" stopIfTrue="1">
      <formula>AND(N14=0,CN14&lt;&gt;0)</formula>
    </cfRule>
  </conditionalFormatting>
  <conditionalFormatting sqref="CP13:CP27">
    <cfRule type="expression" priority="311" dxfId="2" stopIfTrue="1">
      <formula>AND(N13&gt;0,CP13=0)</formula>
    </cfRule>
    <cfRule type="expression" priority="312" dxfId="2" stopIfTrue="1">
      <formula>AND(N13=0,CP13&lt;&gt;0)</formula>
    </cfRule>
  </conditionalFormatting>
  <conditionalFormatting sqref="CP15">
    <cfRule type="expression" priority="301" dxfId="2" stopIfTrue="1">
      <formula>AND(N15&gt;0,CP15=0)</formula>
    </cfRule>
    <cfRule type="expression" priority="302" dxfId="2" stopIfTrue="1">
      <formula>AND(N15=0,CP15&lt;&gt;0)</formula>
    </cfRule>
  </conditionalFormatting>
  <conditionalFormatting sqref="CP13:CP19">
    <cfRule type="expression" priority="299" dxfId="2" stopIfTrue="1">
      <formula>AND(N13&gt;0,CP13=0)</formula>
    </cfRule>
    <cfRule type="expression" priority="300" dxfId="2" stopIfTrue="1">
      <formula>AND(N13=0,CP13&lt;&gt;0)</formula>
    </cfRule>
  </conditionalFormatting>
  <conditionalFormatting sqref="CP15">
    <cfRule type="expression" priority="297" dxfId="2" stopIfTrue="1">
      <formula>AND(N15&gt;0,CP15=0)</formula>
    </cfRule>
    <cfRule type="expression" priority="298" dxfId="2" stopIfTrue="1">
      <formula>AND(N15=0,CP15&lt;&gt;0)</formula>
    </cfRule>
  </conditionalFormatting>
  <conditionalFormatting sqref="CP15">
    <cfRule type="expression" priority="295" dxfId="2" stopIfTrue="1">
      <formula>AND(N15&gt;0,CP15=0)</formula>
    </cfRule>
    <cfRule type="expression" priority="296" dxfId="2" stopIfTrue="1">
      <formula>AND(N15=0,CP15&lt;&gt;0)</formula>
    </cfRule>
  </conditionalFormatting>
  <conditionalFormatting sqref="CP15">
    <cfRule type="expression" priority="293" dxfId="2" stopIfTrue="1">
      <formula>AND(N15&gt;0,CP15=0)</formula>
    </cfRule>
    <cfRule type="expression" priority="294" dxfId="2" stopIfTrue="1">
      <formula>AND(N15=0,CP15&lt;&gt;0)</formula>
    </cfRule>
  </conditionalFormatting>
  <conditionalFormatting sqref="CP15">
    <cfRule type="expression" priority="291" dxfId="2" stopIfTrue="1">
      <formula>AND(N15&gt;0,CP15=0)</formula>
    </cfRule>
    <cfRule type="expression" priority="292" dxfId="2" stopIfTrue="1">
      <formula>AND(N15=0,CP15&lt;&gt;0)</formula>
    </cfRule>
  </conditionalFormatting>
  <conditionalFormatting sqref="CP15">
    <cfRule type="expression" priority="289" dxfId="2" stopIfTrue="1">
      <formula>AND(N15&gt;0,CP15=0)</formula>
    </cfRule>
    <cfRule type="expression" priority="290" dxfId="2" stopIfTrue="1">
      <formula>AND(N15=0,CP15&lt;&gt;0)</formula>
    </cfRule>
  </conditionalFormatting>
  <conditionalFormatting sqref="CP27">
    <cfRule type="expression" priority="283" dxfId="2" stopIfTrue="1">
      <formula>AND(N27&gt;0,CP27=0)</formula>
    </cfRule>
    <cfRule type="expression" priority="284" dxfId="2" stopIfTrue="1">
      <formula>AND(N27=0,CP27&lt;&gt;0)</formula>
    </cfRule>
  </conditionalFormatting>
  <conditionalFormatting sqref="CP27">
    <cfRule type="expression" priority="281" dxfId="2" stopIfTrue="1">
      <formula>AND(N27&gt;0,CP27=0)</formula>
    </cfRule>
    <cfRule type="expression" priority="282" dxfId="2" stopIfTrue="1">
      <formula>AND(N27=0,CP27&lt;&gt;0)</formula>
    </cfRule>
  </conditionalFormatting>
  <conditionalFormatting sqref="CN61">
    <cfRule type="expression" priority="241" dxfId="2" stopIfTrue="1">
      <formula>AND(N61&gt;0,CN61=0)</formula>
    </cfRule>
    <cfRule type="expression" priority="242" dxfId="2" stopIfTrue="1">
      <formula>AND(N61=0,CN61&lt;&gt;0)</formula>
    </cfRule>
  </conditionalFormatting>
  <conditionalFormatting sqref="CN61">
    <cfRule type="expression" priority="239" dxfId="2" stopIfTrue="1">
      <formula>AND(N61&gt;0,CN61=0)</formula>
    </cfRule>
    <cfRule type="expression" priority="240" dxfId="2" stopIfTrue="1">
      <formula>AND(N61=0,CN61&lt;&gt;0)</formula>
    </cfRule>
  </conditionalFormatting>
  <conditionalFormatting sqref="CN15">
    <cfRule type="expression" priority="207" dxfId="2" stopIfTrue="1">
      <formula>AND(N15&gt;0,CN15=0)</formula>
    </cfRule>
    <cfRule type="expression" priority="208" dxfId="2" stopIfTrue="1">
      <formula>AND(N15=0,CN15&lt;&gt;0)</formula>
    </cfRule>
  </conditionalFormatting>
  <conditionalFormatting sqref="CN13:CN19">
    <cfRule type="expression" priority="205" dxfId="2" stopIfTrue="1">
      <formula>AND(N13&gt;0,CN13=0)</formula>
    </cfRule>
    <cfRule type="expression" priority="206" dxfId="2" stopIfTrue="1">
      <formula>AND(N13=0,CN13&lt;&gt;0)</formula>
    </cfRule>
  </conditionalFormatting>
  <conditionalFormatting sqref="CN15">
    <cfRule type="expression" priority="203" dxfId="2" stopIfTrue="1">
      <formula>AND(N15&gt;0,CN15=0)</formula>
    </cfRule>
    <cfRule type="expression" priority="204" dxfId="2" stopIfTrue="1">
      <formula>AND(N15=0,CN15&lt;&gt;0)</formula>
    </cfRule>
  </conditionalFormatting>
  <conditionalFormatting sqref="CN15">
    <cfRule type="expression" priority="201" dxfId="2" stopIfTrue="1">
      <formula>AND(N15&gt;0,CN15=0)</formula>
    </cfRule>
    <cfRule type="expression" priority="202" dxfId="2" stopIfTrue="1">
      <formula>AND(N15=0,CN15&lt;&gt;0)</formula>
    </cfRule>
  </conditionalFormatting>
  <conditionalFormatting sqref="CN15">
    <cfRule type="expression" priority="199" dxfId="2" stopIfTrue="1">
      <formula>AND(N15&gt;0,CN15=0)</formula>
    </cfRule>
    <cfRule type="expression" priority="200" dxfId="2" stopIfTrue="1">
      <formula>AND(N15=0,CN15&lt;&gt;0)</formula>
    </cfRule>
  </conditionalFormatting>
  <conditionalFormatting sqref="CN15">
    <cfRule type="expression" priority="197" dxfId="2" stopIfTrue="1">
      <formula>AND(N15&gt;0,CN15=0)</formula>
    </cfRule>
    <cfRule type="expression" priority="198" dxfId="2" stopIfTrue="1">
      <formula>AND(N15=0,CN15&lt;&gt;0)</formula>
    </cfRule>
  </conditionalFormatting>
  <conditionalFormatting sqref="CN15">
    <cfRule type="expression" priority="195" dxfId="2" stopIfTrue="1">
      <formula>AND(N15&gt;0,CN15=0)</formula>
    </cfRule>
    <cfRule type="expression" priority="196" dxfId="2" stopIfTrue="1">
      <formula>AND(N15=0,CN15&lt;&gt;0)</formula>
    </cfRule>
  </conditionalFormatting>
  <conditionalFormatting sqref="CN15">
    <cfRule type="expression" priority="167" dxfId="2" stopIfTrue="1">
      <formula>AND(N15&gt;0,CN15=0)</formula>
    </cfRule>
    <cfRule type="expression" priority="168" dxfId="2" stopIfTrue="1">
      <formula>AND(N15=0,CN15&lt;&gt;0)</formula>
    </cfRule>
  </conditionalFormatting>
  <conditionalFormatting sqref="CN15">
    <cfRule type="expression" priority="165" dxfId="2" stopIfTrue="1">
      <formula>AND(N15&gt;0,CN15=0)</formula>
    </cfRule>
    <cfRule type="expression" priority="166" dxfId="2" stopIfTrue="1">
      <formula>AND(N15=0,CN15&lt;&gt;0)</formula>
    </cfRule>
  </conditionalFormatting>
  <conditionalFormatting sqref="CN15">
    <cfRule type="expression" priority="163" dxfId="2" stopIfTrue="1">
      <formula>AND(N15&gt;0,CN15=0)</formula>
    </cfRule>
    <cfRule type="expression" priority="164" dxfId="2" stopIfTrue="1">
      <formula>AND(N15=0,CN15&lt;&gt;0)</formula>
    </cfRule>
  </conditionalFormatting>
  <conditionalFormatting sqref="CN15">
    <cfRule type="expression" priority="161" dxfId="2" stopIfTrue="1">
      <formula>AND(N15&gt;0,CN15=0)</formula>
    </cfRule>
    <cfRule type="expression" priority="162" dxfId="2" stopIfTrue="1">
      <formula>AND(N15=0,CN15&lt;&gt;0)</formula>
    </cfRule>
  </conditionalFormatting>
  <conditionalFormatting sqref="CN15">
    <cfRule type="expression" priority="159" dxfId="2" stopIfTrue="1">
      <formula>AND(N15&gt;0,CN15=0)</formula>
    </cfRule>
    <cfRule type="expression" priority="160" dxfId="2" stopIfTrue="1">
      <formula>AND(N15=0,CN15&lt;&gt;0)</formula>
    </cfRule>
  </conditionalFormatting>
  <conditionalFormatting sqref="CN15">
    <cfRule type="expression" priority="157" dxfId="2" stopIfTrue="1">
      <formula>AND(N15&gt;0,CN15=0)</formula>
    </cfRule>
    <cfRule type="expression" priority="158" dxfId="2" stopIfTrue="1">
      <formula>AND(N15=0,CN15&lt;&gt;0)</formula>
    </cfRule>
  </conditionalFormatting>
  <conditionalFormatting sqref="CN20:CN23">
    <cfRule type="expression" priority="151" dxfId="2" stopIfTrue="1">
      <formula>AND(N20&gt;0,CN20=0)</formula>
    </cfRule>
    <cfRule type="expression" priority="152" dxfId="2" stopIfTrue="1">
      <formula>AND(N20=0,CN20&lt;&gt;0)</formula>
    </cfRule>
  </conditionalFormatting>
  <conditionalFormatting sqref="CN20:CN23">
    <cfRule type="expression" priority="149" dxfId="2" stopIfTrue="1">
      <formula>AND(N20&gt;0,CN20=0)</formula>
    </cfRule>
    <cfRule type="expression" priority="150" dxfId="2" stopIfTrue="1">
      <formula>AND(N20=0,CN20&lt;&gt;0)</formula>
    </cfRule>
  </conditionalFormatting>
  <conditionalFormatting sqref="CN15">
    <cfRule type="expression" priority="139" dxfId="2" stopIfTrue="1">
      <formula>AND(N15&gt;0,CN15=0)</formula>
    </cfRule>
    <cfRule type="expression" priority="140" dxfId="2" stopIfTrue="1">
      <formula>AND(N15=0,CN15&lt;&gt;0)</formula>
    </cfRule>
  </conditionalFormatting>
  <conditionalFormatting sqref="CN15">
    <cfRule type="expression" priority="137" dxfId="2" stopIfTrue="1">
      <formula>AND(N15&gt;0,CN15=0)</formula>
    </cfRule>
    <cfRule type="expression" priority="138" dxfId="2" stopIfTrue="1">
      <formula>AND(N15=0,CN15&lt;&gt;0)</formula>
    </cfRule>
  </conditionalFormatting>
  <conditionalFormatting sqref="CN15">
    <cfRule type="expression" priority="135" dxfId="2" stopIfTrue="1">
      <formula>AND(N15&gt;0,CN15=0)</formula>
    </cfRule>
    <cfRule type="expression" priority="136" dxfId="2" stopIfTrue="1">
      <formula>AND(N15=0,CN15&lt;&gt;0)</formula>
    </cfRule>
  </conditionalFormatting>
  <conditionalFormatting sqref="CN15">
    <cfRule type="expression" priority="133" dxfId="2" stopIfTrue="1">
      <formula>AND(N15&gt;0,CN15=0)</formula>
    </cfRule>
    <cfRule type="expression" priority="134" dxfId="2" stopIfTrue="1">
      <formula>AND(N15=0,CN15&lt;&gt;0)</formula>
    </cfRule>
  </conditionalFormatting>
  <conditionalFormatting sqref="CN15">
    <cfRule type="expression" priority="131" dxfId="2" stopIfTrue="1">
      <formula>AND(N15&gt;0,CN15=0)</formula>
    </cfRule>
    <cfRule type="expression" priority="132" dxfId="2" stopIfTrue="1">
      <formula>AND(N15=0,CN15&lt;&gt;0)</formula>
    </cfRule>
  </conditionalFormatting>
  <conditionalFormatting sqref="CN15">
    <cfRule type="expression" priority="129" dxfId="2" stopIfTrue="1">
      <formula>AND(N15&gt;0,CN15=0)</formula>
    </cfRule>
    <cfRule type="expression" priority="130" dxfId="2" stopIfTrue="1">
      <formula>AND(N15=0,CN15&lt;&gt;0)</formula>
    </cfRule>
  </conditionalFormatting>
  <conditionalFormatting sqref="CN20:CN23">
    <cfRule type="expression" priority="123" dxfId="2" stopIfTrue="1">
      <formula>AND(N20&gt;0,CN20=0)</formula>
    </cfRule>
    <cfRule type="expression" priority="124" dxfId="2" stopIfTrue="1">
      <formula>AND(N20=0,CN20&lt;&gt;0)</formula>
    </cfRule>
  </conditionalFormatting>
  <conditionalFormatting sqref="CN20:CN23">
    <cfRule type="expression" priority="121" dxfId="2" stopIfTrue="1">
      <formula>AND(N20&gt;0,CN20=0)</formula>
    </cfRule>
    <cfRule type="expression" priority="122" dxfId="2" stopIfTrue="1">
      <formula>AND(N20=0,CN20&lt;&gt;0)</formula>
    </cfRule>
  </conditionalFormatting>
  <conditionalFormatting sqref="CN25:CN26">
    <cfRule type="expression" priority="119" dxfId="2" stopIfTrue="1">
      <formula>AND(N25&gt;0,CN25=0)</formula>
    </cfRule>
    <cfRule type="expression" priority="120" dxfId="2" stopIfTrue="1">
      <formula>AND(N25=0,CN25&lt;&gt;0)</formula>
    </cfRule>
  </conditionalFormatting>
  <conditionalFormatting sqref="CN13:CN16 CN27">
    <cfRule type="expression" priority="117" dxfId="2" stopIfTrue="1">
      <formula>AND(B13&gt;0,CN13=0)</formula>
    </cfRule>
    <cfRule type="expression" priority="118" dxfId="2" stopIfTrue="1">
      <formula>AND(B13=0,CN13&lt;&gt;0)</formula>
    </cfRule>
  </conditionalFormatting>
  <conditionalFormatting sqref="CN17">
    <cfRule type="expression" priority="115" dxfId="2" stopIfTrue="1">
      <formula>AND(B17&gt;0,CN17=0)</formula>
    </cfRule>
    <cfRule type="expression" priority="116" dxfId="2" stopIfTrue="1">
      <formula>AND(B17=0,CN17&lt;&gt;0)</formula>
    </cfRule>
  </conditionalFormatting>
  <conditionalFormatting sqref="CN18">
    <cfRule type="expression" priority="113" dxfId="2" stopIfTrue="1">
      <formula>AND(B18&gt;0,CN18=0)</formula>
    </cfRule>
    <cfRule type="expression" priority="114" dxfId="2" stopIfTrue="1">
      <formula>AND(B18=0,CN18&lt;&gt;0)</formula>
    </cfRule>
  </conditionalFormatting>
  <conditionalFormatting sqref="CN19">
    <cfRule type="expression" priority="111" dxfId="2" stopIfTrue="1">
      <formula>AND(B19&gt;0,CN19=0)</formula>
    </cfRule>
    <cfRule type="expression" priority="112" dxfId="2" stopIfTrue="1">
      <formula>AND(B19=0,CN19&lt;&gt;0)</formula>
    </cfRule>
  </conditionalFormatting>
  <conditionalFormatting sqref="CN19">
    <cfRule type="expression" priority="109" dxfId="2" stopIfTrue="1">
      <formula>AND(B19&gt;0,CN19=0)</formula>
    </cfRule>
    <cfRule type="expression" priority="110" dxfId="2" stopIfTrue="1">
      <formula>AND(B19=0,CN19&lt;&gt;0)</formula>
    </cfRule>
  </conditionalFormatting>
  <conditionalFormatting sqref="CN20:CN23">
    <cfRule type="expression" priority="107" dxfId="2" stopIfTrue="1">
      <formula>AND(B20&gt;0,CN20=0)</formula>
    </cfRule>
    <cfRule type="expression" priority="108" dxfId="2" stopIfTrue="1">
      <formula>AND(B20=0,CN20&lt;&gt;0)</formula>
    </cfRule>
  </conditionalFormatting>
  <conditionalFormatting sqref="CN25:CN26">
    <cfRule type="expression" priority="101" dxfId="2" stopIfTrue="1">
      <formula>AND(N25&gt;0,CN25=0)</formula>
    </cfRule>
    <cfRule type="expression" priority="102" dxfId="2" stopIfTrue="1">
      <formula>AND(N25=0,CN25&lt;&gt;0)</formula>
    </cfRule>
  </conditionalFormatting>
  <conditionalFormatting sqref="CN25:CN26">
    <cfRule type="expression" priority="99" dxfId="2" stopIfTrue="1">
      <formula>AND(N25&gt;0,CN25=0)</formula>
    </cfRule>
    <cfRule type="expression" priority="100" dxfId="2" stopIfTrue="1">
      <formula>AND(N25=0,CN25&lt;&gt;0)</formula>
    </cfRule>
  </conditionalFormatting>
  <conditionalFormatting sqref="CN25:CN26">
    <cfRule type="expression" priority="97" dxfId="2" stopIfTrue="1">
      <formula>AND(B25&gt;0,CN25=0)</formula>
    </cfRule>
    <cfRule type="expression" priority="98" dxfId="2" stopIfTrue="1">
      <formula>AND(B25=0,CN25&lt;&gt;0)</formula>
    </cfRule>
  </conditionalFormatting>
  <conditionalFormatting sqref="CN30:CN34">
    <cfRule type="expression" priority="81" dxfId="2" stopIfTrue="1">
      <formula>AND(N30&gt;0,CN30=0)</formula>
    </cfRule>
    <cfRule type="expression" priority="82" dxfId="2" stopIfTrue="1">
      <formula>AND(N30=0,CN30&lt;&gt;0)</formula>
    </cfRule>
  </conditionalFormatting>
  <conditionalFormatting sqref="CN36:CN38">
    <cfRule type="expression" priority="79" dxfId="2" stopIfTrue="1">
      <formula>AND(N36&gt;0,CN36=0)</formula>
    </cfRule>
    <cfRule type="expression" priority="80" dxfId="2" stopIfTrue="1">
      <formula>AND(N36=0,CN36&lt;&gt;0)</formula>
    </cfRule>
  </conditionalFormatting>
  <conditionalFormatting sqref="CN36:CN38">
    <cfRule type="expression" priority="77" dxfId="2" stopIfTrue="1">
      <formula>AND(N36&gt;0,CN36=0)</formula>
    </cfRule>
    <cfRule type="expression" priority="78" dxfId="2" stopIfTrue="1">
      <formula>AND(N36=0,CN36&lt;&gt;0)</formula>
    </cfRule>
  </conditionalFormatting>
  <conditionalFormatting sqref="CN41:CN47">
    <cfRule type="expression" priority="75" dxfId="2" stopIfTrue="1">
      <formula>AND(N41&gt;0,CN41=0)</formula>
    </cfRule>
    <cfRule type="expression" priority="76" dxfId="2" stopIfTrue="1">
      <formula>AND(N41=0,CN41&lt;&gt;0)</formula>
    </cfRule>
  </conditionalFormatting>
  <conditionalFormatting sqref="CN41:CN47">
    <cfRule type="expression" priority="73" dxfId="2" stopIfTrue="1">
      <formula>AND(N41&gt;0,CN41=0)</formula>
    </cfRule>
    <cfRule type="expression" priority="74" dxfId="2" stopIfTrue="1">
      <formula>AND(N41=0,CN41&lt;&gt;0)</formula>
    </cfRule>
  </conditionalFormatting>
  <conditionalFormatting sqref="CN51:CN54">
    <cfRule type="expression" priority="71" dxfId="2" stopIfTrue="1">
      <formula>AND(N51&gt;0,CN51=0)</formula>
    </cfRule>
    <cfRule type="expression" priority="72" dxfId="2" stopIfTrue="1">
      <formula>AND(N51=0,CN51&lt;&gt;0)</formula>
    </cfRule>
  </conditionalFormatting>
  <conditionalFormatting sqref="CN51:CN54">
    <cfRule type="expression" priority="69" dxfId="2" stopIfTrue="1">
      <formula>AND(N51&gt;0,CN51=0)</formula>
    </cfRule>
    <cfRule type="expression" priority="70" dxfId="2" stopIfTrue="1">
      <formula>AND(N51=0,CN51&lt;&gt;0)</formula>
    </cfRule>
  </conditionalFormatting>
  <conditionalFormatting sqref="CN55">
    <cfRule type="expression" priority="67" dxfId="2" stopIfTrue="1">
      <formula>AND(N55&gt;0,CN55=0)</formula>
    </cfRule>
    <cfRule type="expression" priority="68" dxfId="2" stopIfTrue="1">
      <formula>AND(N55=0,CN55&lt;&gt;0)</formula>
    </cfRule>
  </conditionalFormatting>
  <conditionalFormatting sqref="CN57:CN59">
    <cfRule type="expression" priority="65" dxfId="2" stopIfTrue="1">
      <formula>AND(N57&gt;0,CN57=0)</formula>
    </cfRule>
    <cfRule type="expression" priority="66" dxfId="2" stopIfTrue="1">
      <formula>AND(N57=0,CN57&lt;&gt;0)</formula>
    </cfRule>
  </conditionalFormatting>
  <conditionalFormatting sqref="CN57:CN59">
    <cfRule type="expression" priority="63" dxfId="2" stopIfTrue="1">
      <formula>AND(N57&gt;0,CN57=0)</formula>
    </cfRule>
    <cfRule type="expression" priority="64" dxfId="2" stopIfTrue="1">
      <formula>AND(N57=0,CN57&lt;&gt;0)</formula>
    </cfRule>
  </conditionalFormatting>
  <conditionalFormatting sqref="CN60:CN61">
    <cfRule type="expression" priority="61" dxfId="2" stopIfTrue="1">
      <formula>AND(N60&gt;0,CN60=0)</formula>
    </cfRule>
    <cfRule type="expression" priority="62" dxfId="2" stopIfTrue="1">
      <formula>AND(N60=0,CN60&lt;&gt;0)</formula>
    </cfRule>
  </conditionalFormatting>
  <conditionalFormatting sqref="CN62">
    <cfRule type="expression" priority="59" dxfId="2" stopIfTrue="1">
      <formula>AND(N62&gt;0,CN62=0)</formula>
    </cfRule>
    <cfRule type="expression" priority="60" dxfId="2" stopIfTrue="1">
      <formula>AND(N62=0,CN62&lt;&gt;0)</formula>
    </cfRule>
  </conditionalFormatting>
  <conditionalFormatting sqref="CN61">
    <cfRule type="expression" priority="57" dxfId="2" stopIfTrue="1">
      <formula>AND(N61&gt;0,CN61=0)</formula>
    </cfRule>
    <cfRule type="expression" priority="58" dxfId="2" stopIfTrue="1">
      <formula>AND(N61=0,CN61&lt;&gt;0)</formula>
    </cfRule>
  </conditionalFormatting>
  <conditionalFormatting sqref="CN68:CN69">
    <cfRule type="expression" priority="55" dxfId="2" stopIfTrue="1">
      <formula>AND(N68&gt;0,CN68=0)</formula>
    </cfRule>
    <cfRule type="expression" priority="56" dxfId="2" stopIfTrue="1">
      <formula>AND(N68=0,CN68&lt;&gt;0)</formula>
    </cfRule>
  </conditionalFormatting>
  <conditionalFormatting sqref="CN64:CN65">
    <cfRule type="expression" priority="53" dxfId="2" stopIfTrue="1">
      <formula>AND(N64&gt;0,CN64=0)</formula>
    </cfRule>
    <cfRule type="expression" priority="54" dxfId="2" stopIfTrue="1">
      <formula>AND(N64=0,CN64&lt;&gt;0)</formula>
    </cfRule>
  </conditionalFormatting>
  <conditionalFormatting sqref="CN65">
    <cfRule type="expression" priority="51" dxfId="2" stopIfTrue="1">
      <formula>AND(N65&gt;0,CN65=0)</formula>
    </cfRule>
    <cfRule type="expression" priority="52" dxfId="2" stopIfTrue="1">
      <formula>AND(N65=0,CN65&lt;&gt;0)</formula>
    </cfRule>
  </conditionalFormatting>
  <conditionalFormatting sqref="CN66">
    <cfRule type="expression" priority="49" dxfId="2" stopIfTrue="1">
      <formula>AND(N66&gt;0,CN66=0)</formula>
    </cfRule>
    <cfRule type="expression" priority="50" dxfId="2" stopIfTrue="1">
      <formula>AND(N66=0,CN66&lt;&gt;0)</formula>
    </cfRule>
  </conditionalFormatting>
  <conditionalFormatting sqref="CN67">
    <cfRule type="expression" priority="47" dxfId="2" stopIfTrue="1">
      <formula>AND(N67&gt;0,CN67=0)</formula>
    </cfRule>
    <cfRule type="expression" priority="48" dxfId="2" stopIfTrue="1">
      <formula>AND(N67=0,CN67&lt;&gt;0)</formula>
    </cfRule>
  </conditionalFormatting>
  <conditionalFormatting sqref="CN71">
    <cfRule type="expression" priority="45" dxfId="2" stopIfTrue="1">
      <formula>AND(N71&gt;0,CN71=0)</formula>
    </cfRule>
    <cfRule type="expression" priority="46" dxfId="2" stopIfTrue="1">
      <formula>AND(N71=0,CN71&lt;&gt;0)</formula>
    </cfRule>
  </conditionalFormatting>
  <conditionalFormatting sqref="CN72">
    <cfRule type="expression" priority="43" dxfId="2" stopIfTrue="1">
      <formula>AND(N72&gt;0,CN72=0)</formula>
    </cfRule>
    <cfRule type="expression" priority="44" dxfId="2" stopIfTrue="1">
      <formula>AND(N72=0,CN72&lt;&gt;0)</formula>
    </cfRule>
  </conditionalFormatting>
  <conditionalFormatting sqref="CN73">
    <cfRule type="expression" priority="41" dxfId="2" stopIfTrue="1">
      <formula>AND(N73&gt;0,CN73=0)</formula>
    </cfRule>
    <cfRule type="expression" priority="42" dxfId="2" stopIfTrue="1">
      <formula>AND(N73=0,CN73&lt;&gt;0)</formula>
    </cfRule>
  </conditionalFormatting>
  <conditionalFormatting sqref="CN71">
    <cfRule type="expression" priority="39" dxfId="2" stopIfTrue="1">
      <formula>AND(N71&gt;0,CN71=0)</formula>
    </cfRule>
    <cfRule type="expression" priority="40" dxfId="2" stopIfTrue="1">
      <formula>AND(N71=0,CN71&lt;&gt;0)</formula>
    </cfRule>
  </conditionalFormatting>
  <conditionalFormatting sqref="CN72">
    <cfRule type="expression" priority="37" dxfId="2" stopIfTrue="1">
      <formula>AND(N72&gt;0,CN72=0)</formula>
    </cfRule>
    <cfRule type="expression" priority="38" dxfId="2" stopIfTrue="1">
      <formula>AND(N72=0,CN72&lt;&gt;0)</formula>
    </cfRule>
  </conditionalFormatting>
  <conditionalFormatting sqref="CN73">
    <cfRule type="expression" priority="35" dxfId="2" stopIfTrue="1">
      <formula>AND(N73&gt;0,CN73=0)</formula>
    </cfRule>
    <cfRule type="expression" priority="36" dxfId="2" stopIfTrue="1">
      <formula>AND(N73=0,CN73&lt;&gt;0)</formula>
    </cfRule>
  </conditionalFormatting>
  <conditionalFormatting sqref="CN71">
    <cfRule type="expression" priority="33" dxfId="2" stopIfTrue="1">
      <formula>AND(N71&gt;0,CN71=0)</formula>
    </cfRule>
    <cfRule type="expression" priority="34" dxfId="2" stopIfTrue="1">
      <formula>AND(N71=0,CN71&lt;&gt;0)</formula>
    </cfRule>
  </conditionalFormatting>
  <conditionalFormatting sqref="CN72">
    <cfRule type="expression" priority="31" dxfId="2" stopIfTrue="1">
      <formula>AND(N72&gt;0,CN72=0)</formula>
    </cfRule>
    <cfRule type="expression" priority="32" dxfId="2" stopIfTrue="1">
      <formula>AND(N72=0,CN72&lt;&gt;0)</formula>
    </cfRule>
  </conditionalFormatting>
  <conditionalFormatting sqref="CN73">
    <cfRule type="expression" priority="29" dxfId="2" stopIfTrue="1">
      <formula>AND(N73&gt;0,CN73=0)</formula>
    </cfRule>
    <cfRule type="expression" priority="30" dxfId="2" stopIfTrue="1">
      <formula>AND(N73=0,CN73&lt;&gt;0)</formula>
    </cfRule>
  </conditionalFormatting>
  <conditionalFormatting sqref="CN77:CN79">
    <cfRule type="expression" priority="27" dxfId="2" stopIfTrue="1">
      <formula>AND(N77&gt;0,CN77=0)</formula>
    </cfRule>
    <cfRule type="expression" priority="28" dxfId="2" stopIfTrue="1">
      <formula>AND(N77=0,CN77&lt;&gt;0)</formula>
    </cfRule>
  </conditionalFormatting>
  <conditionalFormatting sqref="CN77">
    <cfRule type="expression" priority="25" dxfId="2" stopIfTrue="1">
      <formula>AND(N77&gt;0,CN77=0)</formula>
    </cfRule>
    <cfRule type="expression" priority="26" dxfId="2" stopIfTrue="1">
      <formula>AND(N77=0,CN77&lt;&gt;0)</formula>
    </cfRule>
  </conditionalFormatting>
  <conditionalFormatting sqref="CN78">
    <cfRule type="expression" priority="23" dxfId="2" stopIfTrue="1">
      <formula>AND(N78&gt;0,CN78=0)</formula>
    </cfRule>
    <cfRule type="expression" priority="24" dxfId="2" stopIfTrue="1">
      <formula>AND(N78=0,CN78&lt;&gt;0)</formula>
    </cfRule>
  </conditionalFormatting>
  <conditionalFormatting sqref="CN79">
    <cfRule type="expression" priority="21" dxfId="2" stopIfTrue="1">
      <formula>AND(N79&gt;0,CN79=0)</formula>
    </cfRule>
    <cfRule type="expression" priority="22" dxfId="2" stopIfTrue="1">
      <formula>AND(N79=0,CN79&lt;&gt;0)</formula>
    </cfRule>
  </conditionalFormatting>
  <conditionalFormatting sqref="CN83:CN84">
    <cfRule type="expression" priority="19" dxfId="2" stopIfTrue="1">
      <formula>AND(N83&gt;0,CN83=0)</formula>
    </cfRule>
    <cfRule type="expression" priority="20" dxfId="2" stopIfTrue="1">
      <formula>AND(N83=0,CN83&lt;&gt;0)</formula>
    </cfRule>
  </conditionalFormatting>
  <conditionalFormatting sqref="CN83">
    <cfRule type="expression" priority="17" dxfId="2" stopIfTrue="1">
      <formula>AND(N83&gt;0,CN83=0)</formula>
    </cfRule>
    <cfRule type="expression" priority="18" dxfId="2" stopIfTrue="1">
      <formula>AND(N83=0,CN83&lt;&gt;0)</formula>
    </cfRule>
  </conditionalFormatting>
  <conditionalFormatting sqref="CN84">
    <cfRule type="expression" priority="15" dxfId="2" stopIfTrue="1">
      <formula>AND(N84&gt;0,CN84=0)</formula>
    </cfRule>
    <cfRule type="expression" priority="16" dxfId="2" stopIfTrue="1">
      <formula>AND(N84=0,CN84&lt;&gt;0)</formula>
    </cfRule>
  </conditionalFormatting>
  <conditionalFormatting sqref="CN93:CN94">
    <cfRule type="expression" priority="13" dxfId="2" stopIfTrue="1">
      <formula>AND(N93&gt;0,CN93=0)</formula>
    </cfRule>
    <cfRule type="expression" priority="14" dxfId="2" stopIfTrue="1">
      <formula>AND(N93=0,CN93&lt;&gt;0)</formula>
    </cfRule>
  </conditionalFormatting>
  <conditionalFormatting sqref="CN94">
    <cfRule type="expression" priority="11" dxfId="2" stopIfTrue="1">
      <formula>AND(N94&gt;0,CN94=0)</formula>
    </cfRule>
    <cfRule type="expression" priority="12" dxfId="2" stopIfTrue="1">
      <formula>AND(N94=0,CN94&lt;&gt;0)</formula>
    </cfRule>
  </conditionalFormatting>
  <conditionalFormatting sqref="CN94">
    <cfRule type="expression" priority="9" dxfId="2" stopIfTrue="1">
      <formula>AND(N94&gt;0,CN94=0)</formula>
    </cfRule>
    <cfRule type="expression" priority="10" dxfId="2" stopIfTrue="1">
      <formula>AND(N94=0,CN94&lt;&gt;0)</formula>
    </cfRule>
  </conditionalFormatting>
  <conditionalFormatting sqref="CN57:CN62">
    <cfRule type="expression" priority="7" dxfId="2" stopIfTrue="1">
      <formula>AND(N57&gt;0,CN57=0)</formula>
    </cfRule>
    <cfRule type="expression" priority="8" dxfId="2" stopIfTrue="1">
      <formula>AND(N57=0,CN57&lt;&gt;0)</formula>
    </cfRule>
  </conditionalFormatting>
  <conditionalFormatting sqref="CN57:CN62">
    <cfRule type="expression" priority="5" dxfId="2" stopIfTrue="1">
      <formula>AND(N57&gt;0,CN57=0)</formula>
    </cfRule>
    <cfRule type="expression" priority="6" dxfId="2" stopIfTrue="1">
      <formula>AND(N57=0,CN57&lt;&gt;0)</formula>
    </cfRule>
  </conditionalFormatting>
  <conditionalFormatting sqref="CO116">
    <cfRule type="expression" priority="3" dxfId="2" stopIfTrue="1">
      <formula>AND(O116&gt;0,CO116=0)</formula>
    </cfRule>
    <cfRule type="expression" priority="4" dxfId="2" stopIfTrue="1">
      <formula>AND(O116=0,CO116&lt;&gt;0)</formula>
    </cfRule>
  </conditionalFormatting>
  <conditionalFormatting sqref="CO116">
    <cfRule type="expression" priority="1" dxfId="2" stopIfTrue="1">
      <formula>AND(O116&gt;0,CO116=0)</formula>
    </cfRule>
    <cfRule type="expression" priority="2" dxfId="2" stopIfTrue="1">
      <formula>AND(O116=0,CO116&lt;&gt;0)</formula>
    </cfRule>
  </conditionalFormatting>
  <printOptions horizontalCentered="1"/>
  <pageMargins left="0" right="0" top="0.5905511811023623" bottom="0.3937007874015748" header="0.11811023622047245" footer="0.11811023622047245"/>
  <pageSetup fitToHeight="100" horizontalDpi="600" verticalDpi="600" orientation="landscape" paperSize="8" scale="4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7"/>
  <sheetViews>
    <sheetView showZeros="0" zoomScalePageLayoutView="0" workbookViewId="0" topLeftCell="A1">
      <selection activeCell="O10" sqref="O10:BB10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9" width="3.33203125" style="6" customWidth="1"/>
    <col min="60" max="60" width="5.16015625" style="6" customWidth="1"/>
    <col min="61" max="61" width="5.5" style="6" customWidth="1"/>
    <col min="62" max="63" width="3.33203125" style="6" hidden="1" customWidth="1"/>
    <col min="64" max="64" width="8" style="6" customWidth="1"/>
    <col min="65" max="65" width="3.33203125" style="6" customWidth="1"/>
    <col min="66" max="66" width="6" style="6" customWidth="1"/>
    <col min="67" max="67" width="2.83203125" style="6" customWidth="1"/>
    <col min="68" max="68" width="4.83203125" style="6" bestFit="1" customWidth="1"/>
    <col min="69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72" t="s">
        <v>33</v>
      </c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558" t="s">
        <v>415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73" t="s">
        <v>337</v>
      </c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61" t="s">
        <v>46</v>
      </c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ht="15.75" customHeight="1">
      <c r="A3" s="564">
        <v>43643</v>
      </c>
      <c r="B3" s="564"/>
      <c r="C3" s="564"/>
      <c r="D3" s="564"/>
      <c r="E3" s="564"/>
      <c r="F3" s="564"/>
      <c r="G3" s="564"/>
      <c r="H3" s="564" t="s">
        <v>685</v>
      </c>
      <c r="I3" s="564"/>
      <c r="J3" s="564"/>
      <c r="K3" s="564"/>
      <c r="L3" s="564"/>
      <c r="M3" s="564"/>
      <c r="N3" s="564"/>
      <c r="O3" s="573" t="s">
        <v>338</v>
      </c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63" t="s">
        <v>344</v>
      </c>
      <c r="BD3" s="563"/>
      <c r="BE3" s="563"/>
      <c r="BF3" s="563"/>
      <c r="BG3" s="563"/>
      <c r="BH3" s="563"/>
      <c r="BI3" s="563"/>
      <c r="BJ3" s="563"/>
      <c r="BK3" s="563"/>
      <c r="BL3" s="563"/>
      <c r="BM3" s="563"/>
      <c r="BN3" s="563"/>
    </row>
    <row r="4" spans="1:66" ht="15.75" customHeight="1">
      <c r="A4" s="559" t="str">
        <f>'Титульный лист'!A4:N4</f>
        <v>в ред.30.03.2021 Протокол №7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557" t="s">
        <v>592</v>
      </c>
      <c r="BD4" s="557"/>
      <c r="BE4" s="557"/>
      <c r="BF4" s="557"/>
      <c r="BG4" s="557"/>
      <c r="BH4" s="557"/>
      <c r="BI4" s="557"/>
      <c r="BJ4" s="557"/>
      <c r="BK4" s="557"/>
      <c r="BL4" s="557"/>
      <c r="BM4" s="557"/>
      <c r="BN4" s="557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36"/>
      <c r="BE5" s="236"/>
      <c r="BF5" s="28"/>
      <c r="BG5" s="29"/>
      <c r="BH5" s="29"/>
      <c r="BI5" s="29"/>
      <c r="BJ5" s="29"/>
      <c r="BK5" s="29"/>
      <c r="BL5" s="29"/>
      <c r="BM5" s="29"/>
      <c r="BN5" s="236"/>
    </row>
    <row r="6" spans="1:67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562">
        <f>'Титульный лист'!BC6:BN6</f>
        <v>44286</v>
      </c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237"/>
    </row>
    <row r="7" spans="1:66" ht="25.5">
      <c r="A7" s="560" t="s">
        <v>355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6"/>
      <c r="Q8" s="26"/>
      <c r="R8" s="26"/>
      <c r="S8" s="26"/>
      <c r="T8" s="26"/>
      <c r="U8" s="26"/>
      <c r="V8" s="26"/>
      <c r="W8" s="26"/>
      <c r="X8" s="704" t="s">
        <v>356</v>
      </c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2"/>
      <c r="AQ8" s="572"/>
      <c r="AR8" s="572"/>
      <c r="AS8" s="572"/>
      <c r="AT8" s="572"/>
      <c r="AU8" s="26"/>
      <c r="AV8" s="26"/>
      <c r="AW8" s="26"/>
      <c r="AX8" s="26"/>
      <c r="AY8" s="26"/>
      <c r="AZ8" s="26"/>
      <c r="BA8" s="26"/>
      <c r="BB8" s="26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580" t="s">
        <v>47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705" t="s">
        <v>628</v>
      </c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705"/>
      <c r="AD9" s="705"/>
      <c r="AE9" s="705"/>
      <c r="AF9" s="705"/>
      <c r="AG9" s="705"/>
      <c r="AH9" s="705"/>
      <c r="AI9" s="705"/>
      <c r="AJ9" s="705"/>
      <c r="AK9" s="705"/>
      <c r="AL9" s="705"/>
      <c r="AM9" s="705"/>
      <c r="AN9" s="705"/>
      <c r="AO9" s="705"/>
      <c r="AP9" s="705"/>
      <c r="AQ9" s="705"/>
      <c r="AR9" s="705"/>
      <c r="AS9" s="705"/>
      <c r="AT9" s="705"/>
      <c r="AU9" s="705"/>
      <c r="AV9" s="705"/>
      <c r="AW9" s="705"/>
      <c r="AX9" s="705"/>
      <c r="AY9" s="705"/>
      <c r="AZ9" s="705"/>
      <c r="BA9" s="705"/>
      <c r="BB9" s="705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s="3" customFormat="1" ht="15.75" customHeight="1">
      <c r="A10" s="534" t="s">
        <v>157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705" t="s">
        <v>339</v>
      </c>
      <c r="P10" s="705"/>
      <c r="Q10" s="705"/>
      <c r="R10" s="705"/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05"/>
      <c r="AE10" s="705"/>
      <c r="AF10" s="705"/>
      <c r="AG10" s="705"/>
      <c r="AH10" s="705"/>
      <c r="AI10" s="705"/>
      <c r="AJ10" s="705"/>
      <c r="AK10" s="705"/>
      <c r="AL10" s="705"/>
      <c r="AM10" s="705"/>
      <c r="AN10" s="705"/>
      <c r="AO10" s="705"/>
      <c r="AP10" s="705"/>
      <c r="AQ10" s="705"/>
      <c r="AR10" s="705"/>
      <c r="AS10" s="705"/>
      <c r="AT10" s="705"/>
      <c r="AU10" s="705"/>
      <c r="AV10" s="705"/>
      <c r="AW10" s="705"/>
      <c r="AX10" s="705"/>
      <c r="AY10" s="705"/>
      <c r="AZ10" s="705"/>
      <c r="BA10" s="705"/>
      <c r="BB10" s="705"/>
      <c r="BC10" s="548" t="s">
        <v>627</v>
      </c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</row>
    <row r="11" spans="1:66" s="3" customFormat="1" ht="15.75" customHeight="1">
      <c r="A11" s="534" t="s">
        <v>154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50" t="s">
        <v>594</v>
      </c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551"/>
      <c r="AP11" s="551"/>
      <c r="AQ11" s="551"/>
      <c r="AR11" s="551"/>
      <c r="AS11" s="551"/>
      <c r="AT11" s="551"/>
      <c r="AU11" s="551"/>
      <c r="AV11" s="551"/>
      <c r="AW11" s="551"/>
      <c r="AX11" s="551"/>
      <c r="AY11" s="551"/>
      <c r="AZ11" s="551"/>
      <c r="BA11" s="551"/>
      <c r="BB11" s="551"/>
      <c r="BC11" s="549"/>
      <c r="BD11" s="549"/>
      <c r="BE11" s="549"/>
      <c r="BF11" s="549"/>
      <c r="BG11" s="549"/>
      <c r="BH11" s="549"/>
      <c r="BI11" s="549"/>
      <c r="BJ11" s="549"/>
      <c r="BK11" s="549"/>
      <c r="BL11" s="549"/>
      <c r="BM11" s="549"/>
      <c r="BN11" s="549"/>
    </row>
    <row r="12" spans="1:66" s="3" customFormat="1" ht="15.75" customHeight="1">
      <c r="A12" s="534" t="s">
        <v>199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</row>
    <row r="13" spans="1:66" s="3" customFormat="1" ht="15.75" customHeight="1">
      <c r="A13" s="555" t="s">
        <v>624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2" t="s">
        <v>156</v>
      </c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2"/>
      <c r="AW13" s="552"/>
      <c r="AX13" s="552"/>
      <c r="AY13" s="552"/>
      <c r="AZ13" s="552"/>
      <c r="BA13" s="552"/>
      <c r="BB13" s="552"/>
      <c r="BC13" s="549"/>
      <c r="BD13" s="549"/>
      <c r="BE13" s="549"/>
      <c r="BF13" s="549"/>
      <c r="BG13" s="549"/>
      <c r="BH13" s="549"/>
      <c r="BI13" s="549"/>
      <c r="BJ13" s="549"/>
      <c r="BK13" s="549"/>
      <c r="BL13" s="549"/>
      <c r="BM13" s="549"/>
      <c r="BN13" s="549"/>
    </row>
    <row r="14" spans="1:66" s="3" customFormat="1" ht="15.75" customHeight="1">
      <c r="A14" s="536"/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702" t="s">
        <v>345</v>
      </c>
      <c r="BD14" s="703"/>
      <c r="BE14" s="703"/>
      <c r="BF14" s="703"/>
      <c r="BG14" s="703"/>
      <c r="BH14" s="703"/>
      <c r="BI14" s="703"/>
      <c r="BJ14" s="703"/>
      <c r="BK14" s="703"/>
      <c r="BL14" s="703"/>
      <c r="BM14" s="703"/>
      <c r="BN14" s="703"/>
    </row>
    <row r="15" spans="1:66" s="3" customFormat="1" ht="15.75" customHeight="1">
      <c r="A15" s="534" t="s">
        <v>158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51" t="s">
        <v>647</v>
      </c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" customFormat="1" ht="15.75" customHeight="1">
      <c r="A16" s="534" t="s">
        <v>48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46" t="s">
        <v>110</v>
      </c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546"/>
      <c r="AL16" s="546"/>
      <c r="AM16" s="546"/>
      <c r="AN16" s="546"/>
      <c r="AO16" s="546"/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26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.75" customHeight="1">
      <c r="A17" s="536" t="s">
        <v>600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706">
        <v>4</v>
      </c>
      <c r="P17" s="706"/>
      <c r="Q17" s="707" t="s">
        <v>275</v>
      </c>
      <c r="R17" s="707"/>
      <c r="S17" s="707"/>
      <c r="T17" s="708">
        <v>4</v>
      </c>
      <c r="U17" s="708"/>
      <c r="V17" s="709" t="s">
        <v>706</v>
      </c>
      <c r="W17" s="710"/>
      <c r="X17" s="710"/>
      <c r="Y17" s="710"/>
      <c r="Z17" s="710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24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78" t="s">
        <v>626</v>
      </c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579"/>
      <c r="AQ18" s="579"/>
      <c r="AR18" s="579"/>
      <c r="AS18" s="579"/>
      <c r="AT18" s="579"/>
      <c r="AU18" s="579"/>
      <c r="AV18" s="579"/>
      <c r="AW18" s="579"/>
      <c r="AX18" s="579"/>
      <c r="AY18" s="579"/>
      <c r="AZ18" s="579"/>
      <c r="BA18" s="579"/>
      <c r="BB18" s="579"/>
      <c r="BC18" s="30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9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ht="12.75">
      <c r="A20" s="711" t="s">
        <v>10</v>
      </c>
      <c r="B20" s="714" t="s">
        <v>11</v>
      </c>
      <c r="C20" s="715"/>
      <c r="D20" s="715"/>
      <c r="E20" s="716"/>
      <c r="F20" s="720" t="s">
        <v>629</v>
      </c>
      <c r="G20" s="714" t="s">
        <v>25</v>
      </c>
      <c r="H20" s="715"/>
      <c r="I20" s="716"/>
      <c r="J20" s="720" t="s">
        <v>630</v>
      </c>
      <c r="K20" s="714" t="s">
        <v>12</v>
      </c>
      <c r="L20" s="715"/>
      <c r="M20" s="715"/>
      <c r="N20" s="716"/>
      <c r="O20" s="714" t="s">
        <v>13</v>
      </c>
      <c r="P20" s="715"/>
      <c r="Q20" s="715"/>
      <c r="R20" s="716"/>
      <c r="S20" s="720" t="s">
        <v>631</v>
      </c>
      <c r="T20" s="714" t="s">
        <v>14</v>
      </c>
      <c r="U20" s="715"/>
      <c r="V20" s="716"/>
      <c r="W20" s="720" t="s">
        <v>632</v>
      </c>
      <c r="X20" s="714" t="s">
        <v>15</v>
      </c>
      <c r="Y20" s="715"/>
      <c r="Z20" s="716"/>
      <c r="AA20" s="720" t="s">
        <v>646</v>
      </c>
      <c r="AB20" s="714" t="s">
        <v>16</v>
      </c>
      <c r="AC20" s="715"/>
      <c r="AD20" s="715"/>
      <c r="AE20" s="716"/>
      <c r="AF20" s="720" t="s">
        <v>633</v>
      </c>
      <c r="AG20" s="714" t="s">
        <v>17</v>
      </c>
      <c r="AH20" s="715"/>
      <c r="AI20" s="716"/>
      <c r="AJ20" s="720" t="s">
        <v>634</v>
      </c>
      <c r="AK20" s="714" t="s">
        <v>18</v>
      </c>
      <c r="AL20" s="715"/>
      <c r="AM20" s="715"/>
      <c r="AN20" s="716"/>
      <c r="AO20" s="714" t="s">
        <v>19</v>
      </c>
      <c r="AP20" s="715"/>
      <c r="AQ20" s="715"/>
      <c r="AR20" s="716"/>
      <c r="AS20" s="720" t="s">
        <v>635</v>
      </c>
      <c r="AT20" s="714" t="s">
        <v>20</v>
      </c>
      <c r="AU20" s="715"/>
      <c r="AV20" s="716"/>
      <c r="AW20" s="720" t="s">
        <v>636</v>
      </c>
      <c r="AX20" s="714" t="s">
        <v>21</v>
      </c>
      <c r="AY20" s="715"/>
      <c r="AZ20" s="715"/>
      <c r="BA20" s="716"/>
      <c r="BB20" s="566" t="s">
        <v>52</v>
      </c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8"/>
    </row>
    <row r="21" spans="1:66" ht="15.75" customHeight="1">
      <c r="A21" s="712"/>
      <c r="B21" s="717"/>
      <c r="C21" s="718"/>
      <c r="D21" s="718"/>
      <c r="E21" s="719"/>
      <c r="F21" s="721"/>
      <c r="G21" s="717"/>
      <c r="H21" s="718"/>
      <c r="I21" s="719"/>
      <c r="J21" s="721"/>
      <c r="K21" s="717"/>
      <c r="L21" s="718"/>
      <c r="M21" s="718"/>
      <c r="N21" s="719"/>
      <c r="O21" s="717"/>
      <c r="P21" s="718"/>
      <c r="Q21" s="718"/>
      <c r="R21" s="719"/>
      <c r="S21" s="721"/>
      <c r="T21" s="717"/>
      <c r="U21" s="718"/>
      <c r="V21" s="719"/>
      <c r="W21" s="721"/>
      <c r="X21" s="717"/>
      <c r="Y21" s="718"/>
      <c r="Z21" s="719"/>
      <c r="AA21" s="721"/>
      <c r="AB21" s="717"/>
      <c r="AC21" s="718"/>
      <c r="AD21" s="718"/>
      <c r="AE21" s="719"/>
      <c r="AF21" s="721"/>
      <c r="AG21" s="717"/>
      <c r="AH21" s="718"/>
      <c r="AI21" s="719"/>
      <c r="AJ21" s="721"/>
      <c r="AK21" s="717"/>
      <c r="AL21" s="718"/>
      <c r="AM21" s="718"/>
      <c r="AN21" s="719"/>
      <c r="AO21" s="717"/>
      <c r="AP21" s="718"/>
      <c r="AQ21" s="718"/>
      <c r="AR21" s="719"/>
      <c r="AS21" s="721"/>
      <c r="AT21" s="717"/>
      <c r="AU21" s="718"/>
      <c r="AV21" s="719"/>
      <c r="AW21" s="721"/>
      <c r="AX21" s="717"/>
      <c r="AY21" s="718"/>
      <c r="AZ21" s="718"/>
      <c r="BA21" s="719"/>
      <c r="BB21" s="728" t="s">
        <v>8</v>
      </c>
      <c r="BC21" s="729"/>
      <c r="BD21" s="730"/>
      <c r="BE21" s="728" t="s">
        <v>298</v>
      </c>
      <c r="BF21" s="729"/>
      <c r="BG21" s="730"/>
      <c r="BH21" s="725" t="s">
        <v>6</v>
      </c>
      <c r="BI21" s="725" t="s">
        <v>137</v>
      </c>
      <c r="BJ21" s="725" t="s">
        <v>44</v>
      </c>
      <c r="BK21" s="725" t="s">
        <v>53</v>
      </c>
      <c r="BL21" s="725" t="s">
        <v>353</v>
      </c>
      <c r="BM21" s="725" t="s">
        <v>45</v>
      </c>
      <c r="BN21" s="725" t="s">
        <v>1</v>
      </c>
    </row>
    <row r="22" spans="1:66" ht="15.75" customHeight="1">
      <c r="A22" s="712"/>
      <c r="B22" s="318">
        <v>1</v>
      </c>
      <c r="C22" s="318">
        <v>8</v>
      </c>
      <c r="D22" s="318">
        <v>15</v>
      </c>
      <c r="E22" s="318">
        <v>22</v>
      </c>
      <c r="F22" s="721" t="s">
        <v>637</v>
      </c>
      <c r="G22" s="318">
        <v>6</v>
      </c>
      <c r="H22" s="318">
        <v>13</v>
      </c>
      <c r="I22" s="318">
        <v>20</v>
      </c>
      <c r="J22" s="721" t="s">
        <v>638</v>
      </c>
      <c r="K22" s="318">
        <v>3</v>
      </c>
      <c r="L22" s="318">
        <v>10</v>
      </c>
      <c r="M22" s="318">
        <v>17</v>
      </c>
      <c r="N22" s="318">
        <v>24</v>
      </c>
      <c r="O22" s="318">
        <v>1</v>
      </c>
      <c r="P22" s="318">
        <v>8</v>
      </c>
      <c r="Q22" s="318">
        <v>15</v>
      </c>
      <c r="R22" s="318">
        <v>22</v>
      </c>
      <c r="S22" s="721" t="s">
        <v>639</v>
      </c>
      <c r="T22" s="318">
        <v>5</v>
      </c>
      <c r="U22" s="318">
        <v>12</v>
      </c>
      <c r="V22" s="318">
        <v>19</v>
      </c>
      <c r="W22" s="721" t="s">
        <v>640</v>
      </c>
      <c r="X22" s="318">
        <v>2</v>
      </c>
      <c r="Y22" s="318">
        <v>9</v>
      </c>
      <c r="Z22" s="318">
        <v>16</v>
      </c>
      <c r="AA22" s="721" t="s">
        <v>641</v>
      </c>
      <c r="AB22" s="318">
        <v>2</v>
      </c>
      <c r="AC22" s="318">
        <v>9</v>
      </c>
      <c r="AD22" s="318">
        <v>16</v>
      </c>
      <c r="AE22" s="318">
        <v>23</v>
      </c>
      <c r="AF22" s="721" t="s">
        <v>642</v>
      </c>
      <c r="AG22" s="318">
        <v>6</v>
      </c>
      <c r="AH22" s="318">
        <v>13</v>
      </c>
      <c r="AI22" s="318">
        <v>20</v>
      </c>
      <c r="AJ22" s="721" t="s">
        <v>643</v>
      </c>
      <c r="AK22" s="318">
        <v>4</v>
      </c>
      <c r="AL22" s="318">
        <v>11</v>
      </c>
      <c r="AM22" s="318">
        <v>18</v>
      </c>
      <c r="AN22" s="318">
        <v>25</v>
      </c>
      <c r="AO22" s="318">
        <v>1</v>
      </c>
      <c r="AP22" s="318">
        <v>8</v>
      </c>
      <c r="AQ22" s="318">
        <v>15</v>
      </c>
      <c r="AR22" s="318">
        <v>22</v>
      </c>
      <c r="AS22" s="721" t="s">
        <v>644</v>
      </c>
      <c r="AT22" s="318">
        <v>6</v>
      </c>
      <c r="AU22" s="318">
        <v>13</v>
      </c>
      <c r="AV22" s="318">
        <v>20</v>
      </c>
      <c r="AW22" s="721" t="s">
        <v>645</v>
      </c>
      <c r="AX22" s="318">
        <v>2</v>
      </c>
      <c r="AY22" s="318">
        <v>9</v>
      </c>
      <c r="AZ22" s="318">
        <v>16</v>
      </c>
      <c r="BA22" s="318">
        <v>23</v>
      </c>
      <c r="BB22" s="731"/>
      <c r="BC22" s="732"/>
      <c r="BD22" s="733"/>
      <c r="BE22" s="731"/>
      <c r="BF22" s="732"/>
      <c r="BG22" s="733"/>
      <c r="BH22" s="726"/>
      <c r="BI22" s="726"/>
      <c r="BJ22" s="726"/>
      <c r="BK22" s="726"/>
      <c r="BL22" s="726"/>
      <c r="BM22" s="726"/>
      <c r="BN22" s="726"/>
    </row>
    <row r="23" spans="1:66" ht="18" customHeight="1">
      <c r="A23" s="712"/>
      <c r="B23" s="315">
        <v>7</v>
      </c>
      <c r="C23" s="315">
        <v>14</v>
      </c>
      <c r="D23" s="315">
        <v>21</v>
      </c>
      <c r="E23" s="315">
        <v>28</v>
      </c>
      <c r="F23" s="739"/>
      <c r="G23" s="315">
        <v>12</v>
      </c>
      <c r="H23" s="315">
        <v>19</v>
      </c>
      <c r="I23" s="315">
        <v>26</v>
      </c>
      <c r="J23" s="739"/>
      <c r="K23" s="315">
        <v>9</v>
      </c>
      <c r="L23" s="315">
        <v>16</v>
      </c>
      <c r="M23" s="315">
        <v>23</v>
      </c>
      <c r="N23" s="315">
        <v>30</v>
      </c>
      <c r="O23" s="315">
        <v>7</v>
      </c>
      <c r="P23" s="315">
        <v>14</v>
      </c>
      <c r="Q23" s="315">
        <v>21</v>
      </c>
      <c r="R23" s="315">
        <v>28</v>
      </c>
      <c r="S23" s="739"/>
      <c r="T23" s="315">
        <v>11</v>
      </c>
      <c r="U23" s="315">
        <v>18</v>
      </c>
      <c r="V23" s="315">
        <v>25</v>
      </c>
      <c r="W23" s="739"/>
      <c r="X23" s="315">
        <v>8</v>
      </c>
      <c r="Y23" s="315">
        <v>15</v>
      </c>
      <c r="Z23" s="315">
        <v>22</v>
      </c>
      <c r="AA23" s="739"/>
      <c r="AB23" s="315">
        <v>8</v>
      </c>
      <c r="AC23" s="315">
        <v>15</v>
      </c>
      <c r="AD23" s="315">
        <v>22</v>
      </c>
      <c r="AE23" s="315">
        <v>29</v>
      </c>
      <c r="AF23" s="739"/>
      <c r="AG23" s="315">
        <v>12</v>
      </c>
      <c r="AH23" s="315">
        <v>19</v>
      </c>
      <c r="AI23" s="315">
        <v>26</v>
      </c>
      <c r="AJ23" s="739"/>
      <c r="AK23" s="315">
        <v>10</v>
      </c>
      <c r="AL23" s="315">
        <v>17</v>
      </c>
      <c r="AM23" s="315">
        <v>24</v>
      </c>
      <c r="AN23" s="315">
        <v>31</v>
      </c>
      <c r="AO23" s="315">
        <v>7</v>
      </c>
      <c r="AP23" s="315">
        <v>14</v>
      </c>
      <c r="AQ23" s="315">
        <v>21</v>
      </c>
      <c r="AR23" s="315">
        <v>28</v>
      </c>
      <c r="AS23" s="739"/>
      <c r="AT23" s="315">
        <v>12</v>
      </c>
      <c r="AU23" s="315">
        <v>19</v>
      </c>
      <c r="AV23" s="315">
        <v>26</v>
      </c>
      <c r="AW23" s="739"/>
      <c r="AX23" s="315">
        <v>8</v>
      </c>
      <c r="AY23" s="315">
        <v>15</v>
      </c>
      <c r="AZ23" s="315">
        <v>22</v>
      </c>
      <c r="BA23" s="315">
        <v>31</v>
      </c>
      <c r="BB23" s="734"/>
      <c r="BC23" s="735"/>
      <c r="BD23" s="736"/>
      <c r="BE23" s="734"/>
      <c r="BF23" s="735"/>
      <c r="BG23" s="736"/>
      <c r="BH23" s="726"/>
      <c r="BI23" s="726"/>
      <c r="BJ23" s="726"/>
      <c r="BK23" s="726"/>
      <c r="BL23" s="726"/>
      <c r="BM23" s="726"/>
      <c r="BN23" s="726"/>
    </row>
    <row r="24" spans="1:66" ht="15.75" customHeight="1">
      <c r="A24" s="713"/>
      <c r="B24" s="124">
        <v>1</v>
      </c>
      <c r="C24" s="124">
        <v>2</v>
      </c>
      <c r="D24" s="124">
        <v>3</v>
      </c>
      <c r="E24" s="124">
        <v>4</v>
      </c>
      <c r="F24" s="124">
        <v>5</v>
      </c>
      <c r="G24" s="124">
        <v>6</v>
      </c>
      <c r="H24" s="124">
        <v>7</v>
      </c>
      <c r="I24" s="124">
        <v>8</v>
      </c>
      <c r="J24" s="124">
        <v>9</v>
      </c>
      <c r="K24" s="124">
        <v>10</v>
      </c>
      <c r="L24" s="124">
        <v>11</v>
      </c>
      <c r="M24" s="124">
        <v>12</v>
      </c>
      <c r="N24" s="124">
        <v>13</v>
      </c>
      <c r="O24" s="124">
        <v>14</v>
      </c>
      <c r="P24" s="124">
        <v>15</v>
      </c>
      <c r="Q24" s="124">
        <v>16</v>
      </c>
      <c r="R24" s="124">
        <v>17</v>
      </c>
      <c r="S24" s="124">
        <v>18</v>
      </c>
      <c r="T24" s="124">
        <v>19</v>
      </c>
      <c r="U24" s="124">
        <v>20</v>
      </c>
      <c r="V24" s="124">
        <v>21</v>
      </c>
      <c r="W24" s="124">
        <v>22</v>
      </c>
      <c r="X24" s="124">
        <v>23</v>
      </c>
      <c r="Y24" s="124">
        <v>24</v>
      </c>
      <c r="Z24" s="124">
        <v>25</v>
      </c>
      <c r="AA24" s="124">
        <v>26</v>
      </c>
      <c r="AB24" s="124">
        <v>27</v>
      </c>
      <c r="AC24" s="124">
        <v>28</v>
      </c>
      <c r="AD24" s="124">
        <v>29</v>
      </c>
      <c r="AE24" s="124">
        <v>30</v>
      </c>
      <c r="AF24" s="124">
        <v>31</v>
      </c>
      <c r="AG24" s="124">
        <v>32</v>
      </c>
      <c r="AH24" s="124">
        <v>33</v>
      </c>
      <c r="AI24" s="124">
        <v>34</v>
      </c>
      <c r="AJ24" s="124">
        <v>35</v>
      </c>
      <c r="AK24" s="124">
        <v>36</v>
      </c>
      <c r="AL24" s="124">
        <v>37</v>
      </c>
      <c r="AM24" s="124">
        <v>38</v>
      </c>
      <c r="AN24" s="124">
        <v>39</v>
      </c>
      <c r="AO24" s="124">
        <v>40</v>
      </c>
      <c r="AP24" s="124">
        <v>41</v>
      </c>
      <c r="AQ24" s="124">
        <v>42</v>
      </c>
      <c r="AR24" s="124">
        <v>43</v>
      </c>
      <c r="AS24" s="124">
        <v>44</v>
      </c>
      <c r="AT24" s="124">
        <v>45</v>
      </c>
      <c r="AU24" s="124">
        <v>46</v>
      </c>
      <c r="AV24" s="124">
        <v>47</v>
      </c>
      <c r="AW24" s="124">
        <v>48</v>
      </c>
      <c r="AX24" s="124">
        <v>49</v>
      </c>
      <c r="AY24" s="124">
        <v>50</v>
      </c>
      <c r="AZ24" s="124">
        <v>51</v>
      </c>
      <c r="BA24" s="124">
        <v>52</v>
      </c>
      <c r="BB24" s="315" t="s">
        <v>70</v>
      </c>
      <c r="BC24" s="315" t="s">
        <v>32</v>
      </c>
      <c r="BD24" s="315" t="s">
        <v>54</v>
      </c>
      <c r="BE24" s="315" t="s">
        <v>70</v>
      </c>
      <c r="BF24" s="315" t="s">
        <v>32</v>
      </c>
      <c r="BG24" s="315" t="s">
        <v>54</v>
      </c>
      <c r="BH24" s="727"/>
      <c r="BI24" s="727"/>
      <c r="BJ24" s="727"/>
      <c r="BK24" s="727"/>
      <c r="BL24" s="727"/>
      <c r="BM24" s="727"/>
      <c r="BN24" s="727"/>
    </row>
    <row r="25" spans="1:66" ht="15.75" customHeight="1">
      <c r="A25" s="319">
        <v>1</v>
      </c>
      <c r="B25" s="11" t="s">
        <v>22</v>
      </c>
      <c r="C25" s="11" t="s">
        <v>22</v>
      </c>
      <c r="D25" s="11" t="s">
        <v>22</v>
      </c>
      <c r="E25" s="11" t="s">
        <v>22</v>
      </c>
      <c r="F25" s="11" t="s">
        <v>22</v>
      </c>
      <c r="G25" s="11" t="s">
        <v>22</v>
      </c>
      <c r="H25" s="11" t="s">
        <v>22</v>
      </c>
      <c r="I25" s="11" t="s">
        <v>22</v>
      </c>
      <c r="J25" s="11" t="s">
        <v>22</v>
      </c>
      <c r="K25" s="11" t="s">
        <v>22</v>
      </c>
      <c r="L25" s="11" t="s">
        <v>22</v>
      </c>
      <c r="M25" s="11" t="s">
        <v>22</v>
      </c>
      <c r="N25" s="11" t="s">
        <v>22</v>
      </c>
      <c r="O25" s="11" t="s">
        <v>22</v>
      </c>
      <c r="P25" s="11" t="s">
        <v>22</v>
      </c>
      <c r="Q25" s="305" t="s">
        <v>70</v>
      </c>
      <c r="R25" s="305" t="s">
        <v>70</v>
      </c>
      <c r="S25" s="305" t="s">
        <v>28</v>
      </c>
      <c r="T25" s="305" t="s">
        <v>28</v>
      </c>
      <c r="U25" s="305" t="s">
        <v>32</v>
      </c>
      <c r="V25" s="305" t="s">
        <v>32</v>
      </c>
      <c r="W25" s="320" t="s">
        <v>32</v>
      </c>
      <c r="X25" s="308" t="s">
        <v>212</v>
      </c>
      <c r="Y25" s="308" t="s">
        <v>212</v>
      </c>
      <c r="Z25" s="308" t="s">
        <v>212</v>
      </c>
      <c r="AA25" s="308" t="s">
        <v>212</v>
      </c>
      <c r="AB25" s="320" t="s">
        <v>32</v>
      </c>
      <c r="AC25" s="305" t="s">
        <v>32</v>
      </c>
      <c r="AD25" s="305" t="s">
        <v>32</v>
      </c>
      <c r="AE25" s="305" t="s">
        <v>32</v>
      </c>
      <c r="AF25" s="305" t="s">
        <v>32</v>
      </c>
      <c r="AG25" s="305" t="s">
        <v>32</v>
      </c>
      <c r="AH25" s="305" t="s">
        <v>32</v>
      </c>
      <c r="AI25" s="305" t="s">
        <v>32</v>
      </c>
      <c r="AJ25" s="305" t="s">
        <v>32</v>
      </c>
      <c r="AK25" s="305" t="s">
        <v>32</v>
      </c>
      <c r="AL25" s="305" t="s">
        <v>32</v>
      </c>
      <c r="AM25" s="305" t="s">
        <v>32</v>
      </c>
      <c r="AN25" s="305" t="s">
        <v>32</v>
      </c>
      <c r="AO25" s="305" t="s">
        <v>32</v>
      </c>
      <c r="AP25" s="305" t="s">
        <v>32</v>
      </c>
      <c r="AQ25" s="305" t="s">
        <v>32</v>
      </c>
      <c r="AR25" s="305" t="s">
        <v>32</v>
      </c>
      <c r="AS25" s="305" t="s">
        <v>32</v>
      </c>
      <c r="AT25" s="305" t="s">
        <v>32</v>
      </c>
      <c r="AU25" s="305" t="s">
        <v>28</v>
      </c>
      <c r="AV25" s="305" t="s">
        <v>28</v>
      </c>
      <c r="AW25" s="305" t="s">
        <v>28</v>
      </c>
      <c r="AX25" s="305" t="s">
        <v>28</v>
      </c>
      <c r="AY25" s="305" t="s">
        <v>28</v>
      </c>
      <c r="AZ25" s="305" t="s">
        <v>28</v>
      </c>
      <c r="BA25" s="305" t="s">
        <v>28</v>
      </c>
      <c r="BB25" s="316">
        <f aca="true" t="shared" si="0" ref="BB25:BB30">COUNTIF(B25:BA25,"о")</f>
        <v>2</v>
      </c>
      <c r="BC25" s="316">
        <f aca="true" t="shared" si="1" ref="BC25:BC30">COUNTIF(B25:BA25,"в")</f>
        <v>22</v>
      </c>
      <c r="BD25" s="316">
        <f aca="true" t="shared" si="2" ref="BD25:BD30">SUM(BB25:BC25)</f>
        <v>24</v>
      </c>
      <c r="BE25" s="316">
        <f aca="true" t="shared" si="3" ref="BE25:BE30">COUNTIF(B25:BA25,$R$33)</f>
        <v>0</v>
      </c>
      <c r="BF25" s="316">
        <f aca="true" t="shared" si="4" ref="BF25:BF30">COUNTIF(B25:BA25,$R$35)</f>
        <v>4</v>
      </c>
      <c r="BG25" s="316">
        <f aca="true" t="shared" si="5" ref="BG25:BG30">SUM(BE25:BF25)</f>
        <v>4</v>
      </c>
      <c r="BH25" s="316">
        <f aca="true" t="shared" si="6" ref="BH25:BH30">COUNTIF(B25:BA25,$AF$33)</f>
        <v>0</v>
      </c>
      <c r="BI25" s="316">
        <f aca="true" t="shared" si="7" ref="BI25:BI30">COUNTIF(B25:BA25,$AF$35)</f>
        <v>0</v>
      </c>
      <c r="BJ25" s="316">
        <f>COUNTIF(B25:BA25,#REF!)</f>
        <v>0</v>
      </c>
      <c r="BK25" s="316">
        <f>COUNTIF(B25:BA25,$AZ$33)</f>
        <v>0</v>
      </c>
      <c r="BL25" s="316">
        <f aca="true" t="shared" si="8" ref="BL25:BL30">COUNTIF(B25:BA25,$AQ$35)</f>
        <v>0</v>
      </c>
      <c r="BM25" s="316">
        <f aca="true" t="shared" si="9" ref="BM25:BM30">COUNTIF(B25:BA25,$AZ$35)</f>
        <v>9</v>
      </c>
      <c r="BN25" s="316">
        <f aca="true" t="shared" si="10" ref="BN25:BN30">SUM(BG25:BM25)+BD25</f>
        <v>37</v>
      </c>
    </row>
    <row r="26" spans="1:66" ht="15.75" customHeight="1">
      <c r="A26" s="319">
        <v>2</v>
      </c>
      <c r="B26" s="305" t="s">
        <v>70</v>
      </c>
      <c r="C26" s="305" t="s">
        <v>70</v>
      </c>
      <c r="D26" s="305" t="s">
        <v>70</v>
      </c>
      <c r="E26" s="305" t="s">
        <v>70</v>
      </c>
      <c r="F26" s="305" t="s">
        <v>70</v>
      </c>
      <c r="G26" s="305" t="s">
        <v>70</v>
      </c>
      <c r="H26" s="305" t="s">
        <v>70</v>
      </c>
      <c r="I26" s="305" t="s">
        <v>70</v>
      </c>
      <c r="J26" s="305" t="s">
        <v>70</v>
      </c>
      <c r="K26" s="305" t="s">
        <v>70</v>
      </c>
      <c r="L26" s="305" t="s">
        <v>70</v>
      </c>
      <c r="M26" s="305" t="s">
        <v>70</v>
      </c>
      <c r="N26" s="305" t="s">
        <v>70</v>
      </c>
      <c r="O26" s="305" t="s">
        <v>70</v>
      </c>
      <c r="P26" s="305" t="s">
        <v>70</v>
      </c>
      <c r="Q26" s="305" t="s">
        <v>70</v>
      </c>
      <c r="R26" s="305" t="s">
        <v>70</v>
      </c>
      <c r="S26" s="305" t="s">
        <v>28</v>
      </c>
      <c r="T26" s="305" t="s">
        <v>28</v>
      </c>
      <c r="U26" s="305" t="s">
        <v>32</v>
      </c>
      <c r="V26" s="305" t="s">
        <v>32</v>
      </c>
      <c r="W26" s="320" t="s">
        <v>32</v>
      </c>
      <c r="X26" s="308" t="s">
        <v>212</v>
      </c>
      <c r="Y26" s="308" t="s">
        <v>212</v>
      </c>
      <c r="Z26" s="308" t="s">
        <v>212</v>
      </c>
      <c r="AA26" s="308" t="s">
        <v>212</v>
      </c>
      <c r="AB26" s="320" t="s">
        <v>32</v>
      </c>
      <c r="AC26" s="305" t="s">
        <v>32</v>
      </c>
      <c r="AD26" s="305" t="s">
        <v>32</v>
      </c>
      <c r="AE26" s="305" t="s">
        <v>32</v>
      </c>
      <c r="AF26" s="305" t="s">
        <v>32</v>
      </c>
      <c r="AG26" s="305" t="s">
        <v>32</v>
      </c>
      <c r="AH26" s="305" t="s">
        <v>32</v>
      </c>
      <c r="AI26" s="305" t="s">
        <v>32</v>
      </c>
      <c r="AJ26" s="305" t="s">
        <v>32</v>
      </c>
      <c r="AK26" s="305" t="s">
        <v>32</v>
      </c>
      <c r="AL26" s="305" t="s">
        <v>49</v>
      </c>
      <c r="AM26" s="305" t="s">
        <v>49</v>
      </c>
      <c r="AN26" s="305" t="s">
        <v>49</v>
      </c>
      <c r="AO26" s="305" t="s">
        <v>49</v>
      </c>
      <c r="AP26" s="305" t="s">
        <v>49</v>
      </c>
      <c r="AQ26" s="305" t="s">
        <v>49</v>
      </c>
      <c r="AR26" s="305" t="s">
        <v>49</v>
      </c>
      <c r="AS26" s="305" t="s">
        <v>49</v>
      </c>
      <c r="AT26" s="305" t="s">
        <v>49</v>
      </c>
      <c r="AU26" s="305" t="s">
        <v>28</v>
      </c>
      <c r="AV26" s="305" t="s">
        <v>28</v>
      </c>
      <c r="AW26" s="305" t="s">
        <v>28</v>
      </c>
      <c r="AX26" s="305" t="s">
        <v>28</v>
      </c>
      <c r="AY26" s="305" t="s">
        <v>28</v>
      </c>
      <c r="AZ26" s="305" t="s">
        <v>28</v>
      </c>
      <c r="BA26" s="305" t="s">
        <v>28</v>
      </c>
      <c r="BB26" s="316">
        <f t="shared" si="0"/>
        <v>17</v>
      </c>
      <c r="BC26" s="316">
        <f t="shared" si="1"/>
        <v>13</v>
      </c>
      <c r="BD26" s="316">
        <f t="shared" si="2"/>
        <v>30</v>
      </c>
      <c r="BE26" s="316">
        <f t="shared" si="3"/>
        <v>0</v>
      </c>
      <c r="BF26" s="316">
        <f t="shared" si="4"/>
        <v>4</v>
      </c>
      <c r="BG26" s="316">
        <f t="shared" si="5"/>
        <v>4</v>
      </c>
      <c r="BH26" s="316">
        <f t="shared" si="6"/>
        <v>9</v>
      </c>
      <c r="BI26" s="316">
        <f t="shared" si="7"/>
        <v>0</v>
      </c>
      <c r="BJ26" s="316">
        <f>COUNTIF(B26:BA26,#REF!)</f>
        <v>0</v>
      </c>
      <c r="BK26" s="316">
        <f aca="true" t="shared" si="11" ref="BK26:BK31">COUNTIF(B26:BA26,$AZ$33)</f>
        <v>0</v>
      </c>
      <c r="BL26" s="316">
        <f t="shared" si="8"/>
        <v>0</v>
      </c>
      <c r="BM26" s="316">
        <f t="shared" si="9"/>
        <v>9</v>
      </c>
      <c r="BN26" s="316">
        <f t="shared" si="10"/>
        <v>52</v>
      </c>
    </row>
    <row r="27" spans="1:66" ht="15.75" customHeight="1">
      <c r="A27" s="319">
        <v>3</v>
      </c>
      <c r="B27" s="305" t="s">
        <v>70</v>
      </c>
      <c r="C27" s="305" t="s">
        <v>70</v>
      </c>
      <c r="D27" s="305" t="s">
        <v>70</v>
      </c>
      <c r="E27" s="305" t="s">
        <v>70</v>
      </c>
      <c r="F27" s="305" t="s">
        <v>70</v>
      </c>
      <c r="G27" s="305" t="s">
        <v>70</v>
      </c>
      <c r="H27" s="305" t="s">
        <v>70</v>
      </c>
      <c r="I27" s="305" t="s">
        <v>70</v>
      </c>
      <c r="J27" s="305" t="s">
        <v>70</v>
      </c>
      <c r="K27" s="305" t="s">
        <v>70</v>
      </c>
      <c r="L27" s="305" t="s">
        <v>70</v>
      </c>
      <c r="M27" s="305" t="s">
        <v>70</v>
      </c>
      <c r="N27" s="305" t="s">
        <v>70</v>
      </c>
      <c r="O27" s="305" t="s">
        <v>70</v>
      </c>
      <c r="P27" s="305" t="s">
        <v>70</v>
      </c>
      <c r="Q27" s="305" t="s">
        <v>70</v>
      </c>
      <c r="R27" s="305" t="s">
        <v>70</v>
      </c>
      <c r="S27" s="305" t="s">
        <v>28</v>
      </c>
      <c r="T27" s="305" t="s">
        <v>28</v>
      </c>
      <c r="U27" s="305" t="s">
        <v>32</v>
      </c>
      <c r="V27" s="305" t="s">
        <v>32</v>
      </c>
      <c r="W27" s="308" t="s">
        <v>212</v>
      </c>
      <c r="X27" s="308" t="s">
        <v>212</v>
      </c>
      <c r="Y27" s="308" t="s">
        <v>212</v>
      </c>
      <c r="Z27" s="308" t="s">
        <v>212</v>
      </c>
      <c r="AA27" s="308" t="s">
        <v>212</v>
      </c>
      <c r="AB27" s="308" t="s">
        <v>212</v>
      </c>
      <c r="AC27" s="305" t="s">
        <v>32</v>
      </c>
      <c r="AD27" s="305" t="s">
        <v>32</v>
      </c>
      <c r="AE27" s="305" t="s">
        <v>32</v>
      </c>
      <c r="AF27" s="305" t="s">
        <v>32</v>
      </c>
      <c r="AG27" s="305" t="s">
        <v>32</v>
      </c>
      <c r="AH27" s="305" t="s">
        <v>32</v>
      </c>
      <c r="AI27" s="305" t="s">
        <v>32</v>
      </c>
      <c r="AJ27" s="305" t="s">
        <v>28</v>
      </c>
      <c r="AK27" s="305" t="s">
        <v>28</v>
      </c>
      <c r="AL27" s="305" t="s">
        <v>28</v>
      </c>
      <c r="AM27" s="305" t="s">
        <v>28</v>
      </c>
      <c r="AN27" s="305" t="s">
        <v>28</v>
      </c>
      <c r="AO27" s="305" t="s">
        <v>28</v>
      </c>
      <c r="AP27" s="305" t="s">
        <v>28</v>
      </c>
      <c r="AQ27" s="305" t="s">
        <v>50</v>
      </c>
      <c r="AR27" s="305" t="s">
        <v>50</v>
      </c>
      <c r="AS27" s="305" t="s">
        <v>50</v>
      </c>
      <c r="AT27" s="305" t="s">
        <v>50</v>
      </c>
      <c r="AU27" s="305" t="s">
        <v>50</v>
      </c>
      <c r="AV27" s="305" t="s">
        <v>50</v>
      </c>
      <c r="AW27" s="305" t="s">
        <v>50</v>
      </c>
      <c r="AX27" s="305" t="s">
        <v>50</v>
      </c>
      <c r="AY27" s="305" t="s">
        <v>50</v>
      </c>
      <c r="AZ27" s="305" t="s">
        <v>50</v>
      </c>
      <c r="BA27" s="305" t="s">
        <v>50</v>
      </c>
      <c r="BB27" s="316">
        <f t="shared" si="0"/>
        <v>17</v>
      </c>
      <c r="BC27" s="316">
        <f t="shared" si="1"/>
        <v>9</v>
      </c>
      <c r="BD27" s="316">
        <f t="shared" si="2"/>
        <v>26</v>
      </c>
      <c r="BE27" s="316">
        <f t="shared" si="3"/>
        <v>0</v>
      </c>
      <c r="BF27" s="316">
        <f t="shared" si="4"/>
        <v>6</v>
      </c>
      <c r="BG27" s="316">
        <f t="shared" si="5"/>
        <v>6</v>
      </c>
      <c r="BH27" s="316">
        <f t="shared" si="6"/>
        <v>0</v>
      </c>
      <c r="BI27" s="316">
        <f t="shared" si="7"/>
        <v>11</v>
      </c>
      <c r="BJ27" s="316">
        <f>COUNTIF(B27:BA27,#REF!)</f>
        <v>0</v>
      </c>
      <c r="BK27" s="316">
        <f t="shared" si="11"/>
        <v>0</v>
      </c>
      <c r="BL27" s="316">
        <f t="shared" si="8"/>
        <v>0</v>
      </c>
      <c r="BM27" s="316">
        <f t="shared" si="9"/>
        <v>9</v>
      </c>
      <c r="BN27" s="316">
        <f t="shared" si="10"/>
        <v>52</v>
      </c>
    </row>
    <row r="28" spans="1:66" ht="15.75" customHeight="1">
      <c r="A28" s="319">
        <v>4</v>
      </c>
      <c r="B28" s="305" t="s">
        <v>50</v>
      </c>
      <c r="C28" s="305" t="s">
        <v>50</v>
      </c>
      <c r="D28" s="305" t="s">
        <v>50</v>
      </c>
      <c r="E28" s="305" t="s">
        <v>50</v>
      </c>
      <c r="F28" s="305" t="s">
        <v>50</v>
      </c>
      <c r="G28" s="305" t="s">
        <v>50</v>
      </c>
      <c r="H28" s="305" t="s">
        <v>50</v>
      </c>
      <c r="I28" s="305" t="s">
        <v>50</v>
      </c>
      <c r="J28" s="305" t="s">
        <v>50</v>
      </c>
      <c r="K28" s="305" t="s">
        <v>50</v>
      </c>
      <c r="L28" s="305" t="s">
        <v>50</v>
      </c>
      <c r="M28" s="305" t="s">
        <v>50</v>
      </c>
      <c r="N28" s="305" t="s">
        <v>70</v>
      </c>
      <c r="O28" s="305" t="s">
        <v>70</v>
      </c>
      <c r="P28" s="305" t="s">
        <v>70</v>
      </c>
      <c r="Q28" s="305" t="s">
        <v>70</v>
      </c>
      <c r="R28" s="305" t="s">
        <v>70</v>
      </c>
      <c r="S28" s="305" t="s">
        <v>28</v>
      </c>
      <c r="T28" s="305" t="s">
        <v>28</v>
      </c>
      <c r="U28" s="305" t="s">
        <v>32</v>
      </c>
      <c r="V28" s="305" t="s">
        <v>32</v>
      </c>
      <c r="W28" s="308" t="s">
        <v>212</v>
      </c>
      <c r="X28" s="308" t="s">
        <v>212</v>
      </c>
      <c r="Y28" s="308" t="s">
        <v>212</v>
      </c>
      <c r="Z28" s="308" t="s">
        <v>212</v>
      </c>
      <c r="AA28" s="308" t="s">
        <v>212</v>
      </c>
      <c r="AB28" s="308" t="s">
        <v>212</v>
      </c>
      <c r="AC28" s="305" t="s">
        <v>32</v>
      </c>
      <c r="AD28" s="305" t="s">
        <v>32</v>
      </c>
      <c r="AE28" s="305" t="s">
        <v>32</v>
      </c>
      <c r="AF28" s="305" t="s">
        <v>32</v>
      </c>
      <c r="AG28" s="305" t="s">
        <v>32</v>
      </c>
      <c r="AH28" s="305" t="s">
        <v>32</v>
      </c>
      <c r="AI28" s="305" t="s">
        <v>32</v>
      </c>
      <c r="AJ28" s="305" t="s">
        <v>28</v>
      </c>
      <c r="AK28" s="305" t="s">
        <v>28</v>
      </c>
      <c r="AL28" s="305" t="s">
        <v>28</v>
      </c>
      <c r="AM28" s="305" t="s">
        <v>28</v>
      </c>
      <c r="AN28" s="305" t="s">
        <v>28</v>
      </c>
      <c r="AO28" s="305" t="s">
        <v>28</v>
      </c>
      <c r="AP28" s="305" t="s">
        <v>28</v>
      </c>
      <c r="AQ28" s="305" t="s">
        <v>50</v>
      </c>
      <c r="AR28" s="305" t="s">
        <v>50</v>
      </c>
      <c r="AS28" s="305" t="s">
        <v>50</v>
      </c>
      <c r="AT28" s="305" t="s">
        <v>50</v>
      </c>
      <c r="AU28" s="305" t="s">
        <v>50</v>
      </c>
      <c r="AV28" s="305" t="s">
        <v>50</v>
      </c>
      <c r="AW28" s="305" t="s">
        <v>50</v>
      </c>
      <c r="AX28" s="305" t="s">
        <v>50</v>
      </c>
      <c r="AY28" s="305" t="s">
        <v>50</v>
      </c>
      <c r="AZ28" s="305" t="s">
        <v>50</v>
      </c>
      <c r="BA28" s="305" t="s">
        <v>50</v>
      </c>
      <c r="BB28" s="316">
        <f t="shared" si="0"/>
        <v>5</v>
      </c>
      <c r="BC28" s="316">
        <f t="shared" si="1"/>
        <v>9</v>
      </c>
      <c r="BD28" s="316">
        <f t="shared" si="2"/>
        <v>14</v>
      </c>
      <c r="BE28" s="316">
        <f t="shared" si="3"/>
        <v>0</v>
      </c>
      <c r="BF28" s="316">
        <f t="shared" si="4"/>
        <v>6</v>
      </c>
      <c r="BG28" s="316">
        <f t="shared" si="5"/>
        <v>6</v>
      </c>
      <c r="BH28" s="316">
        <f t="shared" si="6"/>
        <v>0</v>
      </c>
      <c r="BI28" s="316">
        <f t="shared" si="7"/>
        <v>23</v>
      </c>
      <c r="BJ28" s="316">
        <f>COUNTIF(B28:BA28,#REF!)</f>
        <v>0</v>
      </c>
      <c r="BK28" s="316">
        <f t="shared" si="11"/>
        <v>0</v>
      </c>
      <c r="BL28" s="316">
        <f t="shared" si="8"/>
        <v>0</v>
      </c>
      <c r="BM28" s="316">
        <f t="shared" si="9"/>
        <v>9</v>
      </c>
      <c r="BN28" s="316">
        <f t="shared" si="10"/>
        <v>52</v>
      </c>
    </row>
    <row r="29" spans="1:66" ht="15.75" customHeight="1">
      <c r="A29" s="319">
        <v>5</v>
      </c>
      <c r="B29" s="305" t="s">
        <v>50</v>
      </c>
      <c r="C29" s="305" t="s">
        <v>50</v>
      </c>
      <c r="D29" s="305" t="s">
        <v>50</v>
      </c>
      <c r="E29" s="305" t="s">
        <v>50</v>
      </c>
      <c r="F29" s="305" t="s">
        <v>50</v>
      </c>
      <c r="G29" s="305" t="s">
        <v>50</v>
      </c>
      <c r="H29" s="305" t="s">
        <v>50</v>
      </c>
      <c r="I29" s="305" t="s">
        <v>50</v>
      </c>
      <c r="J29" s="305" t="s">
        <v>70</v>
      </c>
      <c r="K29" s="305" t="s">
        <v>70</v>
      </c>
      <c r="L29" s="308" t="s">
        <v>211</v>
      </c>
      <c r="M29" s="308" t="s">
        <v>211</v>
      </c>
      <c r="N29" s="308" t="s">
        <v>211</v>
      </c>
      <c r="O29" s="308" t="s">
        <v>211</v>
      </c>
      <c r="P29" s="308" t="s">
        <v>211</v>
      </c>
      <c r="Q29" s="308" t="s">
        <v>211</v>
      </c>
      <c r="R29" s="305" t="s">
        <v>70</v>
      </c>
      <c r="S29" s="305" t="s">
        <v>28</v>
      </c>
      <c r="T29" s="305" t="s">
        <v>28</v>
      </c>
      <c r="U29" s="305" t="s">
        <v>32</v>
      </c>
      <c r="V29" s="305" t="s">
        <v>32</v>
      </c>
      <c r="W29" s="305" t="s">
        <v>32</v>
      </c>
      <c r="X29" s="305" t="s">
        <v>32</v>
      </c>
      <c r="Y29" s="305" t="s">
        <v>32</v>
      </c>
      <c r="Z29" s="314" t="s">
        <v>50</v>
      </c>
      <c r="AA29" s="314" t="s">
        <v>50</v>
      </c>
      <c r="AB29" s="314" t="s">
        <v>50</v>
      </c>
      <c r="AC29" s="314" t="s">
        <v>50</v>
      </c>
      <c r="AD29" s="304" t="s">
        <v>31</v>
      </c>
      <c r="AE29" s="304" t="s">
        <v>31</v>
      </c>
      <c r="AF29" s="304" t="s">
        <v>31</v>
      </c>
      <c r="AG29" s="304" t="s">
        <v>31</v>
      </c>
      <c r="AH29" s="11" t="s">
        <v>22</v>
      </c>
      <c r="AI29" s="11" t="s">
        <v>22</v>
      </c>
      <c r="AJ29" s="11" t="s">
        <v>22</v>
      </c>
      <c r="AK29" s="11" t="s">
        <v>22</v>
      </c>
      <c r="AL29" s="11" t="s">
        <v>22</v>
      </c>
      <c r="AM29" s="11" t="s">
        <v>22</v>
      </c>
      <c r="AN29" s="11" t="s">
        <v>22</v>
      </c>
      <c r="AO29" s="11" t="s">
        <v>22</v>
      </c>
      <c r="AP29" s="11" t="s">
        <v>22</v>
      </c>
      <c r="AQ29" s="11" t="s">
        <v>22</v>
      </c>
      <c r="AR29" s="11" t="s">
        <v>22</v>
      </c>
      <c r="AS29" s="11" t="s">
        <v>22</v>
      </c>
      <c r="AT29" s="11" t="s">
        <v>22</v>
      </c>
      <c r="AU29" s="11" t="s">
        <v>22</v>
      </c>
      <c r="AV29" s="11" t="s">
        <v>22</v>
      </c>
      <c r="AW29" s="11" t="s">
        <v>22</v>
      </c>
      <c r="AX29" s="11" t="s">
        <v>22</v>
      </c>
      <c r="AY29" s="11" t="s">
        <v>22</v>
      </c>
      <c r="AZ29" s="11" t="s">
        <v>22</v>
      </c>
      <c r="BA29" s="11" t="s">
        <v>22</v>
      </c>
      <c r="BB29" s="316">
        <f t="shared" si="0"/>
        <v>3</v>
      </c>
      <c r="BC29" s="316">
        <f t="shared" si="1"/>
        <v>5</v>
      </c>
      <c r="BD29" s="316">
        <f t="shared" si="2"/>
        <v>8</v>
      </c>
      <c r="BE29" s="316">
        <f t="shared" si="3"/>
        <v>6</v>
      </c>
      <c r="BF29" s="316">
        <f t="shared" si="4"/>
        <v>0</v>
      </c>
      <c r="BG29" s="316">
        <f t="shared" si="5"/>
        <v>6</v>
      </c>
      <c r="BH29" s="316">
        <f t="shared" si="6"/>
        <v>0</v>
      </c>
      <c r="BI29" s="316">
        <f t="shared" si="7"/>
        <v>12</v>
      </c>
      <c r="BJ29" s="316">
        <f>COUNTIF(B29:BA29,#REF!)</f>
        <v>0</v>
      </c>
      <c r="BK29" s="316">
        <f t="shared" si="11"/>
        <v>0</v>
      </c>
      <c r="BL29" s="316">
        <f t="shared" si="8"/>
        <v>4</v>
      </c>
      <c r="BM29" s="316">
        <f t="shared" si="9"/>
        <v>2</v>
      </c>
      <c r="BN29" s="316">
        <f t="shared" si="10"/>
        <v>32</v>
      </c>
    </row>
    <row r="30" spans="1:66" ht="15.75" customHeight="1" hidden="1">
      <c r="A30" s="8">
        <v>6</v>
      </c>
      <c r="B30" s="31" t="s">
        <v>26</v>
      </c>
      <c r="C30" s="31" t="s">
        <v>26</v>
      </c>
      <c r="D30" s="31" t="s">
        <v>26</v>
      </c>
      <c r="E30" s="31" t="s">
        <v>26</v>
      </c>
      <c r="F30" s="31" t="s">
        <v>26</v>
      </c>
      <c r="G30" s="31" t="s">
        <v>26</v>
      </c>
      <c r="H30" s="31" t="s">
        <v>26</v>
      </c>
      <c r="I30" s="31" t="s">
        <v>26</v>
      </c>
      <c r="J30" s="31" t="s">
        <v>26</v>
      </c>
      <c r="K30" s="31" t="s">
        <v>26</v>
      </c>
      <c r="L30" s="31" t="s">
        <v>26</v>
      </c>
      <c r="M30" s="31" t="s">
        <v>26</v>
      </c>
      <c r="N30" s="31" t="s">
        <v>26</v>
      </c>
      <c r="O30" s="31" t="s">
        <v>26</v>
      </c>
      <c r="P30" s="31" t="s">
        <v>26</v>
      </c>
      <c r="Q30" s="31" t="s">
        <v>26</v>
      </c>
      <c r="R30" s="31" t="s">
        <v>26</v>
      </c>
      <c r="S30" s="31" t="s">
        <v>26</v>
      </c>
      <c r="T30" s="31" t="s">
        <v>26</v>
      </c>
      <c r="U30" s="31" t="s">
        <v>26</v>
      </c>
      <c r="V30" s="31" t="s">
        <v>26</v>
      </c>
      <c r="W30" s="31" t="s">
        <v>26</v>
      </c>
      <c r="X30" s="31" t="s">
        <v>26</v>
      </c>
      <c r="Y30" s="31" t="s">
        <v>26</v>
      </c>
      <c r="Z30" s="31" t="s">
        <v>26</v>
      </c>
      <c r="AA30" s="31" t="s">
        <v>26</v>
      </c>
      <c r="AB30" s="31" t="s">
        <v>26</v>
      </c>
      <c r="AC30" s="31" t="s">
        <v>26</v>
      </c>
      <c r="AD30" s="31" t="s">
        <v>26</v>
      </c>
      <c r="AE30" s="31" t="s">
        <v>26</v>
      </c>
      <c r="AF30" s="31" t="s">
        <v>26</v>
      </c>
      <c r="AG30" s="31" t="s">
        <v>26</v>
      </c>
      <c r="AH30" s="31" t="s">
        <v>26</v>
      </c>
      <c r="AI30" s="31" t="s">
        <v>26</v>
      </c>
      <c r="AJ30" s="31" t="s">
        <v>26</v>
      </c>
      <c r="AK30" s="31" t="s">
        <v>26</v>
      </c>
      <c r="AL30" s="31" t="s">
        <v>26</v>
      </c>
      <c r="AM30" s="31" t="s">
        <v>26</v>
      </c>
      <c r="AN30" s="31" t="s">
        <v>26</v>
      </c>
      <c r="AO30" s="31" t="s">
        <v>26</v>
      </c>
      <c r="AP30" s="31" t="s">
        <v>26</v>
      </c>
      <c r="AQ30" s="31" t="s">
        <v>26</v>
      </c>
      <c r="AR30" s="31" t="s">
        <v>26</v>
      </c>
      <c r="AS30" s="31" t="s">
        <v>26</v>
      </c>
      <c r="AT30" s="31" t="s">
        <v>26</v>
      </c>
      <c r="AU30" s="31" t="s">
        <v>26</v>
      </c>
      <c r="AV30" s="31" t="s">
        <v>26</v>
      </c>
      <c r="AW30" s="31" t="s">
        <v>26</v>
      </c>
      <c r="AX30" s="31" t="s">
        <v>26</v>
      </c>
      <c r="AY30" s="31" t="s">
        <v>26</v>
      </c>
      <c r="AZ30" s="31" t="s">
        <v>26</v>
      </c>
      <c r="BA30" s="31" t="s">
        <v>26</v>
      </c>
      <c r="BB30" s="316">
        <f t="shared" si="0"/>
        <v>0</v>
      </c>
      <c r="BC30" s="316">
        <f t="shared" si="1"/>
        <v>0</v>
      </c>
      <c r="BD30" s="316">
        <f t="shared" si="2"/>
        <v>0</v>
      </c>
      <c r="BE30" s="316">
        <f t="shared" si="3"/>
        <v>0</v>
      </c>
      <c r="BF30" s="316">
        <f t="shared" si="4"/>
        <v>0</v>
      </c>
      <c r="BG30" s="316">
        <f t="shared" si="5"/>
        <v>0</v>
      </c>
      <c r="BH30" s="316">
        <f t="shared" si="6"/>
        <v>0</v>
      </c>
      <c r="BI30" s="316">
        <f t="shared" si="7"/>
        <v>0</v>
      </c>
      <c r="BJ30" s="316">
        <f>COUNTIF(B30:BA30,#REF!)</f>
        <v>0</v>
      </c>
      <c r="BK30" s="316">
        <f>COUNTIF(B30:BA30,$AZ$33)</f>
        <v>0</v>
      </c>
      <c r="BL30" s="316">
        <f t="shared" si="8"/>
        <v>0</v>
      </c>
      <c r="BM30" s="316">
        <f t="shared" si="9"/>
        <v>0</v>
      </c>
      <c r="BN30" s="316">
        <f t="shared" si="10"/>
        <v>0</v>
      </c>
    </row>
    <row r="31" spans="1:6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737"/>
      <c r="AI31" s="737"/>
      <c r="AJ31" s="737"/>
      <c r="AK31" s="737"/>
      <c r="AL31" s="737"/>
      <c r="AM31" s="737"/>
      <c r="AN31" s="737"/>
      <c r="AO31" s="737"/>
      <c r="AP31" s="737"/>
      <c r="AQ31" s="737"/>
      <c r="AR31" s="737"/>
      <c r="AS31" s="737"/>
      <c r="AT31" s="737"/>
      <c r="AU31" s="32"/>
      <c r="AV31" s="32"/>
      <c r="AW31" s="32"/>
      <c r="AX31" s="32"/>
      <c r="AY31" s="577" t="s">
        <v>51</v>
      </c>
      <c r="AZ31" s="577"/>
      <c r="BA31" s="577"/>
      <c r="BB31" s="317">
        <f aca="true" t="shared" si="12" ref="BB31:BJ31">SUM(BB25:BB30)</f>
        <v>44</v>
      </c>
      <c r="BC31" s="317">
        <f t="shared" si="12"/>
        <v>58</v>
      </c>
      <c r="BD31" s="317">
        <f t="shared" si="12"/>
        <v>102</v>
      </c>
      <c r="BE31" s="317">
        <f t="shared" si="12"/>
        <v>6</v>
      </c>
      <c r="BF31" s="317">
        <f t="shared" si="12"/>
        <v>20</v>
      </c>
      <c r="BG31" s="317">
        <f t="shared" si="12"/>
        <v>26</v>
      </c>
      <c r="BH31" s="317">
        <f t="shared" si="12"/>
        <v>9</v>
      </c>
      <c r="BI31" s="317">
        <f t="shared" si="12"/>
        <v>46</v>
      </c>
      <c r="BJ31" s="317">
        <f t="shared" si="12"/>
        <v>0</v>
      </c>
      <c r="BK31" s="316">
        <f t="shared" si="11"/>
        <v>0</v>
      </c>
      <c r="BL31" s="317">
        <f>SUM(BL25:BL30)</f>
        <v>4</v>
      </c>
      <c r="BM31" s="317">
        <f>SUM(BM25:BM30)</f>
        <v>38</v>
      </c>
      <c r="BN31" s="317">
        <f>SUM(BN25:BN30)</f>
        <v>225</v>
      </c>
    </row>
    <row r="32" spans="1:66" ht="10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533"/>
      <c r="AI32" s="533"/>
      <c r="AJ32" s="533"/>
      <c r="AK32" s="533"/>
      <c r="AL32" s="533"/>
      <c r="AM32" s="533"/>
      <c r="AN32" s="533"/>
      <c r="AO32" s="533"/>
      <c r="AP32" s="533"/>
      <c r="AQ32" s="533"/>
      <c r="AR32" s="533"/>
      <c r="AS32" s="533"/>
      <c r="AT32" s="533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</row>
    <row r="33" spans="1:66" s="5" customFormat="1" ht="11.25" customHeight="1">
      <c r="A33" s="32"/>
      <c r="B33" s="310" t="s">
        <v>70</v>
      </c>
      <c r="C33" s="306" t="s">
        <v>22</v>
      </c>
      <c r="D33" s="722" t="s">
        <v>449</v>
      </c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3"/>
      <c r="R33" s="309" t="s">
        <v>211</v>
      </c>
      <c r="S33" s="306" t="s">
        <v>22</v>
      </c>
      <c r="T33" s="722" t="s">
        <v>450</v>
      </c>
      <c r="U33" s="722"/>
      <c r="V33" s="722"/>
      <c r="W33" s="722"/>
      <c r="X33" s="722"/>
      <c r="Y33" s="722"/>
      <c r="Z33" s="722"/>
      <c r="AA33" s="722"/>
      <c r="AB33" s="722"/>
      <c r="AC33" s="722"/>
      <c r="AD33" s="722"/>
      <c r="AE33" s="723"/>
      <c r="AF33" s="303" t="s">
        <v>49</v>
      </c>
      <c r="AG33" s="306" t="s">
        <v>22</v>
      </c>
      <c r="AH33" s="724" t="s">
        <v>23</v>
      </c>
      <c r="AI33" s="724"/>
      <c r="AJ33" s="724"/>
      <c r="AK33" s="724"/>
      <c r="AL33" s="724"/>
      <c r="AM33" s="724"/>
      <c r="AN33" s="724"/>
      <c r="AO33" s="724"/>
      <c r="AP33" s="724"/>
      <c r="AQ33" s="297" t="s">
        <v>50</v>
      </c>
      <c r="AR33" s="234" t="s">
        <v>22</v>
      </c>
      <c r="AS33" s="533" t="s">
        <v>567</v>
      </c>
      <c r="AT33" s="533"/>
      <c r="AU33" s="533"/>
      <c r="AV33" s="533"/>
      <c r="AW33" s="533"/>
      <c r="AX33" s="533"/>
      <c r="AY33" s="533"/>
      <c r="AZ33" s="533"/>
      <c r="BA33" s="533"/>
      <c r="BB33" s="533"/>
      <c r="BC33" s="533"/>
      <c r="BD33" s="533"/>
      <c r="BE33" s="533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2">
      <c r="A34" s="32"/>
      <c r="B34" s="311"/>
      <c r="C34" s="301"/>
      <c r="D34" s="306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7"/>
      <c r="V34" s="306"/>
      <c r="W34" s="307"/>
      <c r="X34" s="307"/>
      <c r="Y34" s="306"/>
      <c r="Z34" s="307"/>
      <c r="AA34" s="307"/>
      <c r="AB34" s="306"/>
      <c r="AC34" s="307"/>
      <c r="AD34" s="307"/>
      <c r="AE34" s="306"/>
      <c r="AF34" s="312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2"/>
      <c r="AR34" s="32"/>
      <c r="AS34" s="533"/>
      <c r="AT34" s="533"/>
      <c r="AU34" s="533"/>
      <c r="AV34" s="533"/>
      <c r="AW34" s="533"/>
      <c r="AX34" s="533"/>
      <c r="AY34" s="533"/>
      <c r="AZ34" s="533"/>
      <c r="BA34" s="533"/>
      <c r="BB34" s="533"/>
      <c r="BC34" s="533"/>
      <c r="BD34" s="533"/>
      <c r="BE34" s="533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s="5" customFormat="1" ht="11.25" customHeight="1">
      <c r="A35" s="32"/>
      <c r="B35" s="310" t="s">
        <v>32</v>
      </c>
      <c r="C35" s="306" t="s">
        <v>22</v>
      </c>
      <c r="D35" s="722" t="s">
        <v>451</v>
      </c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3"/>
      <c r="R35" s="309" t="s">
        <v>212</v>
      </c>
      <c r="S35" s="306" t="s">
        <v>22</v>
      </c>
      <c r="T35" s="722" t="s">
        <v>452</v>
      </c>
      <c r="U35" s="722"/>
      <c r="V35" s="722"/>
      <c r="W35" s="722"/>
      <c r="X35" s="722"/>
      <c r="Y35" s="722"/>
      <c r="Z35" s="722"/>
      <c r="AA35" s="722"/>
      <c r="AB35" s="722"/>
      <c r="AC35" s="722"/>
      <c r="AD35" s="722"/>
      <c r="AE35" s="723"/>
      <c r="AF35" s="303" t="s">
        <v>50</v>
      </c>
      <c r="AG35" s="306" t="s">
        <v>22</v>
      </c>
      <c r="AH35" s="738" t="s">
        <v>568</v>
      </c>
      <c r="AI35" s="738"/>
      <c r="AJ35" s="738"/>
      <c r="AK35" s="738"/>
      <c r="AL35" s="738"/>
      <c r="AM35" s="738"/>
      <c r="AN35" s="738"/>
      <c r="AO35" s="738"/>
      <c r="AP35" s="738"/>
      <c r="AQ35" s="15" t="s">
        <v>31</v>
      </c>
      <c r="AR35" s="33" t="s">
        <v>22</v>
      </c>
      <c r="AS35" s="526" t="s">
        <v>353</v>
      </c>
      <c r="AT35" s="526"/>
      <c r="AU35" s="526"/>
      <c r="AV35" s="526"/>
      <c r="AW35" s="526"/>
      <c r="AX35" s="526"/>
      <c r="AY35" s="526"/>
      <c r="AZ35" s="313" t="s">
        <v>28</v>
      </c>
      <c r="BA35" s="33" t="s">
        <v>22</v>
      </c>
      <c r="BB35" s="542" t="s">
        <v>24</v>
      </c>
      <c r="BC35" s="542"/>
      <c r="BD35" s="542"/>
      <c r="BE35" s="542"/>
      <c r="BF35" s="542"/>
      <c r="BG35" s="565"/>
      <c r="BH35" s="11" t="s">
        <v>22</v>
      </c>
      <c r="BI35" s="33" t="s">
        <v>22</v>
      </c>
      <c r="BJ35" s="542" t="s">
        <v>43</v>
      </c>
      <c r="BK35" s="542"/>
      <c r="BL35" s="542"/>
      <c r="BM35" s="542"/>
      <c r="BN35" s="542"/>
    </row>
    <row r="36" spans="1:66" ht="12.75">
      <c r="A36" s="25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738"/>
      <c r="AI36" s="738"/>
      <c r="AJ36" s="738"/>
      <c r="AK36" s="738"/>
      <c r="AL36" s="738"/>
      <c r="AM36" s="738"/>
      <c r="AN36" s="738"/>
      <c r="AO36" s="738"/>
      <c r="AP36" s="738"/>
      <c r="AQ36" s="25"/>
      <c r="AR36" s="25"/>
      <c r="AS36" s="526"/>
      <c r="AT36" s="526"/>
      <c r="AU36" s="526"/>
      <c r="AV36" s="526"/>
      <c r="AW36" s="526"/>
      <c r="AX36" s="526"/>
      <c r="AY36" s="526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</row>
    <row r="37" spans="1:21" ht="12.75" hidden="1">
      <c r="A37" s="14"/>
      <c r="B37" s="16" t="str">
        <f>B33</f>
        <v>о</v>
      </c>
      <c r="D37" s="13" t="s">
        <v>108</v>
      </c>
      <c r="L37" s="527" t="s">
        <v>155</v>
      </c>
      <c r="M37" s="527"/>
      <c r="N37" s="527"/>
      <c r="O37" s="527"/>
      <c r="P37" s="527"/>
      <c r="Q37" s="527"/>
      <c r="R37" s="527"/>
      <c r="S37" s="527"/>
      <c r="T37" s="527"/>
      <c r="U37" s="527"/>
    </row>
    <row r="38" spans="1:64" ht="12.75" hidden="1">
      <c r="A38" s="14"/>
      <c r="B38" s="16" t="str">
        <f>R33</f>
        <v>оа</v>
      </c>
      <c r="D38" s="13" t="s">
        <v>109</v>
      </c>
      <c r="L38" s="527" t="s">
        <v>156</v>
      </c>
      <c r="M38" s="527"/>
      <c r="N38" s="527"/>
      <c r="O38" s="527"/>
      <c r="P38" s="527"/>
      <c r="Q38" s="527"/>
      <c r="R38" s="527"/>
      <c r="S38" s="527"/>
      <c r="T38" s="527"/>
      <c r="U38" s="527"/>
      <c r="BA38" s="5"/>
      <c r="BK38" s="1"/>
      <c r="BL38" s="1"/>
    </row>
    <row r="39" spans="1:64" ht="12.75" hidden="1">
      <c r="A39" s="14"/>
      <c r="B39" s="15" t="str">
        <f>B35</f>
        <v>в</v>
      </c>
      <c r="D39" s="13" t="s">
        <v>110</v>
      </c>
      <c r="L39" s="527" t="s">
        <v>647</v>
      </c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2.75" hidden="1">
      <c r="A40" s="14"/>
      <c r="B40" s="15" t="str">
        <f>R35</f>
        <v>ва</v>
      </c>
      <c r="D40" s="13"/>
      <c r="L40" s="527" t="s">
        <v>160</v>
      </c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"/>
      <c r="AF40" s="5"/>
      <c r="AH40" s="5"/>
      <c r="AI40" s="5"/>
      <c r="AJ40" s="5"/>
      <c r="AK40" s="5"/>
      <c r="AL40" s="5"/>
      <c r="AM40" s="5"/>
      <c r="AN40" s="5"/>
      <c r="AO40" s="2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53" ht="12.75" hidden="1">
      <c r="A41" s="14"/>
      <c r="B41" s="17" t="str">
        <f>AF33</f>
        <v>у</v>
      </c>
      <c r="D41" s="13" t="s">
        <v>111</v>
      </c>
      <c r="AQ41" s="5"/>
      <c r="BA41" s="5"/>
    </row>
    <row r="42" spans="1:2" ht="12.75" hidden="1">
      <c r="A42" s="14"/>
      <c r="B42" s="17" t="str">
        <f>AF35</f>
        <v>п</v>
      </c>
    </row>
    <row r="43" spans="1:2" ht="12.75" hidden="1">
      <c r="A43" s="14"/>
      <c r="B43" s="18" t="str">
        <f>AZ35</f>
        <v>к</v>
      </c>
    </row>
    <row r="44" spans="1:2" ht="12.75" hidden="1">
      <c r="A44" s="14"/>
      <c r="B44" s="19" t="e">
        <f>#REF!</f>
        <v>#REF!</v>
      </c>
    </row>
    <row r="45" spans="1:2" ht="12.75" hidden="1">
      <c r="A45" s="14"/>
      <c r="B45" s="144">
        <f>AZ33</f>
        <v>0</v>
      </c>
    </row>
    <row r="46" spans="1:2" ht="12.75" hidden="1">
      <c r="A46" s="14"/>
      <c r="B46" s="19" t="str">
        <f>AQ35</f>
        <v>А</v>
      </c>
    </row>
    <row r="47" spans="1:2" ht="12.75" hidden="1">
      <c r="A47" s="14"/>
      <c r="B47" s="20" t="str">
        <f>BH35</f>
        <v>-</v>
      </c>
    </row>
  </sheetData>
  <sheetProtection selectLockedCells="1" selectUnlockedCells="1"/>
  <mergeCells count="94">
    <mergeCell ref="AA22:AA23"/>
    <mergeCell ref="BN21:BN24"/>
    <mergeCell ref="BB20:BN20"/>
    <mergeCell ref="BE21:BG23"/>
    <mergeCell ref="BH21:BH24"/>
    <mergeCell ref="BI21:BI24"/>
    <mergeCell ref="BK21:BK24"/>
    <mergeCell ref="L39:AD39"/>
    <mergeCell ref="L40:AD40"/>
    <mergeCell ref="D35:Q35"/>
    <mergeCell ref="T35:AE35"/>
    <mergeCell ref="L37:U37"/>
    <mergeCell ref="AF22:AF23"/>
    <mergeCell ref="F22:F23"/>
    <mergeCell ref="J22:J23"/>
    <mergeCell ref="S22:S23"/>
    <mergeCell ref="W22:W23"/>
    <mergeCell ref="AH31:AT32"/>
    <mergeCell ref="AH35:AP36"/>
    <mergeCell ref="AS35:AY36"/>
    <mergeCell ref="BL21:BL24"/>
    <mergeCell ref="BM21:BM24"/>
    <mergeCell ref="AJ20:AJ21"/>
    <mergeCell ref="AJ22:AJ23"/>
    <mergeCell ref="AS22:AS23"/>
    <mergeCell ref="AW22:AW23"/>
    <mergeCell ref="AX20:BA21"/>
    <mergeCell ref="D33:Q33"/>
    <mergeCell ref="T33:AE33"/>
    <mergeCell ref="AH33:AP33"/>
    <mergeCell ref="L38:U38"/>
    <mergeCell ref="BJ21:BJ24"/>
    <mergeCell ref="AG20:AI21"/>
    <mergeCell ref="BB21:BD23"/>
    <mergeCell ref="BB35:BG35"/>
    <mergeCell ref="BJ35:BN35"/>
    <mergeCell ref="AY31:BA31"/>
    <mergeCell ref="W20:W21"/>
    <mergeCell ref="X20:Z21"/>
    <mergeCell ref="AA20:AA21"/>
    <mergeCell ref="AB20:AE21"/>
    <mergeCell ref="AF20:AF21"/>
    <mergeCell ref="AW20:AW21"/>
    <mergeCell ref="AK20:AN21"/>
    <mergeCell ref="AO20:AR21"/>
    <mergeCell ref="AS20:AS21"/>
    <mergeCell ref="AT20:AV21"/>
    <mergeCell ref="O18:BB18"/>
    <mergeCell ref="A20:A24"/>
    <mergeCell ref="B20:E21"/>
    <mergeCell ref="F20:F21"/>
    <mergeCell ref="G20:I21"/>
    <mergeCell ref="J20:J21"/>
    <mergeCell ref="K20:N21"/>
    <mergeCell ref="O20:R21"/>
    <mergeCell ref="S20:S21"/>
    <mergeCell ref="T20:V21"/>
    <mergeCell ref="A16:N16"/>
    <mergeCell ref="O16:BB16"/>
    <mergeCell ref="A17:N17"/>
    <mergeCell ref="O17:P17"/>
    <mergeCell ref="Q17:S17"/>
    <mergeCell ref="T17:U17"/>
    <mergeCell ref="V17:Z17"/>
    <mergeCell ref="A15:N15"/>
    <mergeCell ref="O15:BB15"/>
    <mergeCell ref="O9:BB9"/>
    <mergeCell ref="A9:N9"/>
    <mergeCell ref="O10:BB10"/>
    <mergeCell ref="BC10:BN13"/>
    <mergeCell ref="A11:N11"/>
    <mergeCell ref="O11:BB11"/>
    <mergeCell ref="A12:N12"/>
    <mergeCell ref="O12:BB12"/>
    <mergeCell ref="A4:N4"/>
    <mergeCell ref="BC4:BN4"/>
    <mergeCell ref="A7:BN7"/>
    <mergeCell ref="X8:AT8"/>
    <mergeCell ref="A10:N10"/>
    <mergeCell ref="A14:N14"/>
    <mergeCell ref="O14:BB14"/>
    <mergeCell ref="BC6:BN6"/>
    <mergeCell ref="O13:BB13"/>
    <mergeCell ref="A13:N13"/>
    <mergeCell ref="AS33:BE34"/>
    <mergeCell ref="O1:BB1"/>
    <mergeCell ref="A2:N2"/>
    <mergeCell ref="O2:BB2"/>
    <mergeCell ref="BC2:BN2"/>
    <mergeCell ref="A3:G3"/>
    <mergeCell ref="H3:N3"/>
    <mergeCell ref="O3:BB3"/>
    <mergeCell ref="BC3:BN3"/>
    <mergeCell ref="BC14:BN14"/>
  </mergeCells>
  <conditionalFormatting sqref="A37:A38">
    <cfRule type="cellIs" priority="16" dxfId="8" operator="equal" stopIfTrue="1">
      <formula>#REF!</formula>
    </cfRule>
  </conditionalFormatting>
  <conditionalFormatting sqref="A39:A40">
    <cfRule type="expression" priority="15" dxfId="300" stopIfTrue="1">
      <formula>$R$33</formula>
    </cfRule>
  </conditionalFormatting>
  <conditionalFormatting sqref="B37">
    <cfRule type="cellIs" priority="14" dxfId="8" operator="equal" stopIfTrue="1">
      <formula>$B$33</formula>
    </cfRule>
  </conditionalFormatting>
  <conditionalFormatting sqref="B38">
    <cfRule type="cellIs" priority="13" dxfId="6" operator="equal" stopIfTrue="1">
      <formula>$R$33</formula>
    </cfRule>
  </conditionalFormatting>
  <conditionalFormatting sqref="B39">
    <cfRule type="cellIs" priority="12" dxfId="301" operator="equal" stopIfTrue="1">
      <formula>$B$35</formula>
    </cfRule>
  </conditionalFormatting>
  <conditionalFormatting sqref="B40">
    <cfRule type="cellIs" priority="11" dxfId="300" operator="equal" stopIfTrue="1">
      <formula>$R$35</formula>
    </cfRule>
  </conditionalFormatting>
  <conditionalFormatting sqref="B41">
    <cfRule type="cellIs" priority="10" dxfId="8" operator="equal" stopIfTrue="1">
      <formula>$AF$33</formula>
    </cfRule>
  </conditionalFormatting>
  <conditionalFormatting sqref="B42">
    <cfRule type="cellIs" priority="9" dxfId="5" operator="equal" stopIfTrue="1">
      <formula>$AF$35</formula>
    </cfRule>
  </conditionalFormatting>
  <conditionalFormatting sqref="B43">
    <cfRule type="cellIs" priority="8" dxfId="0" operator="equal" stopIfTrue="1">
      <formula>$AZ$35</formula>
    </cfRule>
  </conditionalFormatting>
  <conditionalFormatting sqref="B45">
    <cfRule type="cellIs" priority="6" dxfId="6" operator="equal" stopIfTrue="1">
      <formula>$AZ$33</formula>
    </cfRule>
  </conditionalFormatting>
  <conditionalFormatting sqref="B46">
    <cfRule type="cellIs" priority="5" dxfId="6" operator="equal" stopIfTrue="1">
      <formula>$AQ$35</formula>
    </cfRule>
  </conditionalFormatting>
  <conditionalFormatting sqref="B47">
    <cfRule type="cellIs" priority="4" dxfId="8" operator="equal" stopIfTrue="1">
      <formula>$BH$35</formula>
    </cfRule>
  </conditionalFormatting>
  <conditionalFormatting sqref="B44">
    <cfRule type="cellIs" priority="26" dxfId="6" operator="equal" stopIfTrue="1">
      <formula>#REF!</formula>
    </cfRule>
  </conditionalFormatting>
  <conditionalFormatting sqref="W25:W26 W30:BA30 AB25:AB26 AC25:BA28 R25:V30 Q25:Q28 B26:K30 L26:P28 L30:Q30 W29:AB29">
    <cfRule type="expression" priority="30" dxfId="7" stopIfTrue="1">
      <formula>OR(B25=$R$33,B25=$R$35,B25=#REF!,B25=$AZ$33,B25=$AQ$35)</formula>
    </cfRule>
    <cfRule type="expression" priority="31" dxfId="5" stopIfTrue="1">
      <formula>OR(B25=$AF$33,B25=$AF$35)</formula>
    </cfRule>
    <cfRule type="cellIs" priority="32" dxfId="0" operator="equal" stopIfTrue="1">
      <formula>$AZ$35</formula>
    </cfRule>
  </conditionalFormatting>
  <dataValidations count="5">
    <dataValidation type="list" allowBlank="1" showInputMessage="1" showErrorMessage="1" prompt="выберите из списка" sqref="AC25:BA28 W30:BA30 W25:W26 AB25:AB26 R25:V30 Q25:Q28 B26:K30 L26:P28 L30:Q30 W29:AC29">
      <formula1>$B$37:$B$47</formula1>
    </dataValidation>
    <dataValidation type="list" allowBlank="1" showInputMessage="1" showErrorMessage="1" prompt="выберите из списка" sqref="AQ33">
      <formula1>$B$36:$B$46</formula1>
    </dataValidation>
    <dataValidation type="list" allowBlank="1" showInputMessage="1" showErrorMessage="1" prompt="выберите из списка" sqref="O15:BB15">
      <formula1>$L$39:$L$40</formula1>
    </dataValidation>
    <dataValidation type="list" allowBlank="1" showInputMessage="1" showErrorMessage="1" prompt="выберите из списка" sqref="O16:BB16">
      <formula1>$D$37:$D$41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27"/>
  <sheetViews>
    <sheetView showZeros="0" tabSelected="1" zoomScale="70" zoomScaleNormal="70" zoomScalePageLayoutView="0" workbookViewId="0" topLeftCell="A1">
      <pane xSplit="17" ySplit="10" topLeftCell="AD44" activePane="bottomRight" state="frozen"/>
      <selection pane="topLeft" activeCell="A1" sqref="A1"/>
      <selection pane="topRight" activeCell="Q1" sqref="Q1"/>
      <selection pane="bottomLeft" activeCell="A11" sqref="A11"/>
      <selection pane="bottomRight" activeCell="B21" sqref="B21:I21"/>
    </sheetView>
  </sheetViews>
  <sheetFormatPr defaultColWidth="9.33203125" defaultRowHeight="12.75"/>
  <cols>
    <col min="1" max="1" width="15.83203125" style="422" customWidth="1"/>
    <col min="2" max="2" width="53.33203125" style="422" customWidth="1"/>
    <col min="3" max="3" width="16.83203125" style="422" customWidth="1"/>
    <col min="4" max="4" width="8" style="484" customWidth="1"/>
    <col min="5" max="5" width="8.66015625" style="484" customWidth="1"/>
    <col min="6" max="8" width="7.66015625" style="484" customWidth="1"/>
    <col min="9" max="9" width="8.5" style="484" customWidth="1"/>
    <col min="10" max="10" width="6.66015625" style="486" hidden="1" customWidth="1"/>
    <col min="11" max="11" width="6.66015625" style="484" hidden="1" customWidth="1"/>
    <col min="12" max="12" width="6.66015625" style="486" customWidth="1"/>
    <col min="13" max="13" width="7.5" style="486" customWidth="1"/>
    <col min="14" max="14" width="9.83203125" style="422" customWidth="1"/>
    <col min="15" max="15" width="8.33203125" style="422" customWidth="1"/>
    <col min="16" max="16" width="7.83203125" style="422" customWidth="1"/>
    <col min="17" max="17" width="7.16015625" style="422" customWidth="1"/>
    <col min="18" max="20" width="7.66015625" style="422" customWidth="1"/>
    <col min="21" max="21" width="7.16015625" style="422" customWidth="1"/>
    <col min="22" max="23" width="6.83203125" style="422" customWidth="1"/>
    <col min="24" max="24" width="7.66015625" style="422" customWidth="1"/>
    <col min="25" max="26" width="7.5" style="422" customWidth="1"/>
    <col min="27" max="27" width="6.83203125" style="422" customWidth="1"/>
    <col min="28" max="28" width="7.83203125" style="422" customWidth="1"/>
    <col min="29" max="30" width="6.83203125" style="422" customWidth="1"/>
    <col min="31" max="31" width="7.66015625" style="422" customWidth="1"/>
    <col min="32" max="34" width="6.83203125" style="422" customWidth="1"/>
    <col min="35" max="35" width="7.83203125" style="422" customWidth="1"/>
    <col min="36" max="36" width="6.83203125" style="422" customWidth="1"/>
    <col min="37" max="37" width="7.33203125" style="422" customWidth="1"/>
    <col min="38" max="41" width="6.83203125" style="422" customWidth="1"/>
    <col min="42" max="42" width="7.16015625" style="422" customWidth="1"/>
    <col min="43" max="48" width="6.83203125" style="422" customWidth="1"/>
    <col min="49" max="49" width="7" style="422" customWidth="1"/>
    <col min="50" max="52" width="6.83203125" style="422" customWidth="1"/>
    <col min="53" max="54" width="8.5" style="422" customWidth="1"/>
    <col min="55" max="56" width="6.83203125" style="422" customWidth="1"/>
    <col min="57" max="57" width="6.33203125" style="422" hidden="1" customWidth="1"/>
    <col min="58" max="61" width="6.83203125" style="422" hidden="1" customWidth="1"/>
    <col min="62" max="62" width="8.5" style="422" hidden="1" customWidth="1"/>
    <col min="63" max="65" width="6.83203125" style="422" hidden="1" customWidth="1"/>
    <col min="66" max="66" width="6.33203125" style="493" hidden="1" customWidth="1"/>
    <col min="67" max="67" width="13" style="427" customWidth="1"/>
    <col min="68" max="68" width="28.83203125" style="427" customWidth="1"/>
    <col min="69" max="16384" width="9.33203125" style="423" customWidth="1"/>
  </cols>
  <sheetData>
    <row r="1" spans="1:68" s="430" customFormat="1" ht="16.5" customHeight="1">
      <c r="A1" s="612" t="s">
        <v>35</v>
      </c>
      <c r="B1" s="612" t="s">
        <v>602</v>
      </c>
      <c r="C1" s="612" t="s">
        <v>68</v>
      </c>
      <c r="D1" s="631" t="s">
        <v>532</v>
      </c>
      <c r="E1" s="632"/>
      <c r="F1" s="632"/>
      <c r="G1" s="632"/>
      <c r="H1" s="632"/>
      <c r="I1" s="691"/>
      <c r="J1" s="685" t="s">
        <v>213</v>
      </c>
      <c r="K1" s="686"/>
      <c r="L1" s="843" t="s">
        <v>2</v>
      </c>
      <c r="M1" s="844"/>
      <c r="N1" s="615" t="s">
        <v>609</v>
      </c>
      <c r="O1" s="616"/>
      <c r="P1" s="616"/>
      <c r="Q1" s="616"/>
      <c r="R1" s="616"/>
      <c r="S1" s="616"/>
      <c r="T1" s="616"/>
      <c r="U1" s="617"/>
      <c r="V1" s="845" t="s">
        <v>142</v>
      </c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  <c r="AJ1" s="846"/>
      <c r="AK1" s="846"/>
      <c r="AL1" s="846"/>
      <c r="AM1" s="846"/>
      <c r="AN1" s="846"/>
      <c r="AO1" s="846"/>
      <c r="AP1" s="846"/>
      <c r="AQ1" s="846"/>
      <c r="AR1" s="846"/>
      <c r="AS1" s="846"/>
      <c r="AT1" s="846"/>
      <c r="AU1" s="846"/>
      <c r="AV1" s="846"/>
      <c r="AW1" s="846"/>
      <c r="AX1" s="846"/>
      <c r="AY1" s="846"/>
      <c r="AZ1" s="846"/>
      <c r="BA1" s="846"/>
      <c r="BB1" s="846"/>
      <c r="BC1" s="846"/>
      <c r="BD1" s="846"/>
      <c r="BE1" s="847"/>
      <c r="BF1" s="848"/>
      <c r="BG1" s="848"/>
      <c r="BH1" s="848"/>
      <c r="BI1" s="848"/>
      <c r="BJ1" s="848"/>
      <c r="BK1" s="848"/>
      <c r="BL1" s="848"/>
      <c r="BM1" s="848"/>
      <c r="BN1" s="849"/>
      <c r="BO1" s="609" t="s">
        <v>618</v>
      </c>
      <c r="BP1" s="609" t="s">
        <v>619</v>
      </c>
    </row>
    <row r="2" spans="1:68" s="430" customFormat="1" ht="12.75" customHeight="1">
      <c r="A2" s="613"/>
      <c r="B2" s="613"/>
      <c r="C2" s="613"/>
      <c r="D2" s="627"/>
      <c r="E2" s="628"/>
      <c r="F2" s="628"/>
      <c r="G2" s="628"/>
      <c r="H2" s="628"/>
      <c r="I2" s="692"/>
      <c r="J2" s="687"/>
      <c r="K2" s="688"/>
      <c r="L2" s="850"/>
      <c r="M2" s="851"/>
      <c r="N2" s="618" t="s">
        <v>610</v>
      </c>
      <c r="O2" s="615" t="s">
        <v>3</v>
      </c>
      <c r="P2" s="616"/>
      <c r="Q2" s="616"/>
      <c r="R2" s="616"/>
      <c r="S2" s="616"/>
      <c r="T2" s="616"/>
      <c r="U2" s="617"/>
      <c r="V2" s="616" t="s">
        <v>73</v>
      </c>
      <c r="W2" s="616"/>
      <c r="X2" s="616"/>
      <c r="Y2" s="616"/>
      <c r="Z2" s="616"/>
      <c r="AA2" s="616"/>
      <c r="AB2" s="616"/>
      <c r="AC2" s="615" t="s">
        <v>74</v>
      </c>
      <c r="AD2" s="616"/>
      <c r="AE2" s="616"/>
      <c r="AF2" s="616"/>
      <c r="AG2" s="616"/>
      <c r="AH2" s="616"/>
      <c r="AI2" s="617"/>
      <c r="AJ2" s="852" t="s">
        <v>75</v>
      </c>
      <c r="AK2" s="852"/>
      <c r="AL2" s="852"/>
      <c r="AM2" s="852"/>
      <c r="AN2" s="852"/>
      <c r="AO2" s="852"/>
      <c r="AP2" s="852"/>
      <c r="AQ2" s="852" t="s">
        <v>76</v>
      </c>
      <c r="AR2" s="852"/>
      <c r="AS2" s="852"/>
      <c r="AT2" s="852"/>
      <c r="AU2" s="852"/>
      <c r="AV2" s="852"/>
      <c r="AW2" s="852"/>
      <c r="AX2" s="852" t="s">
        <v>77</v>
      </c>
      <c r="AY2" s="852"/>
      <c r="AZ2" s="852"/>
      <c r="BA2" s="852"/>
      <c r="BB2" s="852"/>
      <c r="BC2" s="852"/>
      <c r="BD2" s="852"/>
      <c r="BE2" s="852" t="s">
        <v>454</v>
      </c>
      <c r="BF2" s="852"/>
      <c r="BG2" s="852"/>
      <c r="BH2" s="852"/>
      <c r="BI2" s="852"/>
      <c r="BJ2" s="852"/>
      <c r="BK2" s="852"/>
      <c r="BL2" s="852"/>
      <c r="BM2" s="852"/>
      <c r="BN2" s="615"/>
      <c r="BO2" s="610"/>
      <c r="BP2" s="610"/>
    </row>
    <row r="3" spans="1:68" s="430" customFormat="1" ht="12.75" customHeight="1">
      <c r="A3" s="613"/>
      <c r="B3" s="613"/>
      <c r="C3" s="613"/>
      <c r="D3" s="633" t="s">
        <v>603</v>
      </c>
      <c r="E3" s="633" t="s">
        <v>604</v>
      </c>
      <c r="F3" s="243"/>
      <c r="G3" s="243"/>
      <c r="H3" s="633" t="s">
        <v>605</v>
      </c>
      <c r="I3" s="693" t="s">
        <v>606</v>
      </c>
      <c r="J3" s="687"/>
      <c r="K3" s="688"/>
      <c r="L3" s="850"/>
      <c r="M3" s="851"/>
      <c r="N3" s="619"/>
      <c r="O3" s="618" t="s">
        <v>79</v>
      </c>
      <c r="P3" s="615" t="s">
        <v>611</v>
      </c>
      <c r="Q3" s="616"/>
      <c r="R3" s="617"/>
      <c r="S3" s="245"/>
      <c r="T3" s="285"/>
      <c r="U3" s="618" t="s">
        <v>612</v>
      </c>
      <c r="V3" s="631"/>
      <c r="W3" s="632"/>
      <c r="X3" s="431"/>
      <c r="Y3" s="853">
        <v>30</v>
      </c>
      <c r="Z3" s="853"/>
      <c r="AA3" s="853"/>
      <c r="AB3" s="428"/>
      <c r="AC3" s="631"/>
      <c r="AD3" s="632"/>
      <c r="AE3" s="431"/>
      <c r="AF3" s="853">
        <v>30</v>
      </c>
      <c r="AG3" s="853"/>
      <c r="AH3" s="853"/>
      <c r="AI3" s="428"/>
      <c r="AJ3" s="631"/>
      <c r="AK3" s="632"/>
      <c r="AL3" s="419"/>
      <c r="AM3" s="419"/>
      <c r="AN3" s="419"/>
      <c r="AO3" s="853">
        <v>40</v>
      </c>
      <c r="AP3" s="686"/>
      <c r="AQ3" s="631"/>
      <c r="AR3" s="632"/>
      <c r="AS3" s="419"/>
      <c r="AT3" s="853">
        <v>40</v>
      </c>
      <c r="AU3" s="853"/>
      <c r="AV3" s="853"/>
      <c r="AW3" s="428"/>
      <c r="AX3" s="631"/>
      <c r="AY3" s="632"/>
      <c r="AZ3" s="419"/>
      <c r="BA3" s="853">
        <v>40</v>
      </c>
      <c r="BB3" s="853"/>
      <c r="BC3" s="853"/>
      <c r="BD3" s="428"/>
      <c r="BE3" s="854"/>
      <c r="BF3" s="855"/>
      <c r="BG3" s="856"/>
      <c r="BH3" s="856"/>
      <c r="BI3" s="857"/>
      <c r="BJ3" s="858">
        <v>40</v>
      </c>
      <c r="BK3" s="858"/>
      <c r="BL3" s="858"/>
      <c r="BM3" s="859"/>
      <c r="BN3" s="860"/>
      <c r="BO3" s="610"/>
      <c r="BP3" s="610"/>
    </row>
    <row r="4" spans="1:68" s="430" customFormat="1" ht="12.75" customHeight="1">
      <c r="A4" s="613"/>
      <c r="B4" s="613"/>
      <c r="C4" s="613"/>
      <c r="D4" s="634"/>
      <c r="E4" s="634"/>
      <c r="F4" s="244"/>
      <c r="G4" s="244"/>
      <c r="H4" s="634"/>
      <c r="I4" s="694"/>
      <c r="J4" s="687"/>
      <c r="K4" s="688"/>
      <c r="L4" s="850"/>
      <c r="M4" s="851"/>
      <c r="N4" s="619"/>
      <c r="O4" s="619"/>
      <c r="P4" s="618" t="s">
        <v>613</v>
      </c>
      <c r="Q4" s="618" t="s">
        <v>614</v>
      </c>
      <c r="R4" s="618" t="s">
        <v>615</v>
      </c>
      <c r="S4" s="618" t="s">
        <v>616</v>
      </c>
      <c r="T4" s="618" t="s">
        <v>617</v>
      </c>
      <c r="U4" s="619"/>
      <c r="V4" s="627"/>
      <c r="W4" s="628"/>
      <c r="X4" s="420"/>
      <c r="Y4" s="628" t="s">
        <v>453</v>
      </c>
      <c r="Z4" s="628"/>
      <c r="AA4" s="628"/>
      <c r="AB4" s="421"/>
      <c r="AC4" s="627"/>
      <c r="AD4" s="628"/>
      <c r="AE4" s="420"/>
      <c r="AF4" s="628" t="s">
        <v>453</v>
      </c>
      <c r="AG4" s="628"/>
      <c r="AH4" s="628"/>
      <c r="AI4" s="421"/>
      <c r="AJ4" s="627"/>
      <c r="AK4" s="628"/>
      <c r="AL4" s="420"/>
      <c r="AM4" s="420"/>
      <c r="AN4" s="420"/>
      <c r="AO4" s="628" t="s">
        <v>453</v>
      </c>
      <c r="AP4" s="692"/>
      <c r="AQ4" s="627"/>
      <c r="AR4" s="628"/>
      <c r="AS4" s="420"/>
      <c r="AT4" s="628" t="s">
        <v>453</v>
      </c>
      <c r="AU4" s="628"/>
      <c r="AV4" s="628"/>
      <c r="AW4" s="421"/>
      <c r="AX4" s="627"/>
      <c r="AY4" s="628"/>
      <c r="AZ4" s="420"/>
      <c r="BA4" s="628" t="s">
        <v>453</v>
      </c>
      <c r="BB4" s="628"/>
      <c r="BC4" s="628"/>
      <c r="BD4" s="421"/>
      <c r="BE4" s="861"/>
      <c r="BF4" s="626"/>
      <c r="BG4" s="628"/>
      <c r="BH4" s="628"/>
      <c r="BI4" s="420"/>
      <c r="BJ4" s="628" t="s">
        <v>453</v>
      </c>
      <c r="BK4" s="628"/>
      <c r="BL4" s="628"/>
      <c r="BM4" s="862"/>
      <c r="BN4" s="860"/>
      <c r="BO4" s="610"/>
      <c r="BP4" s="610"/>
    </row>
    <row r="5" spans="1:68" s="430" customFormat="1" ht="12.75" customHeight="1">
      <c r="A5" s="613"/>
      <c r="B5" s="613"/>
      <c r="C5" s="613"/>
      <c r="D5" s="634"/>
      <c r="E5" s="634"/>
      <c r="F5" s="244"/>
      <c r="G5" s="244"/>
      <c r="H5" s="634"/>
      <c r="I5" s="694"/>
      <c r="J5" s="687"/>
      <c r="K5" s="688"/>
      <c r="L5" s="850"/>
      <c r="M5" s="851"/>
      <c r="N5" s="619"/>
      <c r="O5" s="619"/>
      <c r="P5" s="619"/>
      <c r="Q5" s="619"/>
      <c r="R5" s="619"/>
      <c r="S5" s="619"/>
      <c r="T5" s="619"/>
      <c r="U5" s="619"/>
      <c r="V5" s="502" t="s">
        <v>139</v>
      </c>
      <c r="W5" s="432"/>
      <c r="X5" s="432"/>
      <c r="Y5" s="432"/>
      <c r="Z5" s="432"/>
      <c r="AA5" s="433">
        <f>IF((SUM(W80:AB80)+SUM(W75:AB75))=0,0,(SUM(W80:AB80)+SUM(W75:AB75))/Нормы!$G$38)</f>
        <v>0</v>
      </c>
      <c r="AB5" s="436" t="s">
        <v>140</v>
      </c>
      <c r="AC5" s="432" t="s">
        <v>139</v>
      </c>
      <c r="AD5" s="432"/>
      <c r="AE5" s="432"/>
      <c r="AF5" s="432"/>
      <c r="AG5" s="432"/>
      <c r="AH5" s="433">
        <f>IF((SUM(AD80:AI80)+SUM(AD75:AI75))=0,0,(SUM(AD80:AI80)+SUM(AD75:AI75))/Нормы!$G$38)</f>
        <v>9</v>
      </c>
      <c r="AI5" s="436" t="s">
        <v>140</v>
      </c>
      <c r="AJ5" s="432" t="s">
        <v>139</v>
      </c>
      <c r="AK5" s="432"/>
      <c r="AL5" s="432"/>
      <c r="AM5" s="432"/>
      <c r="AN5" s="432"/>
      <c r="AO5" s="433">
        <f>IF((SUM(AK80:AP80)+SUM(AK75:AP75))=0,0,(SUM(AK80:AP80)+SUM(AK75:AP75))/Нормы!$G$38)</f>
        <v>11</v>
      </c>
      <c r="AP5" s="436" t="s">
        <v>140</v>
      </c>
      <c r="AQ5" s="432" t="s">
        <v>139</v>
      </c>
      <c r="AR5" s="432"/>
      <c r="AS5" s="432"/>
      <c r="AT5" s="432"/>
      <c r="AU5" s="432"/>
      <c r="AV5" s="433">
        <f>IF((SUM(AR80:AW80)+SUM(AR75:AW75))=0,0,(SUM(AR80:AW80)+SUM(AR75:AW75))/Нормы!$G$38)</f>
        <v>23</v>
      </c>
      <c r="AW5" s="436" t="s">
        <v>140</v>
      </c>
      <c r="AX5" s="432" t="s">
        <v>139</v>
      </c>
      <c r="AY5" s="432"/>
      <c r="AZ5" s="432"/>
      <c r="BA5" s="432"/>
      <c r="BB5" s="432"/>
      <c r="BC5" s="433">
        <f>IF((SUM(AY80:BD80)+SUM(AY75:BD75))=0,0,(SUM(AY80:BD80)+SUM(AY75:BD75))/Нормы!$G$38)</f>
        <v>12</v>
      </c>
      <c r="BD5" s="436" t="s">
        <v>140</v>
      </c>
      <c r="BE5" s="863"/>
      <c r="BF5" s="864"/>
      <c r="BG5" s="630" t="s">
        <v>139</v>
      </c>
      <c r="BH5" s="630"/>
      <c r="BI5" s="432"/>
      <c r="BJ5" s="432"/>
      <c r="BK5" s="865"/>
      <c r="BL5" s="433">
        <f>IF((SUM(BG80:BM80)+SUM(BG75:BM75))=0,0,(SUM(BG80:BM80)+SUM(BG75:BM75))/Нормы!$G$37)</f>
        <v>0</v>
      </c>
      <c r="BM5" s="866" t="s">
        <v>140</v>
      </c>
      <c r="BN5" s="860"/>
      <c r="BO5" s="610"/>
      <c r="BP5" s="610"/>
    </row>
    <row r="6" spans="1:68" s="430" customFormat="1" ht="12.75" customHeight="1">
      <c r="A6" s="613"/>
      <c r="B6" s="613"/>
      <c r="C6" s="613"/>
      <c r="D6" s="634"/>
      <c r="E6" s="634"/>
      <c r="F6" s="244"/>
      <c r="G6" s="244"/>
      <c r="H6" s="634"/>
      <c r="I6" s="694"/>
      <c r="J6" s="689"/>
      <c r="K6" s="690"/>
      <c r="L6" s="867"/>
      <c r="M6" s="868"/>
      <c r="N6" s="619"/>
      <c r="O6" s="619"/>
      <c r="P6" s="619"/>
      <c r="Q6" s="619"/>
      <c r="R6" s="619"/>
      <c r="S6" s="619"/>
      <c r="T6" s="619"/>
      <c r="U6" s="619"/>
      <c r="V6" s="682" t="s">
        <v>141</v>
      </c>
      <c r="W6" s="683"/>
      <c r="X6" s="437"/>
      <c r="Y6" s="437"/>
      <c r="Z6" s="437"/>
      <c r="AA6" s="438">
        <f>IF(SUM(W83:AB83)=0,0,SUM(W83:AB83)/Нормы!$G$37)</f>
        <v>0</v>
      </c>
      <c r="AB6" s="439" t="s">
        <v>140</v>
      </c>
      <c r="AC6" s="683" t="s">
        <v>141</v>
      </c>
      <c r="AD6" s="683"/>
      <c r="AE6" s="437"/>
      <c r="AF6" s="437"/>
      <c r="AG6" s="437"/>
      <c r="AH6" s="438">
        <f>IF(SUM(AD83:AI83)=0,0,SUM(AD83:AI83)/Нормы!$G$37)</f>
        <v>0</v>
      </c>
      <c r="AI6" s="439" t="s">
        <v>140</v>
      </c>
      <c r="AJ6" s="683" t="s">
        <v>141</v>
      </c>
      <c r="AK6" s="683"/>
      <c r="AL6" s="437"/>
      <c r="AM6" s="437"/>
      <c r="AN6" s="437"/>
      <c r="AO6" s="438">
        <f>IF(SUM(AK83:AP83)=0,0,SUM(AK83:AP83)/Нормы!$G$37)</f>
        <v>0</v>
      </c>
      <c r="AP6" s="439" t="s">
        <v>140</v>
      </c>
      <c r="AQ6" s="683" t="s">
        <v>141</v>
      </c>
      <c r="AR6" s="683"/>
      <c r="AS6" s="437"/>
      <c r="AT6" s="437"/>
      <c r="AU6" s="437"/>
      <c r="AV6" s="438">
        <f>IF(SUM(AR83:AW83)=0,0,SUM(AR83:AW83)/Нормы!$G$37)</f>
        <v>0</v>
      </c>
      <c r="AW6" s="439" t="s">
        <v>140</v>
      </c>
      <c r="AX6" s="683" t="s">
        <v>141</v>
      </c>
      <c r="AY6" s="683"/>
      <c r="AZ6" s="437"/>
      <c r="BA6" s="437"/>
      <c r="BB6" s="437"/>
      <c r="BC6" s="438">
        <f>IF(SUM(AY83:BD83)=0,0,SUM(AY83:BD83)/Нормы!$G$37)</f>
        <v>4</v>
      </c>
      <c r="BD6" s="439" t="s">
        <v>140</v>
      </c>
      <c r="BE6" s="861"/>
      <c r="BF6" s="869"/>
      <c r="BG6" s="683" t="s">
        <v>141</v>
      </c>
      <c r="BH6" s="683"/>
      <c r="BI6" s="683"/>
      <c r="BJ6" s="683"/>
      <c r="BK6" s="683"/>
      <c r="BL6" s="438">
        <f>IF(SUM(BG83:BM83)=0,0,SUM(BG83:BM83)/Нормы!$G$37)</f>
        <v>0</v>
      </c>
      <c r="BM6" s="870" t="s">
        <v>140</v>
      </c>
      <c r="BN6" s="860"/>
      <c r="BO6" s="610"/>
      <c r="BP6" s="610"/>
    </row>
    <row r="7" spans="1:68" s="430" customFormat="1" ht="135.75">
      <c r="A7" s="614"/>
      <c r="B7" s="614"/>
      <c r="C7" s="614"/>
      <c r="D7" s="635"/>
      <c r="E7" s="635"/>
      <c r="F7" s="244" t="s">
        <v>607</v>
      </c>
      <c r="G7" s="244" t="s">
        <v>608</v>
      </c>
      <c r="H7" s="635"/>
      <c r="I7" s="695"/>
      <c r="J7" s="441" t="s">
        <v>168</v>
      </c>
      <c r="K7" s="441" t="s">
        <v>258</v>
      </c>
      <c r="L7" s="871" t="s">
        <v>168</v>
      </c>
      <c r="M7" s="871" t="s">
        <v>258</v>
      </c>
      <c r="N7" s="620"/>
      <c r="O7" s="620"/>
      <c r="P7" s="620"/>
      <c r="Q7" s="620"/>
      <c r="R7" s="620"/>
      <c r="S7" s="620"/>
      <c r="T7" s="620"/>
      <c r="U7" s="620"/>
      <c r="V7" s="212" t="s">
        <v>130</v>
      </c>
      <c r="W7" s="213" t="s">
        <v>613</v>
      </c>
      <c r="X7" s="213" t="s">
        <v>614</v>
      </c>
      <c r="Y7" s="213" t="s">
        <v>615</v>
      </c>
      <c r="Z7" s="213" t="s">
        <v>616</v>
      </c>
      <c r="AA7" s="213" t="s">
        <v>617</v>
      </c>
      <c r="AB7" s="213" t="s">
        <v>612</v>
      </c>
      <c r="AC7" s="212" t="s">
        <v>130</v>
      </c>
      <c r="AD7" s="213" t="s">
        <v>613</v>
      </c>
      <c r="AE7" s="213" t="s">
        <v>614</v>
      </c>
      <c r="AF7" s="213" t="s">
        <v>615</v>
      </c>
      <c r="AG7" s="213" t="s">
        <v>616</v>
      </c>
      <c r="AH7" s="213" t="s">
        <v>617</v>
      </c>
      <c r="AI7" s="213" t="s">
        <v>612</v>
      </c>
      <c r="AJ7" s="212" t="s">
        <v>130</v>
      </c>
      <c r="AK7" s="213" t="s">
        <v>613</v>
      </c>
      <c r="AL7" s="213" t="s">
        <v>614</v>
      </c>
      <c r="AM7" s="213" t="s">
        <v>615</v>
      </c>
      <c r="AN7" s="213" t="s">
        <v>616</v>
      </c>
      <c r="AO7" s="213" t="s">
        <v>617</v>
      </c>
      <c r="AP7" s="213" t="s">
        <v>612</v>
      </c>
      <c r="AQ7" s="212" t="s">
        <v>130</v>
      </c>
      <c r="AR7" s="213" t="s">
        <v>613</v>
      </c>
      <c r="AS7" s="213" t="s">
        <v>614</v>
      </c>
      <c r="AT7" s="213" t="s">
        <v>615</v>
      </c>
      <c r="AU7" s="213" t="s">
        <v>616</v>
      </c>
      <c r="AV7" s="213" t="s">
        <v>617</v>
      </c>
      <c r="AW7" s="213" t="s">
        <v>612</v>
      </c>
      <c r="AX7" s="212" t="s">
        <v>130</v>
      </c>
      <c r="AY7" s="213" t="s">
        <v>613</v>
      </c>
      <c r="AZ7" s="213" t="s">
        <v>614</v>
      </c>
      <c r="BA7" s="213" t="s">
        <v>615</v>
      </c>
      <c r="BB7" s="213" t="s">
        <v>616</v>
      </c>
      <c r="BC7" s="213" t="s">
        <v>617</v>
      </c>
      <c r="BD7" s="213" t="s">
        <v>612</v>
      </c>
      <c r="BE7" s="861" t="s">
        <v>131</v>
      </c>
      <c r="BF7" s="872" t="s">
        <v>130</v>
      </c>
      <c r="BG7" s="213" t="s">
        <v>294</v>
      </c>
      <c r="BH7" s="213" t="s">
        <v>295</v>
      </c>
      <c r="BI7" s="213" t="s">
        <v>64</v>
      </c>
      <c r="BJ7" s="213" t="s">
        <v>216</v>
      </c>
      <c r="BK7" s="213" t="s">
        <v>296</v>
      </c>
      <c r="BL7" s="213" t="s">
        <v>143</v>
      </c>
      <c r="BM7" s="873" t="s">
        <v>65</v>
      </c>
      <c r="BN7" s="874"/>
      <c r="BO7" s="611"/>
      <c r="BP7" s="611"/>
    </row>
    <row r="8" spans="1:68" s="430" customFormat="1" ht="12.75">
      <c r="A8" s="245">
        <v>1</v>
      </c>
      <c r="B8" s="245">
        <v>2</v>
      </c>
      <c r="C8" s="245">
        <v>3</v>
      </c>
      <c r="D8" s="245">
        <v>4</v>
      </c>
      <c r="E8" s="245">
        <v>5</v>
      </c>
      <c r="F8" s="245">
        <v>6</v>
      </c>
      <c r="G8" s="245"/>
      <c r="H8" s="245">
        <v>7</v>
      </c>
      <c r="I8" s="245">
        <v>8</v>
      </c>
      <c r="J8" s="245">
        <v>9</v>
      </c>
      <c r="K8" s="245">
        <v>10</v>
      </c>
      <c r="L8" s="245">
        <v>11</v>
      </c>
      <c r="M8" s="245">
        <v>12</v>
      </c>
      <c r="N8" s="245">
        <v>13</v>
      </c>
      <c r="O8" s="245">
        <v>14</v>
      </c>
      <c r="P8" s="245">
        <v>15</v>
      </c>
      <c r="Q8" s="245">
        <v>16</v>
      </c>
      <c r="R8" s="245">
        <v>17</v>
      </c>
      <c r="S8" s="245"/>
      <c r="T8" s="245">
        <v>18</v>
      </c>
      <c r="U8" s="245">
        <v>19</v>
      </c>
      <c r="V8" s="245">
        <v>20</v>
      </c>
      <c r="W8" s="245">
        <v>21</v>
      </c>
      <c r="X8" s="245">
        <v>22</v>
      </c>
      <c r="Y8" s="245">
        <v>23</v>
      </c>
      <c r="Z8" s="245"/>
      <c r="AA8" s="245">
        <v>24</v>
      </c>
      <c r="AB8" s="245">
        <v>25</v>
      </c>
      <c r="AC8" s="245">
        <v>26</v>
      </c>
      <c r="AD8" s="245">
        <v>27</v>
      </c>
      <c r="AE8" s="245">
        <v>28</v>
      </c>
      <c r="AF8" s="245">
        <v>29</v>
      </c>
      <c r="AG8" s="245"/>
      <c r="AH8" s="245">
        <v>30</v>
      </c>
      <c r="AI8" s="245">
        <v>31</v>
      </c>
      <c r="AJ8" s="245">
        <v>32</v>
      </c>
      <c r="AK8" s="245">
        <v>33</v>
      </c>
      <c r="AL8" s="245">
        <v>34</v>
      </c>
      <c r="AM8" s="245">
        <v>35</v>
      </c>
      <c r="AN8" s="245"/>
      <c r="AO8" s="245">
        <v>36</v>
      </c>
      <c r="AP8" s="245">
        <v>37</v>
      </c>
      <c r="AQ8" s="245">
        <v>38</v>
      </c>
      <c r="AR8" s="245">
        <v>39</v>
      </c>
      <c r="AS8" s="245">
        <v>40</v>
      </c>
      <c r="AT8" s="245">
        <v>41</v>
      </c>
      <c r="AU8" s="245"/>
      <c r="AV8" s="245">
        <v>42</v>
      </c>
      <c r="AW8" s="245">
        <v>43</v>
      </c>
      <c r="AX8" s="245">
        <v>44</v>
      </c>
      <c r="AY8" s="245">
        <v>45</v>
      </c>
      <c r="AZ8" s="245">
        <v>46</v>
      </c>
      <c r="BA8" s="245">
        <v>47</v>
      </c>
      <c r="BB8" s="245"/>
      <c r="BC8" s="245">
        <v>48</v>
      </c>
      <c r="BD8" s="245">
        <v>49</v>
      </c>
      <c r="BE8" s="245">
        <v>56</v>
      </c>
      <c r="BF8" s="245">
        <v>57</v>
      </c>
      <c r="BG8" s="245">
        <v>58</v>
      </c>
      <c r="BH8" s="245">
        <v>59</v>
      </c>
      <c r="BI8" s="245">
        <v>60</v>
      </c>
      <c r="BJ8" s="245">
        <v>61</v>
      </c>
      <c r="BK8" s="245">
        <v>62</v>
      </c>
      <c r="BL8" s="245">
        <v>63</v>
      </c>
      <c r="BM8" s="245">
        <v>64</v>
      </c>
      <c r="BN8" s="245">
        <v>65</v>
      </c>
      <c r="BO8" s="245"/>
      <c r="BP8" s="245"/>
    </row>
    <row r="9" spans="1:68" s="48" customFormat="1" ht="25.5" customHeight="1">
      <c r="A9" s="266"/>
      <c r="B9" s="757" t="s">
        <v>357</v>
      </c>
      <c r="C9" s="758"/>
      <c r="D9" s="758"/>
      <c r="E9" s="758"/>
      <c r="F9" s="758"/>
      <c r="G9" s="758"/>
      <c r="H9" s="758"/>
      <c r="I9" s="759"/>
      <c r="J9" s="173"/>
      <c r="K9" s="268"/>
      <c r="L9" s="173">
        <f>'Учебный план'!L28</f>
        <v>3942</v>
      </c>
      <c r="M9" s="173">
        <f>'Учебный план'!M28</f>
        <v>2628</v>
      </c>
      <c r="N9" s="173">
        <f aca="true" t="shared" si="0" ref="N9:AI9">SUM(N10+N16+N20)</f>
        <v>5494</v>
      </c>
      <c r="O9" s="173">
        <f t="shared" si="0"/>
        <v>778</v>
      </c>
      <c r="P9" s="173">
        <f t="shared" si="0"/>
        <v>507</v>
      </c>
      <c r="Q9" s="173">
        <f t="shared" si="0"/>
        <v>188</v>
      </c>
      <c r="R9" s="173">
        <f t="shared" si="0"/>
        <v>83</v>
      </c>
      <c r="S9" s="173"/>
      <c r="T9" s="173">
        <f t="shared" si="0"/>
        <v>0</v>
      </c>
      <c r="U9" s="173">
        <f t="shared" si="0"/>
        <v>4716</v>
      </c>
      <c r="V9" s="173">
        <f t="shared" si="0"/>
        <v>934</v>
      </c>
      <c r="W9" s="173">
        <f t="shared" si="0"/>
        <v>120</v>
      </c>
      <c r="X9" s="173">
        <f t="shared" si="0"/>
        <v>40</v>
      </c>
      <c r="Y9" s="173">
        <f t="shared" si="0"/>
        <v>0</v>
      </c>
      <c r="Z9" s="173"/>
      <c r="AA9" s="173">
        <f t="shared" si="0"/>
        <v>0</v>
      </c>
      <c r="AB9" s="173">
        <f t="shared" si="0"/>
        <v>774</v>
      </c>
      <c r="AC9" s="173">
        <f t="shared" si="0"/>
        <v>1195</v>
      </c>
      <c r="AD9" s="173">
        <f>SUM(AD10+AD16+AD20)</f>
        <v>124</v>
      </c>
      <c r="AE9" s="173">
        <f t="shared" si="0"/>
        <v>14</v>
      </c>
      <c r="AF9" s="173">
        <f t="shared" si="0"/>
        <v>0</v>
      </c>
      <c r="AG9" s="173"/>
      <c r="AH9" s="173">
        <f t="shared" si="0"/>
        <v>0</v>
      </c>
      <c r="AI9" s="173">
        <f t="shared" si="0"/>
        <v>1057</v>
      </c>
      <c r="AJ9" s="173">
        <f aca="true" t="shared" si="1" ref="AJ9:BD9">SUM(AJ10+AJ16+AJ20)</f>
        <v>1142</v>
      </c>
      <c r="AK9" s="173">
        <f t="shared" si="1"/>
        <v>118</v>
      </c>
      <c r="AL9" s="173">
        <f t="shared" si="1"/>
        <v>42</v>
      </c>
      <c r="AM9" s="173">
        <f t="shared" si="1"/>
        <v>0</v>
      </c>
      <c r="AN9" s="173"/>
      <c r="AO9" s="173">
        <f t="shared" si="1"/>
        <v>0</v>
      </c>
      <c r="AP9" s="173">
        <f t="shared" si="1"/>
        <v>982</v>
      </c>
      <c r="AQ9" s="173">
        <f t="shared" si="1"/>
        <v>1220</v>
      </c>
      <c r="AR9" s="173">
        <f t="shared" si="1"/>
        <v>96</v>
      </c>
      <c r="AS9" s="173">
        <f t="shared" si="1"/>
        <v>42</v>
      </c>
      <c r="AT9" s="173">
        <f t="shared" si="1"/>
        <v>22</v>
      </c>
      <c r="AU9" s="173"/>
      <c r="AV9" s="173">
        <f t="shared" si="1"/>
        <v>0</v>
      </c>
      <c r="AW9" s="173">
        <f t="shared" si="1"/>
        <v>1060</v>
      </c>
      <c r="AX9" s="173">
        <f t="shared" si="1"/>
        <v>1003</v>
      </c>
      <c r="AY9" s="173">
        <f t="shared" si="1"/>
        <v>49</v>
      </c>
      <c r="AZ9" s="173">
        <f t="shared" si="1"/>
        <v>50</v>
      </c>
      <c r="BA9" s="173">
        <f t="shared" si="1"/>
        <v>61</v>
      </c>
      <c r="BB9" s="173"/>
      <c r="BC9" s="173">
        <f t="shared" si="1"/>
        <v>0</v>
      </c>
      <c r="BD9" s="173">
        <f t="shared" si="1"/>
        <v>843</v>
      </c>
      <c r="BE9" s="173" t="e">
        <f>BE10+BE16+BE20</f>
        <v>#REF!</v>
      </c>
      <c r="BF9" s="173">
        <f aca="true" t="shared" si="2" ref="BF9:BM9">SUM(BF10+BF16+BF20)</f>
        <v>0</v>
      </c>
      <c r="BG9" s="173">
        <f t="shared" si="2"/>
        <v>0</v>
      </c>
      <c r="BH9" s="173">
        <f t="shared" si="2"/>
        <v>0</v>
      </c>
      <c r="BI9" s="173">
        <f t="shared" si="2"/>
        <v>0</v>
      </c>
      <c r="BJ9" s="173">
        <f t="shared" si="2"/>
        <v>0</v>
      </c>
      <c r="BK9" s="173">
        <f t="shared" si="2"/>
        <v>0</v>
      </c>
      <c r="BL9" s="173">
        <f t="shared" si="2"/>
        <v>0</v>
      </c>
      <c r="BM9" s="173">
        <f t="shared" si="2"/>
        <v>0</v>
      </c>
      <c r="BN9" s="103"/>
      <c r="BO9" s="268">
        <f>'Учебный план'!CN28</f>
        <v>0</v>
      </c>
      <c r="BP9" s="268">
        <f>'Учебный план'!CO28</f>
        <v>0</v>
      </c>
    </row>
    <row r="10" spans="1:68" s="48" customFormat="1" ht="25.5" customHeight="1">
      <c r="A10" s="322" t="s">
        <v>161</v>
      </c>
      <c r="B10" s="658" t="s">
        <v>162</v>
      </c>
      <c r="C10" s="659"/>
      <c r="D10" s="659"/>
      <c r="E10" s="659"/>
      <c r="F10" s="659"/>
      <c r="G10" s="659"/>
      <c r="H10" s="659"/>
      <c r="I10" s="660"/>
      <c r="J10" s="178"/>
      <c r="K10" s="326"/>
      <c r="L10" s="324">
        <f>'Учебный план'!L29</f>
        <v>944</v>
      </c>
      <c r="M10" s="324">
        <f>'Учебный план'!M29</f>
        <v>560</v>
      </c>
      <c r="N10" s="178">
        <f aca="true" t="shared" si="3" ref="N10:AI10">SUM(N11:N15)</f>
        <v>1028</v>
      </c>
      <c r="O10" s="178">
        <f t="shared" si="3"/>
        <v>92</v>
      </c>
      <c r="P10" s="178">
        <f t="shared" si="3"/>
        <v>38</v>
      </c>
      <c r="Q10" s="178">
        <f t="shared" si="3"/>
        <v>54</v>
      </c>
      <c r="R10" s="178">
        <f t="shared" si="3"/>
        <v>0</v>
      </c>
      <c r="S10" s="178"/>
      <c r="T10" s="178">
        <f t="shared" si="3"/>
        <v>0</v>
      </c>
      <c r="U10" s="178">
        <f t="shared" si="3"/>
        <v>936</v>
      </c>
      <c r="V10" s="178">
        <f t="shared" si="3"/>
        <v>289</v>
      </c>
      <c r="W10" s="178">
        <f t="shared" si="3"/>
        <v>26</v>
      </c>
      <c r="X10" s="178">
        <f t="shared" si="3"/>
        <v>10</v>
      </c>
      <c r="Y10" s="178">
        <f t="shared" si="3"/>
        <v>0</v>
      </c>
      <c r="Z10" s="178"/>
      <c r="AA10" s="178">
        <f t="shared" si="3"/>
        <v>0</v>
      </c>
      <c r="AB10" s="178">
        <f t="shared" si="3"/>
        <v>253</v>
      </c>
      <c r="AC10" s="178">
        <f>SUM(AC11:AC15)</f>
        <v>228</v>
      </c>
      <c r="AD10" s="178">
        <f t="shared" si="3"/>
        <v>12</v>
      </c>
      <c r="AE10" s="178">
        <f t="shared" si="3"/>
        <v>10</v>
      </c>
      <c r="AF10" s="178">
        <f t="shared" si="3"/>
        <v>0</v>
      </c>
      <c r="AG10" s="178"/>
      <c r="AH10" s="178">
        <f t="shared" si="3"/>
        <v>0</v>
      </c>
      <c r="AI10" s="178">
        <f t="shared" si="3"/>
        <v>206</v>
      </c>
      <c r="AJ10" s="178">
        <f aca="true" t="shared" si="4" ref="AJ10:BM10">SUM(AJ11:AJ15)</f>
        <v>145</v>
      </c>
      <c r="AK10" s="178">
        <f t="shared" si="4"/>
        <v>0</v>
      </c>
      <c r="AL10" s="178">
        <f t="shared" si="4"/>
        <v>8</v>
      </c>
      <c r="AM10" s="178">
        <f t="shared" si="4"/>
        <v>0</v>
      </c>
      <c r="AN10" s="178"/>
      <c r="AO10" s="178">
        <f t="shared" si="4"/>
        <v>0</v>
      </c>
      <c r="AP10" s="178">
        <f t="shared" si="4"/>
        <v>137</v>
      </c>
      <c r="AQ10" s="178">
        <f t="shared" si="4"/>
        <v>179</v>
      </c>
      <c r="AR10" s="178">
        <f t="shared" si="4"/>
        <v>0</v>
      </c>
      <c r="AS10" s="178">
        <f t="shared" si="4"/>
        <v>16</v>
      </c>
      <c r="AT10" s="178">
        <f t="shared" si="4"/>
        <v>0</v>
      </c>
      <c r="AU10" s="178"/>
      <c r="AV10" s="178">
        <f t="shared" si="4"/>
        <v>0</v>
      </c>
      <c r="AW10" s="178">
        <f t="shared" si="4"/>
        <v>163</v>
      </c>
      <c r="AX10" s="178">
        <f t="shared" si="4"/>
        <v>187</v>
      </c>
      <c r="AY10" s="178">
        <f t="shared" si="4"/>
        <v>0</v>
      </c>
      <c r="AZ10" s="178">
        <f t="shared" si="4"/>
        <v>10</v>
      </c>
      <c r="BA10" s="178">
        <f t="shared" si="4"/>
        <v>0</v>
      </c>
      <c r="BB10" s="178"/>
      <c r="BC10" s="178">
        <f t="shared" si="4"/>
        <v>0</v>
      </c>
      <c r="BD10" s="178">
        <f t="shared" si="4"/>
        <v>177</v>
      </c>
      <c r="BE10" s="178">
        <f t="shared" si="4"/>
        <v>0</v>
      </c>
      <c r="BF10" s="178">
        <f t="shared" si="4"/>
        <v>0</v>
      </c>
      <c r="BG10" s="178">
        <f t="shared" si="4"/>
        <v>0</v>
      </c>
      <c r="BH10" s="178">
        <f t="shared" si="4"/>
        <v>0</v>
      </c>
      <c r="BI10" s="178">
        <f t="shared" si="4"/>
        <v>0</v>
      </c>
      <c r="BJ10" s="178">
        <f t="shared" si="4"/>
        <v>0</v>
      </c>
      <c r="BK10" s="178">
        <f t="shared" si="4"/>
        <v>0</v>
      </c>
      <c r="BL10" s="178">
        <f t="shared" si="4"/>
        <v>0</v>
      </c>
      <c r="BM10" s="178">
        <f t="shared" si="4"/>
        <v>0</v>
      </c>
      <c r="BN10" s="103"/>
      <c r="BO10" s="326">
        <f>'Учебный план'!CN29</f>
        <v>0</v>
      </c>
      <c r="BP10" s="326">
        <f>'Учебный план'!CO29</f>
        <v>0</v>
      </c>
    </row>
    <row r="11" spans="1:68" s="450" customFormat="1" ht="25.5" customHeight="1">
      <c r="A11" s="209" t="str">
        <f>'Учебный план'!A30</f>
        <v>ОГСЭ.01</v>
      </c>
      <c r="B11" s="209" t="str">
        <f>'Учебный план'!B30</f>
        <v>Основы философии</v>
      </c>
      <c r="C11" s="209">
        <f>'Учебный план'!C30</f>
        <v>0</v>
      </c>
      <c r="D11" s="180"/>
      <c r="E11" s="180" t="s">
        <v>27</v>
      </c>
      <c r="F11" s="180"/>
      <c r="G11" s="180"/>
      <c r="H11" s="180"/>
      <c r="I11" s="180"/>
      <c r="J11" s="116">
        <f>L11-N11</f>
        <v>-72</v>
      </c>
      <c r="K11" s="180">
        <f>M11*$K$1</f>
        <v>0</v>
      </c>
      <c r="L11" s="116"/>
      <c r="M11" s="116"/>
      <c r="N11" s="363">
        <f aca="true" t="shared" si="5" ref="N11:N41">SUM(O11+U11)</f>
        <v>72</v>
      </c>
      <c r="O11" s="363">
        <f>SUM(P11:T11)</f>
        <v>12</v>
      </c>
      <c r="P11" s="363">
        <f aca="true" t="shared" si="6" ref="P11:R15">W11+AK11+AR11+AY11+AD11+BH11</f>
        <v>12</v>
      </c>
      <c r="Q11" s="363">
        <f t="shared" si="6"/>
        <v>0</v>
      </c>
      <c r="R11" s="363">
        <f t="shared" si="6"/>
        <v>0</v>
      </c>
      <c r="S11" s="363"/>
      <c r="T11" s="363">
        <f>AA11+AO11+AV11+BC11+AH11+BK11</f>
        <v>0</v>
      </c>
      <c r="U11" s="363">
        <f>AB11+AP11+AW11+BD11+BM11+AI11</f>
        <v>60</v>
      </c>
      <c r="V11" s="182">
        <f aca="true" t="shared" si="7" ref="V11:V28">SUM(W11:AB11)</f>
        <v>72</v>
      </c>
      <c r="W11" s="116">
        <v>12</v>
      </c>
      <c r="X11" s="116"/>
      <c r="Y11" s="116"/>
      <c r="Z11" s="116"/>
      <c r="AA11" s="116"/>
      <c r="AB11" s="116">
        <v>60</v>
      </c>
      <c r="AC11" s="182">
        <f aca="true" t="shared" si="8" ref="AC11:AC28">SUM(AD11:AI11)</f>
        <v>0</v>
      </c>
      <c r="AD11" s="116"/>
      <c r="AE11" s="116"/>
      <c r="AF11" s="116"/>
      <c r="AG11" s="116"/>
      <c r="AH11" s="116"/>
      <c r="AI11" s="116"/>
      <c r="AJ11" s="182">
        <f>SUM(AK11:AP11)</f>
        <v>0</v>
      </c>
      <c r="AK11" s="116"/>
      <c r="AL11" s="116"/>
      <c r="AM11" s="116"/>
      <c r="AN11" s="116"/>
      <c r="AO11" s="116"/>
      <c r="AP11" s="116"/>
      <c r="AQ11" s="182">
        <f aca="true" t="shared" si="9" ref="AQ11:AQ28">SUM(AR11:AW11)</f>
        <v>0</v>
      </c>
      <c r="AR11" s="116"/>
      <c r="AS11" s="116"/>
      <c r="AT11" s="116"/>
      <c r="AU11" s="116"/>
      <c r="AV11" s="116"/>
      <c r="AW11" s="116"/>
      <c r="AX11" s="182">
        <f>SUM(AY11:BD11)</f>
        <v>0</v>
      </c>
      <c r="AY11" s="116"/>
      <c r="AZ11" s="116"/>
      <c r="BA11" s="116"/>
      <c r="BB11" s="116"/>
      <c r="BC11" s="116"/>
      <c r="BD11" s="116"/>
      <c r="BE11" s="365">
        <f>LEN(I11)-LEN(SUBSTITUTE(I11,"9",""))</f>
        <v>0</v>
      </c>
      <c r="BF11" s="182">
        <f>SUM(BG11:BM11)</f>
        <v>0</v>
      </c>
      <c r="BG11" s="116"/>
      <c r="BH11" s="116"/>
      <c r="BI11" s="116"/>
      <c r="BJ11" s="116"/>
      <c r="BK11" s="116"/>
      <c r="BL11" s="116"/>
      <c r="BM11" s="116"/>
      <c r="BN11" s="117"/>
      <c r="BO11" s="180" t="str">
        <f>'Учебный план'!CN30</f>
        <v>64-1</v>
      </c>
      <c r="BP11" s="200" t="str">
        <f>'Учебный план'!CO30</f>
        <v>ОК 1-10, ПК 1.1</v>
      </c>
    </row>
    <row r="12" spans="1:68" s="450" customFormat="1" ht="25.5" customHeight="1">
      <c r="A12" s="209" t="str">
        <f>'Учебный план'!A31</f>
        <v>ОГСЭ.02</v>
      </c>
      <c r="B12" s="209" t="str">
        <f>'Учебный план'!B31</f>
        <v>История</v>
      </c>
      <c r="C12" s="209">
        <f>'Учебный план'!C31</f>
        <v>0</v>
      </c>
      <c r="D12" s="180"/>
      <c r="E12" s="180" t="s">
        <v>27</v>
      </c>
      <c r="F12" s="180"/>
      <c r="G12" s="180"/>
      <c r="H12" s="180"/>
      <c r="I12" s="180"/>
      <c r="J12" s="116">
        <f>L12-N12</f>
        <v>-72</v>
      </c>
      <c r="K12" s="180">
        <f>M12*$K$1</f>
        <v>0</v>
      </c>
      <c r="L12" s="116"/>
      <c r="M12" s="116"/>
      <c r="N12" s="363">
        <f t="shared" si="5"/>
        <v>72</v>
      </c>
      <c r="O12" s="363">
        <f>SUM(P12:T12)</f>
        <v>12</v>
      </c>
      <c r="P12" s="363">
        <f t="shared" si="6"/>
        <v>12</v>
      </c>
      <c r="Q12" s="363">
        <f t="shared" si="6"/>
        <v>0</v>
      </c>
      <c r="R12" s="363">
        <f t="shared" si="6"/>
        <v>0</v>
      </c>
      <c r="S12" s="363"/>
      <c r="T12" s="363">
        <f>AA12+AO12+AV12+BC12+AH12+BK12</f>
        <v>0</v>
      </c>
      <c r="U12" s="363">
        <f>AB12+AP12+AW12+BD12+BM12+AI12</f>
        <v>60</v>
      </c>
      <c r="V12" s="182">
        <f t="shared" si="7"/>
        <v>72</v>
      </c>
      <c r="W12" s="116">
        <v>12</v>
      </c>
      <c r="X12" s="116"/>
      <c r="Y12" s="116"/>
      <c r="Z12" s="116"/>
      <c r="AA12" s="116"/>
      <c r="AB12" s="116">
        <v>60</v>
      </c>
      <c r="AC12" s="182">
        <f t="shared" si="8"/>
        <v>0</v>
      </c>
      <c r="AD12" s="116"/>
      <c r="AE12" s="116"/>
      <c r="AF12" s="116"/>
      <c r="AG12" s="116"/>
      <c r="AH12" s="116"/>
      <c r="AI12" s="116"/>
      <c r="AJ12" s="182">
        <f>SUM(AK12:AP12)</f>
        <v>0</v>
      </c>
      <c r="AK12" s="116"/>
      <c r="AL12" s="116"/>
      <c r="AM12" s="116"/>
      <c r="AN12" s="116"/>
      <c r="AO12" s="116"/>
      <c r="AP12" s="116"/>
      <c r="AQ12" s="182">
        <f t="shared" si="9"/>
        <v>0</v>
      </c>
      <c r="AR12" s="116"/>
      <c r="AS12" s="116"/>
      <c r="AT12" s="116"/>
      <c r="AU12" s="116"/>
      <c r="AV12" s="116"/>
      <c r="AW12" s="116"/>
      <c r="AX12" s="182">
        <f>SUM(AY12:BD12)</f>
        <v>0</v>
      </c>
      <c r="AY12" s="116"/>
      <c r="AZ12" s="116"/>
      <c r="BA12" s="116"/>
      <c r="BB12" s="116"/>
      <c r="BC12" s="116"/>
      <c r="BD12" s="116"/>
      <c r="BE12" s="365">
        <f>LEN(I12)-LEN(SUBSTITUTE(I12,"9",""))</f>
        <v>0</v>
      </c>
      <c r="BF12" s="182">
        <f>SUM(BG12:BM12)</f>
        <v>0</v>
      </c>
      <c r="BG12" s="116"/>
      <c r="BH12" s="116"/>
      <c r="BI12" s="116"/>
      <c r="BJ12" s="116"/>
      <c r="BK12" s="116"/>
      <c r="BL12" s="116"/>
      <c r="BM12" s="116"/>
      <c r="BN12" s="117"/>
      <c r="BO12" s="180" t="str">
        <f>'Учебный план'!CN31</f>
        <v>64-1</v>
      </c>
      <c r="BP12" s="200" t="str">
        <f>'Учебный план'!CO31</f>
        <v>ОК 1-10</v>
      </c>
    </row>
    <row r="13" spans="1:68" s="450" customFormat="1" ht="25.5" customHeight="1">
      <c r="A13" s="209" t="str">
        <f>'Учебный план'!A32</f>
        <v>ОГСЭ.03</v>
      </c>
      <c r="B13" s="209" t="str">
        <f>'Учебный план'!B32</f>
        <v>Психология общения</v>
      </c>
      <c r="C13" s="209">
        <f>'Учебный план'!C32</f>
        <v>0</v>
      </c>
      <c r="D13" s="180"/>
      <c r="E13" s="180" t="s">
        <v>30</v>
      </c>
      <c r="F13" s="180"/>
      <c r="G13" s="180"/>
      <c r="H13" s="180"/>
      <c r="I13" s="180"/>
      <c r="J13" s="116">
        <f>L13-N13</f>
        <v>-83</v>
      </c>
      <c r="K13" s="180">
        <f>M13*$K$1</f>
        <v>0</v>
      </c>
      <c r="L13" s="116"/>
      <c r="M13" s="116"/>
      <c r="N13" s="363">
        <f t="shared" si="5"/>
        <v>83</v>
      </c>
      <c r="O13" s="363">
        <f>SUM(P13:T13)</f>
        <v>12</v>
      </c>
      <c r="P13" s="363">
        <f t="shared" si="6"/>
        <v>12</v>
      </c>
      <c r="Q13" s="363">
        <f t="shared" si="6"/>
        <v>0</v>
      </c>
      <c r="R13" s="363">
        <f t="shared" si="6"/>
        <v>0</v>
      </c>
      <c r="S13" s="363"/>
      <c r="T13" s="363">
        <f>AA13+AO13+AV13+BC13+AH13+BK13</f>
        <v>0</v>
      </c>
      <c r="U13" s="363">
        <f>AB13+AP13+AW13+BD13+BM13+AI13</f>
        <v>71</v>
      </c>
      <c r="V13" s="182">
        <f t="shared" si="7"/>
        <v>0</v>
      </c>
      <c r="W13" s="116"/>
      <c r="X13" s="116"/>
      <c r="Y13" s="116"/>
      <c r="Z13" s="116"/>
      <c r="AA13" s="116"/>
      <c r="AB13" s="116"/>
      <c r="AC13" s="182">
        <f t="shared" si="8"/>
        <v>83</v>
      </c>
      <c r="AD13" s="116">
        <v>12</v>
      </c>
      <c r="AE13" s="116"/>
      <c r="AF13" s="116"/>
      <c r="AG13" s="116"/>
      <c r="AH13" s="116"/>
      <c r="AI13" s="116">
        <v>71</v>
      </c>
      <c r="AJ13" s="182">
        <f>SUM(AK13:AP13)</f>
        <v>0</v>
      </c>
      <c r="AK13" s="116"/>
      <c r="AL13" s="116"/>
      <c r="AM13" s="116"/>
      <c r="AN13" s="116"/>
      <c r="AO13" s="116"/>
      <c r="AP13" s="116"/>
      <c r="AQ13" s="182">
        <f t="shared" si="9"/>
        <v>0</v>
      </c>
      <c r="AR13" s="116"/>
      <c r="AS13" s="116"/>
      <c r="AT13" s="116"/>
      <c r="AU13" s="116"/>
      <c r="AV13" s="116"/>
      <c r="AW13" s="116"/>
      <c r="AX13" s="182">
        <f>SUM(AY13:BD13)</f>
        <v>0</v>
      </c>
      <c r="AY13" s="116"/>
      <c r="AZ13" s="116"/>
      <c r="BA13" s="116"/>
      <c r="BB13" s="116"/>
      <c r="BC13" s="116"/>
      <c r="BD13" s="116"/>
      <c r="BE13" s="365">
        <f>LEN(I13)-LEN(SUBSTITUTE(I13,"9",""))</f>
        <v>0</v>
      </c>
      <c r="BF13" s="182">
        <f>SUM(BG13:BM13)</f>
        <v>0</v>
      </c>
      <c r="BG13" s="116"/>
      <c r="BH13" s="116"/>
      <c r="BI13" s="116"/>
      <c r="BJ13" s="116"/>
      <c r="BK13" s="116"/>
      <c r="BL13" s="116"/>
      <c r="BM13" s="116"/>
      <c r="BN13" s="117"/>
      <c r="BO13" s="180" t="str">
        <f>'Учебный план'!CN32</f>
        <v>64-1</v>
      </c>
      <c r="BP13" s="200" t="str">
        <f>'Учебный план'!CO32</f>
        <v>ОК 1-10, ПК 2.3-2.7</v>
      </c>
    </row>
    <row r="14" spans="1:68" s="414" customFormat="1" ht="25.5" customHeight="1">
      <c r="A14" s="415" t="str">
        <f>'Учебный план'!A33</f>
        <v>ОГСЭ.04</v>
      </c>
      <c r="B14" s="415" t="str">
        <f>'Учебный план'!B33</f>
        <v>Иностранный язык</v>
      </c>
      <c r="C14" s="415">
        <f>'Учебный план'!C33</f>
        <v>0</v>
      </c>
      <c r="D14" s="201"/>
      <c r="E14" s="201" t="s">
        <v>40</v>
      </c>
      <c r="F14" s="149"/>
      <c r="G14" s="149"/>
      <c r="H14" s="149"/>
      <c r="I14" s="149" t="s">
        <v>670</v>
      </c>
      <c r="J14" s="190">
        <f>L14-N14</f>
        <v>-385</v>
      </c>
      <c r="K14" s="149">
        <f>M14*$K$1</f>
        <v>0</v>
      </c>
      <c r="L14" s="190"/>
      <c r="M14" s="190"/>
      <c r="N14" s="938">
        <f t="shared" si="5"/>
        <v>385</v>
      </c>
      <c r="O14" s="416">
        <f>SUM(P14:T14)</f>
        <v>54</v>
      </c>
      <c r="P14" s="416">
        <f t="shared" si="6"/>
        <v>0</v>
      </c>
      <c r="Q14" s="416">
        <f t="shared" si="6"/>
        <v>54</v>
      </c>
      <c r="R14" s="416">
        <f t="shared" si="6"/>
        <v>0</v>
      </c>
      <c r="S14" s="416"/>
      <c r="T14" s="416">
        <f>AA14+AO14+AV14+BC14+AH14+BK14</f>
        <v>0</v>
      </c>
      <c r="U14" s="416">
        <f>AB14+AP14+AW14+BD14+BM14+AI14</f>
        <v>331</v>
      </c>
      <c r="V14" s="411">
        <f t="shared" si="7"/>
        <v>60</v>
      </c>
      <c r="W14" s="190"/>
      <c r="X14" s="190">
        <v>10</v>
      </c>
      <c r="Y14" s="190"/>
      <c r="Z14" s="190"/>
      <c r="AA14" s="190"/>
      <c r="AB14" s="412">
        <v>50</v>
      </c>
      <c r="AC14" s="411">
        <f t="shared" si="8"/>
        <v>62</v>
      </c>
      <c r="AD14" s="190"/>
      <c r="AE14" s="190">
        <v>10</v>
      </c>
      <c r="AF14" s="190"/>
      <c r="AG14" s="190"/>
      <c r="AH14" s="190"/>
      <c r="AI14" s="190">
        <v>52</v>
      </c>
      <c r="AJ14" s="411">
        <f>SUM(AK14:AP14)</f>
        <v>62</v>
      </c>
      <c r="AK14" s="190"/>
      <c r="AL14" s="190">
        <v>8</v>
      </c>
      <c r="AM14" s="190"/>
      <c r="AN14" s="190"/>
      <c r="AO14" s="190"/>
      <c r="AP14" s="190">
        <v>54</v>
      </c>
      <c r="AQ14" s="411">
        <f t="shared" si="9"/>
        <v>96</v>
      </c>
      <c r="AR14" s="190"/>
      <c r="AS14" s="190">
        <v>16</v>
      </c>
      <c r="AT14" s="190"/>
      <c r="AU14" s="190"/>
      <c r="AV14" s="190"/>
      <c r="AW14" s="190">
        <v>80</v>
      </c>
      <c r="AX14" s="411">
        <f>SUM(AY14:BD14)</f>
        <v>105</v>
      </c>
      <c r="AY14" s="190"/>
      <c r="AZ14" s="190">
        <v>10</v>
      </c>
      <c r="BA14" s="190"/>
      <c r="BB14" s="190"/>
      <c r="BC14" s="190"/>
      <c r="BD14" s="190">
        <v>95</v>
      </c>
      <c r="BE14" s="417"/>
      <c r="BF14" s="411">
        <f>SUM(BG14:BM14)</f>
        <v>0</v>
      </c>
      <c r="BG14" s="190"/>
      <c r="BH14" s="190"/>
      <c r="BI14" s="190"/>
      <c r="BJ14" s="190"/>
      <c r="BK14" s="190"/>
      <c r="BL14" s="190"/>
      <c r="BM14" s="190"/>
      <c r="BN14" s="412"/>
      <c r="BO14" s="149" t="str">
        <f>'Учебный план'!CN33</f>
        <v>64-1</v>
      </c>
      <c r="BP14" s="413" t="str">
        <f>'Учебный план'!CO33</f>
        <v>ОК 1-10; ПК 2.4,2.6,2.7</v>
      </c>
    </row>
    <row r="15" spans="1:68" s="450" customFormat="1" ht="25.5" customHeight="1">
      <c r="A15" s="209" t="str">
        <f>'Учебный план'!A34</f>
        <v>ОГСЭ.05</v>
      </c>
      <c r="B15" s="209" t="str">
        <f>'Учебный план'!B34</f>
        <v>Физическая культура</v>
      </c>
      <c r="C15" s="209">
        <f>'Учебный план'!C34</f>
        <v>0</v>
      </c>
      <c r="D15" s="180"/>
      <c r="E15" s="180"/>
      <c r="F15" s="180" t="s">
        <v>40</v>
      </c>
      <c r="G15" s="180"/>
      <c r="H15" s="180"/>
      <c r="I15" s="199" t="s">
        <v>667</v>
      </c>
      <c r="J15" s="116">
        <f>L15-N15</f>
        <v>-416</v>
      </c>
      <c r="K15" s="180">
        <f>M15*$K$1</f>
        <v>0</v>
      </c>
      <c r="L15" s="116"/>
      <c r="M15" s="116"/>
      <c r="N15" s="363">
        <f t="shared" si="5"/>
        <v>416</v>
      </c>
      <c r="O15" s="363">
        <f>SUM(P15:T15)</f>
        <v>2</v>
      </c>
      <c r="P15" s="363">
        <f t="shared" si="6"/>
        <v>2</v>
      </c>
      <c r="Q15" s="363">
        <f t="shared" si="6"/>
        <v>0</v>
      </c>
      <c r="R15" s="363">
        <f t="shared" si="6"/>
        <v>0</v>
      </c>
      <c r="S15" s="363"/>
      <c r="T15" s="363">
        <f>AA15+AO15+AV15+BC15+AH15+BK15</f>
        <v>0</v>
      </c>
      <c r="U15" s="363">
        <f>AB15+AP15+AW15+BD15+BM15+AI15</f>
        <v>414</v>
      </c>
      <c r="V15" s="182">
        <f t="shared" si="7"/>
        <v>85</v>
      </c>
      <c r="W15" s="116">
        <v>2</v>
      </c>
      <c r="X15" s="116"/>
      <c r="Y15" s="116"/>
      <c r="Z15" s="116"/>
      <c r="AA15" s="116"/>
      <c r="AB15" s="116">
        <v>83</v>
      </c>
      <c r="AC15" s="182">
        <f t="shared" si="8"/>
        <v>83</v>
      </c>
      <c r="AD15" s="116"/>
      <c r="AE15" s="116"/>
      <c r="AF15" s="116"/>
      <c r="AG15" s="116"/>
      <c r="AH15" s="116"/>
      <c r="AI15" s="116">
        <v>83</v>
      </c>
      <c r="AJ15" s="182">
        <f>SUM(AK15:AP15)</f>
        <v>83</v>
      </c>
      <c r="AK15" s="116"/>
      <c r="AL15" s="116"/>
      <c r="AM15" s="116"/>
      <c r="AN15" s="116"/>
      <c r="AO15" s="116"/>
      <c r="AP15" s="116">
        <v>83</v>
      </c>
      <c r="AQ15" s="182">
        <f t="shared" si="9"/>
        <v>83</v>
      </c>
      <c r="AR15" s="116"/>
      <c r="AS15" s="116"/>
      <c r="AT15" s="116"/>
      <c r="AU15" s="116"/>
      <c r="AV15" s="116"/>
      <c r="AW15" s="116">
        <v>83</v>
      </c>
      <c r="AX15" s="182">
        <f>SUM(AY15:BD15)</f>
        <v>82</v>
      </c>
      <c r="AY15" s="116"/>
      <c r="AZ15" s="116"/>
      <c r="BA15" s="116"/>
      <c r="BB15" s="116"/>
      <c r="BC15" s="116"/>
      <c r="BD15" s="116">
        <v>82</v>
      </c>
      <c r="BE15" s="365">
        <f>LEN(I15)-LEN(SUBSTITUTE(I15,"9",""))</f>
        <v>0</v>
      </c>
      <c r="BF15" s="182">
        <f>SUM(BG15:BM15)</f>
        <v>0</v>
      </c>
      <c r="BG15" s="116"/>
      <c r="BH15" s="116"/>
      <c r="BI15" s="116"/>
      <c r="BJ15" s="116"/>
      <c r="BK15" s="116"/>
      <c r="BL15" s="116"/>
      <c r="BM15" s="116"/>
      <c r="BN15" s="117"/>
      <c r="BO15" s="180" t="str">
        <f>'Учебный план'!CN34</f>
        <v>20</v>
      </c>
      <c r="BP15" s="200" t="str">
        <f>'Учебный план'!CO34</f>
        <v>ОК-2,3,6,7</v>
      </c>
    </row>
    <row r="16" spans="1:68" s="48" customFormat="1" ht="25.5" customHeight="1">
      <c r="A16" s="322" t="str">
        <f>'Учебный план'!A35</f>
        <v>ЕН.00</v>
      </c>
      <c r="B16" s="658" t="str">
        <f>'Учебный план'!B35</f>
        <v>Математический и общий естественнонаучный цикл</v>
      </c>
      <c r="C16" s="659"/>
      <c r="D16" s="659"/>
      <c r="E16" s="659"/>
      <c r="F16" s="659"/>
      <c r="G16" s="659"/>
      <c r="H16" s="659"/>
      <c r="I16" s="660"/>
      <c r="J16" s="178"/>
      <c r="K16" s="326"/>
      <c r="L16" s="324">
        <f>'Учебный план'!L35</f>
        <v>198</v>
      </c>
      <c r="M16" s="324">
        <f>'Учебный план'!M35</f>
        <v>132</v>
      </c>
      <c r="N16" s="324">
        <f t="shared" si="5"/>
        <v>198</v>
      </c>
      <c r="O16" s="178">
        <f aca="true" t="shared" si="10" ref="O16:U16">SUM(O17:O19)</f>
        <v>42</v>
      </c>
      <c r="P16" s="178">
        <f t="shared" si="10"/>
        <v>30</v>
      </c>
      <c r="Q16" s="178">
        <f t="shared" si="10"/>
        <v>12</v>
      </c>
      <c r="R16" s="178">
        <f t="shared" si="10"/>
        <v>0</v>
      </c>
      <c r="S16" s="178"/>
      <c r="T16" s="178">
        <f t="shared" si="10"/>
        <v>0</v>
      </c>
      <c r="U16" s="178">
        <f t="shared" si="10"/>
        <v>156</v>
      </c>
      <c r="V16" s="324">
        <f t="shared" si="7"/>
        <v>198</v>
      </c>
      <c r="W16" s="178">
        <f aca="true" t="shared" si="11" ref="W16:BC16">SUM(W17:W19)</f>
        <v>30</v>
      </c>
      <c r="X16" s="178">
        <f t="shared" si="11"/>
        <v>12</v>
      </c>
      <c r="Y16" s="178">
        <f t="shared" si="11"/>
        <v>0</v>
      </c>
      <c r="Z16" s="178"/>
      <c r="AA16" s="178">
        <f t="shared" si="11"/>
        <v>0</v>
      </c>
      <c r="AB16" s="178">
        <f t="shared" si="11"/>
        <v>156</v>
      </c>
      <c r="AC16" s="324">
        <f t="shared" si="8"/>
        <v>0</v>
      </c>
      <c r="AD16" s="178">
        <f aca="true" t="shared" si="12" ref="AD16:AI16">SUM(AD17:AD19)</f>
        <v>0</v>
      </c>
      <c r="AE16" s="178">
        <f t="shared" si="12"/>
        <v>0</v>
      </c>
      <c r="AF16" s="178">
        <f t="shared" si="12"/>
        <v>0</v>
      </c>
      <c r="AG16" s="178"/>
      <c r="AH16" s="178">
        <f t="shared" si="12"/>
        <v>0</v>
      </c>
      <c r="AI16" s="178">
        <f t="shared" si="12"/>
        <v>0</v>
      </c>
      <c r="AJ16" s="178">
        <f t="shared" si="11"/>
        <v>0</v>
      </c>
      <c r="AK16" s="178">
        <f t="shared" si="11"/>
        <v>0</v>
      </c>
      <c r="AL16" s="178">
        <f t="shared" si="11"/>
        <v>0</v>
      </c>
      <c r="AM16" s="178">
        <f t="shared" si="11"/>
        <v>0</v>
      </c>
      <c r="AN16" s="178"/>
      <c r="AO16" s="178">
        <f t="shared" si="11"/>
        <v>0</v>
      </c>
      <c r="AP16" s="178">
        <f t="shared" si="11"/>
        <v>0</v>
      </c>
      <c r="AQ16" s="324">
        <f t="shared" si="9"/>
        <v>0</v>
      </c>
      <c r="AR16" s="178">
        <f t="shared" si="11"/>
        <v>0</v>
      </c>
      <c r="AS16" s="178">
        <f t="shared" si="11"/>
        <v>0</v>
      </c>
      <c r="AT16" s="178">
        <f t="shared" si="11"/>
        <v>0</v>
      </c>
      <c r="AU16" s="178"/>
      <c r="AV16" s="178">
        <f t="shared" si="11"/>
        <v>0</v>
      </c>
      <c r="AW16" s="178">
        <f t="shared" si="11"/>
        <v>0</v>
      </c>
      <c r="AX16" s="178">
        <f t="shared" si="11"/>
        <v>0</v>
      </c>
      <c r="AY16" s="178">
        <f t="shared" si="11"/>
        <v>0</v>
      </c>
      <c r="AZ16" s="178">
        <f t="shared" si="11"/>
        <v>0</v>
      </c>
      <c r="BA16" s="178">
        <f t="shared" si="11"/>
        <v>0</v>
      </c>
      <c r="BB16" s="178"/>
      <c r="BC16" s="178">
        <f t="shared" si="11"/>
        <v>0</v>
      </c>
      <c r="BD16" s="178">
        <f>SUM(BD17:BD18)</f>
        <v>0</v>
      </c>
      <c r="BE16" s="178">
        <f>SUM(BE17:BE18)</f>
        <v>0</v>
      </c>
      <c r="BF16" s="178">
        <f aca="true" t="shared" si="13" ref="BF16:BL16">SUM(BF17:BF19)</f>
        <v>0</v>
      </c>
      <c r="BG16" s="178">
        <f t="shared" si="13"/>
        <v>0</v>
      </c>
      <c r="BH16" s="178">
        <f t="shared" si="13"/>
        <v>0</v>
      </c>
      <c r="BI16" s="178">
        <f t="shared" si="13"/>
        <v>0</v>
      </c>
      <c r="BJ16" s="178">
        <f t="shared" si="13"/>
        <v>0</v>
      </c>
      <c r="BK16" s="178">
        <f t="shared" si="13"/>
        <v>0</v>
      </c>
      <c r="BL16" s="178">
        <f t="shared" si="13"/>
        <v>0</v>
      </c>
      <c r="BM16" s="178">
        <f>SUM(BM17:BM18)</f>
        <v>0</v>
      </c>
      <c r="BN16" s="103"/>
      <c r="BO16" s="326">
        <f>'Учебный план'!CN35</f>
        <v>0</v>
      </c>
      <c r="BP16" s="326">
        <f>'Учебный план'!CO35</f>
        <v>0</v>
      </c>
    </row>
    <row r="17" spans="1:68" s="450" customFormat="1" ht="25.5" customHeight="1">
      <c r="A17" s="209" t="str">
        <f>'Учебный план'!A36</f>
        <v>ЕН.01</v>
      </c>
      <c r="B17" s="209" t="str">
        <f>'Учебный план'!B36</f>
        <v>Математика</v>
      </c>
      <c r="C17" s="209">
        <f>'Учебный план'!C36</f>
        <v>0</v>
      </c>
      <c r="D17" s="180" t="s">
        <v>27</v>
      </c>
      <c r="E17" s="180"/>
      <c r="F17" s="180"/>
      <c r="G17" s="180"/>
      <c r="H17" s="180"/>
      <c r="I17" s="180"/>
      <c r="J17" s="116">
        <f>L17-N17</f>
        <v>-99</v>
      </c>
      <c r="K17" s="180">
        <f>M17*$K$1</f>
        <v>0</v>
      </c>
      <c r="L17" s="116"/>
      <c r="M17" s="116"/>
      <c r="N17" s="366">
        <f t="shared" si="5"/>
        <v>99</v>
      </c>
      <c r="O17" s="363">
        <f>SUM(P17:T17)</f>
        <v>16</v>
      </c>
      <c r="P17" s="363">
        <f aca="true" t="shared" si="14" ref="P17:R19">W17+AK17+AR17+AY17+AD17+BH17</f>
        <v>16</v>
      </c>
      <c r="Q17" s="363">
        <f t="shared" si="14"/>
        <v>0</v>
      </c>
      <c r="R17" s="363">
        <f t="shared" si="14"/>
        <v>0</v>
      </c>
      <c r="S17" s="363"/>
      <c r="T17" s="363">
        <f>AA17+AO17+AV17+BC17+AH17+BK17</f>
        <v>0</v>
      </c>
      <c r="U17" s="363">
        <f>AB17+AP17+AW17+BD17+BM17+AI17</f>
        <v>83</v>
      </c>
      <c r="V17" s="182">
        <f t="shared" si="7"/>
        <v>99</v>
      </c>
      <c r="W17" s="116">
        <v>16</v>
      </c>
      <c r="X17" s="116"/>
      <c r="Y17" s="116"/>
      <c r="Z17" s="116"/>
      <c r="AA17" s="116"/>
      <c r="AB17" s="117">
        <v>83</v>
      </c>
      <c r="AC17" s="182">
        <f t="shared" si="8"/>
        <v>0</v>
      </c>
      <c r="AD17" s="116"/>
      <c r="AE17" s="116"/>
      <c r="AF17" s="116"/>
      <c r="AG17" s="116"/>
      <c r="AH17" s="116"/>
      <c r="AI17" s="116"/>
      <c r="AJ17" s="182">
        <f>SUM(AK17:AP17)</f>
        <v>0</v>
      </c>
      <c r="AK17" s="116"/>
      <c r="AL17" s="116"/>
      <c r="AM17" s="116"/>
      <c r="AN17" s="116"/>
      <c r="AO17" s="116"/>
      <c r="AP17" s="116"/>
      <c r="AQ17" s="182">
        <f t="shared" si="9"/>
        <v>0</v>
      </c>
      <c r="AR17" s="116"/>
      <c r="AS17" s="116"/>
      <c r="AT17" s="116"/>
      <c r="AU17" s="116"/>
      <c r="AV17" s="116"/>
      <c r="AW17" s="116"/>
      <c r="AX17" s="182">
        <f>SUM(AY17:BD17)</f>
        <v>0</v>
      </c>
      <c r="AY17" s="116"/>
      <c r="AZ17" s="116"/>
      <c r="BA17" s="116"/>
      <c r="BB17" s="116"/>
      <c r="BC17" s="116"/>
      <c r="BD17" s="116"/>
      <c r="BE17" s="365">
        <f>LEN(I17)-LEN(SUBSTITUTE(I17,"9",""))</f>
        <v>0</v>
      </c>
      <c r="BF17" s="182">
        <f>SUM(BG17:BM17)</f>
        <v>0</v>
      </c>
      <c r="BG17" s="116"/>
      <c r="BH17" s="116"/>
      <c r="BI17" s="116"/>
      <c r="BJ17" s="116"/>
      <c r="BK17" s="116"/>
      <c r="BL17" s="116"/>
      <c r="BM17" s="116"/>
      <c r="BN17" s="117"/>
      <c r="BO17" s="180" t="str">
        <f>'Учебный план'!CN36</f>
        <v>64-2</v>
      </c>
      <c r="BP17" s="200" t="str">
        <f>'Учебный план'!CO36</f>
        <v>ОК 1-10; ПК 1.1, 1.3. 3.1</v>
      </c>
    </row>
    <row r="18" spans="1:68" s="450" customFormat="1" ht="25.5" customHeight="1">
      <c r="A18" s="209" t="str">
        <f>'Учебный план'!A37</f>
        <v>ЕН.02</v>
      </c>
      <c r="B18" s="209" t="str">
        <f>'Учебный план'!B37</f>
        <v>Информатика</v>
      </c>
      <c r="C18" s="209">
        <f>'Учебный план'!C37</f>
        <v>0</v>
      </c>
      <c r="D18" s="180"/>
      <c r="E18" s="180" t="s">
        <v>27</v>
      </c>
      <c r="F18" s="180"/>
      <c r="G18" s="180"/>
      <c r="H18" s="180"/>
      <c r="I18" s="180"/>
      <c r="J18" s="116">
        <f>L18-N18</f>
        <v>-51</v>
      </c>
      <c r="K18" s="180">
        <f>M18*$K$1</f>
        <v>0</v>
      </c>
      <c r="L18" s="116"/>
      <c r="M18" s="116"/>
      <c r="N18" s="366">
        <f t="shared" si="5"/>
        <v>51</v>
      </c>
      <c r="O18" s="363">
        <f>SUM(P18:T18)</f>
        <v>14</v>
      </c>
      <c r="P18" s="363">
        <f t="shared" si="14"/>
        <v>2</v>
      </c>
      <c r="Q18" s="363">
        <f t="shared" si="14"/>
        <v>12</v>
      </c>
      <c r="R18" s="363">
        <f t="shared" si="14"/>
        <v>0</v>
      </c>
      <c r="S18" s="363"/>
      <c r="T18" s="363">
        <f>AA18+AO18+AV18+BC18+AH18+BK18</f>
        <v>0</v>
      </c>
      <c r="U18" s="363">
        <f>AB18+AP18+AW18+BD18+BM18+AI18</f>
        <v>37</v>
      </c>
      <c r="V18" s="182">
        <f t="shared" si="7"/>
        <v>51</v>
      </c>
      <c r="W18" s="116">
        <v>2</v>
      </c>
      <c r="X18" s="116">
        <v>12</v>
      </c>
      <c r="Y18" s="116"/>
      <c r="Z18" s="116"/>
      <c r="AA18" s="116"/>
      <c r="AB18" s="117">
        <v>37</v>
      </c>
      <c r="AC18" s="182">
        <f t="shared" si="8"/>
        <v>0</v>
      </c>
      <c r="AD18" s="116"/>
      <c r="AE18" s="116"/>
      <c r="AF18" s="116"/>
      <c r="AG18" s="116"/>
      <c r="AH18" s="116"/>
      <c r="AI18" s="116"/>
      <c r="AJ18" s="182">
        <f>SUM(AK18:AP18)</f>
        <v>0</v>
      </c>
      <c r="AK18" s="116"/>
      <c r="AL18" s="116"/>
      <c r="AM18" s="116"/>
      <c r="AN18" s="116"/>
      <c r="AO18" s="116"/>
      <c r="AP18" s="116"/>
      <c r="AQ18" s="182">
        <f t="shared" si="9"/>
        <v>0</v>
      </c>
      <c r="AR18" s="116"/>
      <c r="AS18" s="116"/>
      <c r="AT18" s="116"/>
      <c r="AU18" s="116"/>
      <c r="AV18" s="116"/>
      <c r="AW18" s="116"/>
      <c r="AX18" s="182">
        <f>SUM(AY18:BD18)</f>
        <v>0</v>
      </c>
      <c r="AY18" s="116"/>
      <c r="AZ18" s="116"/>
      <c r="BA18" s="116"/>
      <c r="BB18" s="116"/>
      <c r="BC18" s="116"/>
      <c r="BD18" s="116"/>
      <c r="BE18" s="365">
        <f>LEN(I18)-LEN(SUBSTITUTE(I18,"9",""))</f>
        <v>0</v>
      </c>
      <c r="BF18" s="182">
        <f>SUM(BG18:BM18)</f>
        <v>0</v>
      </c>
      <c r="BG18" s="116"/>
      <c r="BH18" s="116"/>
      <c r="BI18" s="116"/>
      <c r="BJ18" s="116"/>
      <c r="BK18" s="116"/>
      <c r="BL18" s="116"/>
      <c r="BM18" s="116"/>
      <c r="BN18" s="117"/>
      <c r="BO18" s="180" t="str">
        <f>'Учебный план'!CN37</f>
        <v>64-2</v>
      </c>
      <c r="BP18" s="200" t="str">
        <f>'Учебный план'!CO37</f>
        <v>ОК-1-10, ПК 1.3, 3.1, 4.2,4.3</v>
      </c>
    </row>
    <row r="19" spans="1:68" s="450" customFormat="1" ht="25.5" customHeight="1">
      <c r="A19" s="209" t="str">
        <f>'Учебный план'!A38</f>
        <v>ЕН.03</v>
      </c>
      <c r="B19" s="209" t="str">
        <f>'Учебный план'!B38</f>
        <v>Экологические основы природопользования</v>
      </c>
      <c r="C19" s="209">
        <f>'Учебный план'!C38</f>
        <v>0</v>
      </c>
      <c r="D19" s="180"/>
      <c r="E19" s="180" t="s">
        <v>27</v>
      </c>
      <c r="F19" s="180"/>
      <c r="G19" s="180"/>
      <c r="H19" s="180"/>
      <c r="I19" s="180"/>
      <c r="J19" s="116">
        <f>L19-N19</f>
        <v>-48</v>
      </c>
      <c r="K19" s="180">
        <f>M19*$K$1</f>
        <v>0</v>
      </c>
      <c r="L19" s="116"/>
      <c r="M19" s="116"/>
      <c r="N19" s="366">
        <f t="shared" si="5"/>
        <v>48</v>
      </c>
      <c r="O19" s="363">
        <f>SUM(P19:T19)</f>
        <v>12</v>
      </c>
      <c r="P19" s="363">
        <f t="shared" si="14"/>
        <v>12</v>
      </c>
      <c r="Q19" s="363">
        <f t="shared" si="14"/>
        <v>0</v>
      </c>
      <c r="R19" s="363">
        <f t="shared" si="14"/>
        <v>0</v>
      </c>
      <c r="S19" s="363"/>
      <c r="T19" s="363">
        <f>AA19+AO19+AV19+BC19+AH19+BK19</f>
        <v>0</v>
      </c>
      <c r="U19" s="363">
        <f>AB19+AP19+AW19+BD19+BM19+AI19</f>
        <v>36</v>
      </c>
      <c r="V19" s="182">
        <f t="shared" si="7"/>
        <v>48</v>
      </c>
      <c r="W19" s="116">
        <v>12</v>
      </c>
      <c r="X19" s="116"/>
      <c r="Y19" s="116"/>
      <c r="Z19" s="116"/>
      <c r="AA19" s="116"/>
      <c r="AB19" s="117">
        <v>36</v>
      </c>
      <c r="AC19" s="182">
        <f t="shared" si="8"/>
        <v>0</v>
      </c>
      <c r="AD19" s="116"/>
      <c r="AE19" s="116"/>
      <c r="AF19" s="116"/>
      <c r="AG19" s="116"/>
      <c r="AH19" s="116"/>
      <c r="AI19" s="116"/>
      <c r="AJ19" s="182">
        <f>SUM(AK19:AP19)</f>
        <v>0</v>
      </c>
      <c r="AK19" s="116"/>
      <c r="AL19" s="116"/>
      <c r="AM19" s="116"/>
      <c r="AN19" s="116"/>
      <c r="AO19" s="116"/>
      <c r="AP19" s="116"/>
      <c r="AQ19" s="182">
        <f t="shared" si="9"/>
        <v>0</v>
      </c>
      <c r="AR19" s="116"/>
      <c r="AS19" s="116"/>
      <c r="AT19" s="116"/>
      <c r="AU19" s="116"/>
      <c r="AV19" s="116"/>
      <c r="AW19" s="116"/>
      <c r="AX19" s="182">
        <v>0</v>
      </c>
      <c r="AY19" s="116"/>
      <c r="AZ19" s="116"/>
      <c r="BA19" s="116"/>
      <c r="BB19" s="116"/>
      <c r="BC19" s="116"/>
      <c r="BD19" s="116"/>
      <c r="BE19" s="365"/>
      <c r="BF19" s="182">
        <v>0</v>
      </c>
      <c r="BG19" s="116"/>
      <c r="BH19" s="116"/>
      <c r="BI19" s="116"/>
      <c r="BJ19" s="116"/>
      <c r="BK19" s="116"/>
      <c r="BL19" s="116"/>
      <c r="BM19" s="116"/>
      <c r="BN19" s="117"/>
      <c r="BO19" s="180" t="str">
        <f>'Учебный план'!CN38</f>
        <v>64-2</v>
      </c>
      <c r="BP19" s="200" t="str">
        <f>'Учебный план'!CO38</f>
        <v>ОК-1-10 ПК 2.7, 3.2</v>
      </c>
    </row>
    <row r="20" spans="1:68" s="48" customFormat="1" ht="25.5" customHeight="1">
      <c r="A20" s="175" t="str">
        <f>'Учебный план'!A39</f>
        <v>П.00</v>
      </c>
      <c r="B20" s="754" t="str">
        <f>'Учебный план'!B39</f>
        <v>Профессиональный цикл</v>
      </c>
      <c r="C20" s="755"/>
      <c r="D20" s="755"/>
      <c r="E20" s="755"/>
      <c r="F20" s="755"/>
      <c r="G20" s="755"/>
      <c r="H20" s="755"/>
      <c r="I20" s="756"/>
      <c r="J20" s="176"/>
      <c r="K20" s="364"/>
      <c r="L20" s="197">
        <f>'Учебный план'!N39</f>
        <v>4266</v>
      </c>
      <c r="M20" s="197">
        <f>'Учебный план'!O39</f>
        <v>2925</v>
      </c>
      <c r="N20" s="197">
        <f t="shared" si="5"/>
        <v>4268</v>
      </c>
      <c r="O20" s="176">
        <f>SUM(O21+O29)</f>
        <v>644</v>
      </c>
      <c r="P20" s="176">
        <f aca="true" t="shared" si="15" ref="P20:U20">SUM(P21+P29)</f>
        <v>439</v>
      </c>
      <c r="Q20" s="176">
        <f t="shared" si="15"/>
        <v>122</v>
      </c>
      <c r="R20" s="176">
        <f t="shared" si="15"/>
        <v>83</v>
      </c>
      <c r="S20" s="176"/>
      <c r="T20" s="176">
        <f t="shared" si="15"/>
        <v>0</v>
      </c>
      <c r="U20" s="176">
        <f t="shared" si="15"/>
        <v>3624</v>
      </c>
      <c r="V20" s="197">
        <f t="shared" si="7"/>
        <v>447</v>
      </c>
      <c r="W20" s="197">
        <f aca="true" t="shared" si="16" ref="W20:BM20">W21+W29</f>
        <v>64</v>
      </c>
      <c r="X20" s="197">
        <f t="shared" si="16"/>
        <v>18</v>
      </c>
      <c r="Y20" s="197">
        <f t="shared" si="16"/>
        <v>0</v>
      </c>
      <c r="Z20" s="197"/>
      <c r="AA20" s="197">
        <f t="shared" si="16"/>
        <v>0</v>
      </c>
      <c r="AB20" s="197">
        <f t="shared" si="16"/>
        <v>365</v>
      </c>
      <c r="AC20" s="197">
        <f t="shared" si="8"/>
        <v>967</v>
      </c>
      <c r="AD20" s="197">
        <f>AD21+AD29</f>
        <v>112</v>
      </c>
      <c r="AE20" s="197">
        <f>AE21+AE29</f>
        <v>4</v>
      </c>
      <c r="AF20" s="197">
        <f>AF21+AF29</f>
        <v>0</v>
      </c>
      <c r="AG20" s="197"/>
      <c r="AH20" s="197">
        <f>AH21+AH29</f>
        <v>0</v>
      </c>
      <c r="AI20" s="197">
        <f>AI21+AI29</f>
        <v>851</v>
      </c>
      <c r="AJ20" s="197">
        <f t="shared" si="16"/>
        <v>997</v>
      </c>
      <c r="AK20" s="197">
        <f t="shared" si="16"/>
        <v>118</v>
      </c>
      <c r="AL20" s="176">
        <f t="shared" si="16"/>
        <v>34</v>
      </c>
      <c r="AM20" s="176">
        <f t="shared" si="16"/>
        <v>0</v>
      </c>
      <c r="AN20" s="176"/>
      <c r="AO20" s="176">
        <f t="shared" si="16"/>
        <v>0</v>
      </c>
      <c r="AP20" s="176">
        <f t="shared" si="16"/>
        <v>845</v>
      </c>
      <c r="AQ20" s="197">
        <f t="shared" si="9"/>
        <v>1041</v>
      </c>
      <c r="AR20" s="176">
        <f t="shared" si="16"/>
        <v>96</v>
      </c>
      <c r="AS20" s="176">
        <f t="shared" si="16"/>
        <v>26</v>
      </c>
      <c r="AT20" s="176">
        <f t="shared" si="16"/>
        <v>22</v>
      </c>
      <c r="AU20" s="176"/>
      <c r="AV20" s="176">
        <f t="shared" si="16"/>
        <v>0</v>
      </c>
      <c r="AW20" s="176">
        <f t="shared" si="16"/>
        <v>897</v>
      </c>
      <c r="AX20" s="176">
        <f t="shared" si="16"/>
        <v>816</v>
      </c>
      <c r="AY20" s="176">
        <f t="shared" si="16"/>
        <v>49</v>
      </c>
      <c r="AZ20" s="176">
        <f t="shared" si="16"/>
        <v>40</v>
      </c>
      <c r="BA20" s="176">
        <f t="shared" si="16"/>
        <v>61</v>
      </c>
      <c r="BB20" s="176"/>
      <c r="BC20" s="176">
        <f t="shared" si="16"/>
        <v>0</v>
      </c>
      <c r="BD20" s="176">
        <f t="shared" si="16"/>
        <v>666</v>
      </c>
      <c r="BE20" s="176" t="e">
        <f t="shared" si="16"/>
        <v>#REF!</v>
      </c>
      <c r="BF20" s="176">
        <f t="shared" si="16"/>
        <v>0</v>
      </c>
      <c r="BG20" s="176">
        <f t="shared" si="16"/>
        <v>0</v>
      </c>
      <c r="BH20" s="176">
        <f t="shared" si="16"/>
        <v>0</v>
      </c>
      <c r="BI20" s="176">
        <f t="shared" si="16"/>
        <v>0</v>
      </c>
      <c r="BJ20" s="176">
        <f t="shared" si="16"/>
        <v>0</v>
      </c>
      <c r="BK20" s="176">
        <f t="shared" si="16"/>
        <v>0</v>
      </c>
      <c r="BL20" s="176">
        <f t="shared" si="16"/>
        <v>0</v>
      </c>
      <c r="BM20" s="176">
        <f t="shared" si="16"/>
        <v>0</v>
      </c>
      <c r="BN20" s="102"/>
      <c r="BO20" s="364">
        <f>'Учебный план'!CN39</f>
        <v>0</v>
      </c>
      <c r="BP20" s="364">
        <f>'Учебный план'!CO39</f>
        <v>0</v>
      </c>
    </row>
    <row r="21" spans="1:68" s="48" customFormat="1" ht="25.5" customHeight="1">
      <c r="A21" s="216" t="str">
        <f>'Учебный план'!A40</f>
        <v>ОП.00</v>
      </c>
      <c r="B21" s="751" t="str">
        <f>'Учебный план'!B40</f>
        <v>Общепрофессиональные дисциплины</v>
      </c>
      <c r="C21" s="752"/>
      <c r="D21" s="752"/>
      <c r="E21" s="752"/>
      <c r="F21" s="752"/>
      <c r="G21" s="752"/>
      <c r="H21" s="752"/>
      <c r="I21" s="753"/>
      <c r="J21" s="176"/>
      <c r="K21" s="364"/>
      <c r="L21" s="197">
        <f>'Учебный план'!N40</f>
        <v>622</v>
      </c>
      <c r="M21" s="197">
        <f>'Учебный план'!O40</f>
        <v>415</v>
      </c>
      <c r="N21" s="197">
        <f t="shared" si="5"/>
        <v>622</v>
      </c>
      <c r="O21" s="176">
        <f aca="true" t="shared" si="17" ref="O21:BD21">SUM(O22:O28)</f>
        <v>106</v>
      </c>
      <c r="P21" s="176">
        <f t="shared" si="17"/>
        <v>88</v>
      </c>
      <c r="Q21" s="176">
        <f t="shared" si="17"/>
        <v>18</v>
      </c>
      <c r="R21" s="176">
        <f t="shared" si="17"/>
        <v>0</v>
      </c>
      <c r="S21" s="176"/>
      <c r="T21" s="176">
        <f t="shared" si="17"/>
        <v>0</v>
      </c>
      <c r="U21" s="176">
        <f t="shared" si="17"/>
        <v>516</v>
      </c>
      <c r="V21" s="197">
        <f t="shared" si="7"/>
        <v>447</v>
      </c>
      <c r="W21" s="197">
        <f>SUM(W22:W28)</f>
        <v>64</v>
      </c>
      <c r="X21" s="197">
        <f t="shared" si="17"/>
        <v>18</v>
      </c>
      <c r="Y21" s="197">
        <f t="shared" si="17"/>
        <v>0</v>
      </c>
      <c r="Z21" s="197"/>
      <c r="AA21" s="197">
        <f t="shared" si="17"/>
        <v>0</v>
      </c>
      <c r="AB21" s="197">
        <f t="shared" si="17"/>
        <v>365</v>
      </c>
      <c r="AC21" s="197">
        <f t="shared" si="8"/>
        <v>76</v>
      </c>
      <c r="AD21" s="197">
        <f aca="true" t="shared" si="18" ref="AD21:AI21">SUM(AD22:AD28)</f>
        <v>12</v>
      </c>
      <c r="AE21" s="197">
        <f t="shared" si="18"/>
        <v>0</v>
      </c>
      <c r="AF21" s="197">
        <f t="shared" si="18"/>
        <v>0</v>
      </c>
      <c r="AG21" s="197"/>
      <c r="AH21" s="197">
        <f t="shared" si="18"/>
        <v>0</v>
      </c>
      <c r="AI21" s="197">
        <f t="shared" si="18"/>
        <v>64</v>
      </c>
      <c r="AJ21" s="197">
        <f t="shared" si="17"/>
        <v>0</v>
      </c>
      <c r="AK21" s="197">
        <f t="shared" si="17"/>
        <v>0</v>
      </c>
      <c r="AL21" s="176">
        <f t="shared" si="17"/>
        <v>0</v>
      </c>
      <c r="AM21" s="176">
        <f t="shared" si="17"/>
        <v>0</v>
      </c>
      <c r="AN21" s="176"/>
      <c r="AO21" s="176">
        <f t="shared" si="17"/>
        <v>0</v>
      </c>
      <c r="AP21" s="176">
        <f t="shared" si="17"/>
        <v>0</v>
      </c>
      <c r="AQ21" s="197">
        <f t="shared" si="9"/>
        <v>99</v>
      </c>
      <c r="AR21" s="176">
        <f t="shared" si="17"/>
        <v>12</v>
      </c>
      <c r="AS21" s="176">
        <f t="shared" si="17"/>
        <v>0</v>
      </c>
      <c r="AT21" s="176">
        <f t="shared" si="17"/>
        <v>0</v>
      </c>
      <c r="AU21" s="176"/>
      <c r="AV21" s="176">
        <f t="shared" si="17"/>
        <v>0</v>
      </c>
      <c r="AW21" s="176">
        <f t="shared" si="17"/>
        <v>87</v>
      </c>
      <c r="AX21" s="176">
        <f t="shared" si="17"/>
        <v>0</v>
      </c>
      <c r="AY21" s="176">
        <f t="shared" si="17"/>
        <v>0</v>
      </c>
      <c r="AZ21" s="176">
        <f t="shared" si="17"/>
        <v>0</v>
      </c>
      <c r="BA21" s="176">
        <f t="shared" si="17"/>
        <v>0</v>
      </c>
      <c r="BB21" s="176"/>
      <c r="BC21" s="176">
        <f t="shared" si="17"/>
        <v>0</v>
      </c>
      <c r="BD21" s="176">
        <f t="shared" si="17"/>
        <v>0</v>
      </c>
      <c r="BE21" s="367">
        <f>SUM(BE22:BE28)</f>
        <v>0</v>
      </c>
      <c r="BF21" s="176">
        <f aca="true" t="shared" si="19" ref="BF21:BM21">SUM(BF22:BF28)</f>
        <v>0</v>
      </c>
      <c r="BG21" s="176">
        <f t="shared" si="19"/>
        <v>0</v>
      </c>
      <c r="BH21" s="176">
        <f t="shared" si="19"/>
        <v>0</v>
      </c>
      <c r="BI21" s="176">
        <f t="shared" si="19"/>
        <v>0</v>
      </c>
      <c r="BJ21" s="176">
        <f t="shared" si="19"/>
        <v>0</v>
      </c>
      <c r="BK21" s="176">
        <f t="shared" si="19"/>
        <v>0</v>
      </c>
      <c r="BL21" s="176">
        <f t="shared" si="19"/>
        <v>0</v>
      </c>
      <c r="BM21" s="176">
        <f t="shared" si="19"/>
        <v>0</v>
      </c>
      <c r="BN21" s="368"/>
      <c r="BO21" s="364">
        <f>'Учебный план'!CN40</f>
        <v>0</v>
      </c>
      <c r="BP21" s="364">
        <f>'Учебный план'!CO40</f>
        <v>0</v>
      </c>
    </row>
    <row r="22" spans="1:68" s="450" customFormat="1" ht="25.5" customHeight="1">
      <c r="A22" s="209" t="str">
        <f>'Учебный план'!A41</f>
        <v>ОП.01</v>
      </c>
      <c r="B22" s="209" t="str">
        <f>'Учебный план'!B41</f>
        <v>Инженерная графика</v>
      </c>
      <c r="C22" s="209">
        <f>'Учебный план'!C41</f>
        <v>0</v>
      </c>
      <c r="D22" s="180"/>
      <c r="E22" s="180" t="s">
        <v>27</v>
      </c>
      <c r="F22" s="180"/>
      <c r="G22" s="180"/>
      <c r="H22" s="180"/>
      <c r="I22" s="180"/>
      <c r="J22" s="116">
        <f aca="true" t="shared" si="20" ref="J22:J28">L22-N22</f>
        <v>-99</v>
      </c>
      <c r="K22" s="180">
        <f aca="true" t="shared" si="21" ref="K22:K28">M22*$K$1</f>
        <v>0</v>
      </c>
      <c r="L22" s="116"/>
      <c r="M22" s="116"/>
      <c r="N22" s="366">
        <f t="shared" si="5"/>
        <v>99</v>
      </c>
      <c r="O22" s="363">
        <f aca="true" t="shared" si="22" ref="O22:O28">SUM(P22:T22)</f>
        <v>14</v>
      </c>
      <c r="P22" s="363">
        <f aca="true" t="shared" si="23" ref="P22:R28">W22+AK22+AR22+AY22+AD22+BH22</f>
        <v>0</v>
      </c>
      <c r="Q22" s="363">
        <f t="shared" si="23"/>
        <v>14</v>
      </c>
      <c r="R22" s="363">
        <f t="shared" si="23"/>
        <v>0</v>
      </c>
      <c r="S22" s="363"/>
      <c r="T22" s="363">
        <f aca="true" t="shared" si="24" ref="T22:T28">AA22+AO22+AV22+BC22+AH22+BK22</f>
        <v>0</v>
      </c>
      <c r="U22" s="363">
        <f aca="true" t="shared" si="25" ref="U22:U28">AB22+AP22+AW22+BD22+BM22+AI22</f>
        <v>85</v>
      </c>
      <c r="V22" s="182">
        <f t="shared" si="7"/>
        <v>99</v>
      </c>
      <c r="W22" s="116"/>
      <c r="X22" s="116">
        <v>14</v>
      </c>
      <c r="Y22" s="116"/>
      <c r="Z22" s="116"/>
      <c r="AA22" s="116"/>
      <c r="AB22" s="117">
        <v>85</v>
      </c>
      <c r="AC22" s="182">
        <f t="shared" si="8"/>
        <v>0</v>
      </c>
      <c r="AD22" s="116"/>
      <c r="AE22" s="116"/>
      <c r="AF22" s="116"/>
      <c r="AG22" s="116"/>
      <c r="AH22" s="116"/>
      <c r="AI22" s="116"/>
      <c r="AJ22" s="182">
        <f aca="true" t="shared" si="26" ref="AJ22:AJ28">SUM(AK22:AP22)</f>
        <v>0</v>
      </c>
      <c r="AK22" s="116"/>
      <c r="AL22" s="116"/>
      <c r="AM22" s="116"/>
      <c r="AN22" s="116"/>
      <c r="AO22" s="116"/>
      <c r="AP22" s="116"/>
      <c r="AQ22" s="182">
        <f t="shared" si="9"/>
        <v>0</v>
      </c>
      <c r="AR22" s="116"/>
      <c r="AS22" s="116"/>
      <c r="AT22" s="116"/>
      <c r="AU22" s="116"/>
      <c r="AV22" s="116"/>
      <c r="AW22" s="116"/>
      <c r="AX22" s="182">
        <f aca="true" t="shared" si="27" ref="AX22:AX28">SUM(AY22:BD22)</f>
        <v>0</v>
      </c>
      <c r="AY22" s="116"/>
      <c r="AZ22" s="116"/>
      <c r="BA22" s="116"/>
      <c r="BB22" s="116"/>
      <c r="BC22" s="116"/>
      <c r="BD22" s="116"/>
      <c r="BE22" s="365">
        <f aca="true" t="shared" si="28" ref="BE22:BE28">LEN(I22)-LEN(SUBSTITUTE(I22,"9",""))</f>
        <v>0</v>
      </c>
      <c r="BF22" s="182">
        <f>SUM(BG22:BM22)</f>
        <v>0</v>
      </c>
      <c r="BG22" s="116"/>
      <c r="BH22" s="116"/>
      <c r="BI22" s="116"/>
      <c r="BJ22" s="116"/>
      <c r="BK22" s="116"/>
      <c r="BL22" s="116"/>
      <c r="BM22" s="116"/>
      <c r="BN22" s="117"/>
      <c r="BO22" s="180" t="str">
        <f>'Учебный план'!CN41</f>
        <v>64-6</v>
      </c>
      <c r="BP22" s="200" t="str">
        <f>'Учебный план'!CO41</f>
        <v>ОК-1-10 ПК 1.1-1.4, 3.1</v>
      </c>
    </row>
    <row r="23" spans="1:68" s="450" customFormat="1" ht="25.5" customHeight="1">
      <c r="A23" s="209" t="str">
        <f>'Учебный план'!A42</f>
        <v>ОП.02</v>
      </c>
      <c r="B23" s="209" t="str">
        <f>'Учебный план'!B42</f>
        <v>Механика</v>
      </c>
      <c r="C23" s="209">
        <f>'Учебный план'!C42</f>
        <v>0</v>
      </c>
      <c r="D23" s="180"/>
      <c r="E23" s="180" t="s">
        <v>27</v>
      </c>
      <c r="F23" s="180"/>
      <c r="G23" s="180"/>
      <c r="H23" s="180"/>
      <c r="I23" s="180"/>
      <c r="J23" s="116">
        <f t="shared" si="20"/>
        <v>-77</v>
      </c>
      <c r="K23" s="369">
        <f t="shared" si="21"/>
        <v>0</v>
      </c>
      <c r="L23" s="116"/>
      <c r="M23" s="116"/>
      <c r="N23" s="366">
        <f t="shared" si="5"/>
        <v>77</v>
      </c>
      <c r="O23" s="363">
        <f t="shared" si="22"/>
        <v>14</v>
      </c>
      <c r="P23" s="363">
        <f t="shared" si="23"/>
        <v>14</v>
      </c>
      <c r="Q23" s="363">
        <f t="shared" si="23"/>
        <v>0</v>
      </c>
      <c r="R23" s="363">
        <f t="shared" si="23"/>
        <v>0</v>
      </c>
      <c r="S23" s="363"/>
      <c r="T23" s="363">
        <f t="shared" si="24"/>
        <v>0</v>
      </c>
      <c r="U23" s="363">
        <f t="shared" si="25"/>
        <v>63</v>
      </c>
      <c r="V23" s="182">
        <f t="shared" si="7"/>
        <v>77</v>
      </c>
      <c r="W23" s="116">
        <v>14</v>
      </c>
      <c r="X23" s="116"/>
      <c r="Y23" s="116"/>
      <c r="Z23" s="116"/>
      <c r="AA23" s="116"/>
      <c r="AB23" s="117">
        <v>63</v>
      </c>
      <c r="AC23" s="182">
        <f t="shared" si="8"/>
        <v>0</v>
      </c>
      <c r="AD23" s="116"/>
      <c r="AE23" s="116"/>
      <c r="AF23" s="116"/>
      <c r="AG23" s="116"/>
      <c r="AH23" s="116"/>
      <c r="AI23" s="116"/>
      <c r="AJ23" s="182">
        <f t="shared" si="26"/>
        <v>0</v>
      </c>
      <c r="AK23" s="116"/>
      <c r="AL23" s="116"/>
      <c r="AM23" s="116"/>
      <c r="AN23" s="116"/>
      <c r="AO23" s="116"/>
      <c r="AP23" s="116"/>
      <c r="AQ23" s="182">
        <f t="shared" si="9"/>
        <v>0</v>
      </c>
      <c r="AR23" s="116"/>
      <c r="AS23" s="116"/>
      <c r="AT23" s="116"/>
      <c r="AU23" s="116"/>
      <c r="AV23" s="116"/>
      <c r="AW23" s="116"/>
      <c r="AX23" s="182">
        <f t="shared" si="27"/>
        <v>0</v>
      </c>
      <c r="AY23" s="116"/>
      <c r="AZ23" s="116"/>
      <c r="BA23" s="116"/>
      <c r="BB23" s="116"/>
      <c r="BC23" s="116"/>
      <c r="BD23" s="116"/>
      <c r="BE23" s="365">
        <f t="shared" si="28"/>
        <v>0</v>
      </c>
      <c r="BF23" s="182">
        <f aca="true" t="shared" si="29" ref="BF23:BF28">SUM(BG23:BM23)</f>
        <v>0</v>
      </c>
      <c r="BG23" s="116"/>
      <c r="BH23" s="116"/>
      <c r="BI23" s="116"/>
      <c r="BJ23" s="116"/>
      <c r="BK23" s="116"/>
      <c r="BL23" s="116"/>
      <c r="BM23" s="116"/>
      <c r="BN23" s="117"/>
      <c r="BO23" s="180" t="str">
        <f>'Учебный план'!CN42</f>
        <v>64-6</v>
      </c>
      <c r="BP23" s="116" t="str">
        <f>'Учебный план'!CO42</f>
        <v>ОК-1-10 ПК 1.2 - 1.4</v>
      </c>
    </row>
    <row r="24" spans="1:68" s="450" customFormat="1" ht="25.5" customHeight="1">
      <c r="A24" s="209" t="str">
        <f>'Учебный план'!A43</f>
        <v>ОП.03</v>
      </c>
      <c r="B24" s="209" t="str">
        <f>'Учебный план'!B43</f>
        <v>Электроника и электротехника</v>
      </c>
      <c r="C24" s="209" t="str">
        <f>'Учебный план'!C43</f>
        <v>Электроника</v>
      </c>
      <c r="D24" s="180"/>
      <c r="E24" s="180" t="s">
        <v>27</v>
      </c>
      <c r="F24" s="180"/>
      <c r="G24" s="180"/>
      <c r="H24" s="180"/>
      <c r="I24" s="180"/>
      <c r="J24" s="116">
        <f t="shared" si="20"/>
        <v>-48</v>
      </c>
      <c r="K24" s="180">
        <f t="shared" si="21"/>
        <v>0</v>
      </c>
      <c r="L24" s="116"/>
      <c r="M24" s="116"/>
      <c r="N24" s="366">
        <f t="shared" si="5"/>
        <v>48</v>
      </c>
      <c r="O24" s="363">
        <f t="shared" si="22"/>
        <v>12</v>
      </c>
      <c r="P24" s="363">
        <f t="shared" si="23"/>
        <v>8</v>
      </c>
      <c r="Q24" s="363">
        <f t="shared" si="23"/>
        <v>4</v>
      </c>
      <c r="R24" s="363">
        <f t="shared" si="23"/>
        <v>0</v>
      </c>
      <c r="S24" s="363"/>
      <c r="T24" s="363">
        <f t="shared" si="24"/>
        <v>0</v>
      </c>
      <c r="U24" s="363">
        <f t="shared" si="25"/>
        <v>36</v>
      </c>
      <c r="V24" s="182">
        <f t="shared" si="7"/>
        <v>48</v>
      </c>
      <c r="W24" s="116">
        <v>8</v>
      </c>
      <c r="X24" s="116">
        <v>4</v>
      </c>
      <c r="Y24" s="116"/>
      <c r="Z24" s="116"/>
      <c r="AA24" s="116"/>
      <c r="AB24" s="117">
        <v>36</v>
      </c>
      <c r="AC24" s="182">
        <f t="shared" si="8"/>
        <v>0</v>
      </c>
      <c r="AD24" s="116"/>
      <c r="AE24" s="116"/>
      <c r="AF24" s="116"/>
      <c r="AG24" s="116"/>
      <c r="AH24" s="116"/>
      <c r="AI24" s="116"/>
      <c r="AJ24" s="182">
        <f t="shared" si="26"/>
        <v>0</v>
      </c>
      <c r="AK24" s="116"/>
      <c r="AL24" s="116"/>
      <c r="AM24" s="116"/>
      <c r="AN24" s="116"/>
      <c r="AO24" s="116"/>
      <c r="AP24" s="116"/>
      <c r="AQ24" s="182">
        <f t="shared" si="9"/>
        <v>0</v>
      </c>
      <c r="AR24" s="116"/>
      <c r="AS24" s="116"/>
      <c r="AT24" s="116"/>
      <c r="AU24" s="116"/>
      <c r="AV24" s="116"/>
      <c r="AW24" s="116"/>
      <c r="AX24" s="182">
        <f t="shared" si="27"/>
        <v>0</v>
      </c>
      <c r="AY24" s="116"/>
      <c r="AZ24" s="116"/>
      <c r="BA24" s="116"/>
      <c r="BB24" s="116"/>
      <c r="BC24" s="116"/>
      <c r="BD24" s="116"/>
      <c r="BE24" s="365">
        <f t="shared" si="28"/>
        <v>0</v>
      </c>
      <c r="BF24" s="182">
        <f t="shared" si="29"/>
        <v>0</v>
      </c>
      <c r="BG24" s="116"/>
      <c r="BH24" s="116"/>
      <c r="BI24" s="116"/>
      <c r="BJ24" s="116"/>
      <c r="BK24" s="116"/>
      <c r="BL24" s="116"/>
      <c r="BM24" s="116"/>
      <c r="BN24" s="117"/>
      <c r="BO24" s="180" t="str">
        <f>'Учебный план'!CN43</f>
        <v>64-5</v>
      </c>
      <c r="BP24" s="116" t="str">
        <f>'Учебный план'!CO43</f>
        <v>ОК 1-10; ПК-1.3</v>
      </c>
    </row>
    <row r="25" spans="1:68" s="414" customFormat="1" ht="25.5" customHeight="1">
      <c r="A25" s="415" t="str">
        <f>'Учебный план'!A44</f>
        <v>ОП.04</v>
      </c>
      <c r="B25" s="415" t="str">
        <f>'Учебный план'!B44</f>
        <v>Правовые основы профессиональной деятельности                                               </v>
      </c>
      <c r="C25" s="415" t="str">
        <f>'Учебный план'!C44</f>
        <v>ПОПД</v>
      </c>
      <c r="D25" s="149" t="s">
        <v>39</v>
      </c>
      <c r="E25" s="149"/>
      <c r="F25" s="149"/>
      <c r="G25" s="149"/>
      <c r="H25" s="149"/>
      <c r="I25" s="201"/>
      <c r="J25" s="190">
        <f t="shared" si="20"/>
        <v>-99</v>
      </c>
      <c r="K25" s="149">
        <f t="shared" si="21"/>
        <v>0</v>
      </c>
      <c r="L25" s="190"/>
      <c r="M25" s="190"/>
      <c r="N25" s="416">
        <f t="shared" si="5"/>
        <v>99</v>
      </c>
      <c r="O25" s="416">
        <f t="shared" si="22"/>
        <v>12</v>
      </c>
      <c r="P25" s="416">
        <f t="shared" si="23"/>
        <v>12</v>
      </c>
      <c r="Q25" s="416">
        <f t="shared" si="23"/>
        <v>0</v>
      </c>
      <c r="R25" s="416">
        <f t="shared" si="23"/>
        <v>0</v>
      </c>
      <c r="S25" s="416"/>
      <c r="T25" s="416">
        <f t="shared" si="24"/>
        <v>0</v>
      </c>
      <c r="U25" s="416">
        <f t="shared" si="25"/>
        <v>87</v>
      </c>
      <c r="V25" s="411">
        <f t="shared" si="7"/>
        <v>0</v>
      </c>
      <c r="W25" s="190"/>
      <c r="X25" s="190"/>
      <c r="Y25" s="190"/>
      <c r="Z25" s="190"/>
      <c r="AA25" s="190"/>
      <c r="AB25" s="412"/>
      <c r="AC25" s="411">
        <f t="shared" si="8"/>
        <v>0</v>
      </c>
      <c r="AD25" s="190"/>
      <c r="AE25" s="190"/>
      <c r="AF25" s="190"/>
      <c r="AG25" s="190"/>
      <c r="AH25" s="190"/>
      <c r="AI25" s="190"/>
      <c r="AJ25" s="411">
        <f t="shared" si="26"/>
        <v>0</v>
      </c>
      <c r="AK25" s="190"/>
      <c r="AL25" s="190"/>
      <c r="AM25" s="190"/>
      <c r="AN25" s="190"/>
      <c r="AO25" s="190"/>
      <c r="AP25" s="190"/>
      <c r="AQ25" s="411">
        <f t="shared" si="9"/>
        <v>99</v>
      </c>
      <c r="AR25" s="190">
        <v>12</v>
      </c>
      <c r="AS25" s="190"/>
      <c r="AT25" s="190"/>
      <c r="AU25" s="190"/>
      <c r="AV25" s="190"/>
      <c r="AW25" s="190">
        <v>87</v>
      </c>
      <c r="AX25" s="411">
        <f t="shared" si="27"/>
        <v>0</v>
      </c>
      <c r="AY25" s="190"/>
      <c r="AZ25" s="190"/>
      <c r="BA25" s="190"/>
      <c r="BB25" s="190"/>
      <c r="BC25" s="190"/>
      <c r="BD25" s="190"/>
      <c r="BE25" s="417">
        <f t="shared" si="28"/>
        <v>0</v>
      </c>
      <c r="BF25" s="411">
        <f t="shared" si="29"/>
        <v>0</v>
      </c>
      <c r="BG25" s="190"/>
      <c r="BH25" s="190"/>
      <c r="BI25" s="190"/>
      <c r="BJ25" s="190"/>
      <c r="BK25" s="190"/>
      <c r="BL25" s="190"/>
      <c r="BM25" s="190"/>
      <c r="BN25" s="412"/>
      <c r="BO25" s="149" t="str">
        <f>'Учебный план'!CN44</f>
        <v>64-1</v>
      </c>
      <c r="BP25" s="190" t="str">
        <f>'Учебный план'!CO44</f>
        <v>ОК-1-10 ПК 1.1 - 1.4, 2.1 - 2.7, 3.1, 3.2, 4.1-4.3</v>
      </c>
    </row>
    <row r="26" spans="1:68" s="450" customFormat="1" ht="25.5" customHeight="1">
      <c r="A26" s="209" t="str">
        <f>'Учебный план'!A45</f>
        <v>ОП.05</v>
      </c>
      <c r="B26" s="209" t="str">
        <f>'Учебный план'!B45</f>
        <v>Метрология и стандартизация</v>
      </c>
      <c r="C26" s="209">
        <f>'Учебный план'!C45</f>
        <v>0</v>
      </c>
      <c r="D26" s="180"/>
      <c r="E26" s="180" t="s">
        <v>27</v>
      </c>
      <c r="F26" s="180"/>
      <c r="G26" s="180"/>
      <c r="H26" s="180"/>
      <c r="I26" s="180"/>
      <c r="J26" s="116">
        <f t="shared" si="20"/>
        <v>-47</v>
      </c>
      <c r="K26" s="180">
        <f t="shared" si="21"/>
        <v>0</v>
      </c>
      <c r="L26" s="116"/>
      <c r="M26" s="116"/>
      <c r="N26" s="366">
        <f t="shared" si="5"/>
        <v>47</v>
      </c>
      <c r="O26" s="363">
        <f t="shared" si="22"/>
        <v>10</v>
      </c>
      <c r="P26" s="363">
        <f t="shared" si="23"/>
        <v>10</v>
      </c>
      <c r="Q26" s="363">
        <f t="shared" si="23"/>
        <v>0</v>
      </c>
      <c r="R26" s="363">
        <f t="shared" si="23"/>
        <v>0</v>
      </c>
      <c r="S26" s="363"/>
      <c r="T26" s="363">
        <f t="shared" si="24"/>
        <v>0</v>
      </c>
      <c r="U26" s="363">
        <f t="shared" si="25"/>
        <v>37</v>
      </c>
      <c r="V26" s="182">
        <f t="shared" si="7"/>
        <v>47</v>
      </c>
      <c r="W26" s="116">
        <v>10</v>
      </c>
      <c r="X26" s="116"/>
      <c r="Y26" s="116"/>
      <c r="Z26" s="116"/>
      <c r="AA26" s="116"/>
      <c r="AB26" s="117">
        <v>37</v>
      </c>
      <c r="AC26" s="182">
        <f t="shared" si="8"/>
        <v>0</v>
      </c>
      <c r="AD26" s="116"/>
      <c r="AE26" s="116"/>
      <c r="AF26" s="116"/>
      <c r="AG26" s="116"/>
      <c r="AH26" s="116"/>
      <c r="AI26" s="116"/>
      <c r="AJ26" s="182">
        <f t="shared" si="26"/>
        <v>0</v>
      </c>
      <c r="AK26" s="116"/>
      <c r="AL26" s="116"/>
      <c r="AM26" s="116"/>
      <c r="AN26" s="116"/>
      <c r="AO26" s="116"/>
      <c r="AP26" s="116"/>
      <c r="AQ26" s="182">
        <f t="shared" si="9"/>
        <v>0</v>
      </c>
      <c r="AR26" s="116"/>
      <c r="AS26" s="116"/>
      <c r="AT26" s="116"/>
      <c r="AU26" s="116"/>
      <c r="AV26" s="116"/>
      <c r="AW26" s="116"/>
      <c r="AX26" s="182">
        <f t="shared" si="27"/>
        <v>0</v>
      </c>
      <c r="AY26" s="116"/>
      <c r="AZ26" s="116"/>
      <c r="BA26" s="116"/>
      <c r="BB26" s="116"/>
      <c r="BC26" s="116"/>
      <c r="BD26" s="116"/>
      <c r="BE26" s="365">
        <f t="shared" si="28"/>
        <v>0</v>
      </c>
      <c r="BF26" s="182">
        <f t="shared" si="29"/>
        <v>0</v>
      </c>
      <c r="BG26" s="116"/>
      <c r="BH26" s="116"/>
      <c r="BI26" s="116"/>
      <c r="BJ26" s="116"/>
      <c r="BK26" s="116"/>
      <c r="BL26" s="116"/>
      <c r="BM26" s="116"/>
      <c r="BN26" s="117"/>
      <c r="BO26" s="180" t="str">
        <f>'Учебный план'!CN45</f>
        <v>64-6</v>
      </c>
      <c r="BP26" s="116" t="str">
        <f>'Учебный план'!CO45</f>
        <v>ОК 1-10, ПК 1.1 - 1.4, 3.1, 3.2,4.1-4.3</v>
      </c>
    </row>
    <row r="27" spans="1:68" s="450" customFormat="1" ht="25.5" customHeight="1">
      <c r="A27" s="209" t="str">
        <f>'Учебный план'!A46</f>
        <v>ОП.06</v>
      </c>
      <c r="B27" s="209" t="str">
        <f>'Учебный план'!B46</f>
        <v>Теория и устройство судна</v>
      </c>
      <c r="C27" s="209" t="str">
        <f>'Учебный план'!C46</f>
        <v>ТУС</v>
      </c>
      <c r="D27" s="180" t="s">
        <v>30</v>
      </c>
      <c r="E27" s="180"/>
      <c r="F27" s="180"/>
      <c r="G27" s="180"/>
      <c r="H27" s="180"/>
      <c r="I27" s="180" t="s">
        <v>27</v>
      </c>
      <c r="J27" s="116">
        <f t="shared" si="20"/>
        <v>-150</v>
      </c>
      <c r="K27" s="180">
        <f t="shared" si="21"/>
        <v>0</v>
      </c>
      <c r="L27" s="116"/>
      <c r="M27" s="116"/>
      <c r="N27" s="366">
        <f t="shared" si="5"/>
        <v>150</v>
      </c>
      <c r="O27" s="363">
        <f t="shared" si="22"/>
        <v>28</v>
      </c>
      <c r="P27" s="363">
        <f t="shared" si="23"/>
        <v>28</v>
      </c>
      <c r="Q27" s="363">
        <f t="shared" si="23"/>
        <v>0</v>
      </c>
      <c r="R27" s="363">
        <f t="shared" si="23"/>
        <v>0</v>
      </c>
      <c r="S27" s="363"/>
      <c r="T27" s="363">
        <f t="shared" si="24"/>
        <v>0</v>
      </c>
      <c r="U27" s="363">
        <f t="shared" si="25"/>
        <v>122</v>
      </c>
      <c r="V27" s="182">
        <f t="shared" si="7"/>
        <v>74</v>
      </c>
      <c r="W27" s="116">
        <v>16</v>
      </c>
      <c r="X27" s="116"/>
      <c r="Y27" s="116"/>
      <c r="Z27" s="116"/>
      <c r="AA27" s="116"/>
      <c r="AB27" s="117">
        <v>58</v>
      </c>
      <c r="AC27" s="182">
        <f t="shared" si="8"/>
        <v>76</v>
      </c>
      <c r="AD27" s="116">
        <v>12</v>
      </c>
      <c r="AE27" s="116"/>
      <c r="AF27" s="116"/>
      <c r="AG27" s="116"/>
      <c r="AH27" s="116"/>
      <c r="AI27" s="116">
        <v>64</v>
      </c>
      <c r="AJ27" s="182">
        <f t="shared" si="26"/>
        <v>0</v>
      </c>
      <c r="AK27" s="116"/>
      <c r="AL27" s="116"/>
      <c r="AM27" s="116"/>
      <c r="AN27" s="116"/>
      <c r="AO27" s="116"/>
      <c r="AP27" s="116"/>
      <c r="AQ27" s="182">
        <f t="shared" si="9"/>
        <v>0</v>
      </c>
      <c r="AR27" s="116"/>
      <c r="AS27" s="116"/>
      <c r="AT27" s="116"/>
      <c r="AU27" s="116"/>
      <c r="AV27" s="116"/>
      <c r="AW27" s="116"/>
      <c r="AX27" s="182">
        <f t="shared" si="27"/>
        <v>0</v>
      </c>
      <c r="AY27" s="116"/>
      <c r="AZ27" s="116"/>
      <c r="BA27" s="116"/>
      <c r="BB27" s="116"/>
      <c r="BC27" s="116"/>
      <c r="BD27" s="116"/>
      <c r="BE27" s="365">
        <f t="shared" si="28"/>
        <v>0</v>
      </c>
      <c r="BF27" s="182">
        <f t="shared" si="29"/>
        <v>0</v>
      </c>
      <c r="BG27" s="116"/>
      <c r="BH27" s="116"/>
      <c r="BI27" s="116"/>
      <c r="BJ27" s="116"/>
      <c r="BK27" s="116"/>
      <c r="BL27" s="116"/>
      <c r="BM27" s="116"/>
      <c r="BN27" s="117"/>
      <c r="BO27" s="180" t="str">
        <f>'Учебный план'!CN46</f>
        <v>64-3</v>
      </c>
      <c r="BP27" s="116" t="str">
        <f>'Учебный план'!CO46</f>
        <v>ОК 1-10 ПК 1.1 - 1.4, 2.1-2.7, 3.1, 3.2, 4.1-4.3</v>
      </c>
    </row>
    <row r="28" spans="1:71" s="450" customFormat="1" ht="25.5" customHeight="1">
      <c r="A28" s="209" t="str">
        <f>'Учебный план'!A47</f>
        <v>ОП.07</v>
      </c>
      <c r="B28" s="209" t="str">
        <f>'Учебный план'!B47</f>
        <v>Безопасность жизнедеятельности</v>
      </c>
      <c r="C28" s="209">
        <f>'Учебный план'!C47</f>
        <v>0</v>
      </c>
      <c r="D28" s="180" t="s">
        <v>27</v>
      </c>
      <c r="E28" s="180"/>
      <c r="F28" s="180"/>
      <c r="G28" s="180"/>
      <c r="H28" s="180"/>
      <c r="I28" s="180"/>
      <c r="J28" s="116">
        <f t="shared" si="20"/>
        <v>-102</v>
      </c>
      <c r="K28" s="180">
        <f t="shared" si="21"/>
        <v>0</v>
      </c>
      <c r="L28" s="116"/>
      <c r="M28" s="116"/>
      <c r="N28" s="366">
        <f t="shared" si="5"/>
        <v>102</v>
      </c>
      <c r="O28" s="363">
        <f t="shared" si="22"/>
        <v>16</v>
      </c>
      <c r="P28" s="363">
        <f t="shared" si="23"/>
        <v>16</v>
      </c>
      <c r="Q28" s="363">
        <f t="shared" si="23"/>
        <v>0</v>
      </c>
      <c r="R28" s="363">
        <f t="shared" si="23"/>
        <v>0</v>
      </c>
      <c r="S28" s="363"/>
      <c r="T28" s="363">
        <f t="shared" si="24"/>
        <v>0</v>
      </c>
      <c r="U28" s="363">
        <f t="shared" si="25"/>
        <v>86</v>
      </c>
      <c r="V28" s="182">
        <f t="shared" si="7"/>
        <v>102</v>
      </c>
      <c r="W28" s="116">
        <v>16</v>
      </c>
      <c r="X28" s="116"/>
      <c r="Y28" s="116"/>
      <c r="Z28" s="116"/>
      <c r="AA28" s="116"/>
      <c r="AB28" s="117">
        <v>86</v>
      </c>
      <c r="AC28" s="182">
        <f t="shared" si="8"/>
        <v>0</v>
      </c>
      <c r="AD28" s="116"/>
      <c r="AE28" s="116"/>
      <c r="AF28" s="116"/>
      <c r="AG28" s="116"/>
      <c r="AH28" s="116"/>
      <c r="AI28" s="116"/>
      <c r="AJ28" s="182">
        <f t="shared" si="26"/>
        <v>0</v>
      </c>
      <c r="AK28" s="116"/>
      <c r="AL28" s="116"/>
      <c r="AM28" s="116"/>
      <c r="AN28" s="116"/>
      <c r="AO28" s="116"/>
      <c r="AP28" s="116"/>
      <c r="AQ28" s="182">
        <f t="shared" si="9"/>
        <v>0</v>
      </c>
      <c r="AR28" s="116"/>
      <c r="AS28" s="116"/>
      <c r="AT28" s="116"/>
      <c r="AU28" s="116"/>
      <c r="AV28" s="116"/>
      <c r="AW28" s="116"/>
      <c r="AX28" s="182">
        <f t="shared" si="27"/>
        <v>0</v>
      </c>
      <c r="AY28" s="116"/>
      <c r="AZ28" s="116"/>
      <c r="BA28" s="116"/>
      <c r="BB28" s="116"/>
      <c r="BC28" s="116"/>
      <c r="BD28" s="116"/>
      <c r="BE28" s="365">
        <f t="shared" si="28"/>
        <v>0</v>
      </c>
      <c r="BF28" s="182">
        <f t="shared" si="29"/>
        <v>0</v>
      </c>
      <c r="BG28" s="116"/>
      <c r="BH28" s="116"/>
      <c r="BI28" s="116"/>
      <c r="BJ28" s="116"/>
      <c r="BK28" s="116"/>
      <c r="BL28" s="116"/>
      <c r="BM28" s="116"/>
      <c r="BN28" s="117"/>
      <c r="BO28" s="180" t="str">
        <f>'Учебный план'!CN47</f>
        <v>64-6</v>
      </c>
      <c r="BP28" s="116" t="str">
        <f>'Учебный план'!CO47</f>
        <v>ОК-1-10, ПК 1.1-1.4. 2.1-2.7, 3.1, 3.2, 4.1-4.3</v>
      </c>
      <c r="BS28" s="450" t="s">
        <v>26</v>
      </c>
    </row>
    <row r="29" spans="1:68" s="48" customFormat="1" ht="25.5" customHeight="1">
      <c r="A29" s="216" t="str">
        <f>'Учебный план'!A48</f>
        <v>ПМ.00</v>
      </c>
      <c r="B29" s="751" t="str">
        <f>'Учебный план'!B48</f>
        <v>Профессиональные модули</v>
      </c>
      <c r="C29" s="752"/>
      <c r="D29" s="752"/>
      <c r="E29" s="752"/>
      <c r="F29" s="752"/>
      <c r="G29" s="752"/>
      <c r="H29" s="752"/>
      <c r="I29" s="753"/>
      <c r="J29" s="197"/>
      <c r="K29" s="370"/>
      <c r="L29" s="324">
        <f>'Учебный план'!L48</f>
        <v>2248</v>
      </c>
      <c r="M29" s="324">
        <f>'Учебный план'!M48</f>
        <v>1568</v>
      </c>
      <c r="N29" s="197">
        <f t="shared" si="5"/>
        <v>3646</v>
      </c>
      <c r="O29" s="197">
        <f aca="true" t="shared" si="30" ref="O29:BD29">SUM(O30+O56+O62+O67+O70)</f>
        <v>538</v>
      </c>
      <c r="P29" s="197">
        <f t="shared" si="30"/>
        <v>351</v>
      </c>
      <c r="Q29" s="197">
        <f t="shared" si="30"/>
        <v>104</v>
      </c>
      <c r="R29" s="197">
        <f t="shared" si="30"/>
        <v>83</v>
      </c>
      <c r="S29" s="197"/>
      <c r="T29" s="197">
        <f t="shared" si="30"/>
        <v>0</v>
      </c>
      <c r="U29" s="197">
        <f t="shared" si="30"/>
        <v>3108</v>
      </c>
      <c r="V29" s="197">
        <f t="shared" si="30"/>
        <v>0</v>
      </c>
      <c r="W29" s="197">
        <f t="shared" si="30"/>
        <v>0</v>
      </c>
      <c r="X29" s="197">
        <f t="shared" si="30"/>
        <v>0</v>
      </c>
      <c r="Y29" s="197">
        <f t="shared" si="30"/>
        <v>0</v>
      </c>
      <c r="Z29" s="197"/>
      <c r="AA29" s="197">
        <f t="shared" si="30"/>
        <v>0</v>
      </c>
      <c r="AB29" s="197">
        <f t="shared" si="30"/>
        <v>0</v>
      </c>
      <c r="AC29" s="197">
        <f t="shared" si="30"/>
        <v>891</v>
      </c>
      <c r="AD29" s="197">
        <f t="shared" si="30"/>
        <v>100</v>
      </c>
      <c r="AE29" s="197">
        <f t="shared" si="30"/>
        <v>4</v>
      </c>
      <c r="AF29" s="197">
        <f t="shared" si="30"/>
        <v>0</v>
      </c>
      <c r="AG29" s="197"/>
      <c r="AH29" s="197">
        <f t="shared" si="30"/>
        <v>0</v>
      </c>
      <c r="AI29" s="197">
        <f t="shared" si="30"/>
        <v>787</v>
      </c>
      <c r="AJ29" s="197">
        <f t="shared" si="30"/>
        <v>997</v>
      </c>
      <c r="AK29" s="197">
        <f t="shared" si="30"/>
        <v>118</v>
      </c>
      <c r="AL29" s="197">
        <f t="shared" si="30"/>
        <v>34</v>
      </c>
      <c r="AM29" s="197">
        <f t="shared" si="30"/>
        <v>0</v>
      </c>
      <c r="AN29" s="197"/>
      <c r="AO29" s="197">
        <f t="shared" si="30"/>
        <v>0</v>
      </c>
      <c r="AP29" s="197">
        <f t="shared" si="30"/>
        <v>845</v>
      </c>
      <c r="AQ29" s="197">
        <f t="shared" si="30"/>
        <v>942</v>
      </c>
      <c r="AR29" s="197">
        <f t="shared" si="30"/>
        <v>84</v>
      </c>
      <c r="AS29" s="197">
        <f t="shared" si="30"/>
        <v>26</v>
      </c>
      <c r="AT29" s="197">
        <f t="shared" si="30"/>
        <v>22</v>
      </c>
      <c r="AU29" s="197"/>
      <c r="AV29" s="197">
        <f t="shared" si="30"/>
        <v>0</v>
      </c>
      <c r="AW29" s="197">
        <f t="shared" si="30"/>
        <v>810</v>
      </c>
      <c r="AX29" s="197">
        <f t="shared" si="30"/>
        <v>816</v>
      </c>
      <c r="AY29" s="197">
        <f t="shared" si="30"/>
        <v>49</v>
      </c>
      <c r="AZ29" s="197">
        <f t="shared" si="30"/>
        <v>40</v>
      </c>
      <c r="BA29" s="197">
        <f t="shared" si="30"/>
        <v>61</v>
      </c>
      <c r="BB29" s="197"/>
      <c r="BC29" s="197">
        <f t="shared" si="30"/>
        <v>0</v>
      </c>
      <c r="BD29" s="197">
        <f t="shared" si="30"/>
        <v>666</v>
      </c>
      <c r="BE29" s="197" t="e">
        <f>SUM(BE30+BE56+BE62+#REF!)</f>
        <v>#REF!</v>
      </c>
      <c r="BF29" s="197">
        <f aca="true" t="shared" si="31" ref="BF29:BM29">SUM(BF30+BF56+BF62+BF67+BF70)</f>
        <v>0</v>
      </c>
      <c r="BG29" s="197">
        <f t="shared" si="31"/>
        <v>0</v>
      </c>
      <c r="BH29" s="197">
        <f t="shared" si="31"/>
        <v>0</v>
      </c>
      <c r="BI29" s="197">
        <f t="shared" si="31"/>
        <v>0</v>
      </c>
      <c r="BJ29" s="197">
        <f t="shared" si="31"/>
        <v>0</v>
      </c>
      <c r="BK29" s="197">
        <f t="shared" si="31"/>
        <v>0</v>
      </c>
      <c r="BL29" s="197">
        <f t="shared" si="31"/>
        <v>0</v>
      </c>
      <c r="BM29" s="197">
        <f t="shared" si="31"/>
        <v>0</v>
      </c>
      <c r="BN29" s="197"/>
      <c r="BO29" s="370">
        <f>'Учебный план'!CN48</f>
        <v>0</v>
      </c>
      <c r="BP29" s="370">
        <f>'Учебный план'!CO48</f>
        <v>0</v>
      </c>
    </row>
    <row r="30" spans="1:68" s="48" customFormat="1" ht="25.5" customHeight="1">
      <c r="A30" s="222" t="str">
        <f>'Учебный план'!A49</f>
        <v>ПМ.01</v>
      </c>
      <c r="B30" s="742" t="str">
        <f>'Учебный план'!B49</f>
        <v>Управление и эксплуатация судна с правом эксплуатации судовых энергетических установок</v>
      </c>
      <c r="C30" s="743"/>
      <c r="D30" s="743"/>
      <c r="E30" s="743"/>
      <c r="F30" s="743"/>
      <c r="G30" s="743"/>
      <c r="H30" s="743"/>
      <c r="I30" s="744"/>
      <c r="J30" s="191"/>
      <c r="K30" s="371"/>
      <c r="L30" s="191">
        <f>'Учебный план'!N49</f>
        <v>2839</v>
      </c>
      <c r="M30" s="191">
        <f>'Учебный план'!O49</f>
        <v>1959</v>
      </c>
      <c r="N30" s="191">
        <f>SUM(O30+U30)</f>
        <v>2841</v>
      </c>
      <c r="O30" s="191">
        <f>O31+O37+O44+O51</f>
        <v>444</v>
      </c>
      <c r="P30" s="191">
        <f>P31+P37+P44+P51</f>
        <v>279</v>
      </c>
      <c r="Q30" s="191">
        <f>Q31+Q37+Q44+Q51</f>
        <v>104</v>
      </c>
      <c r="R30" s="191">
        <f>R31+R37+R44+R51</f>
        <v>61</v>
      </c>
      <c r="S30" s="191"/>
      <c r="T30" s="191">
        <f>T31+T37+T44+T51</f>
        <v>0</v>
      </c>
      <c r="U30" s="191">
        <f>U31+U37+U44+U51</f>
        <v>2397</v>
      </c>
      <c r="V30" s="191">
        <f aca="true" t="shared" si="32" ref="V30:AB30">SUM(V31+V37)</f>
        <v>0</v>
      </c>
      <c r="W30" s="191">
        <f t="shared" si="32"/>
        <v>0</v>
      </c>
      <c r="X30" s="191">
        <f t="shared" si="32"/>
        <v>0</v>
      </c>
      <c r="Y30" s="191">
        <f t="shared" si="32"/>
        <v>0</v>
      </c>
      <c r="Z30" s="191"/>
      <c r="AA30" s="191">
        <f t="shared" si="32"/>
        <v>0</v>
      </c>
      <c r="AB30" s="191">
        <f t="shared" si="32"/>
        <v>0</v>
      </c>
      <c r="AC30" s="191">
        <f>SUM(AC31+AC37+AC44+AC51)</f>
        <v>361</v>
      </c>
      <c r="AD30" s="191">
        <f>SUM(AD31+AD37+AD44+AD51)</f>
        <v>56</v>
      </c>
      <c r="AE30" s="191">
        <f>SUM(AE31+AE37+AE44+AE51)</f>
        <v>4</v>
      </c>
      <c r="AF30" s="191">
        <f>SUM(AF31+AF37+AF44+AF51)</f>
        <v>0</v>
      </c>
      <c r="AG30" s="191"/>
      <c r="AH30" s="191">
        <f aca="true" t="shared" si="33" ref="AH30:AM30">SUM(AH31+AH37+AH44+AH51)</f>
        <v>0</v>
      </c>
      <c r="AI30" s="191">
        <f t="shared" si="33"/>
        <v>301</v>
      </c>
      <c r="AJ30" s="191">
        <f t="shared" si="33"/>
        <v>932</v>
      </c>
      <c r="AK30" s="191">
        <f t="shared" si="33"/>
        <v>108</v>
      </c>
      <c r="AL30" s="191">
        <f t="shared" si="33"/>
        <v>34</v>
      </c>
      <c r="AM30" s="191">
        <f t="shared" si="33"/>
        <v>0</v>
      </c>
      <c r="AN30" s="191"/>
      <c r="AO30" s="191">
        <f aca="true" t="shared" si="34" ref="AO30:AT30">SUM(AO31+AO37+AO44+AO51)</f>
        <v>0</v>
      </c>
      <c r="AP30" s="191">
        <f t="shared" si="34"/>
        <v>790</v>
      </c>
      <c r="AQ30" s="191">
        <f t="shared" si="34"/>
        <v>732</v>
      </c>
      <c r="AR30" s="191">
        <f t="shared" si="34"/>
        <v>66</v>
      </c>
      <c r="AS30" s="191">
        <f t="shared" si="34"/>
        <v>26</v>
      </c>
      <c r="AT30" s="191">
        <f t="shared" si="34"/>
        <v>0</v>
      </c>
      <c r="AU30" s="191"/>
      <c r="AV30" s="191">
        <f>SUM(AV31+AV37+AV44+AV51)</f>
        <v>0</v>
      </c>
      <c r="AW30" s="191">
        <f>SUM(AW31+AW37+AW44+AW51)</f>
        <v>640</v>
      </c>
      <c r="AX30" s="191">
        <f>SUM(AX31+AX37+AX44+AX51)</f>
        <v>816</v>
      </c>
      <c r="AY30" s="191">
        <f>SUM(AY31+AY37+AY44+AY51)</f>
        <v>49</v>
      </c>
      <c r="AZ30" s="191">
        <f aca="true" t="shared" si="35" ref="AZ30:BN30">SUM(AZ31+AZ37+AZ44+AZ51)</f>
        <v>40</v>
      </c>
      <c r="BA30" s="191">
        <f t="shared" si="35"/>
        <v>61</v>
      </c>
      <c r="BB30" s="191"/>
      <c r="BC30" s="191">
        <f t="shared" si="35"/>
        <v>0</v>
      </c>
      <c r="BD30" s="191">
        <f t="shared" si="35"/>
        <v>666</v>
      </c>
      <c r="BE30" s="191">
        <f t="shared" si="35"/>
        <v>0</v>
      </c>
      <c r="BF30" s="191">
        <f t="shared" si="35"/>
        <v>0</v>
      </c>
      <c r="BG30" s="191">
        <f t="shared" si="35"/>
        <v>0</v>
      </c>
      <c r="BH30" s="191">
        <f t="shared" si="35"/>
        <v>0</v>
      </c>
      <c r="BI30" s="191">
        <f t="shared" si="35"/>
        <v>0</v>
      </c>
      <c r="BJ30" s="191">
        <f t="shared" si="35"/>
        <v>0</v>
      </c>
      <c r="BK30" s="191">
        <f t="shared" si="35"/>
        <v>0</v>
      </c>
      <c r="BL30" s="191">
        <f t="shared" si="35"/>
        <v>0</v>
      </c>
      <c r="BM30" s="191">
        <f t="shared" si="35"/>
        <v>0</v>
      </c>
      <c r="BN30" s="191">
        <f t="shared" si="35"/>
        <v>0</v>
      </c>
      <c r="BO30" s="371">
        <f>'Учебный план'!CN49</f>
        <v>0</v>
      </c>
      <c r="BP30" s="372" t="str">
        <f>'Учебный план'!CO49</f>
        <v>ОК 1-10, ПК1.1-1.4</v>
      </c>
    </row>
    <row r="31" spans="1:68" s="48" customFormat="1" ht="25.5" customHeight="1">
      <c r="A31" s="227" t="str">
        <f>'Учебный план'!A50</f>
        <v>МДК.01.01</v>
      </c>
      <c r="B31" s="745" t="str">
        <f>'Учебный план'!B50</f>
        <v>Навигация, навигационная гидрометеорология и лоция</v>
      </c>
      <c r="C31" s="746"/>
      <c r="D31" s="746"/>
      <c r="E31" s="746"/>
      <c r="F31" s="746"/>
      <c r="G31" s="746"/>
      <c r="H31" s="746"/>
      <c r="I31" s="747"/>
      <c r="J31" s="219"/>
      <c r="K31" s="220"/>
      <c r="L31" s="219">
        <f>'Учебный план'!N50</f>
        <v>724</v>
      </c>
      <c r="M31" s="219">
        <f>'Учебный план'!O50</f>
        <v>504</v>
      </c>
      <c r="N31" s="219">
        <f t="shared" si="5"/>
        <v>724</v>
      </c>
      <c r="O31" s="219">
        <f>SUM(O32:O36)</f>
        <v>116</v>
      </c>
      <c r="P31" s="219">
        <f>SUM(P32:P36)</f>
        <v>76</v>
      </c>
      <c r="Q31" s="219">
        <f>SUM(Q32:Q36)</f>
        <v>12</v>
      </c>
      <c r="R31" s="219">
        <f>SUM(R32:R36)</f>
        <v>28</v>
      </c>
      <c r="S31" s="219"/>
      <c r="T31" s="219">
        <f aca="true" t="shared" si="36" ref="T31:Y31">SUM(T32:T36)</f>
        <v>0</v>
      </c>
      <c r="U31" s="219">
        <f t="shared" si="36"/>
        <v>608</v>
      </c>
      <c r="V31" s="219">
        <f t="shared" si="36"/>
        <v>0</v>
      </c>
      <c r="W31" s="219">
        <f t="shared" si="36"/>
        <v>0</v>
      </c>
      <c r="X31" s="219">
        <f t="shared" si="36"/>
        <v>0</v>
      </c>
      <c r="Y31" s="219">
        <f t="shared" si="36"/>
        <v>0</v>
      </c>
      <c r="Z31" s="219"/>
      <c r="AA31" s="219">
        <f>SUM(AA32:AA36)</f>
        <v>0</v>
      </c>
      <c r="AB31" s="219">
        <f>SUM(AB32:AB36)</f>
        <v>0</v>
      </c>
      <c r="AC31" s="219">
        <f aca="true" t="shared" si="37" ref="AC31:AW31">SUM(AC32:AC36)</f>
        <v>57</v>
      </c>
      <c r="AD31" s="219">
        <f t="shared" si="37"/>
        <v>12</v>
      </c>
      <c r="AE31" s="219">
        <f t="shared" si="37"/>
        <v>0</v>
      </c>
      <c r="AF31" s="219">
        <f t="shared" si="37"/>
        <v>0</v>
      </c>
      <c r="AG31" s="219"/>
      <c r="AH31" s="219">
        <f t="shared" si="37"/>
        <v>0</v>
      </c>
      <c r="AI31" s="219">
        <f t="shared" si="37"/>
        <v>45</v>
      </c>
      <c r="AJ31" s="219">
        <f t="shared" si="37"/>
        <v>281</v>
      </c>
      <c r="AK31" s="219">
        <f>SUM(AK32:AK36)</f>
        <v>28</v>
      </c>
      <c r="AL31" s="219">
        <f t="shared" si="37"/>
        <v>12</v>
      </c>
      <c r="AM31" s="219">
        <f t="shared" si="37"/>
        <v>0</v>
      </c>
      <c r="AN31" s="219"/>
      <c r="AO31" s="219">
        <f t="shared" si="37"/>
        <v>0</v>
      </c>
      <c r="AP31" s="219">
        <f t="shared" si="37"/>
        <v>241</v>
      </c>
      <c r="AQ31" s="219">
        <f t="shared" si="37"/>
        <v>158</v>
      </c>
      <c r="AR31" s="219">
        <f t="shared" si="37"/>
        <v>16</v>
      </c>
      <c r="AS31" s="219">
        <f t="shared" si="37"/>
        <v>0</v>
      </c>
      <c r="AT31" s="219">
        <f t="shared" si="37"/>
        <v>0</v>
      </c>
      <c r="AU31" s="219"/>
      <c r="AV31" s="219">
        <f t="shared" si="37"/>
        <v>0</v>
      </c>
      <c r="AW31" s="219">
        <f t="shared" si="37"/>
        <v>142</v>
      </c>
      <c r="AX31" s="219">
        <f aca="true" t="shared" si="38" ref="AX31:BD31">SUM(AX32:AX36)</f>
        <v>228</v>
      </c>
      <c r="AY31" s="219">
        <f>SUM(AY32:AY36)</f>
        <v>20</v>
      </c>
      <c r="AZ31" s="219">
        <f t="shared" si="38"/>
        <v>0</v>
      </c>
      <c r="BA31" s="219">
        <f t="shared" si="38"/>
        <v>28</v>
      </c>
      <c r="BB31" s="219"/>
      <c r="BC31" s="219">
        <f t="shared" si="38"/>
        <v>0</v>
      </c>
      <c r="BD31" s="219">
        <f t="shared" si="38"/>
        <v>180</v>
      </c>
      <c r="BE31" s="219">
        <f aca="true" t="shared" si="39" ref="BE31:BM31">SUM(BE32:BE36)</f>
        <v>0</v>
      </c>
      <c r="BF31" s="219">
        <f t="shared" si="39"/>
        <v>0</v>
      </c>
      <c r="BG31" s="219">
        <f t="shared" si="39"/>
        <v>0</v>
      </c>
      <c r="BH31" s="219">
        <f t="shared" si="39"/>
        <v>0</v>
      </c>
      <c r="BI31" s="219">
        <f t="shared" si="39"/>
        <v>0</v>
      </c>
      <c r="BJ31" s="219">
        <f t="shared" si="39"/>
        <v>0</v>
      </c>
      <c r="BK31" s="219">
        <f t="shared" si="39"/>
        <v>0</v>
      </c>
      <c r="BL31" s="219">
        <f t="shared" si="39"/>
        <v>0</v>
      </c>
      <c r="BM31" s="219">
        <f t="shared" si="39"/>
        <v>0</v>
      </c>
      <c r="BN31" s="219"/>
      <c r="BO31" s="219">
        <f>'Учебный план'!CN50</f>
        <v>0</v>
      </c>
      <c r="BP31" s="219">
        <f>'Учебный план'!CO50</f>
        <v>0</v>
      </c>
    </row>
    <row r="32" spans="1:68" s="414" customFormat="1" ht="25.5" customHeight="1">
      <c r="A32" s="415">
        <f>'Учебный план'!A51</f>
        <v>0</v>
      </c>
      <c r="B32" s="415" t="str">
        <f>'Учебный план'!B51</f>
        <v>Навигация и лоция</v>
      </c>
      <c r="C32" s="415">
        <f>'Учебный план'!C51</f>
        <v>0</v>
      </c>
      <c r="D32" s="149"/>
      <c r="E32" s="201" t="s">
        <v>510</v>
      </c>
      <c r="F32" s="201"/>
      <c r="G32" s="201"/>
      <c r="H32" s="201" t="s">
        <v>40</v>
      </c>
      <c r="I32" s="201" t="s">
        <v>29</v>
      </c>
      <c r="J32" s="190">
        <f>L32-N32</f>
        <v>-310</v>
      </c>
      <c r="K32" s="149">
        <f>M32*$K$1</f>
        <v>0</v>
      </c>
      <c r="L32" s="190"/>
      <c r="M32" s="190"/>
      <c r="N32" s="416">
        <f t="shared" si="5"/>
        <v>310</v>
      </c>
      <c r="O32" s="416">
        <f>SUM(P32:T32)</f>
        <v>52</v>
      </c>
      <c r="P32" s="416">
        <f aca="true" t="shared" si="40" ref="P32:R36">W32+AK32+AR32+AY32+AD32+BH32</f>
        <v>24</v>
      </c>
      <c r="Q32" s="416">
        <f t="shared" si="40"/>
        <v>0</v>
      </c>
      <c r="R32" s="416">
        <f t="shared" si="40"/>
        <v>28</v>
      </c>
      <c r="S32" s="416"/>
      <c r="T32" s="416">
        <f>AA32+AO32+AV32+BC32+AH32+BK32</f>
        <v>0</v>
      </c>
      <c r="U32" s="416">
        <f>AB32+AP32+AW32+BD32+BM32+AI32</f>
        <v>258</v>
      </c>
      <c r="V32" s="411">
        <f>SUM(W32:AB32)</f>
        <v>0</v>
      </c>
      <c r="W32" s="190"/>
      <c r="X32" s="190"/>
      <c r="Y32" s="190"/>
      <c r="Z32" s="190"/>
      <c r="AA32" s="190"/>
      <c r="AB32" s="190"/>
      <c r="AC32" s="411">
        <f>SUM(AD32:AI32)</f>
        <v>0</v>
      </c>
      <c r="AD32" s="190"/>
      <c r="AE32" s="190"/>
      <c r="AF32" s="190"/>
      <c r="AG32" s="190"/>
      <c r="AH32" s="190"/>
      <c r="AI32" s="190"/>
      <c r="AJ32" s="411">
        <f>SUM(AK32:AP32)</f>
        <v>90</v>
      </c>
      <c r="AK32" s="190">
        <v>8</v>
      </c>
      <c r="AL32" s="190"/>
      <c r="AM32" s="190"/>
      <c r="AN32" s="190"/>
      <c r="AO32" s="190"/>
      <c r="AP32" s="190">
        <v>82</v>
      </c>
      <c r="AQ32" s="411">
        <f>SUM(AR32:AW32)</f>
        <v>90</v>
      </c>
      <c r="AR32" s="190">
        <v>8</v>
      </c>
      <c r="AS32" s="190"/>
      <c r="AT32" s="190"/>
      <c r="AU32" s="190"/>
      <c r="AV32" s="190"/>
      <c r="AW32" s="190">
        <v>82</v>
      </c>
      <c r="AX32" s="411">
        <f>SUM(AY32:BD32)</f>
        <v>130</v>
      </c>
      <c r="AY32" s="939">
        <v>8</v>
      </c>
      <c r="AZ32" s="939"/>
      <c r="BA32" s="939">
        <v>28</v>
      </c>
      <c r="BB32" s="939"/>
      <c r="BC32" s="939"/>
      <c r="BD32" s="939">
        <v>94</v>
      </c>
      <c r="BE32" s="417">
        <f>LEN(I32)-LEN(SUBSTITUTE(I32,"9",""))</f>
        <v>0</v>
      </c>
      <c r="BF32" s="411">
        <f>SUM(BG32:BM32)</f>
        <v>0</v>
      </c>
      <c r="BG32" s="190"/>
      <c r="BH32" s="190"/>
      <c r="BI32" s="190"/>
      <c r="BJ32" s="190"/>
      <c r="BK32" s="190"/>
      <c r="BL32" s="190"/>
      <c r="BM32" s="190"/>
      <c r="BN32" s="412"/>
      <c r="BO32" s="149" t="str">
        <f>'Учебный план'!CN51</f>
        <v>64-3</v>
      </c>
      <c r="BP32" s="190" t="str">
        <f>'Учебный план'!CO51</f>
        <v>ОК-1-10; ПК-1.1</v>
      </c>
    </row>
    <row r="33" spans="1:68" s="450" customFormat="1" ht="25.5" customHeight="1">
      <c r="A33" s="209">
        <f>'Учебный план'!A52</f>
        <v>0</v>
      </c>
      <c r="B33" s="209" t="str">
        <f>'Учебный план'!B52</f>
        <v>Основы картографии и навигационные карты</v>
      </c>
      <c r="C33" s="209">
        <f>'Учебный план'!C52</f>
        <v>0</v>
      </c>
      <c r="D33" s="180"/>
      <c r="E33" s="180" t="s">
        <v>29</v>
      </c>
      <c r="F33" s="180"/>
      <c r="G33" s="180"/>
      <c r="H33" s="180"/>
      <c r="I33" s="180" t="s">
        <v>30</v>
      </c>
      <c r="J33" s="116">
        <f>L33-N33</f>
        <v>-120</v>
      </c>
      <c r="K33" s="180">
        <f>M33*$K$1</f>
        <v>0</v>
      </c>
      <c r="L33" s="116"/>
      <c r="M33" s="116"/>
      <c r="N33" s="363">
        <f t="shared" si="5"/>
        <v>120</v>
      </c>
      <c r="O33" s="363">
        <f>SUM(P33:T33)</f>
        <v>20</v>
      </c>
      <c r="P33" s="363">
        <f t="shared" si="40"/>
        <v>20</v>
      </c>
      <c r="Q33" s="363">
        <f t="shared" si="40"/>
        <v>0</v>
      </c>
      <c r="R33" s="363">
        <f t="shared" si="40"/>
        <v>0</v>
      </c>
      <c r="S33" s="363"/>
      <c r="T33" s="363">
        <f>AA33+AO33+AV33+BC33+AH33+BK33</f>
        <v>0</v>
      </c>
      <c r="U33" s="363">
        <f>AB33+AP33+AW33+BD33+BM33+AI33</f>
        <v>100</v>
      </c>
      <c r="V33" s="182">
        <f>SUM(W33:AB33)</f>
        <v>0</v>
      </c>
      <c r="W33" s="116"/>
      <c r="X33" s="116"/>
      <c r="Y33" s="116"/>
      <c r="Z33" s="116"/>
      <c r="AA33" s="116"/>
      <c r="AB33" s="116"/>
      <c r="AC33" s="182">
        <f>SUM(AD33:AI33)</f>
        <v>57</v>
      </c>
      <c r="AD33" s="116">
        <v>12</v>
      </c>
      <c r="AE33" s="116"/>
      <c r="AF33" s="116"/>
      <c r="AG33" s="116"/>
      <c r="AH33" s="116"/>
      <c r="AI33" s="116">
        <v>45</v>
      </c>
      <c r="AJ33" s="182">
        <f>SUM(AK33:AP33)</f>
        <v>63</v>
      </c>
      <c r="AK33" s="116">
        <v>8</v>
      </c>
      <c r="AL33" s="116"/>
      <c r="AM33" s="116"/>
      <c r="AN33" s="116"/>
      <c r="AO33" s="116"/>
      <c r="AP33" s="116">
        <v>55</v>
      </c>
      <c r="AQ33" s="182">
        <f>SUM(AR33:AW33)</f>
        <v>0</v>
      </c>
      <c r="AR33" s="116"/>
      <c r="AS33" s="116"/>
      <c r="AT33" s="116"/>
      <c r="AU33" s="116"/>
      <c r="AV33" s="116"/>
      <c r="AW33" s="116"/>
      <c r="AX33" s="182">
        <f>SUM(AY33:BD33)</f>
        <v>0</v>
      </c>
      <c r="AY33" s="116"/>
      <c r="AZ33" s="116"/>
      <c r="BA33" s="116"/>
      <c r="BB33" s="116"/>
      <c r="BC33" s="116"/>
      <c r="BD33" s="116"/>
      <c r="BE33" s="365">
        <f>LEN(I33)-LEN(SUBSTITUTE(I33,"9",""))</f>
        <v>0</v>
      </c>
      <c r="BF33" s="182">
        <f>SUM(BG33:BM33)</f>
        <v>0</v>
      </c>
      <c r="BG33" s="116"/>
      <c r="BH33" s="116"/>
      <c r="BI33" s="116"/>
      <c r="BJ33" s="116"/>
      <c r="BK33" s="116"/>
      <c r="BL33" s="116"/>
      <c r="BM33" s="116"/>
      <c r="BN33" s="117"/>
      <c r="BO33" s="180" t="str">
        <f>'Учебный план'!CN52</f>
        <v>64-3</v>
      </c>
      <c r="BP33" s="116" t="str">
        <f>'Учебный план'!CO52</f>
        <v>ОК-1-10; ПК-1.1</v>
      </c>
    </row>
    <row r="34" spans="1:68" s="450" customFormat="1" ht="25.5" customHeight="1">
      <c r="A34" s="209">
        <f>'Учебный план'!A53</f>
        <v>0</v>
      </c>
      <c r="B34" s="209" t="str">
        <f>'Учебный план'!B53</f>
        <v>Навигационная гидрометеорология</v>
      </c>
      <c r="C34" s="209">
        <f>'Учебный план'!C53</f>
        <v>0</v>
      </c>
      <c r="D34" s="180"/>
      <c r="E34" s="180" t="s">
        <v>40</v>
      </c>
      <c r="F34" s="180"/>
      <c r="G34" s="180"/>
      <c r="H34" s="180"/>
      <c r="I34" s="199"/>
      <c r="J34" s="116">
        <f>L34-N34</f>
        <v>-98</v>
      </c>
      <c r="K34" s="180">
        <f>M34*$K$1</f>
        <v>0</v>
      </c>
      <c r="L34" s="116"/>
      <c r="M34" s="116"/>
      <c r="N34" s="363">
        <f t="shared" si="5"/>
        <v>98</v>
      </c>
      <c r="O34" s="363">
        <f>SUM(P34:T34)</f>
        <v>12</v>
      </c>
      <c r="P34" s="363">
        <f t="shared" si="40"/>
        <v>12</v>
      </c>
      <c r="Q34" s="363">
        <f t="shared" si="40"/>
        <v>0</v>
      </c>
      <c r="R34" s="363">
        <f t="shared" si="40"/>
        <v>0</v>
      </c>
      <c r="S34" s="363"/>
      <c r="T34" s="363">
        <f>AA34+AO34+AV34+BC34+AH34+BK34</f>
        <v>0</v>
      </c>
      <c r="U34" s="363">
        <f>AB34+AP34+AW34+BD34+BM34+AI34</f>
        <v>86</v>
      </c>
      <c r="V34" s="182">
        <f>SUM(W34:AB34)</f>
        <v>0</v>
      </c>
      <c r="W34" s="116"/>
      <c r="X34" s="116"/>
      <c r="Y34" s="116"/>
      <c r="Z34" s="116"/>
      <c r="AA34" s="116"/>
      <c r="AB34" s="116"/>
      <c r="AC34" s="182">
        <f>SUM(AD34:AI34)</f>
        <v>0</v>
      </c>
      <c r="AD34" s="116"/>
      <c r="AE34" s="116"/>
      <c r="AF34" s="116"/>
      <c r="AG34" s="116"/>
      <c r="AH34" s="116"/>
      <c r="AI34" s="116"/>
      <c r="AJ34" s="182">
        <f>SUM(AK34:AP34)</f>
        <v>0</v>
      </c>
      <c r="AK34" s="116"/>
      <c r="AL34" s="116"/>
      <c r="AM34" s="116"/>
      <c r="AN34" s="116"/>
      <c r="AO34" s="116"/>
      <c r="AP34" s="116"/>
      <c r="AQ34" s="182">
        <f>SUM(AR34:AW34)</f>
        <v>0</v>
      </c>
      <c r="AR34" s="116"/>
      <c r="AS34" s="116"/>
      <c r="AT34" s="116"/>
      <c r="AU34" s="116"/>
      <c r="AV34" s="116"/>
      <c r="AW34" s="116"/>
      <c r="AX34" s="182">
        <f>SUM(AY34:BD34)</f>
        <v>98</v>
      </c>
      <c r="AY34" s="116">
        <v>12</v>
      </c>
      <c r="AZ34" s="116"/>
      <c r="BA34" s="116"/>
      <c r="BB34" s="116"/>
      <c r="BC34" s="116"/>
      <c r="BD34" s="116">
        <v>86</v>
      </c>
      <c r="BE34" s="365"/>
      <c r="BF34" s="182">
        <f>SUM(BG34:BM34)</f>
        <v>0</v>
      </c>
      <c r="BG34" s="116"/>
      <c r="BH34" s="116"/>
      <c r="BI34" s="116"/>
      <c r="BJ34" s="116"/>
      <c r="BK34" s="116"/>
      <c r="BL34" s="116"/>
      <c r="BM34" s="116"/>
      <c r="BN34" s="117"/>
      <c r="BO34" s="180" t="str">
        <f>'Учебный план'!CN53</f>
        <v>64-3</v>
      </c>
      <c r="BP34" s="116" t="str">
        <f>'Учебный план'!CO53</f>
        <v>ОК-1-10; ПК-1.1</v>
      </c>
    </row>
    <row r="35" spans="1:68" s="414" customFormat="1" ht="25.5" customHeight="1">
      <c r="A35" s="415">
        <f>'Учебный план'!A54</f>
        <v>0</v>
      </c>
      <c r="B35" s="415" t="str">
        <f>'Учебный план'!B54</f>
        <v>Мореходная астрономия</v>
      </c>
      <c r="C35" s="415">
        <f>'Учебный план'!C54</f>
        <v>0</v>
      </c>
      <c r="D35" s="149" t="s">
        <v>39</v>
      </c>
      <c r="E35" s="149"/>
      <c r="F35" s="149"/>
      <c r="G35" s="149"/>
      <c r="H35" s="149"/>
      <c r="I35" s="149" t="s">
        <v>29</v>
      </c>
      <c r="J35" s="190">
        <f>L35-N35</f>
        <v>-130</v>
      </c>
      <c r="K35" s="149">
        <f>M35*$K$1</f>
        <v>0</v>
      </c>
      <c r="L35" s="190"/>
      <c r="M35" s="190"/>
      <c r="N35" s="416">
        <f t="shared" si="5"/>
        <v>130</v>
      </c>
      <c r="O35" s="416">
        <f>SUM(P35:T35)</f>
        <v>20</v>
      </c>
      <c r="P35" s="416">
        <f t="shared" si="40"/>
        <v>20</v>
      </c>
      <c r="Q35" s="416">
        <f t="shared" si="40"/>
        <v>0</v>
      </c>
      <c r="R35" s="416">
        <f t="shared" si="40"/>
        <v>0</v>
      </c>
      <c r="S35" s="416"/>
      <c r="T35" s="416">
        <f>AA35+AO35+AV35+BC35+AH35+BK35</f>
        <v>0</v>
      </c>
      <c r="U35" s="416">
        <f>AB35+AP35+AW35+BD35+BM35+AI35</f>
        <v>110</v>
      </c>
      <c r="V35" s="411">
        <f>SUM(W35:AB35)</f>
        <v>0</v>
      </c>
      <c r="W35" s="190"/>
      <c r="X35" s="190"/>
      <c r="Y35" s="190"/>
      <c r="Z35" s="190"/>
      <c r="AA35" s="190"/>
      <c r="AB35" s="190"/>
      <c r="AC35" s="411">
        <f>SUM(AD35:AI35)</f>
        <v>0</v>
      </c>
      <c r="AD35" s="190"/>
      <c r="AE35" s="190"/>
      <c r="AF35" s="190"/>
      <c r="AG35" s="190"/>
      <c r="AH35" s="190"/>
      <c r="AI35" s="190"/>
      <c r="AJ35" s="411">
        <f>SUM(AK35:AP35)</f>
        <v>62</v>
      </c>
      <c r="AK35" s="190">
        <v>12</v>
      </c>
      <c r="AL35" s="190"/>
      <c r="AM35" s="190"/>
      <c r="AN35" s="190"/>
      <c r="AO35" s="190"/>
      <c r="AP35" s="190">
        <v>50</v>
      </c>
      <c r="AQ35" s="411">
        <f>SUM(AR35:AW35)</f>
        <v>68</v>
      </c>
      <c r="AR35" s="190">
        <v>8</v>
      </c>
      <c r="AS35" s="190"/>
      <c r="AT35" s="190"/>
      <c r="AU35" s="190"/>
      <c r="AV35" s="190"/>
      <c r="AW35" s="190">
        <v>60</v>
      </c>
      <c r="AX35" s="411">
        <f>SUM(AY35:BD35)</f>
        <v>0</v>
      </c>
      <c r="AY35" s="190"/>
      <c r="AZ35" s="190"/>
      <c r="BA35" s="190"/>
      <c r="BB35" s="190"/>
      <c r="BC35" s="190"/>
      <c r="BD35" s="190"/>
      <c r="BE35" s="417"/>
      <c r="BF35" s="411">
        <f>SUM(BG35:BM35)</f>
        <v>0</v>
      </c>
      <c r="BG35" s="190"/>
      <c r="BH35" s="190"/>
      <c r="BI35" s="190"/>
      <c r="BJ35" s="190"/>
      <c r="BK35" s="190"/>
      <c r="BL35" s="190"/>
      <c r="BM35" s="190"/>
      <c r="BN35" s="412"/>
      <c r="BO35" s="149" t="str">
        <f>'Учебный план'!CN54</f>
        <v>64-3</v>
      </c>
      <c r="BP35" s="190" t="str">
        <f>'Учебный план'!CO54</f>
        <v>ОК-1-10; ПК-1.1</v>
      </c>
    </row>
    <row r="36" spans="1:68" s="450" customFormat="1" ht="25.5" customHeight="1">
      <c r="A36" s="209">
        <f>'Учебный план'!A55</f>
        <v>0</v>
      </c>
      <c r="B36" s="209" t="str">
        <f>'Учебный план'!B55</f>
        <v>Тренажерная подготовка. Использование ЭКНИС</v>
      </c>
      <c r="C36" s="209" t="str">
        <f>'Учебный план'!C55</f>
        <v>ЭКНИС</v>
      </c>
      <c r="D36" s="180"/>
      <c r="E36" s="180"/>
      <c r="F36" s="180" t="s">
        <v>29</v>
      </c>
      <c r="G36" s="180"/>
      <c r="H36" s="180"/>
      <c r="I36" s="180"/>
      <c r="J36" s="116">
        <f>L36-N36</f>
        <v>-66</v>
      </c>
      <c r="K36" s="180">
        <f>M36*$K$1</f>
        <v>0</v>
      </c>
      <c r="L36" s="116"/>
      <c r="M36" s="116"/>
      <c r="N36" s="363">
        <f t="shared" si="5"/>
        <v>66</v>
      </c>
      <c r="O36" s="363">
        <f>SUM(P36:T36)</f>
        <v>12</v>
      </c>
      <c r="P36" s="363">
        <f t="shared" si="40"/>
        <v>0</v>
      </c>
      <c r="Q36" s="363">
        <f t="shared" si="40"/>
        <v>12</v>
      </c>
      <c r="R36" s="363">
        <f t="shared" si="40"/>
        <v>0</v>
      </c>
      <c r="S36" s="363"/>
      <c r="T36" s="363">
        <f>AA36+AO36+AV36+BC36+AH36+BK36</f>
        <v>0</v>
      </c>
      <c r="U36" s="363">
        <f>AB36+AP36+AW36+BD36+BM36+AI36</f>
        <v>54</v>
      </c>
      <c r="V36" s="182">
        <f>SUM(W36:AB36)</f>
        <v>0</v>
      </c>
      <c r="W36" s="116"/>
      <c r="X36" s="116"/>
      <c r="Y36" s="116"/>
      <c r="Z36" s="116"/>
      <c r="AA36" s="116"/>
      <c r="AB36" s="116"/>
      <c r="AC36" s="182">
        <f>SUM(AD36:AI36)</f>
        <v>0</v>
      </c>
      <c r="AD36" s="116"/>
      <c r="AE36" s="116"/>
      <c r="AF36" s="116"/>
      <c r="AG36" s="116"/>
      <c r="AH36" s="116"/>
      <c r="AI36" s="116"/>
      <c r="AJ36" s="182">
        <f>SUM(AK36:AP36)</f>
        <v>66</v>
      </c>
      <c r="AK36" s="116"/>
      <c r="AL36" s="116">
        <v>12</v>
      </c>
      <c r="AM36" s="116"/>
      <c r="AN36" s="116"/>
      <c r="AO36" s="116"/>
      <c r="AP36" s="116">
        <v>54</v>
      </c>
      <c r="AQ36" s="182">
        <f>SUM(AR36:AW36)</f>
        <v>0</v>
      </c>
      <c r="AR36" s="116"/>
      <c r="AS36" s="116"/>
      <c r="AT36" s="116"/>
      <c r="AU36" s="116"/>
      <c r="AV36" s="116"/>
      <c r="AW36" s="116"/>
      <c r="AX36" s="182">
        <f>SUM(AY36:BD36)</f>
        <v>0</v>
      </c>
      <c r="AY36" s="116"/>
      <c r="AZ36" s="116"/>
      <c r="BA36" s="116"/>
      <c r="BB36" s="116"/>
      <c r="BC36" s="116"/>
      <c r="BD36" s="116"/>
      <c r="BE36" s="365"/>
      <c r="BF36" s="182">
        <f>SUM(BG36:BM36)</f>
        <v>0</v>
      </c>
      <c r="BG36" s="116"/>
      <c r="BH36" s="116"/>
      <c r="BI36" s="116"/>
      <c r="BJ36" s="116"/>
      <c r="BK36" s="116"/>
      <c r="BL36" s="116"/>
      <c r="BM36" s="116"/>
      <c r="BN36" s="117"/>
      <c r="BO36" s="180" t="str">
        <f>'Учебный план'!CN55</f>
        <v>64-3</v>
      </c>
      <c r="BP36" s="116" t="str">
        <f>'Учебный план'!CO55</f>
        <v>ОК 1-10; 
ПК-1.1,1.2,1.4</v>
      </c>
    </row>
    <row r="37" spans="1:68" s="48" customFormat="1" ht="25.5" customHeight="1">
      <c r="A37" s="227" t="str">
        <f>'Учебный план'!A56</f>
        <v>МДК.01.02</v>
      </c>
      <c r="B37" s="745" t="str">
        <f>'Учебный план'!B56</f>
        <v>Управление судном и технические средства судовождения</v>
      </c>
      <c r="C37" s="746"/>
      <c r="D37" s="746"/>
      <c r="E37" s="746"/>
      <c r="F37" s="746"/>
      <c r="G37" s="746"/>
      <c r="H37" s="746"/>
      <c r="I37" s="747"/>
      <c r="J37" s="219"/>
      <c r="K37" s="220"/>
      <c r="L37" s="219">
        <f>'Учебный план'!N56</f>
        <v>678</v>
      </c>
      <c r="M37" s="219">
        <f>'Учебный план'!O56</f>
        <v>454</v>
      </c>
      <c r="N37" s="219">
        <f t="shared" si="5"/>
        <v>678</v>
      </c>
      <c r="O37" s="219">
        <f aca="true" t="shared" si="41" ref="O37:AI37">SUM(O38:O43)</f>
        <v>98</v>
      </c>
      <c r="P37" s="219">
        <f t="shared" si="41"/>
        <v>60</v>
      </c>
      <c r="Q37" s="219">
        <f t="shared" si="41"/>
        <v>38</v>
      </c>
      <c r="R37" s="219">
        <f t="shared" si="41"/>
        <v>0</v>
      </c>
      <c r="S37" s="219"/>
      <c r="T37" s="219">
        <f t="shared" si="41"/>
        <v>0</v>
      </c>
      <c r="U37" s="219">
        <f t="shared" si="41"/>
        <v>580</v>
      </c>
      <c r="V37" s="219">
        <f>SUM(V38:V43)</f>
        <v>0</v>
      </c>
      <c r="W37" s="219">
        <f t="shared" si="41"/>
        <v>0</v>
      </c>
      <c r="X37" s="219">
        <f t="shared" si="41"/>
        <v>0</v>
      </c>
      <c r="Y37" s="219">
        <f t="shared" si="41"/>
        <v>0</v>
      </c>
      <c r="Z37" s="219"/>
      <c r="AA37" s="219">
        <f t="shared" si="41"/>
        <v>0</v>
      </c>
      <c r="AB37" s="219">
        <f t="shared" si="41"/>
        <v>0</v>
      </c>
      <c r="AC37" s="219">
        <f t="shared" si="41"/>
        <v>0</v>
      </c>
      <c r="AD37" s="219">
        <f t="shared" si="41"/>
        <v>0</v>
      </c>
      <c r="AE37" s="219">
        <f t="shared" si="41"/>
        <v>0</v>
      </c>
      <c r="AF37" s="219">
        <f t="shared" si="41"/>
        <v>0</v>
      </c>
      <c r="AG37" s="219"/>
      <c r="AH37" s="219">
        <f t="shared" si="41"/>
        <v>0</v>
      </c>
      <c r="AI37" s="219">
        <f t="shared" si="41"/>
        <v>0</v>
      </c>
      <c r="AJ37" s="219">
        <f aca="true" t="shared" si="42" ref="AJ37:BM37">SUM(AJ38:AJ43)</f>
        <v>292</v>
      </c>
      <c r="AK37" s="219">
        <f t="shared" si="42"/>
        <v>40</v>
      </c>
      <c r="AL37" s="219">
        <f t="shared" si="42"/>
        <v>10</v>
      </c>
      <c r="AM37" s="219">
        <f t="shared" si="42"/>
        <v>0</v>
      </c>
      <c r="AN37" s="219"/>
      <c r="AO37" s="219">
        <f t="shared" si="42"/>
        <v>0</v>
      </c>
      <c r="AP37" s="219">
        <f t="shared" si="42"/>
        <v>242</v>
      </c>
      <c r="AQ37" s="219">
        <f t="shared" si="42"/>
        <v>145</v>
      </c>
      <c r="AR37" s="219">
        <f t="shared" si="42"/>
        <v>16</v>
      </c>
      <c r="AS37" s="219">
        <f t="shared" si="42"/>
        <v>6</v>
      </c>
      <c r="AT37" s="219">
        <f t="shared" si="42"/>
        <v>0</v>
      </c>
      <c r="AU37" s="219"/>
      <c r="AV37" s="219">
        <f t="shared" si="42"/>
        <v>0</v>
      </c>
      <c r="AW37" s="219">
        <f t="shared" si="42"/>
        <v>123</v>
      </c>
      <c r="AX37" s="219">
        <f t="shared" si="42"/>
        <v>241</v>
      </c>
      <c r="AY37" s="219">
        <f t="shared" si="42"/>
        <v>4</v>
      </c>
      <c r="AZ37" s="219">
        <f t="shared" si="42"/>
        <v>22</v>
      </c>
      <c r="BA37" s="219">
        <f t="shared" si="42"/>
        <v>0</v>
      </c>
      <c r="BB37" s="219"/>
      <c r="BC37" s="219">
        <f t="shared" si="42"/>
        <v>0</v>
      </c>
      <c r="BD37" s="219">
        <f t="shared" si="42"/>
        <v>215</v>
      </c>
      <c r="BE37" s="219">
        <f t="shared" si="42"/>
        <v>0</v>
      </c>
      <c r="BF37" s="219">
        <f t="shared" si="42"/>
        <v>0</v>
      </c>
      <c r="BG37" s="219">
        <f t="shared" si="42"/>
        <v>0</v>
      </c>
      <c r="BH37" s="219">
        <f t="shared" si="42"/>
        <v>0</v>
      </c>
      <c r="BI37" s="219">
        <f t="shared" si="42"/>
        <v>0</v>
      </c>
      <c r="BJ37" s="219">
        <f t="shared" si="42"/>
        <v>0</v>
      </c>
      <c r="BK37" s="219">
        <f t="shared" si="42"/>
        <v>0</v>
      </c>
      <c r="BL37" s="219">
        <f t="shared" si="42"/>
        <v>0</v>
      </c>
      <c r="BM37" s="219">
        <f t="shared" si="42"/>
        <v>0</v>
      </c>
      <c r="BN37" s="219"/>
      <c r="BO37" s="219">
        <f>'Учебный план'!CN56</f>
        <v>0</v>
      </c>
      <c r="BP37" s="219">
        <f>'Учебный план'!CO56</f>
        <v>0</v>
      </c>
    </row>
    <row r="38" spans="1:68" s="414" customFormat="1" ht="25.5" customHeight="1">
      <c r="A38" s="940">
        <f>'Учебный план'!A57</f>
        <v>0</v>
      </c>
      <c r="B38" s="940" t="str">
        <f>'Учебный план'!B57</f>
        <v>Управление судном</v>
      </c>
      <c r="C38" s="940">
        <f>'Учебный план'!C57</f>
        <v>0</v>
      </c>
      <c r="D38" s="941"/>
      <c r="E38" s="941" t="s">
        <v>39</v>
      </c>
      <c r="F38" s="941"/>
      <c r="G38" s="941"/>
      <c r="H38" s="941"/>
      <c r="I38" s="942" t="s">
        <v>29</v>
      </c>
      <c r="J38" s="943">
        <f aca="true" t="shared" si="43" ref="J38:J43">L38-N38</f>
        <v>-161</v>
      </c>
      <c r="K38" s="941">
        <f aca="true" t="shared" si="44" ref="K38:K54">M38*$K$1</f>
        <v>0</v>
      </c>
      <c r="L38" s="943"/>
      <c r="M38" s="943"/>
      <c r="N38" s="944">
        <f t="shared" si="5"/>
        <v>161</v>
      </c>
      <c r="O38" s="944">
        <f aca="true" t="shared" si="45" ref="O38:O50">SUM(P38:T38)</f>
        <v>26</v>
      </c>
      <c r="P38" s="944">
        <f aca="true" t="shared" si="46" ref="P38:R41">W38+AK38+AR38+AY38+AD38+BH38</f>
        <v>18</v>
      </c>
      <c r="Q38" s="944">
        <f t="shared" si="46"/>
        <v>8</v>
      </c>
      <c r="R38" s="944">
        <f t="shared" si="46"/>
        <v>0</v>
      </c>
      <c r="S38" s="944"/>
      <c r="T38" s="944">
        <f aca="true" t="shared" si="47" ref="T38:T43">AA38+AO38+AV38+BC38+AH38+BK38</f>
        <v>0</v>
      </c>
      <c r="U38" s="944">
        <f aca="true" t="shared" si="48" ref="U38:U43">AB38+AP38+AW38+BD38+BM38+AI38</f>
        <v>135</v>
      </c>
      <c r="V38" s="945">
        <f aca="true" t="shared" si="49" ref="V38:V43">SUM(W38:AB38)</f>
        <v>0</v>
      </c>
      <c r="W38" s="943"/>
      <c r="X38" s="943"/>
      <c r="Y38" s="943"/>
      <c r="Z38" s="943"/>
      <c r="AA38" s="943"/>
      <c r="AB38" s="943"/>
      <c r="AC38" s="945">
        <f aca="true" t="shared" si="50" ref="AC38:AC43">SUM(AD38:AI38)</f>
        <v>0</v>
      </c>
      <c r="AD38" s="943"/>
      <c r="AE38" s="943"/>
      <c r="AF38" s="943"/>
      <c r="AG38" s="943"/>
      <c r="AH38" s="943"/>
      <c r="AI38" s="943"/>
      <c r="AJ38" s="945">
        <f aca="true" t="shared" si="51" ref="AJ38:AJ43">SUM(AK38:AP38)</f>
        <v>81</v>
      </c>
      <c r="AK38" s="943">
        <v>10</v>
      </c>
      <c r="AL38" s="943">
        <v>4</v>
      </c>
      <c r="AM38" s="943"/>
      <c r="AN38" s="943"/>
      <c r="AO38" s="943"/>
      <c r="AP38" s="943">
        <v>67</v>
      </c>
      <c r="AQ38" s="945">
        <f aca="true" t="shared" si="52" ref="AQ38:AQ43">SUM(AR38:AW38)</f>
        <v>80</v>
      </c>
      <c r="AR38" s="943">
        <v>8</v>
      </c>
      <c r="AS38" s="943">
        <v>4</v>
      </c>
      <c r="AT38" s="943"/>
      <c r="AU38" s="943"/>
      <c r="AV38" s="943"/>
      <c r="AW38" s="943">
        <v>68</v>
      </c>
      <c r="AX38" s="945">
        <f aca="true" t="shared" si="53" ref="AX38:AX43">SUM(AY38:BD38)</f>
        <v>0</v>
      </c>
      <c r="AY38" s="943"/>
      <c r="AZ38" s="943"/>
      <c r="BA38" s="943"/>
      <c r="BB38" s="943"/>
      <c r="BC38" s="943"/>
      <c r="BD38" s="943"/>
      <c r="BE38" s="946"/>
      <c r="BF38" s="945">
        <f aca="true" t="shared" si="54" ref="BF38:BF43">SUM(BG38:BM38)</f>
        <v>0</v>
      </c>
      <c r="BG38" s="943"/>
      <c r="BH38" s="943"/>
      <c r="BI38" s="943"/>
      <c r="BJ38" s="943"/>
      <c r="BK38" s="943"/>
      <c r="BL38" s="943"/>
      <c r="BM38" s="943"/>
      <c r="BN38" s="947"/>
      <c r="BO38" s="943" t="str">
        <f>'Учебный план'!CN57</f>
        <v>64-3</v>
      </c>
      <c r="BP38" s="943" t="str">
        <f>'Учебный план'!CO57</f>
        <v>ОК-1-10; ПК-1.1,1.2</v>
      </c>
    </row>
    <row r="39" spans="1:68" s="450" customFormat="1" ht="25.5" customHeight="1">
      <c r="A39" s="209">
        <f>'Учебный план'!A58</f>
        <v>0</v>
      </c>
      <c r="B39" s="209" t="str">
        <f>'Учебный план'!B58</f>
        <v>Радионавигационные системы </v>
      </c>
      <c r="C39" s="209" t="str">
        <f>'Учебный план'!C58</f>
        <v>РНС</v>
      </c>
      <c r="D39" s="180"/>
      <c r="E39" s="180" t="s">
        <v>29</v>
      </c>
      <c r="F39" s="180"/>
      <c r="G39" s="180"/>
      <c r="H39" s="180"/>
      <c r="I39" s="199"/>
      <c r="J39" s="116">
        <f t="shared" si="43"/>
        <v>-97</v>
      </c>
      <c r="K39" s="180">
        <f t="shared" si="44"/>
        <v>0</v>
      </c>
      <c r="L39" s="116"/>
      <c r="M39" s="116"/>
      <c r="N39" s="363">
        <f t="shared" si="5"/>
        <v>97</v>
      </c>
      <c r="O39" s="363">
        <f t="shared" si="45"/>
        <v>16</v>
      </c>
      <c r="P39" s="363">
        <f t="shared" si="46"/>
        <v>12</v>
      </c>
      <c r="Q39" s="363">
        <f t="shared" si="46"/>
        <v>4</v>
      </c>
      <c r="R39" s="363">
        <f t="shared" si="46"/>
        <v>0</v>
      </c>
      <c r="S39" s="363"/>
      <c r="T39" s="363">
        <f t="shared" si="47"/>
        <v>0</v>
      </c>
      <c r="U39" s="363">
        <f t="shared" si="48"/>
        <v>81</v>
      </c>
      <c r="V39" s="182">
        <f t="shared" si="49"/>
        <v>0</v>
      </c>
      <c r="W39" s="116"/>
      <c r="X39" s="116"/>
      <c r="Y39" s="116"/>
      <c r="Z39" s="116"/>
      <c r="AA39" s="116"/>
      <c r="AB39" s="116"/>
      <c r="AC39" s="182">
        <f t="shared" si="50"/>
        <v>0</v>
      </c>
      <c r="AD39" s="116"/>
      <c r="AE39" s="116"/>
      <c r="AF39" s="116"/>
      <c r="AG39" s="116"/>
      <c r="AH39" s="116"/>
      <c r="AI39" s="116"/>
      <c r="AJ39" s="182">
        <f t="shared" si="51"/>
        <v>97</v>
      </c>
      <c r="AK39" s="116">
        <v>12</v>
      </c>
      <c r="AL39" s="116">
        <v>4</v>
      </c>
      <c r="AM39" s="116"/>
      <c r="AN39" s="116"/>
      <c r="AO39" s="116"/>
      <c r="AP39" s="116">
        <v>81</v>
      </c>
      <c r="AQ39" s="182">
        <f t="shared" si="52"/>
        <v>0</v>
      </c>
      <c r="AR39" s="116"/>
      <c r="AS39" s="116"/>
      <c r="AT39" s="116"/>
      <c r="AU39" s="116"/>
      <c r="AV39" s="116"/>
      <c r="AW39" s="116"/>
      <c r="AX39" s="182">
        <f t="shared" si="53"/>
        <v>0</v>
      </c>
      <c r="AY39" s="116"/>
      <c r="AZ39" s="116"/>
      <c r="BA39" s="116"/>
      <c r="BB39" s="116"/>
      <c r="BC39" s="116"/>
      <c r="BD39" s="116"/>
      <c r="BE39" s="365"/>
      <c r="BF39" s="182">
        <f t="shared" si="54"/>
        <v>0</v>
      </c>
      <c r="BG39" s="116"/>
      <c r="BH39" s="116"/>
      <c r="BI39" s="116"/>
      <c r="BJ39" s="116"/>
      <c r="BK39" s="116"/>
      <c r="BL39" s="116"/>
      <c r="BM39" s="116"/>
      <c r="BN39" s="117"/>
      <c r="BO39" s="116" t="str">
        <f>'Учебный план'!CN58</f>
        <v>64-3</v>
      </c>
      <c r="BP39" s="116" t="str">
        <f>'Учебный план'!CO58</f>
        <v>ОК-1-10; ПК-1.4</v>
      </c>
    </row>
    <row r="40" spans="1:68" s="414" customFormat="1" ht="25.5" customHeight="1">
      <c r="A40" s="415">
        <f>'Учебный план'!A59</f>
        <v>0</v>
      </c>
      <c r="B40" s="415" t="str">
        <f>'Учебный план'!B59</f>
        <v>Электронавигационные приборы и системы</v>
      </c>
      <c r="C40" s="415" t="str">
        <f>'Учебный план'!C59</f>
        <v>ЭНПиС</v>
      </c>
      <c r="D40" s="149" t="s">
        <v>39</v>
      </c>
      <c r="E40" s="149"/>
      <c r="F40" s="149"/>
      <c r="G40" s="149"/>
      <c r="H40" s="149"/>
      <c r="I40" s="201" t="s">
        <v>29</v>
      </c>
      <c r="J40" s="190">
        <f t="shared" si="43"/>
        <v>-131</v>
      </c>
      <c r="K40" s="149">
        <f t="shared" si="44"/>
        <v>0</v>
      </c>
      <c r="L40" s="190"/>
      <c r="M40" s="190"/>
      <c r="N40" s="416">
        <f t="shared" si="5"/>
        <v>131</v>
      </c>
      <c r="O40" s="416">
        <f t="shared" si="45"/>
        <v>22</v>
      </c>
      <c r="P40" s="416">
        <f t="shared" si="46"/>
        <v>18</v>
      </c>
      <c r="Q40" s="416">
        <f t="shared" si="46"/>
        <v>4</v>
      </c>
      <c r="R40" s="416">
        <f t="shared" si="46"/>
        <v>0</v>
      </c>
      <c r="S40" s="416"/>
      <c r="T40" s="416">
        <f t="shared" si="47"/>
        <v>0</v>
      </c>
      <c r="U40" s="416">
        <f t="shared" si="48"/>
        <v>109</v>
      </c>
      <c r="V40" s="411">
        <f t="shared" si="49"/>
        <v>0</v>
      </c>
      <c r="W40" s="190"/>
      <c r="X40" s="190"/>
      <c r="Y40" s="190"/>
      <c r="Z40" s="190"/>
      <c r="AA40" s="190"/>
      <c r="AB40" s="190"/>
      <c r="AC40" s="411">
        <f t="shared" si="50"/>
        <v>0</v>
      </c>
      <c r="AD40" s="190"/>
      <c r="AE40" s="190"/>
      <c r="AF40" s="190"/>
      <c r="AG40" s="190"/>
      <c r="AH40" s="190"/>
      <c r="AI40" s="190"/>
      <c r="AJ40" s="411">
        <f t="shared" si="51"/>
        <v>66</v>
      </c>
      <c r="AK40" s="190">
        <v>10</v>
      </c>
      <c r="AL40" s="190">
        <v>2</v>
      </c>
      <c r="AM40" s="190"/>
      <c r="AN40" s="190"/>
      <c r="AO40" s="190"/>
      <c r="AP40" s="190">
        <v>54</v>
      </c>
      <c r="AQ40" s="411">
        <f t="shared" si="52"/>
        <v>65</v>
      </c>
      <c r="AR40" s="190">
        <v>8</v>
      </c>
      <c r="AS40" s="190">
        <v>2</v>
      </c>
      <c r="AT40" s="190"/>
      <c r="AU40" s="190"/>
      <c r="AV40" s="190"/>
      <c r="AW40" s="190">
        <v>55</v>
      </c>
      <c r="AX40" s="411">
        <f t="shared" si="53"/>
        <v>0</v>
      </c>
      <c r="AY40" s="190"/>
      <c r="AZ40" s="190"/>
      <c r="BA40" s="190"/>
      <c r="BB40" s="190"/>
      <c r="BC40" s="190"/>
      <c r="BD40" s="190"/>
      <c r="BE40" s="417">
        <f>LEN(I40)-LEN(SUBSTITUTE(I40,"9",""))</f>
        <v>0</v>
      </c>
      <c r="BF40" s="411">
        <f>SUM(BG40:BM40)</f>
        <v>0</v>
      </c>
      <c r="BG40" s="190"/>
      <c r="BH40" s="190"/>
      <c r="BI40" s="190"/>
      <c r="BJ40" s="190"/>
      <c r="BK40" s="190"/>
      <c r="BL40" s="190"/>
      <c r="BM40" s="190"/>
      <c r="BN40" s="412"/>
      <c r="BO40" s="190" t="str">
        <f>'Учебный план'!CN59</f>
        <v>64-3</v>
      </c>
      <c r="BP40" s="190" t="str">
        <f>'Учебный план'!CO59</f>
        <v>ОК-1-10; ПК-1.4</v>
      </c>
    </row>
    <row r="41" spans="1:68" s="450" customFormat="1" ht="25.5" customHeight="1">
      <c r="A41" s="209">
        <f>'Учебный план'!A60</f>
        <v>0</v>
      </c>
      <c r="B41" s="209" t="str">
        <f>'Учебный план'!B60</f>
        <v>Тренажерная подготовка. Использование РЛС и САРП</v>
      </c>
      <c r="C41" s="209" t="str">
        <f>'Учебный план'!C60</f>
        <v>РЛС и САРП</v>
      </c>
      <c r="D41" s="180"/>
      <c r="E41" s="180"/>
      <c r="F41" s="180" t="s">
        <v>40</v>
      </c>
      <c r="G41" s="180"/>
      <c r="H41" s="180"/>
      <c r="I41" s="199"/>
      <c r="J41" s="116">
        <f t="shared" si="43"/>
        <v>-140</v>
      </c>
      <c r="K41" s="180">
        <f t="shared" si="44"/>
        <v>0</v>
      </c>
      <c r="L41" s="116"/>
      <c r="M41" s="116"/>
      <c r="N41" s="363">
        <f t="shared" si="5"/>
        <v>140</v>
      </c>
      <c r="O41" s="363">
        <f t="shared" si="45"/>
        <v>12</v>
      </c>
      <c r="P41" s="363">
        <f t="shared" si="46"/>
        <v>2</v>
      </c>
      <c r="Q41" s="363">
        <f t="shared" si="46"/>
        <v>10</v>
      </c>
      <c r="R41" s="363">
        <f t="shared" si="46"/>
        <v>0</v>
      </c>
      <c r="S41" s="363"/>
      <c r="T41" s="363">
        <f t="shared" si="47"/>
        <v>0</v>
      </c>
      <c r="U41" s="363">
        <f t="shared" si="48"/>
        <v>128</v>
      </c>
      <c r="V41" s="182">
        <f t="shared" si="49"/>
        <v>0</v>
      </c>
      <c r="W41" s="116"/>
      <c r="X41" s="116"/>
      <c r="Y41" s="116"/>
      <c r="Z41" s="116"/>
      <c r="AA41" s="116"/>
      <c r="AB41" s="116"/>
      <c r="AC41" s="182">
        <f t="shared" si="50"/>
        <v>0</v>
      </c>
      <c r="AD41" s="116"/>
      <c r="AE41" s="116"/>
      <c r="AF41" s="116"/>
      <c r="AG41" s="116"/>
      <c r="AH41" s="116"/>
      <c r="AI41" s="116"/>
      <c r="AJ41" s="182">
        <f t="shared" si="51"/>
        <v>0</v>
      </c>
      <c r="AK41" s="116"/>
      <c r="AL41" s="116"/>
      <c r="AM41" s="116"/>
      <c r="AN41" s="116"/>
      <c r="AO41" s="116"/>
      <c r="AP41" s="116"/>
      <c r="AQ41" s="182">
        <f t="shared" si="52"/>
        <v>0</v>
      </c>
      <c r="AR41" s="116"/>
      <c r="AS41" s="116"/>
      <c r="AT41" s="116"/>
      <c r="AU41" s="116"/>
      <c r="AV41" s="116"/>
      <c r="AW41" s="116"/>
      <c r="AX41" s="182">
        <f t="shared" si="53"/>
        <v>140</v>
      </c>
      <c r="AY41" s="398">
        <v>2</v>
      </c>
      <c r="AZ41" s="398">
        <v>10</v>
      </c>
      <c r="BA41" s="116"/>
      <c r="BB41" s="116"/>
      <c r="BC41" s="116"/>
      <c r="BD41" s="116">
        <v>128</v>
      </c>
      <c r="BE41" s="365">
        <f>LEN(I41)-LEN(SUBSTITUTE(I41,"9",""))</f>
        <v>0</v>
      </c>
      <c r="BF41" s="182">
        <f t="shared" si="54"/>
        <v>0</v>
      </c>
      <c r="BG41" s="116"/>
      <c r="BH41" s="116"/>
      <c r="BI41" s="116"/>
      <c r="BJ41" s="116"/>
      <c r="BK41" s="116"/>
      <c r="BL41" s="116"/>
      <c r="BM41" s="116"/>
      <c r="BN41" s="117"/>
      <c r="BO41" s="116" t="str">
        <f>'Учебный план'!CN60</f>
        <v>64-3</v>
      </c>
      <c r="BP41" s="116" t="str">
        <f>'Учебный план'!CO60</f>
        <v>ОК 1-10; 
ПК-1.1,1.2,1.4</v>
      </c>
    </row>
    <row r="42" spans="1:68" s="450" customFormat="1" ht="25.5" customHeight="1">
      <c r="A42" s="209">
        <f>'Учебный план'!A61</f>
        <v>0</v>
      </c>
      <c r="B42" s="209" t="str">
        <f>'Учебный план'!B61</f>
        <v>Радиооборудование судов</v>
      </c>
      <c r="C42" s="209">
        <f>'Учебный план'!C61</f>
        <v>0</v>
      </c>
      <c r="D42" s="180"/>
      <c r="E42" s="180" t="s">
        <v>29</v>
      </c>
      <c r="F42" s="180"/>
      <c r="G42" s="180"/>
      <c r="H42" s="180"/>
      <c r="I42" s="180"/>
      <c r="J42" s="116">
        <f t="shared" si="43"/>
        <v>-48</v>
      </c>
      <c r="K42" s="180">
        <f t="shared" si="44"/>
        <v>0</v>
      </c>
      <c r="L42" s="116"/>
      <c r="M42" s="116"/>
      <c r="N42" s="363">
        <f>SUM(O42+U42)</f>
        <v>48</v>
      </c>
      <c r="O42" s="363">
        <f>SUM(P42:T42)</f>
        <v>8</v>
      </c>
      <c r="P42" s="363">
        <f aca="true" t="shared" si="55" ref="P42:R43">W42+AK42+AR42+AY42+AD42+BH42</f>
        <v>8</v>
      </c>
      <c r="Q42" s="363">
        <f t="shared" si="55"/>
        <v>0</v>
      </c>
      <c r="R42" s="363">
        <f t="shared" si="55"/>
        <v>0</v>
      </c>
      <c r="S42" s="363"/>
      <c r="T42" s="363">
        <f t="shared" si="47"/>
        <v>0</v>
      </c>
      <c r="U42" s="363">
        <f t="shared" si="48"/>
        <v>40</v>
      </c>
      <c r="V42" s="182">
        <f t="shared" si="49"/>
        <v>0</v>
      </c>
      <c r="W42" s="116"/>
      <c r="X42" s="116"/>
      <c r="Y42" s="116"/>
      <c r="Z42" s="116"/>
      <c r="AA42" s="116"/>
      <c r="AB42" s="116"/>
      <c r="AC42" s="182">
        <f t="shared" si="50"/>
        <v>0</v>
      </c>
      <c r="AD42" s="116"/>
      <c r="AE42" s="116"/>
      <c r="AF42" s="116"/>
      <c r="AG42" s="116"/>
      <c r="AH42" s="116"/>
      <c r="AI42" s="116"/>
      <c r="AJ42" s="182">
        <f t="shared" si="51"/>
        <v>48</v>
      </c>
      <c r="AK42" s="116">
        <v>8</v>
      </c>
      <c r="AL42" s="116"/>
      <c r="AM42" s="116"/>
      <c r="AN42" s="116"/>
      <c r="AO42" s="116"/>
      <c r="AP42" s="116">
        <v>40</v>
      </c>
      <c r="AQ42" s="182">
        <f t="shared" si="52"/>
        <v>0</v>
      </c>
      <c r="AR42" s="116"/>
      <c r="AS42" s="116"/>
      <c r="AT42" s="116"/>
      <c r="AU42" s="116"/>
      <c r="AV42" s="116"/>
      <c r="AW42" s="116"/>
      <c r="AX42" s="182">
        <f t="shared" si="53"/>
        <v>0</v>
      </c>
      <c r="AY42" s="116"/>
      <c r="AZ42" s="116"/>
      <c r="BA42" s="116"/>
      <c r="BB42" s="116"/>
      <c r="BC42" s="116"/>
      <c r="BD42" s="116"/>
      <c r="BE42" s="365"/>
      <c r="BF42" s="182"/>
      <c r="BG42" s="116"/>
      <c r="BH42" s="116"/>
      <c r="BI42" s="116"/>
      <c r="BJ42" s="116"/>
      <c r="BK42" s="116"/>
      <c r="BL42" s="116"/>
      <c r="BM42" s="116"/>
      <c r="BN42" s="117"/>
      <c r="BO42" s="116" t="str">
        <f>'Учебный план'!CN61</f>
        <v>64-3</v>
      </c>
      <c r="BP42" s="116" t="str">
        <f>'Учебный план'!CO61</f>
        <v>ОК 1-10; 
ПК-1.1,1.2,1.4
ПК-4.2,4.3</v>
      </c>
    </row>
    <row r="43" spans="1:68" s="450" customFormat="1" ht="25.5" customHeight="1">
      <c r="A43" s="239">
        <f>'Учебный план'!A62</f>
        <v>0</v>
      </c>
      <c r="B43" s="239" t="str">
        <f>'Учебный план'!B62</f>
        <v>Оператор связи ГМССБ</v>
      </c>
      <c r="C43" s="239" t="str">
        <f>'Учебный план'!C62</f>
        <v>ГМССБ</v>
      </c>
      <c r="D43" s="240"/>
      <c r="E43" s="240"/>
      <c r="F43" s="240" t="s">
        <v>40</v>
      </c>
      <c r="G43" s="240"/>
      <c r="H43" s="240"/>
      <c r="I43" s="358"/>
      <c r="J43" s="241">
        <f t="shared" si="43"/>
        <v>-101</v>
      </c>
      <c r="K43" s="240">
        <f t="shared" si="44"/>
        <v>0</v>
      </c>
      <c r="L43" s="241"/>
      <c r="M43" s="241"/>
      <c r="N43" s="373">
        <f>SUM(O43+U43)</f>
        <v>101</v>
      </c>
      <c r="O43" s="373">
        <f>SUM(P43:T43)</f>
        <v>14</v>
      </c>
      <c r="P43" s="373">
        <f t="shared" si="55"/>
        <v>2</v>
      </c>
      <c r="Q43" s="373">
        <f t="shared" si="55"/>
        <v>12</v>
      </c>
      <c r="R43" s="373">
        <f t="shared" si="55"/>
        <v>0</v>
      </c>
      <c r="S43" s="373"/>
      <c r="T43" s="373">
        <f t="shared" si="47"/>
        <v>0</v>
      </c>
      <c r="U43" s="373">
        <f t="shared" si="48"/>
        <v>87</v>
      </c>
      <c r="V43" s="374">
        <f t="shared" si="49"/>
        <v>0</v>
      </c>
      <c r="W43" s="241"/>
      <c r="X43" s="241"/>
      <c r="Y43" s="241"/>
      <c r="Z43" s="241"/>
      <c r="AA43" s="241"/>
      <c r="AB43" s="241"/>
      <c r="AC43" s="374">
        <f t="shared" si="50"/>
        <v>0</v>
      </c>
      <c r="AD43" s="241"/>
      <c r="AE43" s="241"/>
      <c r="AF43" s="241"/>
      <c r="AG43" s="241"/>
      <c r="AH43" s="241"/>
      <c r="AI43" s="241"/>
      <c r="AJ43" s="374">
        <f t="shared" si="51"/>
        <v>0</v>
      </c>
      <c r="AK43" s="241"/>
      <c r="AL43" s="241"/>
      <c r="AM43" s="241"/>
      <c r="AN43" s="241"/>
      <c r="AO43" s="241"/>
      <c r="AP43" s="241"/>
      <c r="AQ43" s="374">
        <f t="shared" si="52"/>
        <v>0</v>
      </c>
      <c r="AR43" s="241"/>
      <c r="AS43" s="241"/>
      <c r="AT43" s="241"/>
      <c r="AU43" s="241"/>
      <c r="AV43" s="241"/>
      <c r="AW43" s="241"/>
      <c r="AX43" s="374">
        <f t="shared" si="53"/>
        <v>101</v>
      </c>
      <c r="AY43" s="241">
        <v>2</v>
      </c>
      <c r="AZ43" s="241">
        <v>12</v>
      </c>
      <c r="BA43" s="241"/>
      <c r="BB43" s="241"/>
      <c r="BC43" s="241"/>
      <c r="BD43" s="241">
        <v>87</v>
      </c>
      <c r="BE43" s="375"/>
      <c r="BF43" s="374">
        <f t="shared" si="54"/>
        <v>0</v>
      </c>
      <c r="BG43" s="241"/>
      <c r="BH43" s="241"/>
      <c r="BI43" s="241"/>
      <c r="BJ43" s="241"/>
      <c r="BK43" s="241"/>
      <c r="BL43" s="241"/>
      <c r="BM43" s="241"/>
      <c r="BN43" s="376"/>
      <c r="BO43" s="116" t="str">
        <f>'Учебный план'!CN62</f>
        <v>64-3</v>
      </c>
      <c r="BP43" s="241" t="str">
        <f>'Учебный план'!CO62</f>
        <v>ОК 1-10; 
ПК-1.1,1.2,1.4
ПК-4.2,4.3</v>
      </c>
    </row>
    <row r="44" spans="1:68" s="48" customFormat="1" ht="25.5" customHeight="1">
      <c r="A44" s="227" t="str">
        <f>'Учебный план'!A63</f>
        <v>МДК.01.03</v>
      </c>
      <c r="B44" s="745" t="str">
        <f>'Учебный план'!B63</f>
        <v>Судовые энергетические установки и электрооборудование судов</v>
      </c>
      <c r="C44" s="746"/>
      <c r="D44" s="746"/>
      <c r="E44" s="746"/>
      <c r="F44" s="746"/>
      <c r="G44" s="746"/>
      <c r="H44" s="746"/>
      <c r="I44" s="747"/>
      <c r="J44" s="219"/>
      <c r="K44" s="220"/>
      <c r="L44" s="219">
        <f>'Учебный план'!N63</f>
        <v>921</v>
      </c>
      <c r="M44" s="219">
        <f>'Учебный план'!O63</f>
        <v>655</v>
      </c>
      <c r="N44" s="219">
        <f>SUM(O44+U44)</f>
        <v>923</v>
      </c>
      <c r="O44" s="219">
        <f>SUM(P44:T44)</f>
        <v>136</v>
      </c>
      <c r="P44" s="219">
        <f>W44+AK44+AR44+AY44+BH44+AD44</f>
        <v>92</v>
      </c>
      <c r="Q44" s="219">
        <f>X44+AL44+AS44+AZ44+BI44+AE44</f>
        <v>44</v>
      </c>
      <c r="R44" s="219">
        <f>Y44+AM44+AT44+BA44+BJ44+AF44</f>
        <v>0</v>
      </c>
      <c r="S44" s="219"/>
      <c r="T44" s="219">
        <f>AA44+AO44+AV44+BC44+BK44+AH44</f>
        <v>0</v>
      </c>
      <c r="U44" s="219">
        <f>SUM(U45:U50)</f>
        <v>787</v>
      </c>
      <c r="V44" s="219">
        <f>SUM(V45:V50)</f>
        <v>0</v>
      </c>
      <c r="W44" s="219">
        <f aca="true" t="shared" si="56" ref="W44:AB44">SUM(W45:W50)</f>
        <v>0</v>
      </c>
      <c r="X44" s="219">
        <f t="shared" si="56"/>
        <v>0</v>
      </c>
      <c r="Y44" s="219">
        <f t="shared" si="56"/>
        <v>0</v>
      </c>
      <c r="Z44" s="219"/>
      <c r="AA44" s="219">
        <f t="shared" si="56"/>
        <v>0</v>
      </c>
      <c r="AB44" s="219">
        <f t="shared" si="56"/>
        <v>0</v>
      </c>
      <c r="AC44" s="219">
        <f>SUM(AC45:AC50)</f>
        <v>188</v>
      </c>
      <c r="AD44" s="219">
        <f>SUM(AD45:AD50)</f>
        <v>24</v>
      </c>
      <c r="AE44" s="219">
        <f>SUM(AE45:AE50)</f>
        <v>4</v>
      </c>
      <c r="AF44" s="219">
        <f>SUM(AF45:AF50)</f>
        <v>0</v>
      </c>
      <c r="AG44" s="219"/>
      <c r="AH44" s="219">
        <f>SUM(AH45:AH50)</f>
        <v>0</v>
      </c>
      <c r="AI44" s="219">
        <f>SUM(AI45:AI50)</f>
        <v>160</v>
      </c>
      <c r="AJ44" s="219">
        <f>SUM(AJ45:AJ50)</f>
        <v>246</v>
      </c>
      <c r="AK44" s="219">
        <f aca="true" t="shared" si="57" ref="AK44:AP44">SUM(AK45:AK50)</f>
        <v>24</v>
      </c>
      <c r="AL44" s="219">
        <f t="shared" si="57"/>
        <v>12</v>
      </c>
      <c r="AM44" s="219">
        <f t="shared" si="57"/>
        <v>0</v>
      </c>
      <c r="AN44" s="219"/>
      <c r="AO44" s="219">
        <f t="shared" si="57"/>
        <v>0</v>
      </c>
      <c r="AP44" s="219">
        <f t="shared" si="57"/>
        <v>210</v>
      </c>
      <c r="AQ44" s="219">
        <f>SUM(AQ45:AQ50)</f>
        <v>238</v>
      </c>
      <c r="AR44" s="219">
        <f aca="true" t="shared" si="58" ref="AR44:AW44">SUM(AR45:AR50)</f>
        <v>24</v>
      </c>
      <c r="AS44" s="219">
        <f t="shared" si="58"/>
        <v>10</v>
      </c>
      <c r="AT44" s="219">
        <f t="shared" si="58"/>
        <v>0</v>
      </c>
      <c r="AU44" s="219"/>
      <c r="AV44" s="219">
        <f t="shared" si="58"/>
        <v>0</v>
      </c>
      <c r="AW44" s="219">
        <f t="shared" si="58"/>
        <v>204</v>
      </c>
      <c r="AX44" s="219">
        <f>SUM(AX45:AX50)</f>
        <v>251</v>
      </c>
      <c r="AY44" s="219">
        <f aca="true" t="shared" si="59" ref="AY44:BD44">SUM(AY45:AY50)</f>
        <v>20</v>
      </c>
      <c r="AZ44" s="219">
        <f t="shared" si="59"/>
        <v>18</v>
      </c>
      <c r="BA44" s="219">
        <f t="shared" si="59"/>
        <v>0</v>
      </c>
      <c r="BB44" s="219"/>
      <c r="BC44" s="219">
        <f t="shared" si="59"/>
        <v>0</v>
      </c>
      <c r="BD44" s="219">
        <f t="shared" si="59"/>
        <v>213</v>
      </c>
      <c r="BE44" s="219">
        <f>SUM(BE56:BE59)</f>
        <v>0</v>
      </c>
      <c r="BF44" s="219">
        <f>SUM(BF45:BF50)</f>
        <v>0</v>
      </c>
      <c r="BG44" s="219">
        <f aca="true" t="shared" si="60" ref="BG44:BM44">SUM(BG45:BG50)</f>
        <v>0</v>
      </c>
      <c r="BH44" s="219">
        <f t="shared" si="60"/>
        <v>0</v>
      </c>
      <c r="BI44" s="219">
        <f t="shared" si="60"/>
        <v>0</v>
      </c>
      <c r="BJ44" s="219">
        <f t="shared" si="60"/>
        <v>0</v>
      </c>
      <c r="BK44" s="219">
        <f t="shared" si="60"/>
        <v>0</v>
      </c>
      <c r="BL44" s="219">
        <f t="shared" si="60"/>
        <v>0</v>
      </c>
      <c r="BM44" s="219">
        <f t="shared" si="60"/>
        <v>0</v>
      </c>
      <c r="BN44" s="219"/>
      <c r="BO44" s="219">
        <f>'Учебный план'!CN63</f>
        <v>0</v>
      </c>
      <c r="BP44" s="219">
        <f>'Учебный план'!CO63</f>
        <v>0</v>
      </c>
    </row>
    <row r="45" spans="1:68" s="450" customFormat="1" ht="25.5" customHeight="1">
      <c r="A45" s="209">
        <f>'Учебный план'!A64</f>
        <v>0</v>
      </c>
      <c r="B45" s="209" t="str">
        <f>'Учебный план'!B64</f>
        <v>Судовые вспомогательные механизмы и системы</v>
      </c>
      <c r="C45" s="209" t="str">
        <f>'Учебный план'!C64</f>
        <v>СВМиС</v>
      </c>
      <c r="D45" s="180"/>
      <c r="E45" s="199" t="s">
        <v>29</v>
      </c>
      <c r="F45" s="199"/>
      <c r="G45" s="199"/>
      <c r="H45" s="199"/>
      <c r="I45" s="199" t="s">
        <v>30</v>
      </c>
      <c r="J45" s="116">
        <f aca="true" t="shared" si="61" ref="J45:J50">L45-N45</f>
        <v>-141</v>
      </c>
      <c r="K45" s="180">
        <f t="shared" si="44"/>
        <v>0</v>
      </c>
      <c r="L45" s="116"/>
      <c r="M45" s="116"/>
      <c r="N45" s="363">
        <f aca="true" t="shared" si="62" ref="N45:N74">SUM(O45+U45)</f>
        <v>141</v>
      </c>
      <c r="O45" s="363">
        <f t="shared" si="45"/>
        <v>28</v>
      </c>
      <c r="P45" s="363">
        <f aca="true" t="shared" si="63" ref="P45:R50">W45+AK45+AR45+AY45+AD45+BH45</f>
        <v>20</v>
      </c>
      <c r="Q45" s="363">
        <f t="shared" si="63"/>
        <v>8</v>
      </c>
      <c r="R45" s="363">
        <f t="shared" si="63"/>
        <v>0</v>
      </c>
      <c r="S45" s="363"/>
      <c r="T45" s="363">
        <f aca="true" t="shared" si="64" ref="T45:T50">AA45+AO45+AV45+BC45+AH45+BK45</f>
        <v>0</v>
      </c>
      <c r="U45" s="363">
        <f aca="true" t="shared" si="65" ref="U45:U50">AB45+AP45+AW45+BD45+BM45+AI45</f>
        <v>113</v>
      </c>
      <c r="V45" s="182">
        <f aca="true" t="shared" si="66" ref="V45:V50">SUM(W45:AB45)</f>
        <v>0</v>
      </c>
      <c r="W45" s="116"/>
      <c r="X45" s="116"/>
      <c r="Y45" s="116"/>
      <c r="Z45" s="116"/>
      <c r="AA45" s="116"/>
      <c r="AB45" s="116"/>
      <c r="AC45" s="182">
        <f aca="true" t="shared" si="67" ref="AC45:AC50">SUM(AD45:AI45)</f>
        <v>74</v>
      </c>
      <c r="AD45" s="116">
        <v>12</v>
      </c>
      <c r="AE45" s="116">
        <v>4</v>
      </c>
      <c r="AF45" s="116"/>
      <c r="AG45" s="116"/>
      <c r="AH45" s="116"/>
      <c r="AI45" s="116">
        <v>58</v>
      </c>
      <c r="AJ45" s="182">
        <f aca="true" t="shared" si="68" ref="AJ45:AJ50">SUM(AK45:AP45)</f>
        <v>67</v>
      </c>
      <c r="AK45" s="116">
        <v>8</v>
      </c>
      <c r="AL45" s="116">
        <v>4</v>
      </c>
      <c r="AM45" s="116"/>
      <c r="AN45" s="116"/>
      <c r="AO45" s="116"/>
      <c r="AP45" s="116">
        <v>55</v>
      </c>
      <c r="AQ45" s="182">
        <f aca="true" t="shared" si="69" ref="AQ45:AQ50">SUM(AR45:AW45)</f>
        <v>0</v>
      </c>
      <c r="AR45" s="116"/>
      <c r="AS45" s="116"/>
      <c r="AT45" s="116"/>
      <c r="AU45" s="116"/>
      <c r="AV45" s="116"/>
      <c r="AW45" s="116"/>
      <c r="AX45" s="182">
        <f aca="true" t="shared" si="70" ref="AX45:AX50">SUM(AY45:BD45)</f>
        <v>0</v>
      </c>
      <c r="AY45" s="116"/>
      <c r="AZ45" s="116"/>
      <c r="BA45" s="116"/>
      <c r="BB45" s="116"/>
      <c r="BC45" s="116"/>
      <c r="BD45" s="116"/>
      <c r="BE45" s="365"/>
      <c r="BF45" s="182">
        <f aca="true" t="shared" si="71" ref="BF45:BF50">SUM(BG45:BM45)</f>
        <v>0</v>
      </c>
      <c r="BG45" s="116"/>
      <c r="BH45" s="116"/>
      <c r="BI45" s="116"/>
      <c r="BJ45" s="116"/>
      <c r="BK45" s="116"/>
      <c r="BL45" s="116"/>
      <c r="BM45" s="116"/>
      <c r="BN45" s="117"/>
      <c r="BO45" s="116" t="str">
        <f>'Учебный план'!CN64</f>
        <v>64-4</v>
      </c>
      <c r="BP45" s="116" t="str">
        <f>'Учебный план'!CO64</f>
        <v>ОК-1-10; ПК-1.3</v>
      </c>
    </row>
    <row r="46" spans="1:68" s="414" customFormat="1" ht="25.5" customHeight="1">
      <c r="A46" s="940">
        <f>'Учебный план'!A65</f>
        <v>0</v>
      </c>
      <c r="B46" s="940" t="str">
        <f>'Учебный план'!B65</f>
        <v>Судовые энергетические установки (включая тренажер вахтенного механика)</v>
      </c>
      <c r="C46" s="940" t="str">
        <f>'Учебный план'!C65</f>
        <v>СЭУ</v>
      </c>
      <c r="D46" s="941"/>
      <c r="E46" s="942" t="s">
        <v>679</v>
      </c>
      <c r="F46" s="942"/>
      <c r="G46" s="942"/>
      <c r="H46" s="942"/>
      <c r="I46" s="942" t="s">
        <v>551</v>
      </c>
      <c r="J46" s="943">
        <f t="shared" si="61"/>
        <v>-464</v>
      </c>
      <c r="K46" s="941">
        <f t="shared" si="44"/>
        <v>0</v>
      </c>
      <c r="L46" s="943"/>
      <c r="M46" s="943"/>
      <c r="N46" s="948">
        <f t="shared" si="62"/>
        <v>464</v>
      </c>
      <c r="O46" s="944">
        <f t="shared" si="45"/>
        <v>58</v>
      </c>
      <c r="P46" s="944">
        <f t="shared" si="63"/>
        <v>36</v>
      </c>
      <c r="Q46" s="944">
        <f t="shared" si="63"/>
        <v>22</v>
      </c>
      <c r="R46" s="944">
        <f t="shared" si="63"/>
        <v>0</v>
      </c>
      <c r="S46" s="944"/>
      <c r="T46" s="944">
        <f t="shared" si="64"/>
        <v>0</v>
      </c>
      <c r="U46" s="944">
        <f t="shared" si="65"/>
        <v>406</v>
      </c>
      <c r="V46" s="945">
        <f t="shared" si="66"/>
        <v>0</v>
      </c>
      <c r="W46" s="943"/>
      <c r="X46" s="943"/>
      <c r="Y46" s="943"/>
      <c r="Z46" s="943"/>
      <c r="AA46" s="943"/>
      <c r="AB46" s="943"/>
      <c r="AC46" s="945">
        <f t="shared" si="67"/>
        <v>114</v>
      </c>
      <c r="AD46" s="943">
        <v>12</v>
      </c>
      <c r="AE46" s="943"/>
      <c r="AF46" s="943"/>
      <c r="AG46" s="943"/>
      <c r="AH46" s="943"/>
      <c r="AI46" s="947">
        <v>102</v>
      </c>
      <c r="AJ46" s="945">
        <f t="shared" si="68"/>
        <v>114</v>
      </c>
      <c r="AK46" s="943">
        <v>8</v>
      </c>
      <c r="AL46" s="943">
        <v>4</v>
      </c>
      <c r="AM46" s="943"/>
      <c r="AN46" s="943"/>
      <c r="AO46" s="943"/>
      <c r="AP46" s="947">
        <v>102</v>
      </c>
      <c r="AQ46" s="945">
        <f t="shared" si="69"/>
        <v>113</v>
      </c>
      <c r="AR46" s="943">
        <v>8</v>
      </c>
      <c r="AS46" s="943">
        <v>4</v>
      </c>
      <c r="AT46" s="943"/>
      <c r="AU46" s="943"/>
      <c r="AV46" s="943"/>
      <c r="AW46" s="947">
        <v>101</v>
      </c>
      <c r="AX46" s="945">
        <f t="shared" si="70"/>
        <v>123</v>
      </c>
      <c r="AY46" s="943">
        <v>8</v>
      </c>
      <c r="AZ46" s="943">
        <v>14</v>
      </c>
      <c r="BA46" s="943"/>
      <c r="BB46" s="943"/>
      <c r="BC46" s="943"/>
      <c r="BD46" s="947">
        <v>101</v>
      </c>
      <c r="BE46" s="946"/>
      <c r="BF46" s="945">
        <f t="shared" si="71"/>
        <v>0</v>
      </c>
      <c r="BG46" s="943"/>
      <c r="BH46" s="943"/>
      <c r="BI46" s="943"/>
      <c r="BJ46" s="943"/>
      <c r="BK46" s="943"/>
      <c r="BL46" s="943"/>
      <c r="BM46" s="943"/>
      <c r="BN46" s="947"/>
      <c r="BO46" s="943" t="str">
        <f>'Учебный план'!CN65</f>
        <v>64-4</v>
      </c>
      <c r="BP46" s="943" t="str">
        <f>'Учебный план'!CO65</f>
        <v>ОК-1-10; ПК-1.3</v>
      </c>
    </row>
    <row r="47" spans="1:68" s="414" customFormat="1" ht="25.5" customHeight="1">
      <c r="A47" s="415">
        <f>'Учебный план'!A66</f>
        <v>0</v>
      </c>
      <c r="B47" s="415" t="str">
        <f>'Учебный план'!B66</f>
        <v>Судовая автоматика и контрольно-измерительные приборы</v>
      </c>
      <c r="C47" s="415" t="str">
        <f>'Учебный план'!C66</f>
        <v>САиКИП</v>
      </c>
      <c r="D47" s="149"/>
      <c r="E47" s="201" t="s">
        <v>39</v>
      </c>
      <c r="F47" s="201"/>
      <c r="G47" s="201"/>
      <c r="H47" s="201"/>
      <c r="I47" s="201"/>
      <c r="J47" s="190">
        <f t="shared" si="61"/>
        <v>-76</v>
      </c>
      <c r="K47" s="149">
        <f t="shared" si="44"/>
        <v>0</v>
      </c>
      <c r="L47" s="190"/>
      <c r="M47" s="190"/>
      <c r="N47" s="416">
        <f t="shared" si="62"/>
        <v>76</v>
      </c>
      <c r="O47" s="416">
        <f t="shared" si="45"/>
        <v>12</v>
      </c>
      <c r="P47" s="416">
        <f t="shared" si="63"/>
        <v>8</v>
      </c>
      <c r="Q47" s="416">
        <f t="shared" si="63"/>
        <v>4</v>
      </c>
      <c r="R47" s="416">
        <f t="shared" si="63"/>
        <v>0</v>
      </c>
      <c r="S47" s="416"/>
      <c r="T47" s="416">
        <f t="shared" si="64"/>
        <v>0</v>
      </c>
      <c r="U47" s="416">
        <f t="shared" si="65"/>
        <v>64</v>
      </c>
      <c r="V47" s="411">
        <f t="shared" si="66"/>
        <v>0</v>
      </c>
      <c r="W47" s="190"/>
      <c r="X47" s="190"/>
      <c r="Y47" s="190"/>
      <c r="Z47" s="190"/>
      <c r="AA47" s="190"/>
      <c r="AB47" s="190"/>
      <c r="AC47" s="411">
        <f t="shared" si="67"/>
        <v>0</v>
      </c>
      <c r="AD47" s="190"/>
      <c r="AE47" s="190"/>
      <c r="AF47" s="190"/>
      <c r="AG47" s="190"/>
      <c r="AH47" s="190"/>
      <c r="AI47" s="190"/>
      <c r="AJ47" s="411">
        <f t="shared" si="68"/>
        <v>0</v>
      </c>
      <c r="AK47" s="190"/>
      <c r="AL47" s="190"/>
      <c r="AM47" s="190"/>
      <c r="AN47" s="190"/>
      <c r="AO47" s="190"/>
      <c r="AP47" s="190"/>
      <c r="AQ47" s="411">
        <f t="shared" si="69"/>
        <v>76</v>
      </c>
      <c r="AR47" s="190">
        <v>8</v>
      </c>
      <c r="AS47" s="190">
        <v>4</v>
      </c>
      <c r="AT47" s="190"/>
      <c r="AU47" s="190"/>
      <c r="AV47" s="190"/>
      <c r="AW47" s="190">
        <v>64</v>
      </c>
      <c r="AX47" s="411">
        <f t="shared" si="70"/>
        <v>0</v>
      </c>
      <c r="AY47" s="190"/>
      <c r="AZ47" s="190"/>
      <c r="BA47" s="190"/>
      <c r="BB47" s="190"/>
      <c r="BC47" s="190"/>
      <c r="BD47" s="190"/>
      <c r="BE47" s="417"/>
      <c r="BF47" s="411">
        <f t="shared" si="71"/>
        <v>0</v>
      </c>
      <c r="BG47" s="190"/>
      <c r="BH47" s="190"/>
      <c r="BI47" s="190"/>
      <c r="BJ47" s="190"/>
      <c r="BK47" s="190"/>
      <c r="BL47" s="190"/>
      <c r="BM47" s="190"/>
      <c r="BN47" s="412"/>
      <c r="BO47" s="190" t="str">
        <f>'Учебный план'!CN66</f>
        <v>64-5</v>
      </c>
      <c r="BP47" s="190" t="str">
        <f>'Учебный план'!CO66</f>
        <v>ОК-1-10; ПК-1.3</v>
      </c>
    </row>
    <row r="48" spans="1:68" s="450" customFormat="1" ht="25.5" customHeight="1">
      <c r="A48" s="209">
        <f>'Учебный план'!A67</f>
        <v>0</v>
      </c>
      <c r="B48" s="209" t="str">
        <f>'Учебный план'!B67</f>
        <v>Обслуживание и ремонт судовых энергетических установок</v>
      </c>
      <c r="C48" s="209">
        <f>'Учебный план'!C67</f>
        <v>0</v>
      </c>
      <c r="D48" s="180"/>
      <c r="E48" s="199" t="s">
        <v>40</v>
      </c>
      <c r="F48" s="199"/>
      <c r="G48" s="199"/>
      <c r="H48" s="199"/>
      <c r="I48" s="199" t="s">
        <v>40</v>
      </c>
      <c r="J48" s="116">
        <f t="shared" si="61"/>
        <v>-128</v>
      </c>
      <c r="K48" s="180">
        <f t="shared" si="44"/>
        <v>0</v>
      </c>
      <c r="L48" s="116"/>
      <c r="M48" s="116"/>
      <c r="N48" s="363">
        <f t="shared" si="62"/>
        <v>128</v>
      </c>
      <c r="O48" s="363">
        <f t="shared" si="45"/>
        <v>16</v>
      </c>
      <c r="P48" s="363">
        <f t="shared" si="63"/>
        <v>12</v>
      </c>
      <c r="Q48" s="363">
        <f t="shared" si="63"/>
        <v>4</v>
      </c>
      <c r="R48" s="363">
        <f t="shared" si="63"/>
        <v>0</v>
      </c>
      <c r="S48" s="363"/>
      <c r="T48" s="363">
        <f t="shared" si="64"/>
        <v>0</v>
      </c>
      <c r="U48" s="363">
        <f t="shared" si="65"/>
        <v>112</v>
      </c>
      <c r="V48" s="182">
        <f t="shared" si="66"/>
        <v>0</v>
      </c>
      <c r="W48" s="116"/>
      <c r="X48" s="116"/>
      <c r="Y48" s="116"/>
      <c r="Z48" s="116"/>
      <c r="AA48" s="116"/>
      <c r="AB48" s="116"/>
      <c r="AC48" s="182">
        <f t="shared" si="67"/>
        <v>0</v>
      </c>
      <c r="AD48" s="116"/>
      <c r="AE48" s="116"/>
      <c r="AF48" s="116"/>
      <c r="AG48" s="116"/>
      <c r="AH48" s="116"/>
      <c r="AI48" s="116"/>
      <c r="AJ48" s="182">
        <f t="shared" si="68"/>
        <v>0</v>
      </c>
      <c r="AK48" s="116"/>
      <c r="AL48" s="116"/>
      <c r="AM48" s="116"/>
      <c r="AN48" s="116"/>
      <c r="AO48" s="116"/>
      <c r="AP48" s="116"/>
      <c r="AQ48" s="182">
        <f t="shared" si="69"/>
        <v>0</v>
      </c>
      <c r="AR48" s="116"/>
      <c r="AS48" s="116"/>
      <c r="AT48" s="116"/>
      <c r="AU48" s="116"/>
      <c r="AV48" s="116"/>
      <c r="AW48" s="116"/>
      <c r="AX48" s="182">
        <f t="shared" si="70"/>
        <v>128</v>
      </c>
      <c r="AY48" s="116">
        <v>12</v>
      </c>
      <c r="AZ48" s="116">
        <v>4</v>
      </c>
      <c r="BA48" s="116"/>
      <c r="BB48" s="116"/>
      <c r="BC48" s="116"/>
      <c r="BD48" s="116">
        <v>112</v>
      </c>
      <c r="BE48" s="365">
        <f>LEN(I48)-LEN(SUBSTITUTE(I48,"9",""))</f>
        <v>0</v>
      </c>
      <c r="BF48" s="182">
        <f t="shared" si="71"/>
        <v>0</v>
      </c>
      <c r="BG48" s="116"/>
      <c r="BH48" s="116"/>
      <c r="BI48" s="116"/>
      <c r="BJ48" s="116"/>
      <c r="BK48" s="116"/>
      <c r="BL48" s="116"/>
      <c r="BM48" s="116"/>
      <c r="BN48" s="117"/>
      <c r="BO48" s="116" t="str">
        <f>'Учебный план'!CN67</f>
        <v>64-4</v>
      </c>
      <c r="BP48" s="116" t="str">
        <f>'Учебный план'!CO67</f>
        <v>ОК-1-10; ПК-1.3</v>
      </c>
    </row>
    <row r="49" spans="1:68" s="450" customFormat="1" ht="25.5" customHeight="1">
      <c r="A49" s="209">
        <f>'Учебный план'!A68</f>
        <v>0</v>
      </c>
      <c r="B49" s="209" t="str">
        <f>'Учебный план'!B68</f>
        <v>Электрооборудование судов</v>
      </c>
      <c r="C49" s="209">
        <f>'Учебный план'!C68</f>
        <v>0</v>
      </c>
      <c r="D49" s="180"/>
      <c r="E49" s="199" t="s">
        <v>29</v>
      </c>
      <c r="F49" s="199"/>
      <c r="G49" s="199"/>
      <c r="H49" s="199"/>
      <c r="I49" s="199"/>
      <c r="J49" s="116">
        <f t="shared" si="61"/>
        <v>-65</v>
      </c>
      <c r="K49" s="180">
        <f t="shared" si="44"/>
        <v>0</v>
      </c>
      <c r="L49" s="116"/>
      <c r="M49" s="116"/>
      <c r="N49" s="363">
        <f t="shared" si="62"/>
        <v>65</v>
      </c>
      <c r="O49" s="363">
        <f t="shared" si="45"/>
        <v>12</v>
      </c>
      <c r="P49" s="363">
        <f t="shared" si="63"/>
        <v>8</v>
      </c>
      <c r="Q49" s="363">
        <f t="shared" si="63"/>
        <v>4</v>
      </c>
      <c r="R49" s="363">
        <f t="shared" si="63"/>
        <v>0</v>
      </c>
      <c r="S49" s="363"/>
      <c r="T49" s="363">
        <f t="shared" si="64"/>
        <v>0</v>
      </c>
      <c r="U49" s="363">
        <f t="shared" si="65"/>
        <v>53</v>
      </c>
      <c r="V49" s="182">
        <f t="shared" si="66"/>
        <v>0</v>
      </c>
      <c r="W49" s="116"/>
      <c r="X49" s="116"/>
      <c r="Y49" s="116"/>
      <c r="Z49" s="116"/>
      <c r="AA49" s="116"/>
      <c r="AB49" s="116"/>
      <c r="AC49" s="182">
        <f t="shared" si="67"/>
        <v>0</v>
      </c>
      <c r="AD49" s="116"/>
      <c r="AE49" s="116"/>
      <c r="AF49" s="116"/>
      <c r="AG49" s="116"/>
      <c r="AH49" s="116"/>
      <c r="AI49" s="116"/>
      <c r="AJ49" s="182">
        <f t="shared" si="68"/>
        <v>65</v>
      </c>
      <c r="AK49" s="116">
        <v>8</v>
      </c>
      <c r="AL49" s="116">
        <v>4</v>
      </c>
      <c r="AM49" s="116"/>
      <c r="AN49" s="116"/>
      <c r="AO49" s="116"/>
      <c r="AP49" s="116">
        <v>53</v>
      </c>
      <c r="AQ49" s="182">
        <f t="shared" si="69"/>
        <v>0</v>
      </c>
      <c r="AR49" s="116"/>
      <c r="AS49" s="116"/>
      <c r="AT49" s="116"/>
      <c r="AU49" s="116"/>
      <c r="AV49" s="116"/>
      <c r="AW49" s="116"/>
      <c r="AX49" s="182">
        <f t="shared" si="70"/>
        <v>0</v>
      </c>
      <c r="AY49" s="116"/>
      <c r="AZ49" s="116"/>
      <c r="BA49" s="116"/>
      <c r="BB49" s="116"/>
      <c r="BC49" s="116"/>
      <c r="BD49" s="116"/>
      <c r="BE49" s="365"/>
      <c r="BF49" s="182">
        <f t="shared" si="71"/>
        <v>0</v>
      </c>
      <c r="BG49" s="116"/>
      <c r="BH49" s="116"/>
      <c r="BI49" s="116"/>
      <c r="BJ49" s="116"/>
      <c r="BK49" s="116"/>
      <c r="BL49" s="116"/>
      <c r="BM49" s="116"/>
      <c r="BN49" s="117"/>
      <c r="BO49" s="116" t="str">
        <f>'Учебный план'!CN68</f>
        <v>64-5</v>
      </c>
      <c r="BP49" s="116" t="str">
        <f>'Учебный план'!CO68</f>
        <v>ОК 2,3,6,9; ПК-1.3</v>
      </c>
    </row>
    <row r="50" spans="1:68" s="414" customFormat="1" ht="25.5" customHeight="1">
      <c r="A50" s="949">
        <f>'Учебный план'!A69</f>
        <v>0</v>
      </c>
      <c r="B50" s="949" t="str">
        <f>'Учебный план'!B69</f>
        <v>Обслуживание и ремонт судового электрического и электронного оборудования</v>
      </c>
      <c r="C50" s="949">
        <f>'Учебный план'!C69</f>
        <v>0</v>
      </c>
      <c r="D50" s="950"/>
      <c r="E50" s="951" t="s">
        <v>39</v>
      </c>
      <c r="F50" s="951"/>
      <c r="G50" s="951"/>
      <c r="H50" s="951"/>
      <c r="I50" s="951"/>
      <c r="J50" s="952">
        <f t="shared" si="61"/>
        <v>-49</v>
      </c>
      <c r="K50" s="950">
        <f t="shared" si="44"/>
        <v>0</v>
      </c>
      <c r="L50" s="952"/>
      <c r="M50" s="952"/>
      <c r="N50" s="953">
        <f t="shared" si="62"/>
        <v>49</v>
      </c>
      <c r="O50" s="953">
        <f t="shared" si="45"/>
        <v>10</v>
      </c>
      <c r="P50" s="953">
        <f t="shared" si="63"/>
        <v>8</v>
      </c>
      <c r="Q50" s="953">
        <f t="shared" si="63"/>
        <v>2</v>
      </c>
      <c r="R50" s="953">
        <f t="shared" si="63"/>
        <v>0</v>
      </c>
      <c r="S50" s="953"/>
      <c r="T50" s="953">
        <f t="shared" si="64"/>
        <v>0</v>
      </c>
      <c r="U50" s="953">
        <f t="shared" si="65"/>
        <v>39</v>
      </c>
      <c r="V50" s="954">
        <f t="shared" si="66"/>
        <v>0</v>
      </c>
      <c r="W50" s="952"/>
      <c r="X50" s="952"/>
      <c r="Y50" s="952"/>
      <c r="Z50" s="952"/>
      <c r="AA50" s="952"/>
      <c r="AB50" s="952"/>
      <c r="AC50" s="954">
        <f t="shared" si="67"/>
        <v>0</v>
      </c>
      <c r="AD50" s="952"/>
      <c r="AE50" s="952"/>
      <c r="AF50" s="952"/>
      <c r="AG50" s="952"/>
      <c r="AH50" s="952"/>
      <c r="AI50" s="952"/>
      <c r="AJ50" s="954">
        <f t="shared" si="68"/>
        <v>0</v>
      </c>
      <c r="AK50" s="952"/>
      <c r="AL50" s="952"/>
      <c r="AM50" s="952"/>
      <c r="AN50" s="952"/>
      <c r="AO50" s="952"/>
      <c r="AP50" s="952"/>
      <c r="AQ50" s="954">
        <f t="shared" si="69"/>
        <v>49</v>
      </c>
      <c r="AR50" s="952">
        <v>8</v>
      </c>
      <c r="AS50" s="952">
        <v>2</v>
      </c>
      <c r="AT50" s="952"/>
      <c r="AU50" s="952"/>
      <c r="AV50" s="952"/>
      <c r="AW50" s="952">
        <v>39</v>
      </c>
      <c r="AX50" s="954">
        <f t="shared" si="70"/>
        <v>0</v>
      </c>
      <c r="AY50" s="952"/>
      <c r="AZ50" s="952"/>
      <c r="BA50" s="952"/>
      <c r="BB50" s="952"/>
      <c r="BC50" s="952"/>
      <c r="BD50" s="952"/>
      <c r="BE50" s="955"/>
      <c r="BF50" s="954">
        <f t="shared" si="71"/>
        <v>0</v>
      </c>
      <c r="BG50" s="952"/>
      <c r="BH50" s="952"/>
      <c r="BI50" s="952"/>
      <c r="BJ50" s="952"/>
      <c r="BK50" s="952"/>
      <c r="BL50" s="952"/>
      <c r="BM50" s="952"/>
      <c r="BN50" s="956"/>
      <c r="BO50" s="952" t="str">
        <f>'Учебный план'!CN69</f>
        <v>64-5</v>
      </c>
      <c r="BP50" s="952" t="str">
        <f>'Учебный план'!CO69</f>
        <v>ОК-2,3,5,7; ПК-1.3</v>
      </c>
    </row>
    <row r="51" spans="1:68" s="48" customFormat="1" ht="25.5" customHeight="1">
      <c r="A51" s="227" t="str">
        <f>'Учебный план'!A70</f>
        <v>МДК.01.04</v>
      </c>
      <c r="B51" s="745" t="str">
        <f>'Учебный план'!B70</f>
        <v>Судовождение на внутренних водных путях</v>
      </c>
      <c r="C51" s="746"/>
      <c r="D51" s="746"/>
      <c r="E51" s="746"/>
      <c r="F51" s="746"/>
      <c r="G51" s="746"/>
      <c r="H51" s="746"/>
      <c r="I51" s="747"/>
      <c r="J51" s="219"/>
      <c r="K51" s="220"/>
      <c r="L51" s="219">
        <f>'Учебный план'!N70</f>
        <v>516</v>
      </c>
      <c r="M51" s="219">
        <f>'Учебный план'!O70</f>
        <v>346</v>
      </c>
      <c r="N51" s="219">
        <f t="shared" si="62"/>
        <v>516</v>
      </c>
      <c r="O51" s="219">
        <f aca="true" t="shared" si="72" ref="O51:AB51">SUM(O52:O54)</f>
        <v>94</v>
      </c>
      <c r="P51" s="219">
        <f t="shared" si="72"/>
        <v>51</v>
      </c>
      <c r="Q51" s="219">
        <f t="shared" si="72"/>
        <v>10</v>
      </c>
      <c r="R51" s="219">
        <f t="shared" si="72"/>
        <v>33</v>
      </c>
      <c r="S51" s="219"/>
      <c r="T51" s="219">
        <f t="shared" si="72"/>
        <v>0</v>
      </c>
      <c r="U51" s="219">
        <f t="shared" si="72"/>
        <v>422</v>
      </c>
      <c r="V51" s="219">
        <f t="shared" si="72"/>
        <v>0</v>
      </c>
      <c r="W51" s="219">
        <f t="shared" si="72"/>
        <v>0</v>
      </c>
      <c r="X51" s="219">
        <f t="shared" si="72"/>
        <v>0</v>
      </c>
      <c r="Y51" s="219">
        <f t="shared" si="72"/>
        <v>0</v>
      </c>
      <c r="Z51" s="219"/>
      <c r="AA51" s="219">
        <f t="shared" si="72"/>
        <v>0</v>
      </c>
      <c r="AB51" s="219">
        <f t="shared" si="72"/>
        <v>0</v>
      </c>
      <c r="AC51" s="219">
        <f aca="true" t="shared" si="73" ref="AC51:AI51">SUM(AC52:AC54)</f>
        <v>116</v>
      </c>
      <c r="AD51" s="219">
        <f t="shared" si="73"/>
        <v>20</v>
      </c>
      <c r="AE51" s="219">
        <f t="shared" si="73"/>
        <v>0</v>
      </c>
      <c r="AF51" s="219">
        <f t="shared" si="73"/>
        <v>0</v>
      </c>
      <c r="AG51" s="219"/>
      <c r="AH51" s="219">
        <f t="shared" si="73"/>
        <v>0</v>
      </c>
      <c r="AI51" s="219">
        <f t="shared" si="73"/>
        <v>96</v>
      </c>
      <c r="AJ51" s="219">
        <f aca="true" t="shared" si="74" ref="AJ51:AP51">SUM(AJ52:AJ54)</f>
        <v>113</v>
      </c>
      <c r="AK51" s="219">
        <f t="shared" si="74"/>
        <v>16</v>
      </c>
      <c r="AL51" s="219">
        <f t="shared" si="74"/>
        <v>0</v>
      </c>
      <c r="AM51" s="219">
        <f t="shared" si="74"/>
        <v>0</v>
      </c>
      <c r="AN51" s="219"/>
      <c r="AO51" s="219">
        <f t="shared" si="74"/>
        <v>0</v>
      </c>
      <c r="AP51" s="219">
        <f t="shared" si="74"/>
        <v>97</v>
      </c>
      <c r="AQ51" s="219">
        <f aca="true" t="shared" si="75" ref="AQ51:AW51">SUM(AQ52:AQ54)</f>
        <v>191</v>
      </c>
      <c r="AR51" s="219">
        <f t="shared" si="75"/>
        <v>10</v>
      </c>
      <c r="AS51" s="219">
        <f t="shared" si="75"/>
        <v>10</v>
      </c>
      <c r="AT51" s="219">
        <f t="shared" si="75"/>
        <v>0</v>
      </c>
      <c r="AU51" s="219"/>
      <c r="AV51" s="219">
        <f t="shared" si="75"/>
        <v>0</v>
      </c>
      <c r="AW51" s="219">
        <f t="shared" si="75"/>
        <v>171</v>
      </c>
      <c r="AX51" s="219">
        <f aca="true" t="shared" si="76" ref="AX51:BD51">SUM(AX52:AX54)</f>
        <v>96</v>
      </c>
      <c r="AY51" s="219">
        <f t="shared" si="76"/>
        <v>5</v>
      </c>
      <c r="AZ51" s="219">
        <f t="shared" si="76"/>
        <v>0</v>
      </c>
      <c r="BA51" s="219">
        <f t="shared" si="76"/>
        <v>33</v>
      </c>
      <c r="BB51" s="219"/>
      <c r="BC51" s="219">
        <f t="shared" si="76"/>
        <v>0</v>
      </c>
      <c r="BD51" s="219">
        <f t="shared" si="76"/>
        <v>58</v>
      </c>
      <c r="BE51" s="219"/>
      <c r="BF51" s="219">
        <f aca="true" t="shared" si="77" ref="BF51:BM51">SUM(BF52:BF54)</f>
        <v>0</v>
      </c>
      <c r="BG51" s="219">
        <f t="shared" si="77"/>
        <v>0</v>
      </c>
      <c r="BH51" s="219">
        <f t="shared" si="77"/>
        <v>0</v>
      </c>
      <c r="BI51" s="219">
        <f t="shared" si="77"/>
        <v>0</v>
      </c>
      <c r="BJ51" s="219">
        <f t="shared" si="77"/>
        <v>0</v>
      </c>
      <c r="BK51" s="219">
        <f t="shared" si="77"/>
        <v>0</v>
      </c>
      <c r="BL51" s="219">
        <f t="shared" si="77"/>
        <v>0</v>
      </c>
      <c r="BM51" s="219">
        <f t="shared" si="77"/>
        <v>0</v>
      </c>
      <c r="BN51" s="219"/>
      <c r="BO51" s="219">
        <f>'Учебный план'!CN70</f>
        <v>0</v>
      </c>
      <c r="BP51" s="219">
        <f>'Учебный план'!CO70</f>
        <v>0</v>
      </c>
    </row>
    <row r="52" spans="1:68" s="414" customFormat="1" ht="25.5" customHeight="1">
      <c r="A52" s="415">
        <f>'Учебный план'!A71</f>
        <v>0</v>
      </c>
      <c r="B52" s="415" t="str">
        <f>'Учебный план'!B71</f>
        <v>Правила плавания и управление судами на ВВП</v>
      </c>
      <c r="C52" s="415">
        <f>'Учебный план'!C71</f>
        <v>0</v>
      </c>
      <c r="D52" s="149" t="s">
        <v>39</v>
      </c>
      <c r="E52" s="149" t="s">
        <v>40</v>
      </c>
      <c r="F52" s="149"/>
      <c r="G52" s="149"/>
      <c r="H52" s="149" t="s">
        <v>40</v>
      </c>
      <c r="I52" s="201" t="s">
        <v>678</v>
      </c>
      <c r="J52" s="190">
        <f>L52-N52</f>
        <v>-270</v>
      </c>
      <c r="K52" s="149">
        <f t="shared" si="44"/>
        <v>0</v>
      </c>
      <c r="L52" s="190"/>
      <c r="M52" s="190"/>
      <c r="N52" s="416">
        <f t="shared" si="62"/>
        <v>270</v>
      </c>
      <c r="O52" s="416">
        <f>SUM(P52:T52)</f>
        <v>62</v>
      </c>
      <c r="P52" s="416">
        <f aca="true" t="shared" si="78" ref="P52:R54">W52+AK52+AR52+AY52+AD52+BH52</f>
        <v>29</v>
      </c>
      <c r="Q52" s="416">
        <f t="shared" si="78"/>
        <v>0</v>
      </c>
      <c r="R52" s="416">
        <f t="shared" si="78"/>
        <v>33</v>
      </c>
      <c r="S52" s="416"/>
      <c r="T52" s="416">
        <f>AA52+AO52+AV52+BC52+AH52+BK52</f>
        <v>0</v>
      </c>
      <c r="U52" s="416">
        <f>AB52+AP52+AW52+BD52+BM52+AI52</f>
        <v>208</v>
      </c>
      <c r="V52" s="411">
        <f>SUM(W52:AB52)</f>
        <v>0</v>
      </c>
      <c r="W52" s="190"/>
      <c r="X52" s="190"/>
      <c r="Y52" s="190"/>
      <c r="Z52" s="190"/>
      <c r="AA52" s="190"/>
      <c r="AB52" s="190"/>
      <c r="AC52" s="411">
        <f>SUM(AD52:AI52)</f>
        <v>58</v>
      </c>
      <c r="AD52" s="190">
        <v>8</v>
      </c>
      <c r="AE52" s="190"/>
      <c r="AF52" s="190"/>
      <c r="AG52" s="190"/>
      <c r="AH52" s="190"/>
      <c r="AI52" s="190">
        <v>50</v>
      </c>
      <c r="AJ52" s="411">
        <f>SUM(AK52:AP52)</f>
        <v>58</v>
      </c>
      <c r="AK52" s="190">
        <v>8</v>
      </c>
      <c r="AL52" s="190"/>
      <c r="AM52" s="190"/>
      <c r="AN52" s="190"/>
      <c r="AO52" s="190"/>
      <c r="AP52" s="190">
        <v>50</v>
      </c>
      <c r="AQ52" s="411">
        <f>SUM(AR52:AW52)</f>
        <v>58</v>
      </c>
      <c r="AR52" s="190">
        <v>8</v>
      </c>
      <c r="AS52" s="190"/>
      <c r="AT52" s="190"/>
      <c r="AU52" s="190"/>
      <c r="AV52" s="190"/>
      <c r="AW52" s="190">
        <v>50</v>
      </c>
      <c r="AX52" s="411">
        <f>SUM(AY52:BD52)</f>
        <v>96</v>
      </c>
      <c r="AY52" s="190">
        <v>5</v>
      </c>
      <c r="AZ52" s="190"/>
      <c r="BA52" s="190">
        <v>33</v>
      </c>
      <c r="BB52" s="190"/>
      <c r="BC52" s="190"/>
      <c r="BD52" s="190">
        <v>58</v>
      </c>
      <c r="BE52" s="417"/>
      <c r="BF52" s="411">
        <f>SUM(BG52:BM52)</f>
        <v>0</v>
      </c>
      <c r="BG52" s="190"/>
      <c r="BH52" s="190"/>
      <c r="BI52" s="190"/>
      <c r="BJ52" s="190"/>
      <c r="BK52" s="190"/>
      <c r="BL52" s="190"/>
      <c r="BM52" s="190"/>
      <c r="BN52" s="412"/>
      <c r="BO52" s="149" t="str">
        <f>'Учебный план'!CN71</f>
        <v>64-3</v>
      </c>
      <c r="BP52" s="190" t="str">
        <f>'Учебный план'!CO71</f>
        <v>ОК-1-10; ПК-1.1</v>
      </c>
    </row>
    <row r="53" spans="1:68" s="450" customFormat="1" ht="25.5" customHeight="1">
      <c r="A53" s="209">
        <f>'Учебный план'!A72</f>
        <v>0</v>
      </c>
      <c r="B53" s="209" t="str">
        <f>'Учебный план'!B72</f>
        <v>Лоция внутренних водных путей</v>
      </c>
      <c r="C53" s="209" t="str">
        <f>'Учебный план'!C72</f>
        <v>Лоция ВВП</v>
      </c>
      <c r="D53" s="180"/>
      <c r="E53" s="180" t="s">
        <v>29</v>
      </c>
      <c r="F53" s="180"/>
      <c r="G53" s="180"/>
      <c r="H53" s="180"/>
      <c r="I53" s="199" t="s">
        <v>30</v>
      </c>
      <c r="J53" s="116">
        <f>L53-N53</f>
        <v>-113</v>
      </c>
      <c r="K53" s="180">
        <f t="shared" si="44"/>
        <v>0</v>
      </c>
      <c r="L53" s="116"/>
      <c r="M53" s="116"/>
      <c r="N53" s="366">
        <f t="shared" si="62"/>
        <v>113</v>
      </c>
      <c r="O53" s="363">
        <f>SUM(P53:T53)</f>
        <v>20</v>
      </c>
      <c r="P53" s="363">
        <f t="shared" si="78"/>
        <v>20</v>
      </c>
      <c r="Q53" s="363">
        <f t="shared" si="78"/>
        <v>0</v>
      </c>
      <c r="R53" s="363">
        <f t="shared" si="78"/>
        <v>0</v>
      </c>
      <c r="S53" s="363"/>
      <c r="T53" s="363">
        <f>AA53+AO53+AV53+BC53+AH53+BK53</f>
        <v>0</v>
      </c>
      <c r="U53" s="363">
        <f>AB53+AP53+AW53+BD53+BM53+AI53</f>
        <v>93</v>
      </c>
      <c r="V53" s="182">
        <f>SUM(W53:AB53)</f>
        <v>0</v>
      </c>
      <c r="W53" s="116"/>
      <c r="X53" s="116"/>
      <c r="Y53" s="116"/>
      <c r="Z53" s="116"/>
      <c r="AA53" s="116"/>
      <c r="AB53" s="116"/>
      <c r="AC53" s="182">
        <f>SUM(AD53:AI53)</f>
        <v>58</v>
      </c>
      <c r="AD53" s="116">
        <v>12</v>
      </c>
      <c r="AE53" s="116"/>
      <c r="AF53" s="116"/>
      <c r="AG53" s="116"/>
      <c r="AH53" s="116"/>
      <c r="AI53" s="117">
        <v>46</v>
      </c>
      <c r="AJ53" s="182">
        <f>SUM(AK53:AP53)</f>
        <v>55</v>
      </c>
      <c r="AK53" s="116">
        <v>8</v>
      </c>
      <c r="AL53" s="116"/>
      <c r="AM53" s="116"/>
      <c r="AN53" s="116"/>
      <c r="AO53" s="116"/>
      <c r="AP53" s="117">
        <v>47</v>
      </c>
      <c r="AQ53" s="182">
        <f>SUM(AR53:AW53)</f>
        <v>0</v>
      </c>
      <c r="AR53" s="116"/>
      <c r="AS53" s="116"/>
      <c r="AT53" s="116"/>
      <c r="AU53" s="116"/>
      <c r="AV53" s="116"/>
      <c r="AW53" s="116"/>
      <c r="AX53" s="182">
        <f>SUM(AY53:BD53)</f>
        <v>0</v>
      </c>
      <c r="AY53" s="116"/>
      <c r="AZ53" s="116"/>
      <c r="BA53" s="116"/>
      <c r="BB53" s="116"/>
      <c r="BC53" s="116"/>
      <c r="BD53" s="116"/>
      <c r="BE53" s="365"/>
      <c r="BF53" s="182">
        <f>SUM(BG53:BM53)</f>
        <v>0</v>
      </c>
      <c r="BG53" s="116"/>
      <c r="BH53" s="116"/>
      <c r="BI53" s="116"/>
      <c r="BJ53" s="116"/>
      <c r="BK53" s="116"/>
      <c r="BL53" s="116"/>
      <c r="BM53" s="116"/>
      <c r="BN53" s="117"/>
      <c r="BO53" s="180" t="str">
        <f>'Учебный план'!CN72</f>
        <v>64-3</v>
      </c>
      <c r="BP53" s="116" t="str">
        <f>'Учебный план'!CO72</f>
        <v>ОК-1-10; ПК-1.1</v>
      </c>
    </row>
    <row r="54" spans="1:68" s="414" customFormat="1" ht="25.5" customHeight="1">
      <c r="A54" s="415">
        <f>'Учебный план'!A73</f>
        <v>0</v>
      </c>
      <c r="B54" s="415" t="str">
        <f>'Учебный план'!B73</f>
        <v>Использование РЛС на ВВП</v>
      </c>
      <c r="C54" s="415" t="str">
        <f>'Учебный план'!C73</f>
        <v>РЛС на ВВП</v>
      </c>
      <c r="D54" s="149"/>
      <c r="E54" s="149"/>
      <c r="F54" s="149" t="s">
        <v>39</v>
      </c>
      <c r="G54" s="149"/>
      <c r="H54" s="149"/>
      <c r="I54" s="201"/>
      <c r="J54" s="190">
        <f>L54-N54</f>
        <v>-133</v>
      </c>
      <c r="K54" s="149">
        <f t="shared" si="44"/>
        <v>0</v>
      </c>
      <c r="L54" s="190"/>
      <c r="M54" s="190"/>
      <c r="N54" s="416">
        <f t="shared" si="62"/>
        <v>133</v>
      </c>
      <c r="O54" s="416">
        <f>SUM(P54:T54)</f>
        <v>12</v>
      </c>
      <c r="P54" s="416">
        <f t="shared" si="78"/>
        <v>2</v>
      </c>
      <c r="Q54" s="416">
        <f t="shared" si="78"/>
        <v>10</v>
      </c>
      <c r="R54" s="416">
        <f t="shared" si="78"/>
        <v>0</v>
      </c>
      <c r="S54" s="416"/>
      <c r="T54" s="416">
        <f>AA54+AO54+AV54+BC54+AH54+BK54</f>
        <v>0</v>
      </c>
      <c r="U54" s="416">
        <f>AB54+AP54+AW54+BD54+BM54+AI54</f>
        <v>121</v>
      </c>
      <c r="V54" s="411">
        <f>SUM(W54:AB54)</f>
        <v>0</v>
      </c>
      <c r="W54" s="190"/>
      <c r="X54" s="190"/>
      <c r="Y54" s="190"/>
      <c r="Z54" s="190"/>
      <c r="AA54" s="190"/>
      <c r="AB54" s="190"/>
      <c r="AC54" s="411">
        <f>SUM(AD54:AI54)</f>
        <v>0</v>
      </c>
      <c r="AD54" s="190"/>
      <c r="AE54" s="190"/>
      <c r="AF54" s="190"/>
      <c r="AG54" s="190"/>
      <c r="AH54" s="190"/>
      <c r="AI54" s="190"/>
      <c r="AJ54" s="411">
        <f>SUM(AK54:AP54)</f>
        <v>0</v>
      </c>
      <c r="AK54" s="190"/>
      <c r="AL54" s="190"/>
      <c r="AM54" s="190"/>
      <c r="AN54" s="190"/>
      <c r="AO54" s="190"/>
      <c r="AP54" s="190"/>
      <c r="AQ54" s="411">
        <f>SUM(AR54:AW54)</f>
        <v>133</v>
      </c>
      <c r="AR54" s="190">
        <v>2</v>
      </c>
      <c r="AS54" s="190">
        <v>10</v>
      </c>
      <c r="AT54" s="190"/>
      <c r="AU54" s="190"/>
      <c r="AV54" s="190"/>
      <c r="AW54" s="190">
        <v>121</v>
      </c>
      <c r="AX54" s="411">
        <f>SUM(AY54:BD54)</f>
        <v>0</v>
      </c>
      <c r="AY54" s="190"/>
      <c r="AZ54" s="190"/>
      <c r="BA54" s="190"/>
      <c r="BB54" s="190"/>
      <c r="BC54" s="190"/>
      <c r="BD54" s="190"/>
      <c r="BE54" s="417"/>
      <c r="BF54" s="411">
        <f>SUM(BG54:BM54)</f>
        <v>0</v>
      </c>
      <c r="BG54" s="190"/>
      <c r="BH54" s="190"/>
      <c r="BI54" s="190"/>
      <c r="BJ54" s="190"/>
      <c r="BK54" s="190"/>
      <c r="BL54" s="190"/>
      <c r="BM54" s="190"/>
      <c r="BN54" s="412"/>
      <c r="BO54" s="149" t="str">
        <f>'Учебный план'!CN73</f>
        <v>64-3</v>
      </c>
      <c r="BP54" s="190" t="str">
        <f>'Учебный план'!CO73</f>
        <v>ОК-1-10; ПК-1.1</v>
      </c>
    </row>
    <row r="55" spans="1:68" s="450" customFormat="1" ht="26.25" customHeight="1">
      <c r="A55" s="740" t="str">
        <f>'Учебный план'!A74</f>
        <v> Экзамен квалификационный</v>
      </c>
      <c r="B55" s="741"/>
      <c r="C55" s="223"/>
      <c r="D55" s="204" t="s">
        <v>40</v>
      </c>
      <c r="E55" s="204"/>
      <c r="F55" s="204"/>
      <c r="G55" s="204"/>
      <c r="H55" s="204"/>
      <c r="I55" s="204"/>
      <c r="J55" s="205"/>
      <c r="K55" s="204"/>
      <c r="L55" s="205">
        <f>'Учебный план'!N74</f>
        <v>0</v>
      </c>
      <c r="M55" s="205">
        <f>'Учебный план'!O74</f>
        <v>0</v>
      </c>
      <c r="N55" s="193">
        <f t="shared" si="62"/>
        <v>0</v>
      </c>
      <c r="O55" s="193"/>
      <c r="P55" s="193"/>
      <c r="Q55" s="193"/>
      <c r="R55" s="193"/>
      <c r="S55" s="193"/>
      <c r="T55" s="193"/>
      <c r="U55" s="193"/>
      <c r="V55" s="193"/>
      <c r="W55" s="205"/>
      <c r="X55" s="205"/>
      <c r="Y55" s="205"/>
      <c r="Z55" s="205"/>
      <c r="AA55" s="205"/>
      <c r="AB55" s="205"/>
      <c r="AC55" s="193"/>
      <c r="AD55" s="205"/>
      <c r="AE55" s="205"/>
      <c r="AF55" s="205"/>
      <c r="AG55" s="205"/>
      <c r="AH55" s="205"/>
      <c r="AI55" s="205"/>
      <c r="AJ55" s="193"/>
      <c r="AK55" s="205"/>
      <c r="AL55" s="205"/>
      <c r="AM55" s="205"/>
      <c r="AN55" s="205"/>
      <c r="AO55" s="205"/>
      <c r="AP55" s="205"/>
      <c r="AQ55" s="193"/>
      <c r="AR55" s="205"/>
      <c r="AS55" s="205"/>
      <c r="AT55" s="205"/>
      <c r="AU55" s="205"/>
      <c r="AV55" s="205"/>
      <c r="AW55" s="205"/>
      <c r="AX55" s="193"/>
      <c r="AY55" s="205"/>
      <c r="AZ55" s="205"/>
      <c r="BA55" s="205"/>
      <c r="BB55" s="205"/>
      <c r="BC55" s="205"/>
      <c r="BD55" s="205"/>
      <c r="BE55" s="205"/>
      <c r="BF55" s="193"/>
      <c r="BG55" s="205"/>
      <c r="BH55" s="205"/>
      <c r="BI55" s="205"/>
      <c r="BJ55" s="205"/>
      <c r="BK55" s="205"/>
      <c r="BL55" s="205"/>
      <c r="BM55" s="205"/>
      <c r="BN55" s="205"/>
      <c r="BO55" s="204">
        <f>'Учебный план'!CN74</f>
        <v>0</v>
      </c>
      <c r="BP55" s="377">
        <f>'Учебный план'!CO74</f>
        <v>0</v>
      </c>
    </row>
    <row r="56" spans="1:68" s="48" customFormat="1" ht="25.5" customHeight="1">
      <c r="A56" s="222" t="str">
        <f>'Учебный план'!A75</f>
        <v>ПМ.02</v>
      </c>
      <c r="B56" s="748" t="str">
        <f>'Учебный план'!B75</f>
        <v>Обеспечение безопасности плавания</v>
      </c>
      <c r="C56" s="749"/>
      <c r="D56" s="749"/>
      <c r="E56" s="749"/>
      <c r="F56" s="749"/>
      <c r="G56" s="749"/>
      <c r="H56" s="749"/>
      <c r="I56" s="750"/>
      <c r="J56" s="191"/>
      <c r="K56" s="191"/>
      <c r="L56" s="191">
        <f>'Учебный план'!N75</f>
        <v>430</v>
      </c>
      <c r="M56" s="191">
        <f>'Учебный план'!O75</f>
        <v>296</v>
      </c>
      <c r="N56" s="191">
        <f t="shared" si="62"/>
        <v>430</v>
      </c>
      <c r="O56" s="191">
        <f aca="true" t="shared" si="79" ref="O56:U56">SUM(O58:O60)</f>
        <v>28</v>
      </c>
      <c r="P56" s="191">
        <f t="shared" si="79"/>
        <v>28</v>
      </c>
      <c r="Q56" s="191">
        <f t="shared" si="79"/>
        <v>0</v>
      </c>
      <c r="R56" s="191">
        <f t="shared" si="79"/>
        <v>0</v>
      </c>
      <c r="S56" s="191"/>
      <c r="T56" s="191">
        <f t="shared" si="79"/>
        <v>0</v>
      </c>
      <c r="U56" s="191">
        <f t="shared" si="79"/>
        <v>402</v>
      </c>
      <c r="V56" s="191">
        <f aca="true" t="shared" si="80" ref="V56:AB56">SUM(V57:V59)</f>
        <v>0</v>
      </c>
      <c r="W56" s="191">
        <f t="shared" si="80"/>
        <v>0</v>
      </c>
      <c r="X56" s="191">
        <f t="shared" si="80"/>
        <v>0</v>
      </c>
      <c r="Y56" s="191">
        <f t="shared" si="80"/>
        <v>0</v>
      </c>
      <c r="Z56" s="191"/>
      <c r="AA56" s="191">
        <f t="shared" si="80"/>
        <v>0</v>
      </c>
      <c r="AB56" s="191">
        <f t="shared" si="80"/>
        <v>0</v>
      </c>
      <c r="AC56" s="191">
        <f>SUM(AC57:AC60)</f>
        <v>430</v>
      </c>
      <c r="AD56" s="191">
        <f>SUM(AD57:AD60)</f>
        <v>28</v>
      </c>
      <c r="AE56" s="191">
        <f>SUM(AE57:AE60)</f>
        <v>0</v>
      </c>
      <c r="AF56" s="191">
        <f>SUM(AF57:AF60)</f>
        <v>0</v>
      </c>
      <c r="AG56" s="191"/>
      <c r="AH56" s="191">
        <f aca="true" t="shared" si="81" ref="AH56:AM56">SUM(AH57:AH60)</f>
        <v>0</v>
      </c>
      <c r="AI56" s="191">
        <f t="shared" si="81"/>
        <v>402</v>
      </c>
      <c r="AJ56" s="191">
        <f t="shared" si="81"/>
        <v>0</v>
      </c>
      <c r="AK56" s="191">
        <f t="shared" si="81"/>
        <v>0</v>
      </c>
      <c r="AL56" s="191">
        <f t="shared" si="81"/>
        <v>0</v>
      </c>
      <c r="AM56" s="191">
        <f t="shared" si="81"/>
        <v>0</v>
      </c>
      <c r="AN56" s="191"/>
      <c r="AO56" s="191">
        <f>SUM(AO57:AO60)</f>
        <v>0</v>
      </c>
      <c r="AP56" s="191">
        <f>SUM(AP57:AP60)</f>
        <v>0</v>
      </c>
      <c r="AQ56" s="191">
        <f aca="true" t="shared" si="82" ref="AQ56:BD56">SUM(AQ57:AQ59)</f>
        <v>0</v>
      </c>
      <c r="AR56" s="191">
        <f t="shared" si="82"/>
        <v>0</v>
      </c>
      <c r="AS56" s="191">
        <f t="shared" si="82"/>
        <v>0</v>
      </c>
      <c r="AT56" s="191">
        <f t="shared" si="82"/>
        <v>0</v>
      </c>
      <c r="AU56" s="191"/>
      <c r="AV56" s="191">
        <f t="shared" si="82"/>
        <v>0</v>
      </c>
      <c r="AW56" s="191">
        <f t="shared" si="82"/>
        <v>0</v>
      </c>
      <c r="AX56" s="191">
        <f t="shared" si="82"/>
        <v>0</v>
      </c>
      <c r="AY56" s="191">
        <f t="shared" si="82"/>
        <v>0</v>
      </c>
      <c r="AZ56" s="191">
        <f t="shared" si="82"/>
        <v>0</v>
      </c>
      <c r="BA56" s="191">
        <f t="shared" si="82"/>
        <v>0</v>
      </c>
      <c r="BB56" s="191"/>
      <c r="BC56" s="191">
        <f t="shared" si="82"/>
        <v>0</v>
      </c>
      <c r="BD56" s="191">
        <f t="shared" si="82"/>
        <v>0</v>
      </c>
      <c r="BE56" s="191"/>
      <c r="BF56" s="191">
        <f aca="true" t="shared" si="83" ref="BF56:BM56">SUM(BF57:BF59)</f>
        <v>0</v>
      </c>
      <c r="BG56" s="191">
        <f t="shared" si="83"/>
        <v>0</v>
      </c>
      <c r="BH56" s="191">
        <f t="shared" si="83"/>
        <v>0</v>
      </c>
      <c r="BI56" s="191">
        <f t="shared" si="83"/>
        <v>0</v>
      </c>
      <c r="BJ56" s="191">
        <f t="shared" si="83"/>
        <v>0</v>
      </c>
      <c r="BK56" s="191">
        <f t="shared" si="83"/>
        <v>0</v>
      </c>
      <c r="BL56" s="191">
        <f t="shared" si="83"/>
        <v>0</v>
      </c>
      <c r="BM56" s="191">
        <f t="shared" si="83"/>
        <v>0</v>
      </c>
      <c r="BN56" s="191"/>
      <c r="BO56" s="371">
        <f>'Учебный план'!CN75</f>
        <v>0</v>
      </c>
      <c r="BP56" s="372"/>
    </row>
    <row r="57" spans="1:68" s="450" customFormat="1" ht="25.5" customHeight="1">
      <c r="A57" s="227" t="str">
        <f>'Учебный план'!A76</f>
        <v>МДК.02.01</v>
      </c>
      <c r="B57" s="763" t="str">
        <f>'Учебный план'!B76</f>
        <v>Безопасность жизнедеятельности на судне и транспортная безопасность</v>
      </c>
      <c r="C57" s="764"/>
      <c r="D57" s="764"/>
      <c r="E57" s="764"/>
      <c r="F57" s="764"/>
      <c r="G57" s="764"/>
      <c r="H57" s="764"/>
      <c r="I57" s="765"/>
      <c r="J57" s="218"/>
      <c r="K57" s="221"/>
      <c r="L57" s="218">
        <f>'Учебный план'!N76</f>
        <v>430</v>
      </c>
      <c r="M57" s="218">
        <f>'Учебный план'!O76</f>
        <v>296</v>
      </c>
      <c r="N57" s="219">
        <f t="shared" si="62"/>
        <v>0</v>
      </c>
      <c r="O57" s="219">
        <f>SUM(P57:T57)</f>
        <v>0</v>
      </c>
      <c r="P57" s="219">
        <f>W57+AK57+AR57+AY57</f>
        <v>0</v>
      </c>
      <c r="Q57" s="219">
        <f>X57+AL57+AS57+AZ57</f>
        <v>0</v>
      </c>
      <c r="R57" s="219">
        <f>Y57+AM57+AT57+BA57</f>
        <v>0</v>
      </c>
      <c r="S57" s="219"/>
      <c r="T57" s="219">
        <f>AA57+AO57+AV57+BC57</f>
        <v>0</v>
      </c>
      <c r="U57" s="219">
        <f>AB57+AP57+AW57+BD57</f>
        <v>0</v>
      </c>
      <c r="V57" s="219">
        <f>SUM(W57:AB57)</f>
        <v>0</v>
      </c>
      <c r="W57" s="218"/>
      <c r="X57" s="218"/>
      <c r="Y57" s="218"/>
      <c r="Z57" s="218"/>
      <c r="AA57" s="218"/>
      <c r="AB57" s="218"/>
      <c r="AC57" s="219">
        <f>SUM(AD57:AI57)</f>
        <v>0</v>
      </c>
      <c r="AD57" s="218"/>
      <c r="AE57" s="218"/>
      <c r="AF57" s="218"/>
      <c r="AG57" s="218"/>
      <c r="AH57" s="218"/>
      <c r="AI57" s="218"/>
      <c r="AJ57" s="219">
        <f>SUM(AK57:AP57)</f>
        <v>0</v>
      </c>
      <c r="AK57" s="218"/>
      <c r="AL57" s="218"/>
      <c r="AM57" s="218"/>
      <c r="AN57" s="218"/>
      <c r="AO57" s="218"/>
      <c r="AP57" s="218"/>
      <c r="AQ57" s="219">
        <f>SUM(AR57:AW57)</f>
        <v>0</v>
      </c>
      <c r="AR57" s="218"/>
      <c r="AS57" s="218"/>
      <c r="AT57" s="218"/>
      <c r="AU57" s="218"/>
      <c r="AV57" s="218"/>
      <c r="AW57" s="218"/>
      <c r="AX57" s="219">
        <f>SUM(AY57:BD57)</f>
        <v>0</v>
      </c>
      <c r="AY57" s="218"/>
      <c r="AZ57" s="218"/>
      <c r="BA57" s="218"/>
      <c r="BB57" s="218"/>
      <c r="BC57" s="218"/>
      <c r="BD57" s="218"/>
      <c r="BE57" s="218">
        <f>LEN(I57)-LEN(SUBSTITUTE(I57,"9",""))</f>
        <v>0</v>
      </c>
      <c r="BF57" s="219">
        <f>SUM(BG57:BM57)</f>
        <v>0</v>
      </c>
      <c r="BG57" s="218">
        <v>0</v>
      </c>
      <c r="BH57" s="218"/>
      <c r="BI57" s="218"/>
      <c r="BJ57" s="218"/>
      <c r="BK57" s="218"/>
      <c r="BL57" s="218"/>
      <c r="BM57" s="218"/>
      <c r="BN57" s="218"/>
      <c r="BO57" s="218">
        <f>'Учебный план'!CN76</f>
        <v>0</v>
      </c>
      <c r="BP57" s="218">
        <f>'Учебный план'!CO76</f>
        <v>0</v>
      </c>
    </row>
    <row r="58" spans="1:68" s="450" customFormat="1" ht="25.5" customHeight="1">
      <c r="A58" s="209">
        <f>'Учебный план'!A77</f>
        <v>0</v>
      </c>
      <c r="B58" s="209" t="str">
        <f>'Учебный план'!B77</f>
        <v>Безопасность жизнедеятельности на судне</v>
      </c>
      <c r="C58" s="122"/>
      <c r="D58" s="180"/>
      <c r="E58" s="180"/>
      <c r="F58" s="180" t="s">
        <v>30</v>
      </c>
      <c r="G58" s="180"/>
      <c r="H58" s="210"/>
      <c r="I58" s="199"/>
      <c r="J58" s="116">
        <f>L58-N58</f>
        <v>-303</v>
      </c>
      <c r="K58" s="180">
        <f>M58*$K$1</f>
        <v>0</v>
      </c>
      <c r="L58" s="116"/>
      <c r="M58" s="116"/>
      <c r="N58" s="363">
        <f t="shared" si="62"/>
        <v>303</v>
      </c>
      <c r="O58" s="363">
        <f>SUM(P58:T58)</f>
        <v>8</v>
      </c>
      <c r="P58" s="363">
        <f aca="true" t="shared" si="84" ref="P58:R60">W58+AK58+AR58+AY58+AD58+BH58</f>
        <v>8</v>
      </c>
      <c r="Q58" s="363">
        <f t="shared" si="84"/>
        <v>0</v>
      </c>
      <c r="R58" s="363">
        <f t="shared" si="84"/>
        <v>0</v>
      </c>
      <c r="S58" s="363"/>
      <c r="T58" s="363">
        <f>AA58+AO58+AV58+BC58+AH58+BK58</f>
        <v>0</v>
      </c>
      <c r="U58" s="363">
        <f>AB58+AP58+AW58+BD58+BM58+AI58</f>
        <v>295</v>
      </c>
      <c r="V58" s="182">
        <f>SUM(W58:AB58)</f>
        <v>0</v>
      </c>
      <c r="W58" s="116"/>
      <c r="X58" s="116"/>
      <c r="Y58" s="116"/>
      <c r="Z58" s="116"/>
      <c r="AA58" s="116"/>
      <c r="AB58" s="116"/>
      <c r="AC58" s="182">
        <f>SUM(AD58:AI58)</f>
        <v>303</v>
      </c>
      <c r="AD58" s="116">
        <v>8</v>
      </c>
      <c r="AE58" s="116"/>
      <c r="AF58" s="116"/>
      <c r="AG58" s="116"/>
      <c r="AH58" s="116"/>
      <c r="AI58" s="116">
        <v>295</v>
      </c>
      <c r="AJ58" s="182">
        <f>SUM(AK58:AP58)</f>
        <v>0</v>
      </c>
      <c r="AK58" s="116"/>
      <c r="AL58" s="116"/>
      <c r="AM58" s="116"/>
      <c r="AN58" s="116"/>
      <c r="AO58" s="116"/>
      <c r="AP58" s="116"/>
      <c r="AQ58" s="182">
        <f>SUM(AR58:AW58)</f>
        <v>0</v>
      </c>
      <c r="AR58" s="116"/>
      <c r="AS58" s="116"/>
      <c r="AT58" s="116"/>
      <c r="AU58" s="116"/>
      <c r="AV58" s="116"/>
      <c r="AW58" s="116"/>
      <c r="AX58" s="182">
        <f>SUM(AY58:BD58)</f>
        <v>0</v>
      </c>
      <c r="AY58" s="116"/>
      <c r="AZ58" s="116"/>
      <c r="BA58" s="116"/>
      <c r="BB58" s="116"/>
      <c r="BC58" s="116"/>
      <c r="BD58" s="116"/>
      <c r="BE58" s="365">
        <f>LEN(I58)-LEN(SUBSTITUTE(I58,"9",""))</f>
        <v>0</v>
      </c>
      <c r="BF58" s="182">
        <f>SUM(BG58:BM58)</f>
        <v>0</v>
      </c>
      <c r="BG58" s="116"/>
      <c r="BH58" s="116"/>
      <c r="BI58" s="116"/>
      <c r="BJ58" s="116"/>
      <c r="BK58" s="116"/>
      <c r="BL58" s="116"/>
      <c r="BM58" s="116"/>
      <c r="BN58" s="117"/>
      <c r="BO58" s="199" t="str">
        <f>'Учебный план'!CN77</f>
        <v>28</v>
      </c>
      <c r="BP58" s="199" t="str">
        <f>'Учебный план'!CO77</f>
        <v>ОК-1-10; ПК 2.1-2.7</v>
      </c>
    </row>
    <row r="59" spans="1:68" s="450" customFormat="1" ht="25.5" customHeight="1">
      <c r="A59" s="209">
        <f>'Учебный план'!A78</f>
        <v>0</v>
      </c>
      <c r="B59" s="209" t="str">
        <f>'Учебный план'!B78</f>
        <v>Транспортная безопасность</v>
      </c>
      <c r="C59" s="122"/>
      <c r="D59" s="180"/>
      <c r="E59" s="180" t="s">
        <v>30</v>
      </c>
      <c r="F59" s="180"/>
      <c r="G59" s="180"/>
      <c r="H59" s="210"/>
      <c r="I59" s="180"/>
      <c r="J59" s="116">
        <f>L59-N59</f>
        <v>-79</v>
      </c>
      <c r="K59" s="180">
        <f>M59*$K$1</f>
        <v>0</v>
      </c>
      <c r="L59" s="116"/>
      <c r="M59" s="116"/>
      <c r="N59" s="363">
        <f t="shared" si="62"/>
        <v>79</v>
      </c>
      <c r="O59" s="363">
        <f>SUM(P59:T59)</f>
        <v>12</v>
      </c>
      <c r="P59" s="363">
        <f t="shared" si="84"/>
        <v>12</v>
      </c>
      <c r="Q59" s="363">
        <f t="shared" si="84"/>
        <v>0</v>
      </c>
      <c r="R59" s="363">
        <f t="shared" si="84"/>
        <v>0</v>
      </c>
      <c r="S59" s="363"/>
      <c r="T59" s="363">
        <f>AA59+AO59+AV59+BC59+AH59+BK59</f>
        <v>0</v>
      </c>
      <c r="U59" s="363">
        <f>AB59+AP59+AW59+BD59+BM59+AI59</f>
        <v>67</v>
      </c>
      <c r="V59" s="182">
        <f>SUM(W59:AB59)</f>
        <v>0</v>
      </c>
      <c r="W59" s="116"/>
      <c r="X59" s="116"/>
      <c r="Y59" s="116"/>
      <c r="Z59" s="116"/>
      <c r="AA59" s="116"/>
      <c r="AB59" s="116"/>
      <c r="AC59" s="182">
        <f>SUM(AD59:AI59)</f>
        <v>79</v>
      </c>
      <c r="AD59" s="116">
        <v>12</v>
      </c>
      <c r="AE59" s="116"/>
      <c r="AF59" s="116"/>
      <c r="AG59" s="116"/>
      <c r="AH59" s="116"/>
      <c r="AI59" s="116">
        <v>67</v>
      </c>
      <c r="AJ59" s="182">
        <f>SUM(AK59:AP59)</f>
        <v>0</v>
      </c>
      <c r="AK59" s="116"/>
      <c r="AL59" s="116"/>
      <c r="AM59" s="116"/>
      <c r="AN59" s="116"/>
      <c r="AO59" s="116"/>
      <c r="AP59" s="116"/>
      <c r="AQ59" s="182">
        <f>SUM(AR59:AW59)</f>
        <v>0</v>
      </c>
      <c r="AR59" s="116"/>
      <c r="AS59" s="116"/>
      <c r="AT59" s="116"/>
      <c r="AU59" s="116"/>
      <c r="AV59" s="116"/>
      <c r="AW59" s="116"/>
      <c r="AX59" s="182">
        <f>SUM(AY59:BD59)</f>
        <v>0</v>
      </c>
      <c r="AY59" s="116"/>
      <c r="AZ59" s="116"/>
      <c r="BA59" s="116"/>
      <c r="BB59" s="116"/>
      <c r="BC59" s="116"/>
      <c r="BD59" s="116"/>
      <c r="BE59" s="365"/>
      <c r="BF59" s="182">
        <f>SUM(BG59:BM59)</f>
        <v>0</v>
      </c>
      <c r="BG59" s="116"/>
      <c r="BH59" s="116"/>
      <c r="BI59" s="116"/>
      <c r="BJ59" s="116"/>
      <c r="BK59" s="116"/>
      <c r="BL59" s="116"/>
      <c r="BM59" s="116"/>
      <c r="BN59" s="117"/>
      <c r="BO59" s="199" t="str">
        <f>'Учебный план'!CN78</f>
        <v>64-3</v>
      </c>
      <c r="BP59" s="199" t="str">
        <f>'Учебный план'!CO78</f>
        <v>ОК 1-10; ПК 2.1</v>
      </c>
    </row>
    <row r="60" spans="1:68" s="450" customFormat="1" ht="25.5" customHeight="1">
      <c r="A60" s="209">
        <f>'Учебный план'!A79</f>
        <v>0</v>
      </c>
      <c r="B60" s="209" t="str">
        <f>'Учебный план'!B79</f>
        <v>Техника безопасности на судах</v>
      </c>
      <c r="C60" s="122"/>
      <c r="D60" s="180" t="s">
        <v>30</v>
      </c>
      <c r="E60" s="180"/>
      <c r="F60" s="180"/>
      <c r="G60" s="180"/>
      <c r="H60" s="210"/>
      <c r="I60" s="180"/>
      <c r="J60" s="116">
        <f>L60-N60</f>
        <v>-48</v>
      </c>
      <c r="K60" s="180">
        <f>M60*$K$1</f>
        <v>0</v>
      </c>
      <c r="L60" s="116"/>
      <c r="M60" s="116"/>
      <c r="N60" s="363">
        <f t="shared" si="62"/>
        <v>48</v>
      </c>
      <c r="O60" s="363">
        <f>SUM(P60:T60)</f>
        <v>8</v>
      </c>
      <c r="P60" s="363">
        <f t="shared" si="84"/>
        <v>8</v>
      </c>
      <c r="Q60" s="363">
        <f t="shared" si="84"/>
        <v>0</v>
      </c>
      <c r="R60" s="363">
        <f t="shared" si="84"/>
        <v>0</v>
      </c>
      <c r="S60" s="363"/>
      <c r="T60" s="363">
        <f>AA60+AO60+AV60+BC60+AH60+BK60</f>
        <v>0</v>
      </c>
      <c r="U60" s="363">
        <f>AB60+AP60+AW60+BD60+BM60+AI60</f>
        <v>40</v>
      </c>
      <c r="V60" s="182"/>
      <c r="W60" s="116"/>
      <c r="X60" s="116"/>
      <c r="Y60" s="116"/>
      <c r="Z60" s="116"/>
      <c r="AA60" s="116"/>
      <c r="AB60" s="116"/>
      <c r="AC60" s="182">
        <f>SUM(AD60:AI60)</f>
        <v>48</v>
      </c>
      <c r="AD60" s="116">
        <v>8</v>
      </c>
      <c r="AE60" s="116"/>
      <c r="AF60" s="116"/>
      <c r="AG60" s="116"/>
      <c r="AH60" s="116"/>
      <c r="AI60" s="116">
        <v>40</v>
      </c>
      <c r="AJ60" s="182">
        <f>SUM(AK60:AP60)</f>
        <v>0</v>
      </c>
      <c r="AK60" s="116"/>
      <c r="AL60" s="116"/>
      <c r="AM60" s="116"/>
      <c r="AN60" s="116"/>
      <c r="AO60" s="116"/>
      <c r="AP60" s="116"/>
      <c r="AQ60" s="182"/>
      <c r="AR60" s="116"/>
      <c r="AS60" s="116"/>
      <c r="AT60" s="116"/>
      <c r="AU60" s="116"/>
      <c r="AV60" s="116"/>
      <c r="AW60" s="116"/>
      <c r="AX60" s="182">
        <f>SUM(AY60:BD60)</f>
        <v>0</v>
      </c>
      <c r="AY60" s="116"/>
      <c r="AZ60" s="116"/>
      <c r="BA60" s="116"/>
      <c r="BB60" s="116"/>
      <c r="BC60" s="116"/>
      <c r="BD60" s="116"/>
      <c r="BE60" s="365"/>
      <c r="BF60" s="182"/>
      <c r="BG60" s="116"/>
      <c r="BH60" s="116"/>
      <c r="BI60" s="116"/>
      <c r="BJ60" s="116"/>
      <c r="BK60" s="116"/>
      <c r="BL60" s="116"/>
      <c r="BM60" s="116"/>
      <c r="BN60" s="117"/>
      <c r="BO60" s="199" t="str">
        <f>'Учебный план'!CN79</f>
        <v>64-3</v>
      </c>
      <c r="BP60" s="199" t="str">
        <f>'Учебный план'!CO79</f>
        <v>ОК 1-10; ПК 2.1-2.7</v>
      </c>
    </row>
    <row r="61" spans="1:68" s="450" customFormat="1" ht="27" customHeight="1">
      <c r="A61" s="740" t="str">
        <f>'Учебный план'!A80</f>
        <v> Экзамен квалификационный</v>
      </c>
      <c r="B61" s="741"/>
      <c r="C61" s="223"/>
      <c r="D61" s="204" t="s">
        <v>30</v>
      </c>
      <c r="E61" s="204"/>
      <c r="F61" s="204"/>
      <c r="G61" s="204"/>
      <c r="H61" s="193"/>
      <c r="I61" s="204"/>
      <c r="J61" s="205"/>
      <c r="K61" s="204"/>
      <c r="L61" s="205">
        <f>'Учебный план'!N80</f>
        <v>0</v>
      </c>
      <c r="M61" s="205">
        <f>'Учебный план'!O80</f>
        <v>0</v>
      </c>
      <c r="N61" s="193">
        <f t="shared" si="62"/>
        <v>0</v>
      </c>
      <c r="O61" s="193"/>
      <c r="P61" s="193"/>
      <c r="Q61" s="193"/>
      <c r="R61" s="193"/>
      <c r="S61" s="193"/>
      <c r="T61" s="193"/>
      <c r="U61" s="193"/>
      <c r="V61" s="193"/>
      <c r="W61" s="205"/>
      <c r="X61" s="205"/>
      <c r="Y61" s="205"/>
      <c r="Z61" s="205"/>
      <c r="AA61" s="205"/>
      <c r="AB61" s="205"/>
      <c r="AC61" s="193"/>
      <c r="AD61" s="205"/>
      <c r="AE61" s="205"/>
      <c r="AF61" s="205"/>
      <c r="AG61" s="205"/>
      <c r="AH61" s="205"/>
      <c r="AI61" s="205"/>
      <c r="AJ61" s="193"/>
      <c r="AK61" s="205"/>
      <c r="AL61" s="205"/>
      <c r="AM61" s="205"/>
      <c r="AN61" s="205"/>
      <c r="AO61" s="205"/>
      <c r="AP61" s="205"/>
      <c r="AQ61" s="193"/>
      <c r="AR61" s="205"/>
      <c r="AS61" s="205"/>
      <c r="AT61" s="205"/>
      <c r="AU61" s="205"/>
      <c r="AV61" s="205"/>
      <c r="AW61" s="205"/>
      <c r="AX61" s="193"/>
      <c r="AY61" s="205"/>
      <c r="AZ61" s="205"/>
      <c r="BA61" s="205"/>
      <c r="BB61" s="205"/>
      <c r="BC61" s="205"/>
      <c r="BD61" s="205"/>
      <c r="BE61" s="205"/>
      <c r="BF61" s="193"/>
      <c r="BG61" s="205"/>
      <c r="BH61" s="205"/>
      <c r="BI61" s="205"/>
      <c r="BJ61" s="205"/>
      <c r="BK61" s="205"/>
      <c r="BL61" s="205"/>
      <c r="BM61" s="205"/>
      <c r="BN61" s="205"/>
      <c r="BO61" s="204">
        <f>'Учебный план'!CN80</f>
        <v>0</v>
      </c>
      <c r="BP61" s="204">
        <f>'Учебный план'!CO80</f>
        <v>0</v>
      </c>
    </row>
    <row r="62" spans="1:68" s="48" customFormat="1" ht="25.5" customHeight="1">
      <c r="A62" s="222" t="str">
        <f>'Учебный план'!A81</f>
        <v>ПМ.03</v>
      </c>
      <c r="B62" s="748" t="str">
        <f>'Учебный план'!B81</f>
        <v>Обработка и размещение груза</v>
      </c>
      <c r="C62" s="749"/>
      <c r="D62" s="749"/>
      <c r="E62" s="749"/>
      <c r="F62" s="749"/>
      <c r="G62" s="749"/>
      <c r="H62" s="749"/>
      <c r="I62" s="750"/>
      <c r="J62" s="191"/>
      <c r="K62" s="191"/>
      <c r="L62" s="191">
        <f>'Учебный план'!N81</f>
        <v>163</v>
      </c>
      <c r="M62" s="191">
        <f>'Учебный план'!O81</f>
        <v>110</v>
      </c>
      <c r="N62" s="191">
        <f t="shared" si="62"/>
        <v>163</v>
      </c>
      <c r="O62" s="191">
        <f>SUM(O64:O65)</f>
        <v>38</v>
      </c>
      <c r="P62" s="191">
        <f aca="true" t="shared" si="85" ref="P62:BO62">SUM(P64:P65)</f>
        <v>16</v>
      </c>
      <c r="Q62" s="191">
        <f t="shared" si="85"/>
        <v>0</v>
      </c>
      <c r="R62" s="191">
        <f t="shared" si="85"/>
        <v>22</v>
      </c>
      <c r="S62" s="191"/>
      <c r="T62" s="191">
        <f t="shared" si="85"/>
        <v>0</v>
      </c>
      <c r="U62" s="191">
        <f t="shared" si="85"/>
        <v>125</v>
      </c>
      <c r="V62" s="191">
        <f t="shared" si="85"/>
        <v>0</v>
      </c>
      <c r="W62" s="191">
        <f t="shared" si="85"/>
        <v>0</v>
      </c>
      <c r="X62" s="191">
        <f t="shared" si="85"/>
        <v>0</v>
      </c>
      <c r="Y62" s="191">
        <f t="shared" si="85"/>
        <v>0</v>
      </c>
      <c r="Z62" s="191"/>
      <c r="AA62" s="191">
        <f t="shared" si="85"/>
        <v>0</v>
      </c>
      <c r="AB62" s="191">
        <f t="shared" si="85"/>
        <v>0</v>
      </c>
      <c r="AC62" s="191">
        <f>SUM(AC64:AC65)</f>
        <v>0</v>
      </c>
      <c r="AD62" s="191">
        <f aca="true" t="shared" si="86" ref="AD62:AI62">SUM(AD64:AD65)</f>
        <v>0</v>
      </c>
      <c r="AE62" s="191">
        <f t="shared" si="86"/>
        <v>0</v>
      </c>
      <c r="AF62" s="191">
        <f t="shared" si="86"/>
        <v>0</v>
      </c>
      <c r="AG62" s="191"/>
      <c r="AH62" s="191">
        <f t="shared" si="86"/>
        <v>0</v>
      </c>
      <c r="AI62" s="191">
        <f t="shared" si="86"/>
        <v>0</v>
      </c>
      <c r="AJ62" s="191">
        <f t="shared" si="85"/>
        <v>65</v>
      </c>
      <c r="AK62" s="191">
        <f t="shared" si="85"/>
        <v>10</v>
      </c>
      <c r="AL62" s="191">
        <f t="shared" si="85"/>
        <v>0</v>
      </c>
      <c r="AM62" s="191">
        <f t="shared" si="85"/>
        <v>0</v>
      </c>
      <c r="AN62" s="191"/>
      <c r="AO62" s="191">
        <f t="shared" si="85"/>
        <v>0</v>
      </c>
      <c r="AP62" s="191">
        <f t="shared" si="85"/>
        <v>55</v>
      </c>
      <c r="AQ62" s="191">
        <f t="shared" si="85"/>
        <v>98</v>
      </c>
      <c r="AR62" s="191">
        <f t="shared" si="85"/>
        <v>6</v>
      </c>
      <c r="AS62" s="191">
        <f t="shared" si="85"/>
        <v>0</v>
      </c>
      <c r="AT62" s="191">
        <f t="shared" si="85"/>
        <v>22</v>
      </c>
      <c r="AU62" s="191"/>
      <c r="AV62" s="191">
        <f t="shared" si="85"/>
        <v>0</v>
      </c>
      <c r="AW62" s="191">
        <f t="shared" si="85"/>
        <v>70</v>
      </c>
      <c r="AX62" s="191">
        <f t="shared" si="85"/>
        <v>0</v>
      </c>
      <c r="AY62" s="191">
        <f t="shared" si="85"/>
        <v>0</v>
      </c>
      <c r="AZ62" s="191">
        <f t="shared" si="85"/>
        <v>0</v>
      </c>
      <c r="BA62" s="191">
        <f t="shared" si="85"/>
        <v>0</v>
      </c>
      <c r="BB62" s="191"/>
      <c r="BC62" s="191">
        <f t="shared" si="85"/>
        <v>0</v>
      </c>
      <c r="BD62" s="191">
        <f t="shared" si="85"/>
        <v>0</v>
      </c>
      <c r="BE62" s="191">
        <f t="shared" si="85"/>
        <v>0</v>
      </c>
      <c r="BF62" s="191">
        <f t="shared" si="85"/>
        <v>0</v>
      </c>
      <c r="BG62" s="191">
        <f t="shared" si="85"/>
        <v>0</v>
      </c>
      <c r="BH62" s="191">
        <f t="shared" si="85"/>
        <v>0</v>
      </c>
      <c r="BI62" s="191">
        <f t="shared" si="85"/>
        <v>0</v>
      </c>
      <c r="BJ62" s="191">
        <f t="shared" si="85"/>
        <v>0</v>
      </c>
      <c r="BK62" s="191">
        <f t="shared" si="85"/>
        <v>0</v>
      </c>
      <c r="BL62" s="191">
        <f t="shared" si="85"/>
        <v>0</v>
      </c>
      <c r="BM62" s="191">
        <f t="shared" si="85"/>
        <v>0</v>
      </c>
      <c r="BN62" s="191">
        <f t="shared" si="85"/>
        <v>0</v>
      </c>
      <c r="BO62" s="191">
        <f t="shared" si="85"/>
        <v>0</v>
      </c>
      <c r="BP62" s="372"/>
    </row>
    <row r="63" spans="1:68" s="450" customFormat="1" ht="25.5" customHeight="1">
      <c r="A63" s="227" t="str">
        <f>'Учебный план'!A82</f>
        <v>МДК 03.01</v>
      </c>
      <c r="B63" s="760" t="str">
        <f>'Учебный план'!B82</f>
        <v>Технология перевозки груза</v>
      </c>
      <c r="C63" s="761"/>
      <c r="D63" s="761"/>
      <c r="E63" s="761"/>
      <c r="F63" s="761"/>
      <c r="G63" s="761"/>
      <c r="H63" s="761"/>
      <c r="I63" s="762"/>
      <c r="J63" s="218"/>
      <c r="K63" s="221"/>
      <c r="L63" s="218">
        <f>'Учебный план'!N82</f>
        <v>163</v>
      </c>
      <c r="M63" s="218">
        <f>'Учебный план'!O82</f>
        <v>110</v>
      </c>
      <c r="N63" s="219">
        <f t="shared" si="62"/>
        <v>0</v>
      </c>
      <c r="O63" s="219">
        <f>SUM(P63:T63)</f>
        <v>0</v>
      </c>
      <c r="P63" s="219">
        <f>W63+AK63+AR63+AY63</f>
        <v>0</v>
      </c>
      <c r="Q63" s="219">
        <f>X63+AL63+AS63+AZ63</f>
        <v>0</v>
      </c>
      <c r="R63" s="219">
        <f>Y63+AM63+AT63+BA63</f>
        <v>0</v>
      </c>
      <c r="S63" s="219"/>
      <c r="T63" s="219">
        <f>AA63+AO63+AV63+BC63</f>
        <v>0</v>
      </c>
      <c r="U63" s="219">
        <f>AB63+AP63+AW63+BD63</f>
        <v>0</v>
      </c>
      <c r="V63" s="219">
        <f>SUM(W63:AB63)</f>
        <v>0</v>
      </c>
      <c r="W63" s="218">
        <v>0</v>
      </c>
      <c r="X63" s="218">
        <v>0</v>
      </c>
      <c r="Y63" s="218">
        <v>0</v>
      </c>
      <c r="Z63" s="218"/>
      <c r="AA63" s="218">
        <v>0</v>
      </c>
      <c r="AB63" s="218">
        <v>0</v>
      </c>
      <c r="AC63" s="219">
        <f>SUM(AD63:AI63)</f>
        <v>0</v>
      </c>
      <c r="AD63" s="218">
        <v>0</v>
      </c>
      <c r="AE63" s="218">
        <v>0</v>
      </c>
      <c r="AF63" s="218">
        <v>0</v>
      </c>
      <c r="AG63" s="218"/>
      <c r="AH63" s="218">
        <v>0</v>
      </c>
      <c r="AI63" s="218">
        <v>0</v>
      </c>
      <c r="AJ63" s="219">
        <f>SUM(AK63:AP63)</f>
        <v>0</v>
      </c>
      <c r="AK63" s="218">
        <v>0</v>
      </c>
      <c r="AL63" s="218">
        <v>0</v>
      </c>
      <c r="AM63" s="218">
        <v>0</v>
      </c>
      <c r="AN63" s="218"/>
      <c r="AO63" s="218">
        <v>0</v>
      </c>
      <c r="AP63" s="218">
        <v>0</v>
      </c>
      <c r="AQ63" s="219">
        <f>SUM(AR63:AW63)</f>
        <v>0</v>
      </c>
      <c r="AR63" s="218">
        <v>0</v>
      </c>
      <c r="AS63" s="218">
        <v>0</v>
      </c>
      <c r="AT63" s="218">
        <v>0</v>
      </c>
      <c r="AU63" s="218"/>
      <c r="AV63" s="218">
        <v>0</v>
      </c>
      <c r="AW63" s="218">
        <v>0</v>
      </c>
      <c r="AX63" s="219">
        <f>SUM(AY63:BD63)</f>
        <v>0</v>
      </c>
      <c r="AY63" s="218">
        <v>0</v>
      </c>
      <c r="AZ63" s="218">
        <v>0</v>
      </c>
      <c r="BA63" s="218">
        <v>0</v>
      </c>
      <c r="BB63" s="218"/>
      <c r="BC63" s="218">
        <v>0</v>
      </c>
      <c r="BD63" s="218">
        <v>0</v>
      </c>
      <c r="BE63" s="218"/>
      <c r="BF63" s="219">
        <f>SUM(BG63:BM63)</f>
        <v>0</v>
      </c>
      <c r="BG63" s="218">
        <v>0</v>
      </c>
      <c r="BH63" s="218">
        <v>0</v>
      </c>
      <c r="BI63" s="218">
        <v>0</v>
      </c>
      <c r="BJ63" s="218">
        <v>0</v>
      </c>
      <c r="BK63" s="218">
        <v>0</v>
      </c>
      <c r="BL63" s="218">
        <v>0</v>
      </c>
      <c r="BM63" s="218">
        <v>0</v>
      </c>
      <c r="BN63" s="218"/>
      <c r="BO63" s="221">
        <f>'Учебный план'!CN82</f>
        <v>0</v>
      </c>
      <c r="BP63" s="378">
        <f>'Учебный план'!CO82</f>
        <v>0</v>
      </c>
    </row>
    <row r="64" spans="1:68" s="450" customFormat="1" ht="25.5" customHeight="1">
      <c r="A64" s="224">
        <f>'Учебный план'!A83</f>
        <v>0</v>
      </c>
      <c r="B64" s="209" t="str">
        <f>'Учебный план'!B83</f>
        <v>Коммерческая эксплуатация</v>
      </c>
      <c r="C64" s="209">
        <f>'Учебный план'!C83</f>
        <v>0</v>
      </c>
      <c r="D64" s="180"/>
      <c r="E64" s="180" t="s">
        <v>29</v>
      </c>
      <c r="F64" s="180"/>
      <c r="G64" s="180"/>
      <c r="H64" s="180"/>
      <c r="I64" s="199"/>
      <c r="J64" s="116">
        <f>L64-N64</f>
        <v>-65</v>
      </c>
      <c r="K64" s="180">
        <f>M64*$K$1</f>
        <v>0</v>
      </c>
      <c r="L64" s="116"/>
      <c r="M64" s="116"/>
      <c r="N64" s="363">
        <f t="shared" si="62"/>
        <v>65</v>
      </c>
      <c r="O64" s="363">
        <f>SUM(P64:T64)</f>
        <v>10</v>
      </c>
      <c r="P64" s="363">
        <f aca="true" t="shared" si="87" ref="P64:R65">W64+AK64+AR64+AY64+AD64+BH64</f>
        <v>10</v>
      </c>
      <c r="Q64" s="363">
        <f t="shared" si="87"/>
        <v>0</v>
      </c>
      <c r="R64" s="363">
        <f t="shared" si="87"/>
        <v>0</v>
      </c>
      <c r="S64" s="363"/>
      <c r="T64" s="363">
        <f>AA64+AO64+AV64+BC64+AH64+BK64</f>
        <v>0</v>
      </c>
      <c r="U64" s="363">
        <f>AB64+AP64+AW64+BD64+BM64+AI64</f>
        <v>55</v>
      </c>
      <c r="V64" s="182">
        <f>SUM(W64:AB64)</f>
        <v>0</v>
      </c>
      <c r="W64" s="116"/>
      <c r="X64" s="116"/>
      <c r="Y64" s="116"/>
      <c r="Z64" s="116"/>
      <c r="AA64" s="116"/>
      <c r="AB64" s="116"/>
      <c r="AC64" s="182">
        <f>SUM(AD64:AI64)</f>
        <v>0</v>
      </c>
      <c r="AD64" s="116"/>
      <c r="AE64" s="116"/>
      <c r="AF64" s="116"/>
      <c r="AG64" s="116"/>
      <c r="AH64" s="116"/>
      <c r="AI64" s="116"/>
      <c r="AJ64" s="182">
        <f>SUM(AK64:AP64)</f>
        <v>65</v>
      </c>
      <c r="AK64" s="116">
        <v>10</v>
      </c>
      <c r="AL64" s="116"/>
      <c r="AM64" s="116"/>
      <c r="AN64" s="116"/>
      <c r="AO64" s="116"/>
      <c r="AP64" s="116">
        <v>55</v>
      </c>
      <c r="AQ64" s="182">
        <f>SUM(AR64:AW64)</f>
        <v>0</v>
      </c>
      <c r="AR64" s="116"/>
      <c r="AS64" s="116"/>
      <c r="AT64" s="116"/>
      <c r="AU64" s="116"/>
      <c r="AV64" s="116"/>
      <c r="AW64" s="116"/>
      <c r="AX64" s="182">
        <f>SUM(AY64:BD64)</f>
        <v>0</v>
      </c>
      <c r="AY64" s="116"/>
      <c r="AZ64" s="116"/>
      <c r="BA64" s="116"/>
      <c r="BB64" s="116"/>
      <c r="BC64" s="116"/>
      <c r="BD64" s="116"/>
      <c r="BE64" s="365"/>
      <c r="BF64" s="182">
        <f>SUM(BG64:BM64)</f>
        <v>0</v>
      </c>
      <c r="BG64" s="116"/>
      <c r="BH64" s="116"/>
      <c r="BI64" s="116"/>
      <c r="BJ64" s="116"/>
      <c r="BK64" s="116"/>
      <c r="BL64" s="116"/>
      <c r="BM64" s="116"/>
      <c r="BN64" s="117"/>
      <c r="BO64" s="180" t="str">
        <f>'Учебный план'!CN83</f>
        <v>64-7</v>
      </c>
      <c r="BP64" s="200" t="str">
        <f>'Учебный план'!CO83</f>
        <v>ОК 1-10; ПК 3.1 - 3.2</v>
      </c>
    </row>
    <row r="65" spans="1:68" s="414" customFormat="1" ht="25.5" customHeight="1">
      <c r="A65" s="957">
        <f>'Учебный план'!A84</f>
        <v>0</v>
      </c>
      <c r="B65" s="415" t="str">
        <f>'Учебный план'!B84</f>
        <v>Технология перевозок</v>
      </c>
      <c r="C65" s="415">
        <f>'Учебный план'!C84</f>
        <v>0</v>
      </c>
      <c r="D65" s="149"/>
      <c r="E65" s="149" t="s">
        <v>39</v>
      </c>
      <c r="F65" s="149"/>
      <c r="G65" s="149"/>
      <c r="H65" s="149" t="s">
        <v>39</v>
      </c>
      <c r="I65" s="201"/>
      <c r="J65" s="190">
        <f>L65-N65</f>
        <v>-98</v>
      </c>
      <c r="K65" s="149">
        <f>M65*$K$1</f>
        <v>0</v>
      </c>
      <c r="L65" s="190"/>
      <c r="M65" s="190"/>
      <c r="N65" s="416">
        <f t="shared" si="62"/>
        <v>98</v>
      </c>
      <c r="O65" s="416">
        <f>SUM(P65:T65)</f>
        <v>28</v>
      </c>
      <c r="P65" s="416">
        <f t="shared" si="87"/>
        <v>6</v>
      </c>
      <c r="Q65" s="416">
        <f t="shared" si="87"/>
        <v>0</v>
      </c>
      <c r="R65" s="416">
        <f t="shared" si="87"/>
        <v>22</v>
      </c>
      <c r="S65" s="416"/>
      <c r="T65" s="416">
        <f>AA65+AO65+AV65+BC65+AH65+BK65</f>
        <v>0</v>
      </c>
      <c r="U65" s="416">
        <f>AB65+AP65+AW65+BD65+BM65+AI65</f>
        <v>70</v>
      </c>
      <c r="V65" s="411">
        <f>SUM(W65:AB65)</f>
        <v>0</v>
      </c>
      <c r="W65" s="190"/>
      <c r="X65" s="190"/>
      <c r="Y65" s="190"/>
      <c r="Z65" s="190"/>
      <c r="AA65" s="190"/>
      <c r="AB65" s="190"/>
      <c r="AC65" s="411">
        <f>SUM(AD65:AI65)</f>
        <v>0</v>
      </c>
      <c r="AD65" s="190"/>
      <c r="AE65" s="190"/>
      <c r="AF65" s="190"/>
      <c r="AG65" s="190"/>
      <c r="AH65" s="190"/>
      <c r="AI65" s="190"/>
      <c r="AJ65" s="411">
        <f>SUM(AK65:AP65)</f>
        <v>0</v>
      </c>
      <c r="AK65" s="190"/>
      <c r="AL65" s="190"/>
      <c r="AM65" s="190"/>
      <c r="AN65" s="190"/>
      <c r="AO65" s="190"/>
      <c r="AP65" s="190"/>
      <c r="AQ65" s="411">
        <f>SUM(AR65:AW65)</f>
        <v>98</v>
      </c>
      <c r="AR65" s="190">
        <v>6</v>
      </c>
      <c r="AS65" s="190"/>
      <c r="AT65" s="190">
        <v>22</v>
      </c>
      <c r="AU65" s="190"/>
      <c r="AV65" s="190"/>
      <c r="AW65" s="190">
        <v>70</v>
      </c>
      <c r="AX65" s="411">
        <f>SUM(AY65:BD65)</f>
        <v>0</v>
      </c>
      <c r="AY65" s="190"/>
      <c r="AZ65" s="190"/>
      <c r="BA65" s="190"/>
      <c r="BB65" s="190"/>
      <c r="BC65" s="190"/>
      <c r="BD65" s="190"/>
      <c r="BE65" s="417"/>
      <c r="BF65" s="411">
        <f>SUM(BG65:BM65)</f>
        <v>0</v>
      </c>
      <c r="BG65" s="190"/>
      <c r="BH65" s="190"/>
      <c r="BI65" s="190"/>
      <c r="BJ65" s="190"/>
      <c r="BK65" s="190"/>
      <c r="BL65" s="190"/>
      <c r="BM65" s="190"/>
      <c r="BN65" s="412"/>
      <c r="BO65" s="149" t="str">
        <f>'Учебный план'!CN84</f>
        <v>64-7</v>
      </c>
      <c r="BP65" s="413" t="str">
        <f>'Учебный план'!CO84</f>
        <v>ОК 1-10; ПК 3.1 - 3.2</v>
      </c>
    </row>
    <row r="66" spans="1:68" s="450" customFormat="1" ht="24" customHeight="1">
      <c r="A66" s="740" t="str">
        <f>'Учебный план'!A85</f>
        <v> Экзамен квалификационный</v>
      </c>
      <c r="B66" s="741"/>
      <c r="C66" s="223"/>
      <c r="D66" s="204" t="s">
        <v>39</v>
      </c>
      <c r="E66" s="204"/>
      <c r="F66" s="204"/>
      <c r="G66" s="204"/>
      <c r="H66" s="204"/>
      <c r="I66" s="204"/>
      <c r="J66" s="205"/>
      <c r="K66" s="204"/>
      <c r="L66" s="205">
        <f>'Учебный план'!N85</f>
        <v>0</v>
      </c>
      <c r="M66" s="205">
        <f>'Учебный план'!O85</f>
        <v>0</v>
      </c>
      <c r="N66" s="193">
        <f t="shared" si="62"/>
        <v>0</v>
      </c>
      <c r="O66" s="193"/>
      <c r="P66" s="193"/>
      <c r="Q66" s="193"/>
      <c r="R66" s="193"/>
      <c r="S66" s="193"/>
      <c r="T66" s="193"/>
      <c r="U66" s="193"/>
      <c r="V66" s="193"/>
      <c r="W66" s="205"/>
      <c r="X66" s="205"/>
      <c r="Y66" s="205"/>
      <c r="Z66" s="205"/>
      <c r="AA66" s="205"/>
      <c r="AB66" s="205"/>
      <c r="AC66" s="193"/>
      <c r="AD66" s="205"/>
      <c r="AE66" s="205"/>
      <c r="AF66" s="205"/>
      <c r="AG66" s="205"/>
      <c r="AH66" s="205"/>
      <c r="AI66" s="205"/>
      <c r="AJ66" s="193"/>
      <c r="AK66" s="205"/>
      <c r="AL66" s="205"/>
      <c r="AM66" s="205"/>
      <c r="AN66" s="205"/>
      <c r="AO66" s="205"/>
      <c r="AP66" s="205"/>
      <c r="AQ66" s="193"/>
      <c r="AR66" s="205"/>
      <c r="AS66" s="205"/>
      <c r="AT66" s="205"/>
      <c r="AU66" s="205"/>
      <c r="AV66" s="205"/>
      <c r="AW66" s="205"/>
      <c r="AX66" s="193"/>
      <c r="AY66" s="205"/>
      <c r="AZ66" s="205"/>
      <c r="BA66" s="205"/>
      <c r="BB66" s="205"/>
      <c r="BC66" s="205"/>
      <c r="BD66" s="205"/>
      <c r="BE66" s="205"/>
      <c r="BF66" s="193"/>
      <c r="BG66" s="205"/>
      <c r="BH66" s="205"/>
      <c r="BI66" s="205"/>
      <c r="BJ66" s="205"/>
      <c r="BK66" s="205"/>
      <c r="BL66" s="205"/>
      <c r="BM66" s="205"/>
      <c r="BN66" s="205"/>
      <c r="BO66" s="204">
        <f>'Учебный план'!CN85</f>
        <v>0</v>
      </c>
      <c r="BP66" s="377">
        <f>'Учебный план'!CO85</f>
        <v>0</v>
      </c>
    </row>
    <row r="67" spans="1:68" s="48" customFormat="1" ht="25.5" customHeight="1">
      <c r="A67" s="222" t="str">
        <f>'Учебный план'!A86</f>
        <v>ПМ.04</v>
      </c>
      <c r="B67" s="748" t="str">
        <f>'Учебный план'!B86</f>
        <v>Анализ эффективности работы судна</v>
      </c>
      <c r="C67" s="749"/>
      <c r="D67" s="749"/>
      <c r="E67" s="749"/>
      <c r="F67" s="749"/>
      <c r="G67" s="749"/>
      <c r="H67" s="749"/>
      <c r="I67" s="750"/>
      <c r="J67" s="191"/>
      <c r="K67" s="371"/>
      <c r="L67" s="191">
        <f>'Учебный план'!N86</f>
        <v>112</v>
      </c>
      <c r="M67" s="191">
        <f>'Учебный план'!O86</f>
        <v>77</v>
      </c>
      <c r="N67" s="191">
        <f t="shared" si="62"/>
        <v>112</v>
      </c>
      <c r="O67" s="191">
        <f aca="true" t="shared" si="88" ref="O67:U67">O68</f>
        <v>12</v>
      </c>
      <c r="P67" s="191">
        <f t="shared" si="88"/>
        <v>12</v>
      </c>
      <c r="Q67" s="191">
        <f t="shared" si="88"/>
        <v>0</v>
      </c>
      <c r="R67" s="191">
        <f t="shared" si="88"/>
        <v>0</v>
      </c>
      <c r="S67" s="191"/>
      <c r="T67" s="191">
        <f t="shared" si="88"/>
        <v>0</v>
      </c>
      <c r="U67" s="191">
        <f t="shared" si="88"/>
        <v>100</v>
      </c>
      <c r="V67" s="191">
        <f>V68</f>
        <v>0</v>
      </c>
      <c r="W67" s="191">
        <f aca="true" t="shared" si="89" ref="W67:AB67">W68</f>
        <v>0</v>
      </c>
      <c r="X67" s="191">
        <f t="shared" si="89"/>
        <v>0</v>
      </c>
      <c r="Y67" s="191">
        <f t="shared" si="89"/>
        <v>0</v>
      </c>
      <c r="Z67" s="191"/>
      <c r="AA67" s="191">
        <f t="shared" si="89"/>
        <v>0</v>
      </c>
      <c r="AB67" s="191">
        <f t="shared" si="89"/>
        <v>0</v>
      </c>
      <c r="AC67" s="191">
        <f>AC68</f>
        <v>0</v>
      </c>
      <c r="AD67" s="191">
        <f aca="true" t="shared" si="90" ref="AD67:AI67">AD68</f>
        <v>0</v>
      </c>
      <c r="AE67" s="191">
        <f t="shared" si="90"/>
        <v>0</v>
      </c>
      <c r="AF67" s="191">
        <f t="shared" si="90"/>
        <v>0</v>
      </c>
      <c r="AG67" s="191"/>
      <c r="AH67" s="191">
        <f t="shared" si="90"/>
        <v>0</v>
      </c>
      <c r="AI67" s="191">
        <f t="shared" si="90"/>
        <v>0</v>
      </c>
      <c r="AJ67" s="191">
        <f>AJ68</f>
        <v>0</v>
      </c>
      <c r="AK67" s="191">
        <f aca="true" t="shared" si="91" ref="AK67:AP67">AK68</f>
        <v>0</v>
      </c>
      <c r="AL67" s="191">
        <f t="shared" si="91"/>
        <v>0</v>
      </c>
      <c r="AM67" s="191">
        <f t="shared" si="91"/>
        <v>0</v>
      </c>
      <c r="AN67" s="191"/>
      <c r="AO67" s="191">
        <f t="shared" si="91"/>
        <v>0</v>
      </c>
      <c r="AP67" s="191">
        <f t="shared" si="91"/>
        <v>0</v>
      </c>
      <c r="AQ67" s="191">
        <f>AQ68</f>
        <v>112</v>
      </c>
      <c r="AR67" s="191">
        <f aca="true" t="shared" si="92" ref="AR67:AW67">AR68</f>
        <v>12</v>
      </c>
      <c r="AS67" s="191">
        <f t="shared" si="92"/>
        <v>0</v>
      </c>
      <c r="AT67" s="191">
        <f t="shared" si="92"/>
        <v>0</v>
      </c>
      <c r="AU67" s="191"/>
      <c r="AV67" s="191">
        <f t="shared" si="92"/>
        <v>0</v>
      </c>
      <c r="AW67" s="191">
        <f t="shared" si="92"/>
        <v>100</v>
      </c>
      <c r="AX67" s="191">
        <f>AX68</f>
        <v>0</v>
      </c>
      <c r="AY67" s="191">
        <f aca="true" t="shared" si="93" ref="AY67:BN67">AY68</f>
        <v>0</v>
      </c>
      <c r="AZ67" s="191">
        <f t="shared" si="93"/>
        <v>0</v>
      </c>
      <c r="BA67" s="191">
        <f t="shared" si="93"/>
        <v>0</v>
      </c>
      <c r="BB67" s="191"/>
      <c r="BC67" s="191">
        <f t="shared" si="93"/>
        <v>0</v>
      </c>
      <c r="BD67" s="191">
        <f t="shared" si="93"/>
        <v>0</v>
      </c>
      <c r="BE67" s="191">
        <f t="shared" si="93"/>
        <v>0</v>
      </c>
      <c r="BF67" s="191">
        <f t="shared" si="93"/>
        <v>0</v>
      </c>
      <c r="BG67" s="191">
        <f t="shared" si="93"/>
        <v>0</v>
      </c>
      <c r="BH67" s="191">
        <f t="shared" si="93"/>
        <v>0</v>
      </c>
      <c r="BI67" s="191">
        <f t="shared" si="93"/>
        <v>0</v>
      </c>
      <c r="BJ67" s="191">
        <f t="shared" si="93"/>
        <v>0</v>
      </c>
      <c r="BK67" s="191">
        <f t="shared" si="93"/>
        <v>0</v>
      </c>
      <c r="BL67" s="191">
        <f t="shared" si="93"/>
        <v>0</v>
      </c>
      <c r="BM67" s="191">
        <f t="shared" si="93"/>
        <v>0</v>
      </c>
      <c r="BN67" s="191">
        <f t="shared" si="93"/>
        <v>0</v>
      </c>
      <c r="BO67" s="191"/>
      <c r="BP67" s="371"/>
    </row>
    <row r="68" spans="1:68" s="414" customFormat="1" ht="25.5" customHeight="1">
      <c r="A68" s="958" t="str">
        <f>'Учебный план'!A87</f>
        <v>МДК.04.01</v>
      </c>
      <c r="B68" s="958" t="str">
        <f>'Учебный план'!B87</f>
        <v>Основы анализа эффективности работы судна с применением информационных технологий</v>
      </c>
      <c r="C68" s="958">
        <f>'Учебный план'!C87</f>
        <v>0</v>
      </c>
      <c r="D68" s="959"/>
      <c r="E68" s="959" t="s">
        <v>39</v>
      </c>
      <c r="F68" s="959"/>
      <c r="G68" s="959"/>
      <c r="H68" s="959"/>
      <c r="I68" s="960"/>
      <c r="J68" s="517">
        <f>L68-N68</f>
        <v>0</v>
      </c>
      <c r="K68" s="959">
        <f>M68*$K$1</f>
        <v>0</v>
      </c>
      <c r="L68" s="517">
        <f>'Учебный план'!N87</f>
        <v>112</v>
      </c>
      <c r="M68" s="517">
        <f>'Учебный план'!O87</f>
        <v>77</v>
      </c>
      <c r="N68" s="518">
        <f t="shared" si="62"/>
        <v>112</v>
      </c>
      <c r="O68" s="518">
        <f>SUM(P68:T68)</f>
        <v>12</v>
      </c>
      <c r="P68" s="518">
        <f>W68+AK68+AR68+AY68+AD68+BH68</f>
        <v>12</v>
      </c>
      <c r="Q68" s="518">
        <f>X68+AL68+AS68+AZ68+AE68+BI68</f>
        <v>0</v>
      </c>
      <c r="R68" s="518">
        <f>Y68+AM68+AT68+BA68+AF68+BJ68</f>
        <v>0</v>
      </c>
      <c r="S68" s="518"/>
      <c r="T68" s="518">
        <f>AA68+AO68+AV68+BC68+AH68+BK68</f>
        <v>0</v>
      </c>
      <c r="U68" s="518">
        <f>AB68+AP68+AW68+BD68+BM68+AI68</f>
        <v>100</v>
      </c>
      <c r="V68" s="518">
        <f>SUM(W68:AB68)</f>
        <v>0</v>
      </c>
      <c r="W68" s="517"/>
      <c r="X68" s="517"/>
      <c r="Y68" s="517"/>
      <c r="Z68" s="517"/>
      <c r="AA68" s="517"/>
      <c r="AB68" s="517"/>
      <c r="AC68" s="518">
        <f>SUM(AD68:AI68)</f>
        <v>0</v>
      </c>
      <c r="AD68" s="517"/>
      <c r="AE68" s="517"/>
      <c r="AF68" s="517"/>
      <c r="AG68" s="517"/>
      <c r="AH68" s="517"/>
      <c r="AI68" s="517"/>
      <c r="AJ68" s="518">
        <f>SUM(AK68:AP68)</f>
        <v>0</v>
      </c>
      <c r="AK68" s="517"/>
      <c r="AL68" s="517"/>
      <c r="AM68" s="517"/>
      <c r="AN68" s="517"/>
      <c r="AO68" s="517"/>
      <c r="AP68" s="517"/>
      <c r="AQ68" s="518">
        <f>SUM(AR68:AW68)</f>
        <v>112</v>
      </c>
      <c r="AR68" s="517">
        <v>12</v>
      </c>
      <c r="AS68" s="517"/>
      <c r="AT68" s="517"/>
      <c r="AU68" s="517"/>
      <c r="AV68" s="517"/>
      <c r="AW68" s="517">
        <v>100</v>
      </c>
      <c r="AX68" s="518">
        <f>SUM(AY68:BD68)</f>
        <v>0</v>
      </c>
      <c r="AY68" s="517"/>
      <c r="AZ68" s="517"/>
      <c r="BA68" s="517"/>
      <c r="BB68" s="517"/>
      <c r="BC68" s="517"/>
      <c r="BD68" s="517"/>
      <c r="BE68" s="517"/>
      <c r="BF68" s="518">
        <f>SUM(BG68:BM68)</f>
        <v>0</v>
      </c>
      <c r="BG68" s="517">
        <v>0</v>
      </c>
      <c r="BH68" s="517"/>
      <c r="BI68" s="517"/>
      <c r="BJ68" s="517"/>
      <c r="BK68" s="517"/>
      <c r="BL68" s="517"/>
      <c r="BM68" s="517"/>
      <c r="BN68" s="517"/>
      <c r="BO68" s="959" t="str">
        <f>'Учебный план'!CN87</f>
        <v>64-4</v>
      </c>
      <c r="BP68" s="959" t="str">
        <f>'Учебный план'!CO87</f>
        <v>ОК 1-10; ПК 4.1 - 4.3</v>
      </c>
    </row>
    <row r="69" spans="1:68" s="450" customFormat="1" ht="24.75" customHeight="1">
      <c r="A69" s="740" t="str">
        <f>'Учебный план'!A88</f>
        <v> Экзамен квалификационный</v>
      </c>
      <c r="B69" s="741"/>
      <c r="C69" s="223"/>
      <c r="D69" s="204" t="s">
        <v>39</v>
      </c>
      <c r="E69" s="204"/>
      <c r="F69" s="204"/>
      <c r="G69" s="204"/>
      <c r="H69" s="204"/>
      <c r="I69" s="204"/>
      <c r="J69" s="205"/>
      <c r="K69" s="204"/>
      <c r="L69" s="205">
        <f>'Учебный план'!N88</f>
        <v>0</v>
      </c>
      <c r="M69" s="205">
        <f>'Учебный план'!O88</f>
        <v>0</v>
      </c>
      <c r="N69" s="193">
        <f t="shared" si="62"/>
        <v>0</v>
      </c>
      <c r="O69" s="193"/>
      <c r="P69" s="193"/>
      <c r="Q69" s="193"/>
      <c r="R69" s="193"/>
      <c r="S69" s="193"/>
      <c r="T69" s="193"/>
      <c r="U69" s="193"/>
      <c r="V69" s="193"/>
      <c r="W69" s="205"/>
      <c r="X69" s="205"/>
      <c r="Y69" s="205"/>
      <c r="Z69" s="205"/>
      <c r="AA69" s="205"/>
      <c r="AB69" s="205"/>
      <c r="AC69" s="193"/>
      <c r="AD69" s="205"/>
      <c r="AE69" s="205"/>
      <c r="AF69" s="205"/>
      <c r="AG69" s="205"/>
      <c r="AH69" s="205"/>
      <c r="AI69" s="205"/>
      <c r="AJ69" s="193"/>
      <c r="AK69" s="205"/>
      <c r="AL69" s="205"/>
      <c r="AM69" s="205"/>
      <c r="AN69" s="205"/>
      <c r="AO69" s="205"/>
      <c r="AP69" s="205"/>
      <c r="AQ69" s="193"/>
      <c r="AR69" s="205"/>
      <c r="AS69" s="205"/>
      <c r="AT69" s="205"/>
      <c r="AU69" s="205"/>
      <c r="AV69" s="205"/>
      <c r="AW69" s="205"/>
      <c r="AX69" s="193"/>
      <c r="AY69" s="205"/>
      <c r="AZ69" s="205"/>
      <c r="BA69" s="205"/>
      <c r="BB69" s="205"/>
      <c r="BC69" s="205"/>
      <c r="BD69" s="205"/>
      <c r="BE69" s="205"/>
      <c r="BF69" s="193"/>
      <c r="BG69" s="205"/>
      <c r="BH69" s="205"/>
      <c r="BI69" s="205"/>
      <c r="BJ69" s="205"/>
      <c r="BK69" s="205"/>
      <c r="BL69" s="205"/>
      <c r="BM69" s="205"/>
      <c r="BN69" s="205"/>
      <c r="BO69" s="204">
        <f>'Учебный план'!CN88</f>
        <v>0</v>
      </c>
      <c r="BP69" s="204">
        <f>'Учебный план'!CO88</f>
        <v>0</v>
      </c>
    </row>
    <row r="70" spans="1:69" s="48" customFormat="1" ht="25.5" customHeight="1">
      <c r="A70" s="222" t="str">
        <f>'Учебный план'!A89</f>
        <v>ПМ. 05</v>
      </c>
      <c r="B70" s="748" t="str">
        <f>'Учебный план'!B89</f>
        <v>Выполнение работ по одной или нескольким профессиям рабочих, должностям служащих</v>
      </c>
      <c r="C70" s="749"/>
      <c r="D70" s="749"/>
      <c r="E70" s="749"/>
      <c r="F70" s="749"/>
      <c r="G70" s="749"/>
      <c r="H70" s="749"/>
      <c r="I70" s="750"/>
      <c r="J70" s="191"/>
      <c r="K70" s="371"/>
      <c r="L70" s="191">
        <f>'Учебный план'!N89</f>
        <v>100</v>
      </c>
      <c r="M70" s="191">
        <f>'Учебный план'!O89</f>
        <v>68</v>
      </c>
      <c r="N70" s="191">
        <f t="shared" si="62"/>
        <v>100</v>
      </c>
      <c r="O70" s="191">
        <f aca="true" t="shared" si="94" ref="O70:U70">SUM(O71:O71)</f>
        <v>16</v>
      </c>
      <c r="P70" s="191">
        <f t="shared" si="94"/>
        <v>16</v>
      </c>
      <c r="Q70" s="191">
        <f t="shared" si="94"/>
        <v>0</v>
      </c>
      <c r="R70" s="191">
        <f t="shared" si="94"/>
        <v>0</v>
      </c>
      <c r="S70" s="191"/>
      <c r="T70" s="191">
        <f t="shared" si="94"/>
        <v>0</v>
      </c>
      <c r="U70" s="191">
        <f t="shared" si="94"/>
        <v>84</v>
      </c>
      <c r="V70" s="191">
        <f aca="true" t="shared" si="95" ref="V70:AB70">SUM(V71:V71)</f>
        <v>0</v>
      </c>
      <c r="W70" s="191">
        <f t="shared" si="95"/>
        <v>0</v>
      </c>
      <c r="X70" s="191">
        <f t="shared" si="95"/>
        <v>0</v>
      </c>
      <c r="Y70" s="191">
        <f t="shared" si="95"/>
        <v>0</v>
      </c>
      <c r="Z70" s="191"/>
      <c r="AA70" s="191">
        <f t="shared" si="95"/>
        <v>0</v>
      </c>
      <c r="AB70" s="191">
        <f t="shared" si="95"/>
        <v>0</v>
      </c>
      <c r="AC70" s="191">
        <f aca="true" t="shared" si="96" ref="AC70:AI70">SUM(AC71:AC71)</f>
        <v>100</v>
      </c>
      <c r="AD70" s="191">
        <f t="shared" si="96"/>
        <v>16</v>
      </c>
      <c r="AE70" s="191">
        <f t="shared" si="96"/>
        <v>0</v>
      </c>
      <c r="AF70" s="191">
        <f t="shared" si="96"/>
        <v>0</v>
      </c>
      <c r="AG70" s="191"/>
      <c r="AH70" s="191">
        <f t="shared" si="96"/>
        <v>0</v>
      </c>
      <c r="AI70" s="191">
        <f t="shared" si="96"/>
        <v>84</v>
      </c>
      <c r="AJ70" s="191">
        <f aca="true" t="shared" si="97" ref="AJ70:AP70">SUM(AJ71:AJ71)</f>
        <v>0</v>
      </c>
      <c r="AK70" s="191">
        <f>SUM(AK71:AK71)</f>
        <v>0</v>
      </c>
      <c r="AL70" s="191">
        <f t="shared" si="97"/>
        <v>0</v>
      </c>
      <c r="AM70" s="191">
        <f t="shared" si="97"/>
        <v>0</v>
      </c>
      <c r="AN70" s="191"/>
      <c r="AO70" s="191">
        <f t="shared" si="97"/>
        <v>0</v>
      </c>
      <c r="AP70" s="191">
        <f t="shared" si="97"/>
        <v>0</v>
      </c>
      <c r="AQ70" s="191">
        <f aca="true" t="shared" si="98" ref="AQ70:AW70">SUM(AQ71:AQ71)</f>
        <v>0</v>
      </c>
      <c r="AR70" s="191">
        <f t="shared" si="98"/>
        <v>0</v>
      </c>
      <c r="AS70" s="191">
        <f t="shared" si="98"/>
        <v>0</v>
      </c>
      <c r="AT70" s="191">
        <f t="shared" si="98"/>
        <v>0</v>
      </c>
      <c r="AU70" s="191"/>
      <c r="AV70" s="191">
        <f t="shared" si="98"/>
        <v>0</v>
      </c>
      <c r="AW70" s="191">
        <f t="shared" si="98"/>
        <v>0</v>
      </c>
      <c r="AX70" s="191">
        <f aca="true" t="shared" si="99" ref="AX70:BD70">SUM(AX71:AX71)</f>
        <v>0</v>
      </c>
      <c r="AY70" s="191">
        <f t="shared" si="99"/>
        <v>0</v>
      </c>
      <c r="AZ70" s="191">
        <f t="shared" si="99"/>
        <v>0</v>
      </c>
      <c r="BA70" s="191">
        <f t="shared" si="99"/>
        <v>0</v>
      </c>
      <c r="BB70" s="191"/>
      <c r="BC70" s="191">
        <f t="shared" si="99"/>
        <v>0</v>
      </c>
      <c r="BD70" s="191">
        <f t="shared" si="99"/>
        <v>0</v>
      </c>
      <c r="BE70" s="191"/>
      <c r="BF70" s="191">
        <f aca="true" t="shared" si="100" ref="BF70:BM70">SUM(BF71:BF71)</f>
        <v>0</v>
      </c>
      <c r="BG70" s="191">
        <f t="shared" si="100"/>
        <v>0</v>
      </c>
      <c r="BH70" s="191">
        <f t="shared" si="100"/>
        <v>0</v>
      </c>
      <c r="BI70" s="191">
        <f t="shared" si="100"/>
        <v>0</v>
      </c>
      <c r="BJ70" s="191">
        <f t="shared" si="100"/>
        <v>0</v>
      </c>
      <c r="BK70" s="191">
        <f t="shared" si="100"/>
        <v>0</v>
      </c>
      <c r="BL70" s="191">
        <f t="shared" si="100"/>
        <v>0</v>
      </c>
      <c r="BM70" s="191">
        <f t="shared" si="100"/>
        <v>0</v>
      </c>
      <c r="BN70" s="191"/>
      <c r="BO70" s="371">
        <f>'Учебный план'!CN89</f>
        <v>0</v>
      </c>
      <c r="BP70" s="371">
        <f>'Учебный план'!CO89</f>
        <v>0</v>
      </c>
      <c r="BQ70" s="379"/>
    </row>
    <row r="71" spans="1:68" s="450" customFormat="1" ht="25.5" customHeight="1">
      <c r="A71" s="209">
        <f>'Учебный план'!A90</f>
        <v>0</v>
      </c>
      <c r="B71" s="209" t="str">
        <f>'Учебный план'!B90</f>
        <v>Матрос</v>
      </c>
      <c r="C71" s="209" t="str">
        <f>'Учебный план'!C90</f>
        <v>Матрос</v>
      </c>
      <c r="D71" s="199" t="s">
        <v>30</v>
      </c>
      <c r="E71" s="199"/>
      <c r="F71" s="180"/>
      <c r="G71" s="180"/>
      <c r="H71" s="180"/>
      <c r="I71" s="180"/>
      <c r="J71" s="116">
        <f>L71-N71</f>
        <v>-100</v>
      </c>
      <c r="K71" s="180">
        <f>M71*$K$1</f>
        <v>0</v>
      </c>
      <c r="L71" s="116"/>
      <c r="M71" s="116"/>
      <c r="N71" s="363">
        <f t="shared" si="62"/>
        <v>100</v>
      </c>
      <c r="O71" s="363">
        <f>SUM(P71:T71)</f>
        <v>16</v>
      </c>
      <c r="P71" s="363">
        <f>W71+AK71+AR71+AY71+AD71+BH71</f>
        <v>16</v>
      </c>
      <c r="Q71" s="363">
        <f>X71+AL71+AS71+AZ71+AE71+BI71</f>
        <v>0</v>
      </c>
      <c r="R71" s="363">
        <f>Y71+AM71+AT71+BA71+AF71+BJ71</f>
        <v>0</v>
      </c>
      <c r="S71" s="363"/>
      <c r="T71" s="363">
        <f>AA71+AO71+AV71+BC71+AH71+BK71</f>
        <v>0</v>
      </c>
      <c r="U71" s="363">
        <f>AB71+AP71+AW71+BD71+BM71+AI71</f>
        <v>84</v>
      </c>
      <c r="V71" s="182">
        <f>SUM(W71:AB71)</f>
        <v>0</v>
      </c>
      <c r="W71" s="116"/>
      <c r="X71" s="116"/>
      <c r="Y71" s="116"/>
      <c r="Z71" s="116"/>
      <c r="AA71" s="116"/>
      <c r="AB71" s="116"/>
      <c r="AC71" s="182">
        <f>SUM(AD71:AI71)</f>
        <v>100</v>
      </c>
      <c r="AD71" s="116">
        <v>16</v>
      </c>
      <c r="AE71" s="116"/>
      <c r="AF71" s="116"/>
      <c r="AG71" s="116"/>
      <c r="AH71" s="116"/>
      <c r="AI71" s="116">
        <v>84</v>
      </c>
      <c r="AJ71" s="182">
        <f>SUM(AK71:AP71)</f>
        <v>0</v>
      </c>
      <c r="AK71" s="116"/>
      <c r="AL71" s="116"/>
      <c r="AM71" s="116"/>
      <c r="AN71" s="116"/>
      <c r="AO71" s="116"/>
      <c r="AP71" s="116"/>
      <c r="AQ71" s="182">
        <f>SUM(AR71:AW71)</f>
        <v>0</v>
      </c>
      <c r="AR71" s="116"/>
      <c r="AS71" s="116"/>
      <c r="AT71" s="116"/>
      <c r="AU71" s="116"/>
      <c r="AV71" s="116"/>
      <c r="AW71" s="116"/>
      <c r="AX71" s="182">
        <f>SUM(AY71:BD71)</f>
        <v>0</v>
      </c>
      <c r="AY71" s="116"/>
      <c r="AZ71" s="116"/>
      <c r="BA71" s="116"/>
      <c r="BB71" s="116"/>
      <c r="BC71" s="116"/>
      <c r="BD71" s="116"/>
      <c r="BE71" s="365"/>
      <c r="BF71" s="182">
        <f>SUM(BG71:BM71)</f>
        <v>0</v>
      </c>
      <c r="BG71" s="116"/>
      <c r="BH71" s="116"/>
      <c r="BI71" s="116"/>
      <c r="BJ71" s="116"/>
      <c r="BK71" s="116"/>
      <c r="BL71" s="116"/>
      <c r="BM71" s="116"/>
      <c r="BN71" s="117"/>
      <c r="BO71" s="180" t="str">
        <f>'Учебный план'!CN90</f>
        <v>64-3</v>
      </c>
      <c r="BP71" s="200" t="str">
        <f>'Учебный план'!CO90</f>
        <v>ОК-1-10, ПК 2.1,2.2, 3.1,3.2</v>
      </c>
    </row>
    <row r="72" spans="1:68" s="450" customFormat="1" ht="24.75" customHeight="1">
      <c r="A72" s="740" t="str">
        <f>'Учебный план'!A91</f>
        <v> Экзамен квалификационный</v>
      </c>
      <c r="B72" s="741"/>
      <c r="C72" s="223"/>
      <c r="D72" s="204" t="s">
        <v>29</v>
      </c>
      <c r="E72" s="204"/>
      <c r="F72" s="204"/>
      <c r="G72" s="204"/>
      <c r="H72" s="204"/>
      <c r="I72" s="204"/>
      <c r="J72" s="205"/>
      <c r="K72" s="204"/>
      <c r="L72" s="205">
        <f>'Учебный план'!N91</f>
        <v>0</v>
      </c>
      <c r="M72" s="205">
        <f>'Учебный план'!O91</f>
        <v>0</v>
      </c>
      <c r="N72" s="193">
        <f t="shared" si="62"/>
        <v>0</v>
      </c>
      <c r="O72" s="193"/>
      <c r="P72" s="193"/>
      <c r="Q72" s="193"/>
      <c r="R72" s="193"/>
      <c r="S72" s="193"/>
      <c r="T72" s="193"/>
      <c r="U72" s="193"/>
      <c r="V72" s="193"/>
      <c r="W72" s="205"/>
      <c r="X72" s="205"/>
      <c r="Y72" s="205"/>
      <c r="Z72" s="205"/>
      <c r="AA72" s="205"/>
      <c r="AB72" s="205"/>
      <c r="AC72" s="193"/>
      <c r="AD72" s="205"/>
      <c r="AE72" s="205"/>
      <c r="AF72" s="205"/>
      <c r="AG72" s="205"/>
      <c r="AH72" s="205"/>
      <c r="AI72" s="205"/>
      <c r="AJ72" s="193"/>
      <c r="AK72" s="205"/>
      <c r="AL72" s="205"/>
      <c r="AM72" s="205"/>
      <c r="AN72" s="205"/>
      <c r="AO72" s="205"/>
      <c r="AP72" s="205"/>
      <c r="AQ72" s="193"/>
      <c r="AR72" s="205"/>
      <c r="AS72" s="205"/>
      <c r="AT72" s="205"/>
      <c r="AU72" s="205"/>
      <c r="AV72" s="205"/>
      <c r="AW72" s="205"/>
      <c r="AX72" s="193"/>
      <c r="AY72" s="205"/>
      <c r="AZ72" s="205"/>
      <c r="BA72" s="205"/>
      <c r="BB72" s="205"/>
      <c r="BC72" s="205"/>
      <c r="BD72" s="205"/>
      <c r="BE72" s="205"/>
      <c r="BF72" s="193"/>
      <c r="BG72" s="205"/>
      <c r="BH72" s="205"/>
      <c r="BI72" s="205"/>
      <c r="BJ72" s="205"/>
      <c r="BK72" s="205"/>
      <c r="BL72" s="205"/>
      <c r="BM72" s="205"/>
      <c r="BN72" s="205"/>
      <c r="BO72" s="204">
        <f>'Учебный план'!CN91</f>
        <v>0</v>
      </c>
      <c r="BP72" s="377">
        <f>'Учебный план'!CO91</f>
        <v>0</v>
      </c>
    </row>
    <row r="73" spans="1:68" s="48" customFormat="1" ht="25.5" customHeight="1">
      <c r="A73" s="266" t="str">
        <f>'Учебный план'!A92</f>
        <v>ВЧ.00</v>
      </c>
      <c r="B73" s="757" t="str">
        <f>'Учебный план'!B92</f>
        <v>Вариативная часть циклов ППССЗ</v>
      </c>
      <c r="C73" s="758"/>
      <c r="D73" s="758"/>
      <c r="E73" s="758"/>
      <c r="F73" s="758"/>
      <c r="G73" s="758"/>
      <c r="H73" s="758"/>
      <c r="I73" s="759"/>
      <c r="J73" s="267"/>
      <c r="K73" s="268"/>
      <c r="L73" s="173">
        <f>'Учебный план'!L92</f>
        <v>1674</v>
      </c>
      <c r="M73" s="173">
        <f>'Учебный план'!M92</f>
        <v>1116</v>
      </c>
      <c r="N73" s="267">
        <f t="shared" si="62"/>
        <v>122</v>
      </c>
      <c r="O73" s="267">
        <f aca="true" t="shared" si="101" ref="O73:U73">SUM(O74:O74)</f>
        <v>22</v>
      </c>
      <c r="P73" s="267">
        <f t="shared" si="101"/>
        <v>18</v>
      </c>
      <c r="Q73" s="267">
        <f t="shared" si="101"/>
        <v>4</v>
      </c>
      <c r="R73" s="267">
        <f t="shared" si="101"/>
        <v>0</v>
      </c>
      <c r="S73" s="267"/>
      <c r="T73" s="267">
        <f t="shared" si="101"/>
        <v>0</v>
      </c>
      <c r="U73" s="267">
        <f t="shared" si="101"/>
        <v>100</v>
      </c>
      <c r="V73" s="267">
        <f aca="true" t="shared" si="102" ref="V73:BD73">SUM(V74:V74)</f>
        <v>0</v>
      </c>
      <c r="W73" s="267">
        <f t="shared" si="102"/>
        <v>0</v>
      </c>
      <c r="X73" s="267">
        <f t="shared" si="102"/>
        <v>0</v>
      </c>
      <c r="Y73" s="267">
        <f t="shared" si="102"/>
        <v>0</v>
      </c>
      <c r="Z73" s="267"/>
      <c r="AA73" s="267">
        <f t="shared" si="102"/>
        <v>0</v>
      </c>
      <c r="AB73" s="267">
        <f t="shared" si="102"/>
        <v>0</v>
      </c>
      <c r="AC73" s="267">
        <f t="shared" si="102"/>
        <v>122</v>
      </c>
      <c r="AD73" s="267">
        <f t="shared" si="102"/>
        <v>18</v>
      </c>
      <c r="AE73" s="267">
        <f t="shared" si="102"/>
        <v>4</v>
      </c>
      <c r="AF73" s="267">
        <f t="shared" si="102"/>
        <v>0</v>
      </c>
      <c r="AG73" s="267"/>
      <c r="AH73" s="267">
        <f t="shared" si="102"/>
        <v>0</v>
      </c>
      <c r="AI73" s="267">
        <f t="shared" si="102"/>
        <v>100</v>
      </c>
      <c r="AJ73" s="267">
        <f t="shared" si="102"/>
        <v>0</v>
      </c>
      <c r="AK73" s="267">
        <f t="shared" si="102"/>
        <v>0</v>
      </c>
      <c r="AL73" s="267">
        <f t="shared" si="102"/>
        <v>0</v>
      </c>
      <c r="AM73" s="267">
        <f t="shared" si="102"/>
        <v>0</v>
      </c>
      <c r="AN73" s="267"/>
      <c r="AO73" s="267">
        <f t="shared" si="102"/>
        <v>0</v>
      </c>
      <c r="AP73" s="267">
        <f t="shared" si="102"/>
        <v>0</v>
      </c>
      <c r="AQ73" s="267">
        <f t="shared" si="102"/>
        <v>0</v>
      </c>
      <c r="AR73" s="267">
        <f t="shared" si="102"/>
        <v>0</v>
      </c>
      <c r="AS73" s="267">
        <f t="shared" si="102"/>
        <v>0</v>
      </c>
      <c r="AT73" s="267">
        <f t="shared" si="102"/>
        <v>0</v>
      </c>
      <c r="AU73" s="267"/>
      <c r="AV73" s="267">
        <f t="shared" si="102"/>
        <v>0</v>
      </c>
      <c r="AW73" s="267">
        <f t="shared" si="102"/>
        <v>0</v>
      </c>
      <c r="AX73" s="267">
        <f t="shared" si="102"/>
        <v>0</v>
      </c>
      <c r="AY73" s="267">
        <f t="shared" si="102"/>
        <v>0</v>
      </c>
      <c r="AZ73" s="267">
        <f t="shared" si="102"/>
        <v>0</v>
      </c>
      <c r="BA73" s="267">
        <f t="shared" si="102"/>
        <v>0</v>
      </c>
      <c r="BB73" s="267"/>
      <c r="BC73" s="267">
        <f t="shared" si="102"/>
        <v>0</v>
      </c>
      <c r="BD73" s="267">
        <f t="shared" si="102"/>
        <v>0</v>
      </c>
      <c r="BE73" s="267" t="e">
        <f>SUM(#REF!)</f>
        <v>#REF!</v>
      </c>
      <c r="BF73" s="267"/>
      <c r="BG73" s="267"/>
      <c r="BH73" s="267"/>
      <c r="BI73" s="267"/>
      <c r="BJ73" s="267"/>
      <c r="BK73" s="267"/>
      <c r="BL73" s="267"/>
      <c r="BM73" s="267"/>
      <c r="BN73" s="267"/>
      <c r="BO73" s="271">
        <f>'Учебный план'!CN92</f>
        <v>0</v>
      </c>
      <c r="BP73" s="271">
        <f>'Учебный план'!CO92</f>
        <v>0</v>
      </c>
    </row>
    <row r="74" spans="1:68" s="450" customFormat="1" ht="25.5" customHeight="1">
      <c r="A74" s="202" t="str">
        <f>'Учебный план'!A93</f>
        <v>ВЧ.01</v>
      </c>
      <c r="B74" s="209" t="str">
        <f>'Учебный план'!B93</f>
        <v>Эксплуатация судовых энергетических установок на вспомогательном уровне</v>
      </c>
      <c r="C74" s="209" t="str">
        <f>'Учебный план'!C93</f>
        <v>ЭСЭУ</v>
      </c>
      <c r="D74" s="180" t="s">
        <v>30</v>
      </c>
      <c r="E74" s="180"/>
      <c r="F74" s="180"/>
      <c r="G74" s="180"/>
      <c r="H74" s="180"/>
      <c r="I74" s="199"/>
      <c r="J74" s="116">
        <f>L74-N74</f>
        <v>-122</v>
      </c>
      <c r="K74" s="180">
        <f>M74*$K$1</f>
        <v>0</v>
      </c>
      <c r="L74" s="116"/>
      <c r="M74" s="116"/>
      <c r="N74" s="366">
        <f t="shared" si="62"/>
        <v>122</v>
      </c>
      <c r="O74" s="363">
        <f>SUM(P74:T74)</f>
        <v>22</v>
      </c>
      <c r="P74" s="363">
        <f>W74+AK74+AR74+AY74+AD74+BH74</f>
        <v>18</v>
      </c>
      <c r="Q74" s="363">
        <f>X74+AL74+AS74+AZ74+AE74+BI74</f>
        <v>4</v>
      </c>
      <c r="R74" s="363">
        <f>Y74+AM74+AT74+BA74+AF74+BJ74</f>
        <v>0</v>
      </c>
      <c r="S74" s="363"/>
      <c r="T74" s="363">
        <f>AA74+AO74+AV74+BC74+AH74+BK74</f>
        <v>0</v>
      </c>
      <c r="U74" s="363">
        <f>AB74+AP74+AW74+BD74+BM74+AI74</f>
        <v>100</v>
      </c>
      <c r="V74" s="182">
        <f>SUM(W74:AB74)</f>
        <v>0</v>
      </c>
      <c r="W74" s="116"/>
      <c r="X74" s="116"/>
      <c r="Y74" s="116"/>
      <c r="Z74" s="116"/>
      <c r="AA74" s="116"/>
      <c r="AB74" s="116"/>
      <c r="AC74" s="182">
        <f>SUM(AD74:AI74)</f>
        <v>122</v>
      </c>
      <c r="AD74" s="116">
        <v>18</v>
      </c>
      <c r="AE74" s="116">
        <v>4</v>
      </c>
      <c r="AF74" s="116"/>
      <c r="AG74" s="116"/>
      <c r="AH74" s="116"/>
      <c r="AI74" s="117">
        <v>100</v>
      </c>
      <c r="AJ74" s="182">
        <f>SUM(AK74:AP74)</f>
        <v>0</v>
      </c>
      <c r="AK74" s="116"/>
      <c r="AL74" s="116"/>
      <c r="AM74" s="116"/>
      <c r="AN74" s="116"/>
      <c r="AO74" s="116"/>
      <c r="AP74" s="116"/>
      <c r="AQ74" s="182">
        <f>SUM(AR74:AW74)</f>
        <v>0</v>
      </c>
      <c r="AR74" s="116"/>
      <c r="AS74" s="116"/>
      <c r="AT74" s="116"/>
      <c r="AU74" s="116"/>
      <c r="AV74" s="116"/>
      <c r="AW74" s="116"/>
      <c r="AX74" s="182">
        <f>SUM(AY74:BD74)</f>
        <v>0</v>
      </c>
      <c r="AY74" s="116"/>
      <c r="AZ74" s="116"/>
      <c r="BA74" s="116"/>
      <c r="BB74" s="116"/>
      <c r="BC74" s="116"/>
      <c r="BD74" s="116"/>
      <c r="BE74" s="365"/>
      <c r="BF74" s="182">
        <f>SUM(BG74:BM74)</f>
        <v>0</v>
      </c>
      <c r="BG74" s="116"/>
      <c r="BH74" s="116"/>
      <c r="BI74" s="116"/>
      <c r="BJ74" s="116"/>
      <c r="BK74" s="116"/>
      <c r="BL74" s="116"/>
      <c r="BM74" s="116"/>
      <c r="BN74" s="117"/>
      <c r="BO74" s="180" t="str">
        <f>'Учебный план'!CN93</f>
        <v>64-4</v>
      </c>
      <c r="BP74" s="200" t="str">
        <f>'Учебный план'!CO93</f>
        <v>ОК 1-10, ПК-1.3</v>
      </c>
    </row>
    <row r="75" spans="1:68" s="48" customFormat="1" ht="25.5" customHeight="1">
      <c r="A75" s="266" t="str">
        <f>'Учебный план'!A95</f>
        <v>УП.00</v>
      </c>
      <c r="B75" s="388" t="str">
        <f>'Учебный план'!B95</f>
        <v>Учебная практика</v>
      </c>
      <c r="C75" s="388"/>
      <c r="D75" s="268"/>
      <c r="E75" s="268" t="s">
        <v>30</v>
      </c>
      <c r="F75" s="268"/>
      <c r="G75" s="268"/>
      <c r="H75" s="268"/>
      <c r="I75" s="268"/>
      <c r="J75" s="267"/>
      <c r="K75" s="268"/>
      <c r="L75" s="389"/>
      <c r="M75" s="389">
        <f>'Учебный план'!O95</f>
        <v>324</v>
      </c>
      <c r="N75" s="267">
        <f aca="true" t="shared" si="103" ref="N75:N80">SUM(O75+U75)</f>
        <v>324</v>
      </c>
      <c r="O75" s="267">
        <f aca="true" t="shared" si="104" ref="O75:BD75">SUM(O76:O79)</f>
        <v>324</v>
      </c>
      <c r="P75" s="267">
        <f t="shared" si="104"/>
        <v>0</v>
      </c>
      <c r="Q75" s="267">
        <f t="shared" si="104"/>
        <v>0</v>
      </c>
      <c r="R75" s="267">
        <f t="shared" si="104"/>
        <v>0</v>
      </c>
      <c r="S75" s="267"/>
      <c r="T75" s="267">
        <f t="shared" si="104"/>
        <v>324</v>
      </c>
      <c r="U75" s="267">
        <f t="shared" si="104"/>
        <v>0</v>
      </c>
      <c r="V75" s="267">
        <f t="shared" si="104"/>
        <v>0</v>
      </c>
      <c r="W75" s="267">
        <f t="shared" si="104"/>
        <v>0</v>
      </c>
      <c r="X75" s="267">
        <f t="shared" si="104"/>
        <v>0</v>
      </c>
      <c r="Y75" s="267">
        <f t="shared" si="104"/>
        <v>0</v>
      </c>
      <c r="Z75" s="267"/>
      <c r="AA75" s="267">
        <f t="shared" si="104"/>
        <v>0</v>
      </c>
      <c r="AB75" s="267">
        <f t="shared" si="104"/>
        <v>0</v>
      </c>
      <c r="AC75" s="267">
        <f aca="true" t="shared" si="105" ref="AC75:AI75">SUM(AC76:AC79)</f>
        <v>324</v>
      </c>
      <c r="AD75" s="267">
        <f t="shared" si="105"/>
        <v>0</v>
      </c>
      <c r="AE75" s="267">
        <f t="shared" si="105"/>
        <v>0</v>
      </c>
      <c r="AF75" s="267">
        <f t="shared" si="105"/>
        <v>0</v>
      </c>
      <c r="AG75" s="267"/>
      <c r="AH75" s="267">
        <f t="shared" si="105"/>
        <v>324</v>
      </c>
      <c r="AI75" s="267">
        <f t="shared" si="105"/>
        <v>0</v>
      </c>
      <c r="AJ75" s="267">
        <f t="shared" si="104"/>
        <v>0</v>
      </c>
      <c r="AK75" s="267">
        <f t="shared" si="104"/>
        <v>0</v>
      </c>
      <c r="AL75" s="267">
        <f t="shared" si="104"/>
        <v>0</v>
      </c>
      <c r="AM75" s="267">
        <f t="shared" si="104"/>
        <v>0</v>
      </c>
      <c r="AN75" s="267"/>
      <c r="AO75" s="267">
        <f t="shared" si="104"/>
        <v>0</v>
      </c>
      <c r="AP75" s="267">
        <f t="shared" si="104"/>
        <v>0</v>
      </c>
      <c r="AQ75" s="267">
        <f t="shared" si="104"/>
        <v>0</v>
      </c>
      <c r="AR75" s="267">
        <f t="shared" si="104"/>
        <v>0</v>
      </c>
      <c r="AS75" s="267">
        <f t="shared" si="104"/>
        <v>0</v>
      </c>
      <c r="AT75" s="267">
        <f t="shared" si="104"/>
        <v>0</v>
      </c>
      <c r="AU75" s="267"/>
      <c r="AV75" s="267">
        <f t="shared" si="104"/>
        <v>0</v>
      </c>
      <c r="AW75" s="267">
        <f t="shared" si="104"/>
        <v>0</v>
      </c>
      <c r="AX75" s="267">
        <f t="shared" si="104"/>
        <v>0</v>
      </c>
      <c r="AY75" s="267">
        <f t="shared" si="104"/>
        <v>0</v>
      </c>
      <c r="AZ75" s="267">
        <f t="shared" si="104"/>
        <v>0</v>
      </c>
      <c r="BA75" s="267">
        <f t="shared" si="104"/>
        <v>0</v>
      </c>
      <c r="BB75" s="267"/>
      <c r="BC75" s="267">
        <f t="shared" si="104"/>
        <v>0</v>
      </c>
      <c r="BD75" s="267">
        <f t="shared" si="104"/>
        <v>0</v>
      </c>
      <c r="BE75" s="267">
        <f>SUM(BE76:BE80)</f>
        <v>0</v>
      </c>
      <c r="BF75" s="267">
        <f aca="true" t="shared" si="106" ref="BF75:BM75">SUM(BF76:BF79)</f>
        <v>0</v>
      </c>
      <c r="BG75" s="267">
        <f t="shared" si="106"/>
        <v>0</v>
      </c>
      <c r="BH75" s="267">
        <f t="shared" si="106"/>
        <v>0</v>
      </c>
      <c r="BI75" s="267">
        <f t="shared" si="106"/>
        <v>0</v>
      </c>
      <c r="BJ75" s="267">
        <f t="shared" si="106"/>
        <v>0</v>
      </c>
      <c r="BK75" s="267">
        <f t="shared" si="106"/>
        <v>0</v>
      </c>
      <c r="BL75" s="267">
        <f t="shared" si="106"/>
        <v>0</v>
      </c>
      <c r="BM75" s="267">
        <f t="shared" si="106"/>
        <v>0</v>
      </c>
      <c r="BN75" s="267"/>
      <c r="BO75" s="390" t="str">
        <f>'Учебный план'!CN95</f>
        <v>64-4, 64-5</v>
      </c>
      <c r="BP75" s="390" t="str">
        <f>'Учебный план'!CO95</f>
        <v>ОК 1-10; ПК 1.1-1.3, 2.1-2.7, 3.1-3.2, 4.1-4.3</v>
      </c>
    </row>
    <row r="76" spans="1:68" s="49" customFormat="1" ht="25.5" customHeight="1">
      <c r="A76" s="272" t="str">
        <f>'Учебный план'!A96</f>
        <v>УП.01</v>
      </c>
      <c r="B76" s="272" t="str">
        <f>'Учебный план'!B96</f>
        <v>Слесарная практика</v>
      </c>
      <c r="C76" s="273"/>
      <c r="D76" s="274"/>
      <c r="E76" s="274"/>
      <c r="F76" s="274"/>
      <c r="G76" s="274"/>
      <c r="H76" s="274"/>
      <c r="I76" s="274"/>
      <c r="J76" s="275"/>
      <c r="K76" s="274"/>
      <c r="L76" s="389"/>
      <c r="M76" s="389">
        <f>'Учебный план'!O96</f>
        <v>72</v>
      </c>
      <c r="N76" s="267">
        <f t="shared" si="103"/>
        <v>324</v>
      </c>
      <c r="O76" s="391">
        <f>SUM(P76:T76)</f>
        <v>324</v>
      </c>
      <c r="P76" s="391">
        <f aca="true" t="shared" si="107" ref="P76:R79">W76+AK76+AR76+AY76+AD76+BH76</f>
        <v>0</v>
      </c>
      <c r="Q76" s="391">
        <f t="shared" si="107"/>
        <v>0</v>
      </c>
      <c r="R76" s="391">
        <f t="shared" si="107"/>
        <v>0</v>
      </c>
      <c r="S76" s="391"/>
      <c r="T76" s="391">
        <f>AA76+AO76+AV76+BC76+AH76+BK76</f>
        <v>324</v>
      </c>
      <c r="U76" s="391">
        <f>AB76+AP76+AW76+BD76+BM76+AI76</f>
        <v>0</v>
      </c>
      <c r="V76" s="277">
        <f>SUM(W76:AB76)</f>
        <v>0</v>
      </c>
      <c r="W76" s="275"/>
      <c r="X76" s="275"/>
      <c r="Y76" s="275"/>
      <c r="Z76" s="275"/>
      <c r="AA76" s="275"/>
      <c r="AB76" s="275"/>
      <c r="AC76" s="277">
        <f>SUM(AD76:AI76)</f>
        <v>324</v>
      </c>
      <c r="AD76" s="275"/>
      <c r="AE76" s="275"/>
      <c r="AF76" s="275"/>
      <c r="AG76" s="275"/>
      <c r="AH76" s="275">
        <v>324</v>
      </c>
      <c r="AI76" s="275"/>
      <c r="AJ76" s="277">
        <f>SUM(AK76:AP76)</f>
        <v>0</v>
      </c>
      <c r="AK76" s="275"/>
      <c r="AL76" s="275"/>
      <c r="AM76" s="275"/>
      <c r="AN76" s="275"/>
      <c r="AO76" s="275"/>
      <c r="AP76" s="275"/>
      <c r="AQ76" s="277">
        <f>SUM(AR76:AW76)</f>
        <v>0</v>
      </c>
      <c r="AR76" s="275"/>
      <c r="AS76" s="275"/>
      <c r="AT76" s="275"/>
      <c r="AU76" s="275"/>
      <c r="AV76" s="275"/>
      <c r="AW76" s="275"/>
      <c r="AX76" s="277">
        <f>SUM(AY76:BD76)</f>
        <v>0</v>
      </c>
      <c r="AY76" s="275"/>
      <c r="AZ76" s="275"/>
      <c r="BA76" s="275"/>
      <c r="BB76" s="275"/>
      <c r="BC76" s="275"/>
      <c r="BD76" s="275"/>
      <c r="BE76" s="392">
        <f>LEN(I76)-LEN(SUBSTITUTE(I76,"9",""))</f>
        <v>0</v>
      </c>
      <c r="BF76" s="277">
        <f>SUM(BG76:BM76)</f>
        <v>0</v>
      </c>
      <c r="BG76" s="275"/>
      <c r="BH76" s="275"/>
      <c r="BI76" s="275"/>
      <c r="BJ76" s="275"/>
      <c r="BK76" s="275"/>
      <c r="BL76" s="275"/>
      <c r="BM76" s="275"/>
      <c r="BN76" s="282"/>
      <c r="BO76" s="281" t="str">
        <f>'Учебный план'!CN96</f>
        <v>64-4</v>
      </c>
      <c r="BP76" s="281" t="str">
        <f>'Учебный план'!CO96</f>
        <v>ОК 1-10; ПК 1.1-1.3, 2.1-2.7, 3.1-3.2</v>
      </c>
    </row>
    <row r="77" spans="1:68" s="49" customFormat="1" ht="25.5" customHeight="1">
      <c r="A77" s="272" t="str">
        <f>'Учебный план'!A97</f>
        <v>УП.02</v>
      </c>
      <c r="B77" s="272" t="str">
        <f>'Учебный план'!B97</f>
        <v>Шлюпочно-такелажная практика</v>
      </c>
      <c r="C77" s="273"/>
      <c r="D77" s="274"/>
      <c r="E77" s="274"/>
      <c r="F77" s="274"/>
      <c r="G77" s="274"/>
      <c r="H77" s="274"/>
      <c r="I77" s="274"/>
      <c r="J77" s="275"/>
      <c r="K77" s="274"/>
      <c r="L77" s="389"/>
      <c r="M77" s="389">
        <f>'Учебный план'!O97</f>
        <v>72</v>
      </c>
      <c r="N77" s="267">
        <f t="shared" si="103"/>
        <v>0</v>
      </c>
      <c r="O77" s="391">
        <f>SUM(P77:T77)</f>
        <v>0</v>
      </c>
      <c r="P77" s="391">
        <f t="shared" si="107"/>
        <v>0</v>
      </c>
      <c r="Q77" s="391">
        <f t="shared" si="107"/>
        <v>0</v>
      </c>
      <c r="R77" s="391">
        <f t="shared" si="107"/>
        <v>0</v>
      </c>
      <c r="S77" s="391"/>
      <c r="T77" s="391">
        <f>AA77+AO77+AV77+BC77+AH77+BK77</f>
        <v>0</v>
      </c>
      <c r="U77" s="391">
        <f>AB77+AP77+AW77+BD77+BM77+AI77</f>
        <v>0</v>
      </c>
      <c r="V77" s="277">
        <f>SUM(W77:AB77)</f>
        <v>0</v>
      </c>
      <c r="W77" s="275"/>
      <c r="X77" s="275"/>
      <c r="Y77" s="275"/>
      <c r="Z77" s="275"/>
      <c r="AA77" s="275"/>
      <c r="AB77" s="275"/>
      <c r="AC77" s="277">
        <f>SUM(AD77:AI77)</f>
        <v>0</v>
      </c>
      <c r="AD77" s="275"/>
      <c r="AE77" s="275"/>
      <c r="AF77" s="275"/>
      <c r="AG77" s="275"/>
      <c r="AH77" s="275"/>
      <c r="AI77" s="275"/>
      <c r="AJ77" s="277">
        <f>SUM(AK77:AP77)</f>
        <v>0</v>
      </c>
      <c r="AK77" s="275"/>
      <c r="AL77" s="275"/>
      <c r="AM77" s="275"/>
      <c r="AN77" s="275"/>
      <c r="AO77" s="275"/>
      <c r="AP77" s="275"/>
      <c r="AQ77" s="277">
        <f>SUM(AR77:AW77)</f>
        <v>0</v>
      </c>
      <c r="AR77" s="275"/>
      <c r="AS77" s="275"/>
      <c r="AT77" s="275"/>
      <c r="AU77" s="275"/>
      <c r="AV77" s="275"/>
      <c r="AW77" s="275"/>
      <c r="AX77" s="277">
        <f>SUM(AY77:BD77)</f>
        <v>0</v>
      </c>
      <c r="AY77" s="275"/>
      <c r="AZ77" s="275"/>
      <c r="BA77" s="275"/>
      <c r="BB77" s="275"/>
      <c r="BC77" s="275"/>
      <c r="BD77" s="275"/>
      <c r="BE77" s="392"/>
      <c r="BF77" s="277">
        <f>SUM(BG77:BM77)</f>
        <v>0</v>
      </c>
      <c r="BG77" s="275"/>
      <c r="BH77" s="275"/>
      <c r="BI77" s="275"/>
      <c r="BJ77" s="275"/>
      <c r="BK77" s="275"/>
      <c r="BL77" s="275"/>
      <c r="BM77" s="275"/>
      <c r="BN77" s="282"/>
      <c r="BO77" s="281" t="str">
        <f>'Учебный план'!CN97</f>
        <v>64-4</v>
      </c>
      <c r="BP77" s="281" t="str">
        <f>'Учебный план'!CO97</f>
        <v>ОК 1-10; ПК 1.1-1.3, 2.1-2.7, 3.1-3.2</v>
      </c>
    </row>
    <row r="78" spans="1:68" s="49" customFormat="1" ht="25.5" customHeight="1">
      <c r="A78" s="272" t="str">
        <f>'Учебный план'!A98</f>
        <v>УП.03</v>
      </c>
      <c r="B78" s="272" t="str">
        <f>'Учебный план'!B98</f>
        <v>Учебная плавательная (групповая)</v>
      </c>
      <c r="C78" s="273"/>
      <c r="D78" s="274"/>
      <c r="E78" s="274"/>
      <c r="F78" s="274"/>
      <c r="G78" s="274"/>
      <c r="H78" s="274"/>
      <c r="I78" s="274"/>
      <c r="J78" s="275"/>
      <c r="K78" s="274"/>
      <c r="L78" s="389"/>
      <c r="M78" s="389">
        <f>'Учебный план'!O98</f>
        <v>144</v>
      </c>
      <c r="N78" s="267">
        <f t="shared" si="103"/>
        <v>0</v>
      </c>
      <c r="O78" s="391">
        <f>SUM(P78:T78)</f>
        <v>0</v>
      </c>
      <c r="P78" s="391">
        <f t="shared" si="107"/>
        <v>0</v>
      </c>
      <c r="Q78" s="391">
        <f t="shared" si="107"/>
        <v>0</v>
      </c>
      <c r="R78" s="391">
        <f t="shared" si="107"/>
        <v>0</v>
      </c>
      <c r="S78" s="391"/>
      <c r="T78" s="391">
        <f>AA78+AO78+AV78+BC78+AH78+BK78</f>
        <v>0</v>
      </c>
      <c r="U78" s="391">
        <f>AB78+AP78+AW78+BD78+BM78+AI78</f>
        <v>0</v>
      </c>
      <c r="V78" s="277">
        <f>SUM(W78:AB78)</f>
        <v>0</v>
      </c>
      <c r="W78" s="275"/>
      <c r="X78" s="275"/>
      <c r="Y78" s="275"/>
      <c r="Z78" s="275"/>
      <c r="AA78" s="275"/>
      <c r="AB78" s="275"/>
      <c r="AC78" s="277">
        <f>SUM(AD78:AI78)</f>
        <v>0</v>
      </c>
      <c r="AD78" s="275"/>
      <c r="AE78" s="275"/>
      <c r="AF78" s="275"/>
      <c r="AG78" s="275"/>
      <c r="AH78" s="275"/>
      <c r="AI78" s="275"/>
      <c r="AJ78" s="277">
        <f>SUM(AK78:AP78)</f>
        <v>0</v>
      </c>
      <c r="AK78" s="275"/>
      <c r="AL78" s="275"/>
      <c r="AM78" s="275"/>
      <c r="AN78" s="275"/>
      <c r="AO78" s="275"/>
      <c r="AP78" s="275"/>
      <c r="AQ78" s="277">
        <f>SUM(AR78:AW78)</f>
        <v>0</v>
      </c>
      <c r="AR78" s="275"/>
      <c r="AS78" s="275"/>
      <c r="AT78" s="275"/>
      <c r="AU78" s="275"/>
      <c r="AV78" s="275"/>
      <c r="AW78" s="275"/>
      <c r="AX78" s="277">
        <f>SUM(AY78:BD78)</f>
        <v>0</v>
      </c>
      <c r="AY78" s="275"/>
      <c r="AZ78" s="275"/>
      <c r="BA78" s="275"/>
      <c r="BB78" s="275"/>
      <c r="BC78" s="275"/>
      <c r="BD78" s="275"/>
      <c r="BE78" s="392"/>
      <c r="BF78" s="277">
        <f>SUM(BG78:BM78)</f>
        <v>0</v>
      </c>
      <c r="BG78" s="275"/>
      <c r="BH78" s="275"/>
      <c r="BI78" s="275"/>
      <c r="BJ78" s="275"/>
      <c r="BK78" s="275"/>
      <c r="BL78" s="275"/>
      <c r="BM78" s="275"/>
      <c r="BN78" s="282"/>
      <c r="BO78" s="281" t="str">
        <f>'Учебный план'!CN98</f>
        <v>5</v>
      </c>
      <c r="BP78" s="281" t="str">
        <f>'Учебный план'!CO98</f>
        <v>ОК-1-10</v>
      </c>
    </row>
    <row r="79" spans="1:68" s="49" customFormat="1" ht="25.5" customHeight="1">
      <c r="A79" s="272" t="str">
        <f>'Учебный план'!A99</f>
        <v>УП.04</v>
      </c>
      <c r="B79" s="272" t="str">
        <f>'Учебный план'!B99</f>
        <v>Обучение по пассажирским судам</v>
      </c>
      <c r="C79" s="273"/>
      <c r="D79" s="274"/>
      <c r="E79" s="274"/>
      <c r="F79" s="274"/>
      <c r="G79" s="274"/>
      <c r="H79" s="274"/>
      <c r="I79" s="274"/>
      <c r="J79" s="275"/>
      <c r="K79" s="274"/>
      <c r="L79" s="389"/>
      <c r="M79" s="389">
        <f>'Учебный план'!O99</f>
        <v>36</v>
      </c>
      <c r="N79" s="267">
        <f t="shared" si="103"/>
        <v>0</v>
      </c>
      <c r="O79" s="391">
        <f>SUM(P79:T79)</f>
        <v>0</v>
      </c>
      <c r="P79" s="391">
        <f t="shared" si="107"/>
        <v>0</v>
      </c>
      <c r="Q79" s="391">
        <f t="shared" si="107"/>
        <v>0</v>
      </c>
      <c r="R79" s="391">
        <f t="shared" si="107"/>
        <v>0</v>
      </c>
      <c r="S79" s="391"/>
      <c r="T79" s="391">
        <f>AA79+AO79+AV79+BC79+AH79+BK79</f>
        <v>0</v>
      </c>
      <c r="U79" s="391">
        <f>AB79+AP79+AW79+BD79+BM79+AI79</f>
        <v>0</v>
      </c>
      <c r="V79" s="277">
        <f>SUM(W79:AB79)</f>
        <v>0</v>
      </c>
      <c r="W79" s="275"/>
      <c r="X79" s="275"/>
      <c r="Y79" s="275"/>
      <c r="Z79" s="275"/>
      <c r="AA79" s="275"/>
      <c r="AB79" s="275"/>
      <c r="AC79" s="277">
        <f>SUM(AD79:AI79)</f>
        <v>0</v>
      </c>
      <c r="AD79" s="275"/>
      <c r="AE79" s="275"/>
      <c r="AF79" s="275"/>
      <c r="AG79" s="275"/>
      <c r="AH79" s="275"/>
      <c r="AI79" s="275"/>
      <c r="AJ79" s="277">
        <f>SUM(AK79:AP79)</f>
        <v>0</v>
      </c>
      <c r="AK79" s="275"/>
      <c r="AL79" s="275"/>
      <c r="AM79" s="275"/>
      <c r="AN79" s="275"/>
      <c r="AO79" s="275"/>
      <c r="AP79" s="275"/>
      <c r="AQ79" s="277">
        <f>SUM(AR79:AW79)</f>
        <v>0</v>
      </c>
      <c r="AR79" s="275"/>
      <c r="AS79" s="275"/>
      <c r="AT79" s="275"/>
      <c r="AU79" s="275"/>
      <c r="AV79" s="275"/>
      <c r="AW79" s="275"/>
      <c r="AX79" s="277">
        <f>SUM(AY79:BD79)</f>
        <v>0</v>
      </c>
      <c r="AY79" s="275"/>
      <c r="AZ79" s="275"/>
      <c r="BA79" s="275"/>
      <c r="BB79" s="275"/>
      <c r="BC79" s="275"/>
      <c r="BD79" s="275"/>
      <c r="BE79" s="392"/>
      <c r="BF79" s="277">
        <f>SUM(BG79:BM79)</f>
        <v>0</v>
      </c>
      <c r="BG79" s="275"/>
      <c r="BH79" s="275"/>
      <c r="BI79" s="275"/>
      <c r="BJ79" s="275"/>
      <c r="BK79" s="275"/>
      <c r="BL79" s="275"/>
      <c r="BM79" s="275"/>
      <c r="BN79" s="282"/>
      <c r="BO79" s="281" t="str">
        <f>'Учебный план'!CN99</f>
        <v>64-4</v>
      </c>
      <c r="BP79" s="393" t="str">
        <f>'Учебный план'!CO99</f>
        <v>ОК 1-10; ПК 1.1-1.3; 2.1-2.7; 3.2.</v>
      </c>
    </row>
    <row r="80" spans="1:68" s="49" customFormat="1" ht="25.5" customHeight="1">
      <c r="A80" s="394" t="str">
        <f>'Учебный план'!A100</f>
        <v>ПП.00</v>
      </c>
      <c r="B80" s="395" t="str">
        <f>'Учебный план'!B100</f>
        <v>Производственная практика</v>
      </c>
      <c r="C80" s="396"/>
      <c r="D80" s="390"/>
      <c r="E80" s="390"/>
      <c r="F80" s="390"/>
      <c r="G80" s="390"/>
      <c r="H80" s="390"/>
      <c r="I80" s="390"/>
      <c r="J80" s="389"/>
      <c r="K80" s="390"/>
      <c r="L80" s="389"/>
      <c r="M80" s="389">
        <f>'Учебный план'!O100</f>
        <v>1656</v>
      </c>
      <c r="N80" s="267">
        <f t="shared" si="103"/>
        <v>1656</v>
      </c>
      <c r="O80" s="173">
        <f aca="true" t="shared" si="108" ref="O80:U80">SUM(O81:O82)</f>
        <v>1656</v>
      </c>
      <c r="P80" s="173">
        <f t="shared" si="108"/>
        <v>0</v>
      </c>
      <c r="Q80" s="173">
        <f t="shared" si="108"/>
        <v>0</v>
      </c>
      <c r="R80" s="173">
        <f t="shared" si="108"/>
        <v>0</v>
      </c>
      <c r="S80" s="173"/>
      <c r="T80" s="173">
        <f t="shared" si="108"/>
        <v>1656</v>
      </c>
      <c r="U80" s="173">
        <f t="shared" si="108"/>
        <v>0</v>
      </c>
      <c r="V80" s="173">
        <f>SUM(V81:V82)</f>
        <v>0</v>
      </c>
      <c r="W80" s="173">
        <f aca="true" t="shared" si="109" ref="W80:AB80">SUM(W81:W82)</f>
        <v>0</v>
      </c>
      <c r="X80" s="173">
        <f>SUM(X81:X82)</f>
        <v>0</v>
      </c>
      <c r="Y80" s="173">
        <f t="shared" si="109"/>
        <v>0</v>
      </c>
      <c r="Z80" s="173"/>
      <c r="AA80" s="173">
        <f t="shared" si="109"/>
        <v>0</v>
      </c>
      <c r="AB80" s="173">
        <f t="shared" si="109"/>
        <v>0</v>
      </c>
      <c r="AC80" s="173">
        <f aca="true" t="shared" si="110" ref="AC80:AI80">SUM(AC81:AC82)</f>
        <v>0</v>
      </c>
      <c r="AD80" s="173">
        <f t="shared" si="110"/>
        <v>0</v>
      </c>
      <c r="AE80" s="173">
        <f t="shared" si="110"/>
        <v>0</v>
      </c>
      <c r="AF80" s="173">
        <f t="shared" si="110"/>
        <v>0</v>
      </c>
      <c r="AG80" s="173"/>
      <c r="AH80" s="173">
        <f t="shared" si="110"/>
        <v>0</v>
      </c>
      <c r="AI80" s="173">
        <f t="shared" si="110"/>
        <v>0</v>
      </c>
      <c r="AJ80" s="173">
        <f>SUM(AJ81:AJ82)</f>
        <v>0</v>
      </c>
      <c r="AK80" s="173">
        <f>SUM(AK81:AK82)</f>
        <v>0</v>
      </c>
      <c r="AL80" s="173">
        <f>SUM(AL81:AL82)</f>
        <v>0</v>
      </c>
      <c r="AM80" s="173">
        <f>SUM(AM81:AM82)</f>
        <v>0</v>
      </c>
      <c r="AN80" s="173"/>
      <c r="AO80" s="173">
        <f aca="true" t="shared" si="111" ref="AO80:AT80">SUM(AO81:AO82)</f>
        <v>396</v>
      </c>
      <c r="AP80" s="173">
        <f t="shared" si="111"/>
        <v>0</v>
      </c>
      <c r="AQ80" s="173">
        <f t="shared" si="111"/>
        <v>0</v>
      </c>
      <c r="AR80" s="173">
        <f t="shared" si="111"/>
        <v>0</v>
      </c>
      <c r="AS80" s="173">
        <f t="shared" si="111"/>
        <v>0</v>
      </c>
      <c r="AT80" s="173">
        <f t="shared" si="111"/>
        <v>0</v>
      </c>
      <c r="AU80" s="173"/>
      <c r="AV80" s="173">
        <f aca="true" t="shared" si="112" ref="AV80:BA80">SUM(AV81:AV82)</f>
        <v>828</v>
      </c>
      <c r="AW80" s="173">
        <f t="shared" si="112"/>
        <v>0</v>
      </c>
      <c r="AX80" s="173">
        <f t="shared" si="112"/>
        <v>432</v>
      </c>
      <c r="AY80" s="173">
        <f t="shared" si="112"/>
        <v>0</v>
      </c>
      <c r="AZ80" s="173">
        <f t="shared" si="112"/>
        <v>0</v>
      </c>
      <c r="BA80" s="173">
        <f t="shared" si="112"/>
        <v>0</v>
      </c>
      <c r="BB80" s="173"/>
      <c r="BC80" s="173">
        <f>SUM(BC81:BC82)</f>
        <v>432</v>
      </c>
      <c r="BD80" s="173">
        <f>SUM(BD81:BD82)</f>
        <v>0</v>
      </c>
      <c r="BE80" s="389">
        <f>LEN(I80)-LEN(SUBSTITUTE(I80,"9",""))</f>
        <v>0</v>
      </c>
      <c r="BF80" s="173">
        <f aca="true" t="shared" si="113" ref="BF80:BM80">SUM(BF81:BF82)</f>
        <v>0</v>
      </c>
      <c r="BG80" s="173">
        <f t="shared" si="113"/>
        <v>0</v>
      </c>
      <c r="BH80" s="173">
        <f t="shared" si="113"/>
        <v>0</v>
      </c>
      <c r="BI80" s="173">
        <f t="shared" si="113"/>
        <v>0</v>
      </c>
      <c r="BJ80" s="173">
        <f t="shared" si="113"/>
        <v>0</v>
      </c>
      <c r="BK80" s="173">
        <f t="shared" si="113"/>
        <v>0</v>
      </c>
      <c r="BL80" s="173">
        <f t="shared" si="113"/>
        <v>0</v>
      </c>
      <c r="BM80" s="173">
        <f t="shared" si="113"/>
        <v>0</v>
      </c>
      <c r="BN80" s="282"/>
      <c r="BO80" s="397">
        <f>'Учебный план'!CN100</f>
        <v>0</v>
      </c>
      <c r="BP80" s="397" t="str">
        <f>'Учебный план'!CO100</f>
        <v>ОК 1-10; ПК 1.1-1.4, 2.1-2.7, 3.1-3.2, 4.1-4.3</v>
      </c>
    </row>
    <row r="81" spans="1:68" s="163" customFormat="1" ht="25.5" customHeight="1">
      <c r="A81" s="225" t="str">
        <f>'Учебный план'!A101</f>
        <v>ПП.01</v>
      </c>
      <c r="B81" s="225" t="str">
        <f>'Учебный план'!B101</f>
        <v>Производственная практика (практика по профилю специальности)</v>
      </c>
      <c r="C81" s="206"/>
      <c r="D81" s="206"/>
      <c r="E81" s="226">
        <v>4.5</v>
      </c>
      <c r="F81" s="206"/>
      <c r="G81" s="206"/>
      <c r="H81" s="206"/>
      <c r="I81" s="206"/>
      <c r="J81" s="380"/>
      <c r="K81" s="206"/>
      <c r="L81" s="116"/>
      <c r="M81" s="116">
        <f>'Учебный план'!O100</f>
        <v>1656</v>
      </c>
      <c r="N81" s="363"/>
      <c r="O81" s="363">
        <f>SUM(P81:T81)</f>
        <v>1512</v>
      </c>
      <c r="P81" s="363">
        <f aca="true" t="shared" si="114" ref="P81:R82">W81+AK81+AR81+AY81+AD81+BH81</f>
        <v>0</v>
      </c>
      <c r="Q81" s="363">
        <f t="shared" si="114"/>
        <v>0</v>
      </c>
      <c r="R81" s="363">
        <f t="shared" si="114"/>
        <v>0</v>
      </c>
      <c r="S81" s="363"/>
      <c r="T81" s="363">
        <f>AA81+AO81+AV81+BC81+AH81+BK81</f>
        <v>1512</v>
      </c>
      <c r="U81" s="363">
        <f>AB81+AP81+AW81+BD81+BM81+AI81</f>
        <v>0</v>
      </c>
      <c r="V81" s="182"/>
      <c r="W81" s="206"/>
      <c r="X81" s="206"/>
      <c r="Y81" s="206"/>
      <c r="Z81" s="206"/>
      <c r="AA81" s="206"/>
      <c r="AB81" s="206"/>
      <c r="AC81" s="182"/>
      <c r="AD81" s="206"/>
      <c r="AE81" s="206"/>
      <c r="AF81" s="206"/>
      <c r="AG81" s="206"/>
      <c r="AH81" s="206"/>
      <c r="AI81" s="226"/>
      <c r="AJ81" s="182"/>
      <c r="AK81" s="226"/>
      <c r="AL81" s="226"/>
      <c r="AM81" s="226"/>
      <c r="AN81" s="226"/>
      <c r="AO81" s="226">
        <v>396</v>
      </c>
      <c r="AP81" s="226"/>
      <c r="AQ81" s="182"/>
      <c r="AR81" s="226"/>
      <c r="AS81" s="226"/>
      <c r="AT81" s="226"/>
      <c r="AU81" s="226"/>
      <c r="AV81" s="226">
        <v>828</v>
      </c>
      <c r="AW81" s="226"/>
      <c r="AX81" s="182">
        <f>SUM(AY81:BD81)</f>
        <v>288</v>
      </c>
      <c r="AY81" s="226"/>
      <c r="AZ81" s="226"/>
      <c r="BA81" s="226"/>
      <c r="BB81" s="226"/>
      <c r="BC81" s="226">
        <f>8*36</f>
        <v>288</v>
      </c>
      <c r="BD81" s="226"/>
      <c r="BE81" s="226"/>
      <c r="BF81" s="182">
        <f>SUM(BG81:BM81)</f>
        <v>0</v>
      </c>
      <c r="BG81" s="226"/>
      <c r="BH81" s="226"/>
      <c r="BI81" s="226"/>
      <c r="BJ81" s="226"/>
      <c r="BK81" s="226"/>
      <c r="BL81" s="226"/>
      <c r="BM81" s="226"/>
      <c r="BN81" s="381"/>
      <c r="BO81" s="116" t="s">
        <v>660</v>
      </c>
      <c r="BP81" s="200" t="str">
        <f>'Учебный план'!CO101</f>
        <v>ОК 1-10; ПК 1.1-1.4, 2.1-2.7, 3.1-3.2, 4.1-4.3</v>
      </c>
    </row>
    <row r="82" spans="1:68" s="163" customFormat="1" ht="25.5" customHeight="1">
      <c r="A82" s="198" t="str">
        <f>'Учебный план'!A102</f>
        <v>ПП.02</v>
      </c>
      <c r="B82" s="225" t="str">
        <f>'Учебный план'!B102</f>
        <v>Производственная практика (преддипломная)</v>
      </c>
      <c r="C82" s="206"/>
      <c r="D82" s="206"/>
      <c r="E82" s="226">
        <v>5</v>
      </c>
      <c r="F82" s="206"/>
      <c r="G82" s="206"/>
      <c r="H82" s="206"/>
      <c r="I82" s="206"/>
      <c r="J82" s="380"/>
      <c r="K82" s="206"/>
      <c r="L82" s="116"/>
      <c r="M82" s="116">
        <f>'Учебный план'!O102</f>
        <v>144</v>
      </c>
      <c r="N82" s="363"/>
      <c r="O82" s="363">
        <f>SUM(P82:T82)</f>
        <v>144</v>
      </c>
      <c r="P82" s="363">
        <f t="shared" si="114"/>
        <v>0</v>
      </c>
      <c r="Q82" s="363">
        <f t="shared" si="114"/>
        <v>0</v>
      </c>
      <c r="R82" s="363">
        <f t="shared" si="114"/>
        <v>0</v>
      </c>
      <c r="S82" s="363"/>
      <c r="T82" s="363">
        <f>AA82+AO82+AV82+BC82+AH82+BK82</f>
        <v>144</v>
      </c>
      <c r="U82" s="363">
        <f>AB82+AP82+AW82+BD82+BM82+AI82</f>
        <v>0</v>
      </c>
      <c r="V82" s="182"/>
      <c r="W82" s="206"/>
      <c r="X82" s="206"/>
      <c r="Y82" s="206"/>
      <c r="Z82" s="206"/>
      <c r="AA82" s="206"/>
      <c r="AB82" s="206"/>
      <c r="AC82" s="182"/>
      <c r="AD82" s="206"/>
      <c r="AE82" s="206"/>
      <c r="AF82" s="206"/>
      <c r="AG82" s="206"/>
      <c r="AH82" s="206"/>
      <c r="AI82" s="226"/>
      <c r="AJ82" s="182"/>
      <c r="AK82" s="226"/>
      <c r="AL82" s="226"/>
      <c r="AM82" s="226"/>
      <c r="AN82" s="226"/>
      <c r="AO82" s="226"/>
      <c r="AP82" s="226"/>
      <c r="AQ82" s="182"/>
      <c r="AR82" s="226"/>
      <c r="AS82" s="226"/>
      <c r="AT82" s="226"/>
      <c r="AU82" s="226"/>
      <c r="AV82" s="226"/>
      <c r="AW82" s="226"/>
      <c r="AX82" s="182">
        <f>SUM(AY82:BD82)</f>
        <v>144</v>
      </c>
      <c r="AY82" s="226"/>
      <c r="AZ82" s="226"/>
      <c r="BA82" s="226"/>
      <c r="BB82" s="226"/>
      <c r="BC82" s="226">
        <v>144</v>
      </c>
      <c r="BD82" s="226"/>
      <c r="BE82" s="226"/>
      <c r="BF82" s="182">
        <f>SUM(BG82:BM82)</f>
        <v>0</v>
      </c>
      <c r="BG82" s="226"/>
      <c r="BH82" s="226"/>
      <c r="BI82" s="226"/>
      <c r="BJ82" s="226"/>
      <c r="BK82" s="226"/>
      <c r="BL82" s="226"/>
      <c r="BM82" s="226"/>
      <c r="BN82" s="381"/>
      <c r="BO82" s="116" t="s">
        <v>660</v>
      </c>
      <c r="BP82" s="200" t="str">
        <f>'Учебный план'!CO102</f>
        <v>ОК 1-10; ПК 1.1-1.4, 2.1-2.7, 3.1-3.2, 4.1-4.3</v>
      </c>
    </row>
    <row r="83" spans="1:68" s="48" customFormat="1" ht="22.5" customHeight="1">
      <c r="A83" s="266" t="str">
        <f>'Учебный план'!A103</f>
        <v>ГИА.00</v>
      </c>
      <c r="B83" s="655" t="str">
        <f>'Учебный план'!B103</f>
        <v>Государственная итоговая аттестация</v>
      </c>
      <c r="C83" s="656"/>
      <c r="D83" s="656"/>
      <c r="E83" s="656"/>
      <c r="F83" s="656"/>
      <c r="G83" s="656"/>
      <c r="H83" s="656"/>
      <c r="I83" s="657"/>
      <c r="J83" s="173"/>
      <c r="K83" s="268"/>
      <c r="L83" s="389">
        <f>'Учебный план'!N103</f>
        <v>216</v>
      </c>
      <c r="M83" s="389"/>
      <c r="N83" s="173">
        <v>216</v>
      </c>
      <c r="O83" s="173"/>
      <c r="P83" s="173">
        <f aca="true" t="shared" si="115" ref="P83:U83">P84</f>
        <v>0</v>
      </c>
      <c r="Q83" s="173">
        <f t="shared" si="115"/>
        <v>0</v>
      </c>
      <c r="R83" s="173">
        <f t="shared" si="115"/>
        <v>0</v>
      </c>
      <c r="S83" s="173"/>
      <c r="T83" s="173">
        <f t="shared" si="115"/>
        <v>0</v>
      </c>
      <c r="U83" s="173">
        <f t="shared" si="115"/>
        <v>216</v>
      </c>
      <c r="V83" s="173">
        <v>0</v>
      </c>
      <c r="W83" s="173">
        <v>0</v>
      </c>
      <c r="X83" s="173">
        <v>0</v>
      </c>
      <c r="Y83" s="173">
        <v>0</v>
      </c>
      <c r="Z83" s="173"/>
      <c r="AA83" s="173">
        <v>0</v>
      </c>
      <c r="AB83" s="173">
        <v>0</v>
      </c>
      <c r="AC83" s="173">
        <v>0</v>
      </c>
      <c r="AD83" s="173">
        <v>0</v>
      </c>
      <c r="AE83" s="173">
        <v>0</v>
      </c>
      <c r="AF83" s="173">
        <v>0</v>
      </c>
      <c r="AG83" s="173"/>
      <c r="AH83" s="173">
        <v>0</v>
      </c>
      <c r="AI83" s="173">
        <v>0</v>
      </c>
      <c r="AJ83" s="173">
        <v>0</v>
      </c>
      <c r="AK83" s="173">
        <v>0</v>
      </c>
      <c r="AL83" s="173">
        <v>0</v>
      </c>
      <c r="AM83" s="173">
        <v>0</v>
      </c>
      <c r="AN83" s="173"/>
      <c r="AO83" s="173">
        <v>0</v>
      </c>
      <c r="AP83" s="173">
        <v>0</v>
      </c>
      <c r="AQ83" s="173">
        <v>0</v>
      </c>
      <c r="AR83" s="173">
        <v>0</v>
      </c>
      <c r="AS83" s="173">
        <v>0</v>
      </c>
      <c r="AT83" s="173">
        <v>0</v>
      </c>
      <c r="AU83" s="173"/>
      <c r="AV83" s="173">
        <v>0</v>
      </c>
      <c r="AW83" s="173">
        <v>0</v>
      </c>
      <c r="AX83" s="173">
        <f>AX84</f>
        <v>216</v>
      </c>
      <c r="AY83" s="173">
        <f aca="true" t="shared" si="116" ref="AY83:BN83">AY84</f>
        <v>0</v>
      </c>
      <c r="AZ83" s="173">
        <f t="shared" si="116"/>
        <v>0</v>
      </c>
      <c r="BA83" s="173">
        <f t="shared" si="116"/>
        <v>0</v>
      </c>
      <c r="BB83" s="173"/>
      <c r="BC83" s="173">
        <f t="shared" si="116"/>
        <v>0</v>
      </c>
      <c r="BD83" s="173">
        <f t="shared" si="116"/>
        <v>216</v>
      </c>
      <c r="BE83" s="173">
        <f t="shared" si="116"/>
        <v>0</v>
      </c>
      <c r="BF83" s="173">
        <f t="shared" si="116"/>
        <v>0</v>
      </c>
      <c r="BG83" s="173">
        <f t="shared" si="116"/>
        <v>0</v>
      </c>
      <c r="BH83" s="173">
        <f t="shared" si="116"/>
        <v>0</v>
      </c>
      <c r="BI83" s="173">
        <f t="shared" si="116"/>
        <v>0</v>
      </c>
      <c r="BJ83" s="173">
        <f t="shared" si="116"/>
        <v>0</v>
      </c>
      <c r="BK83" s="173">
        <f t="shared" si="116"/>
        <v>0</v>
      </c>
      <c r="BL83" s="173">
        <f t="shared" si="116"/>
        <v>0</v>
      </c>
      <c r="BM83" s="173">
        <f t="shared" si="116"/>
        <v>0</v>
      </c>
      <c r="BN83" s="173">
        <f t="shared" si="116"/>
        <v>0</v>
      </c>
      <c r="BO83" s="173" t="s">
        <v>660</v>
      </c>
      <c r="BP83" s="397" t="str">
        <f>'Учебный план'!CO103</f>
        <v>ОК 1-10, ПК 1.1 - 1.4, 2.1 - 2.7, 3.1- 3.2, 4.1 - 4.3</v>
      </c>
    </row>
    <row r="84" spans="1:68" s="48" customFormat="1" ht="25.5">
      <c r="A84" s="382" t="str">
        <f>'Учебный план'!A104</f>
        <v>ГИА.01</v>
      </c>
      <c r="B84" s="383" t="str">
        <f>'Учебный план'!B104</f>
        <v>Подготовка и защита  выпускной квалификационной работы</v>
      </c>
      <c r="C84" s="384"/>
      <c r="D84" s="385"/>
      <c r="E84" s="385"/>
      <c r="F84" s="385"/>
      <c r="G84" s="385"/>
      <c r="H84" s="385"/>
      <c r="I84" s="385"/>
      <c r="J84" s="386"/>
      <c r="K84" s="387"/>
      <c r="L84" s="103">
        <f>'Учебный план'!N104</f>
        <v>216</v>
      </c>
      <c r="M84" s="103">
        <f>'Учебный план'!O104</f>
        <v>0</v>
      </c>
      <c r="N84" s="391">
        <v>216</v>
      </c>
      <c r="O84" s="363">
        <f>SUM(P84:T84)</f>
        <v>0</v>
      </c>
      <c r="P84" s="363">
        <f>W84+AK84+AR84+AY84+AD84+BH84</f>
        <v>0</v>
      </c>
      <c r="Q84" s="363">
        <f>X84+AL84+AS84+AZ84+AE84+BI84</f>
        <v>0</v>
      </c>
      <c r="R84" s="363">
        <f>Y84+AM84+AT84+BA84+AF84+BJ84</f>
        <v>0</v>
      </c>
      <c r="S84" s="363"/>
      <c r="T84" s="363">
        <f>AA84+AO84+AV84+BC84+AH84+BK84</f>
        <v>0</v>
      </c>
      <c r="U84" s="363">
        <f>AB84+AP84+AW84+BD84+BM84+AI84</f>
        <v>216</v>
      </c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82">
        <f>SUM(AY84:BD84)</f>
        <v>216</v>
      </c>
      <c r="AY84" s="103"/>
      <c r="AZ84" s="103"/>
      <c r="BA84" s="103"/>
      <c r="BB84" s="103"/>
      <c r="BC84" s="103"/>
      <c r="BD84" s="103">
        <v>216</v>
      </c>
      <c r="BE84" s="103"/>
      <c r="BF84" s="182">
        <f>SUM(BG84:BM84)</f>
        <v>0</v>
      </c>
      <c r="BG84" s="103"/>
      <c r="BH84" s="103"/>
      <c r="BI84" s="103"/>
      <c r="BJ84" s="103"/>
      <c r="BK84" s="103"/>
      <c r="BL84" s="103"/>
      <c r="BM84" s="103"/>
      <c r="BN84" s="103"/>
      <c r="BO84" s="875" t="str">
        <f>'Учебный план'!CN104</f>
        <v>64-3, 64-4</v>
      </c>
      <c r="BP84" s="875" t="str">
        <f>'Учебный план'!CO104</f>
        <v>ОК 1-10, ПК 1.1 - 1.4, 2.1 - 2.7, 3.1- 3.2, 4.1 - 4.3</v>
      </c>
    </row>
    <row r="85" spans="1:68" s="125" customFormat="1" ht="13.5" customHeight="1">
      <c r="A85" s="127"/>
      <c r="B85" s="128" t="s">
        <v>176</v>
      </c>
      <c r="C85" s="129"/>
      <c r="D85" s="126"/>
      <c r="E85" s="126"/>
      <c r="F85" s="126"/>
      <c r="G85" s="126"/>
      <c r="H85" s="126"/>
      <c r="I85" s="126"/>
      <c r="J85" s="156"/>
      <c r="K85" s="126"/>
      <c r="L85" s="141">
        <v>0</v>
      </c>
      <c r="M85" s="141" t="str">
        <f>'[1]Нормы'!E21</f>
        <v>-</v>
      </c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55"/>
      <c r="BO85" s="130"/>
      <c r="BP85" s="130"/>
    </row>
    <row r="86" spans="1:66" ht="12.75" hidden="1">
      <c r="A86" s="876"/>
      <c r="B86" s="877"/>
      <c r="C86" s="877"/>
      <c r="D86" s="878"/>
      <c r="E86" s="878"/>
      <c r="F86" s="878"/>
      <c r="G86" s="878"/>
      <c r="H86" s="878"/>
      <c r="I86" s="878"/>
      <c r="J86" s="879"/>
      <c r="K86" s="878"/>
      <c r="L86" s="880"/>
      <c r="M86" s="880"/>
      <c r="N86" s="880"/>
      <c r="O86" s="880"/>
      <c r="P86" s="880"/>
      <c r="Q86" s="880"/>
      <c r="R86" s="880"/>
      <c r="S86" s="880"/>
      <c r="T86" s="880"/>
      <c r="U86" s="880"/>
      <c r="V86" s="880"/>
      <c r="W86" s="880"/>
      <c r="X86" s="880"/>
      <c r="Y86" s="880"/>
      <c r="Z86" s="880"/>
      <c r="AA86" s="880"/>
      <c r="AB86" s="880"/>
      <c r="AC86" s="880"/>
      <c r="AD86" s="880"/>
      <c r="AE86" s="880"/>
      <c r="AF86" s="880"/>
      <c r="AG86" s="880"/>
      <c r="AH86" s="880"/>
      <c r="AI86" s="880"/>
      <c r="AJ86" s="880"/>
      <c r="AK86" s="880"/>
      <c r="AL86" s="880"/>
      <c r="AM86" s="880"/>
      <c r="AN86" s="880"/>
      <c r="AO86" s="880"/>
      <c r="AP86" s="880"/>
      <c r="AQ86" s="880"/>
      <c r="AR86" s="880"/>
      <c r="AS86" s="880"/>
      <c r="AT86" s="880"/>
      <c r="AU86" s="880"/>
      <c r="AV86" s="880"/>
      <c r="AW86" s="880"/>
      <c r="AX86" s="880"/>
      <c r="AY86" s="880"/>
      <c r="AZ86" s="880"/>
      <c r="BA86" s="880"/>
      <c r="BB86" s="880"/>
      <c r="BC86" s="880"/>
      <c r="BD86" s="880"/>
      <c r="BE86" s="880"/>
      <c r="BF86" s="880"/>
      <c r="BG86" s="880"/>
      <c r="BH86" s="880"/>
      <c r="BI86" s="880"/>
      <c r="BJ86" s="880"/>
      <c r="BK86" s="880"/>
      <c r="BL86" s="880"/>
      <c r="BM86" s="880"/>
      <c r="BN86" s="881"/>
    </row>
    <row r="87" spans="1:66" ht="12.75" hidden="1">
      <c r="A87" s="882" t="e">
        <f>#REF!</f>
        <v>#REF!</v>
      </c>
      <c r="B87" s="883"/>
      <c r="C87" s="883"/>
      <c r="D87" s="884"/>
      <c r="E87" s="885"/>
      <c r="F87" s="884"/>
      <c r="G87" s="884"/>
      <c r="H87" s="884"/>
      <c r="I87" s="884"/>
      <c r="J87" s="886"/>
      <c r="K87" s="884"/>
      <c r="L87" s="886"/>
      <c r="M87" s="886"/>
      <c r="N87" s="884"/>
      <c r="O87" s="884"/>
      <c r="P87" s="884"/>
      <c r="Q87" s="884"/>
      <c r="R87" s="884"/>
      <c r="S87" s="884"/>
      <c r="T87" s="884"/>
      <c r="U87" s="884"/>
      <c r="V87" s="886"/>
      <c r="W87" s="887"/>
      <c r="X87" s="887"/>
      <c r="Y87" s="887"/>
      <c r="Z87" s="887"/>
      <c r="AA87" s="887"/>
      <c r="AB87" s="887"/>
      <c r="AC87" s="886"/>
      <c r="AD87" s="887"/>
      <c r="AE87" s="887"/>
      <c r="AF87" s="887"/>
      <c r="AG87" s="887"/>
      <c r="AH87" s="887"/>
      <c r="AI87" s="887"/>
      <c r="AJ87" s="886"/>
      <c r="AK87" s="887"/>
      <c r="AL87" s="887"/>
      <c r="AM87" s="887"/>
      <c r="AN87" s="887"/>
      <c r="AO87" s="887"/>
      <c r="AP87" s="887"/>
      <c r="AQ87" s="886"/>
      <c r="AR87" s="887"/>
      <c r="AS87" s="887"/>
      <c r="AT87" s="887"/>
      <c r="AU87" s="887"/>
      <c r="AV87" s="887"/>
      <c r="AW87" s="887"/>
      <c r="AX87" s="886"/>
      <c r="AY87" s="887"/>
      <c r="AZ87" s="887"/>
      <c r="BA87" s="887"/>
      <c r="BB87" s="887"/>
      <c r="BC87" s="887"/>
      <c r="BD87" s="887"/>
      <c r="BE87" s="886"/>
      <c r="BF87" s="886"/>
      <c r="BG87" s="887"/>
      <c r="BH87" s="887"/>
      <c r="BI87" s="887"/>
      <c r="BJ87" s="887"/>
      <c r="BK87" s="887"/>
      <c r="BL87" s="887"/>
      <c r="BM87" s="887"/>
      <c r="BN87" s="888"/>
    </row>
    <row r="88" spans="1:66" ht="12.75" hidden="1">
      <c r="A88" s="674" t="e">
        <f>#REF!</f>
        <v>#REF!</v>
      </c>
      <c r="B88" s="675"/>
      <c r="C88" s="675"/>
      <c r="D88" s="460"/>
      <c r="E88" s="889"/>
      <c r="F88" s="460"/>
      <c r="G88" s="460"/>
      <c r="H88" s="460"/>
      <c r="I88" s="460"/>
      <c r="J88" s="462"/>
      <c r="K88" s="460"/>
      <c r="L88" s="462"/>
      <c r="M88" s="462"/>
      <c r="N88" s="460"/>
      <c r="O88" s="460"/>
      <c r="P88" s="460"/>
      <c r="Q88" s="460"/>
      <c r="R88" s="460"/>
      <c r="S88" s="460"/>
      <c r="T88" s="460"/>
      <c r="U88" s="460"/>
      <c r="V88" s="462"/>
      <c r="W88" s="890"/>
      <c r="X88" s="890"/>
      <c r="Y88" s="890"/>
      <c r="Z88" s="890"/>
      <c r="AA88" s="890"/>
      <c r="AB88" s="890"/>
      <c r="AC88" s="462"/>
      <c r="AD88" s="890"/>
      <c r="AE88" s="890"/>
      <c r="AF88" s="890"/>
      <c r="AG88" s="890"/>
      <c r="AH88" s="890"/>
      <c r="AI88" s="890"/>
      <c r="AJ88" s="462"/>
      <c r="AK88" s="890"/>
      <c r="AL88" s="890"/>
      <c r="AM88" s="890"/>
      <c r="AN88" s="890"/>
      <c r="AO88" s="890"/>
      <c r="AP88" s="890"/>
      <c r="AQ88" s="462"/>
      <c r="AR88" s="890"/>
      <c r="AS88" s="890"/>
      <c r="AT88" s="890"/>
      <c r="AU88" s="890"/>
      <c r="AV88" s="890"/>
      <c r="AW88" s="890"/>
      <c r="AX88" s="462"/>
      <c r="AY88" s="890"/>
      <c r="AZ88" s="890"/>
      <c r="BA88" s="890"/>
      <c r="BB88" s="890"/>
      <c r="BC88" s="890"/>
      <c r="BD88" s="890"/>
      <c r="BE88" s="462"/>
      <c r="BF88" s="462"/>
      <c r="BG88" s="890"/>
      <c r="BH88" s="890"/>
      <c r="BI88" s="890"/>
      <c r="BJ88" s="890"/>
      <c r="BK88" s="890"/>
      <c r="BL88" s="890"/>
      <c r="BM88" s="890"/>
      <c r="BN88" s="888"/>
    </row>
    <row r="89" spans="1:66" ht="12.75">
      <c r="A89" s="454"/>
      <c r="B89" s="766" t="s">
        <v>541</v>
      </c>
      <c r="C89" s="767"/>
      <c r="D89" s="767"/>
      <c r="E89" s="767"/>
      <c r="F89" s="767"/>
      <c r="G89" s="767"/>
      <c r="H89" s="767"/>
      <c r="I89" s="768"/>
      <c r="J89" s="157"/>
      <c r="K89" s="142"/>
      <c r="L89" s="131">
        <f>L73+L9</f>
        <v>5616</v>
      </c>
      <c r="M89" s="131">
        <f>M9+M73</f>
        <v>3744</v>
      </c>
      <c r="N89" s="132">
        <f>N73+N9</f>
        <v>5616</v>
      </c>
      <c r="O89" s="132">
        <f aca="true" t="shared" si="117" ref="O89:U89">O9+O73</f>
        <v>800</v>
      </c>
      <c r="P89" s="132">
        <f t="shared" si="117"/>
        <v>525</v>
      </c>
      <c r="Q89" s="132">
        <f t="shared" si="117"/>
        <v>192</v>
      </c>
      <c r="R89" s="132">
        <f t="shared" si="117"/>
        <v>83</v>
      </c>
      <c r="S89" s="132"/>
      <c r="T89" s="132">
        <f t="shared" si="117"/>
        <v>0</v>
      </c>
      <c r="U89" s="228">
        <f t="shared" si="117"/>
        <v>4816</v>
      </c>
      <c r="V89" s="891">
        <f>SUM(W89:AB89)</f>
        <v>934</v>
      </c>
      <c r="W89" s="892">
        <f>W9+W73</f>
        <v>120</v>
      </c>
      <c r="X89" s="892">
        <f>X9+X73</f>
        <v>40</v>
      </c>
      <c r="Y89" s="892">
        <f>Y9+Y73</f>
        <v>0</v>
      </c>
      <c r="Z89" s="892"/>
      <c r="AA89" s="892">
        <f>AA9+AA73</f>
        <v>0</v>
      </c>
      <c r="AB89" s="892">
        <f>AB9+AB73</f>
        <v>774</v>
      </c>
      <c r="AC89" s="893">
        <f>SUM(AD89:AI89)</f>
        <v>1317</v>
      </c>
      <c r="AD89" s="892">
        <f>AD9+AD73</f>
        <v>142</v>
      </c>
      <c r="AE89" s="892">
        <f>AE9+AE73</f>
        <v>18</v>
      </c>
      <c r="AF89" s="892">
        <f>AF9+AF73</f>
        <v>0</v>
      </c>
      <c r="AG89" s="892"/>
      <c r="AH89" s="892">
        <f>AH9+AH73</f>
        <v>0</v>
      </c>
      <c r="AI89" s="894">
        <f>AI9+AI73</f>
        <v>1157</v>
      </c>
      <c r="AJ89" s="891">
        <f>SUM(AK89:AP89)</f>
        <v>1142</v>
      </c>
      <c r="AK89" s="892">
        <f>AK9+AK73</f>
        <v>118</v>
      </c>
      <c r="AL89" s="892">
        <f>AL9+AL73</f>
        <v>42</v>
      </c>
      <c r="AM89" s="892">
        <f>AM9+AM73</f>
        <v>0</v>
      </c>
      <c r="AN89" s="892"/>
      <c r="AO89" s="892">
        <f>AO9+AO73</f>
        <v>0</v>
      </c>
      <c r="AP89" s="892">
        <f>AP9+AP73</f>
        <v>982</v>
      </c>
      <c r="AQ89" s="893">
        <f>SUM(AR89:AW89)</f>
        <v>1220</v>
      </c>
      <c r="AR89" s="892">
        <f>AR9+AR73</f>
        <v>96</v>
      </c>
      <c r="AS89" s="892">
        <f>AS9+AS73</f>
        <v>42</v>
      </c>
      <c r="AT89" s="892">
        <f>AT9+AT73</f>
        <v>22</v>
      </c>
      <c r="AU89" s="892"/>
      <c r="AV89" s="892">
        <f>AV9+AV73</f>
        <v>0</v>
      </c>
      <c r="AW89" s="894">
        <f>AW9+AW73</f>
        <v>1060</v>
      </c>
      <c r="AX89" s="891">
        <f>SUM(AY89:BD89)</f>
        <v>1003</v>
      </c>
      <c r="AY89" s="892">
        <f>AY9+AY73</f>
        <v>49</v>
      </c>
      <c r="AZ89" s="892">
        <f>AZ9+AZ73</f>
        <v>50</v>
      </c>
      <c r="BA89" s="892">
        <f>BA9+BA73</f>
        <v>61</v>
      </c>
      <c r="BB89" s="892"/>
      <c r="BC89" s="892">
        <f>BC9+BC73</f>
        <v>0</v>
      </c>
      <c r="BD89" s="892">
        <f>BD9+BD73</f>
        <v>843</v>
      </c>
      <c r="BE89" s="895"/>
      <c r="BF89" s="896">
        <f>SUM(BG89:BM89)</f>
        <v>0</v>
      </c>
      <c r="BG89" s="892">
        <f>BG9+BG73+BG20</f>
        <v>0</v>
      </c>
      <c r="BH89" s="892">
        <f>BH9+BH73+BH20</f>
        <v>0</v>
      </c>
      <c r="BI89" s="892">
        <f>BI9+BI73</f>
        <v>0</v>
      </c>
      <c r="BJ89" s="892">
        <f>BJ9+BJ73</f>
        <v>0</v>
      </c>
      <c r="BK89" s="892">
        <f>BK9+BK73</f>
        <v>0</v>
      </c>
      <c r="BL89" s="892">
        <f>BL9+BL73</f>
        <v>0</v>
      </c>
      <c r="BM89" s="892">
        <f>BM9+BM73</f>
        <v>0</v>
      </c>
      <c r="BN89" s="897"/>
    </row>
    <row r="90" spans="1:66" ht="12.75">
      <c r="A90" s="454"/>
      <c r="B90" s="766" t="s">
        <v>256</v>
      </c>
      <c r="C90" s="767"/>
      <c r="D90" s="767"/>
      <c r="E90" s="767"/>
      <c r="F90" s="767"/>
      <c r="G90" s="767"/>
      <c r="H90" s="767"/>
      <c r="I90" s="768"/>
      <c r="J90" s="157"/>
      <c r="K90" s="142"/>
      <c r="L90" s="131"/>
      <c r="M90" s="131">
        <v>1980</v>
      </c>
      <c r="N90" s="132">
        <f aca="true" t="shared" si="118" ref="N90:U90">N80+N75</f>
        <v>1980</v>
      </c>
      <c r="O90" s="132">
        <f t="shared" si="118"/>
        <v>1980</v>
      </c>
      <c r="P90" s="132">
        <f t="shared" si="118"/>
        <v>0</v>
      </c>
      <c r="Q90" s="132">
        <f t="shared" si="118"/>
        <v>0</v>
      </c>
      <c r="R90" s="132">
        <f t="shared" si="118"/>
        <v>0</v>
      </c>
      <c r="S90" s="132"/>
      <c r="T90" s="132">
        <f t="shared" si="118"/>
        <v>1980</v>
      </c>
      <c r="U90" s="228">
        <f t="shared" si="118"/>
        <v>0</v>
      </c>
      <c r="V90" s="504">
        <f>V80+V75</f>
        <v>0</v>
      </c>
      <c r="W90" s="891">
        <f>W80+W75</f>
        <v>0</v>
      </c>
      <c r="X90" s="891">
        <f>X80+X75</f>
        <v>0</v>
      </c>
      <c r="Y90" s="891">
        <f>Y80+Y75</f>
        <v>0</v>
      </c>
      <c r="Z90" s="891"/>
      <c r="AA90" s="891">
        <f>AA80+AA75</f>
        <v>0</v>
      </c>
      <c r="AB90" s="892">
        <f>AB80+AB75</f>
        <v>0</v>
      </c>
      <c r="AC90" s="893">
        <f>SUM(AD90:AI90)</f>
        <v>324</v>
      </c>
      <c r="AD90" s="891">
        <f>AD80+AD75</f>
        <v>0</v>
      </c>
      <c r="AE90" s="891">
        <f>AE80+AE75</f>
        <v>0</v>
      </c>
      <c r="AF90" s="891">
        <f>AF80+AF75</f>
        <v>0</v>
      </c>
      <c r="AG90" s="891"/>
      <c r="AH90" s="891">
        <f>AH80+AH75</f>
        <v>324</v>
      </c>
      <c r="AI90" s="894">
        <f>AI80+AI75</f>
        <v>0</v>
      </c>
      <c r="AJ90" s="891">
        <f>SUM(AK90:AP90)</f>
        <v>396</v>
      </c>
      <c r="AK90" s="891">
        <f>AK80+AK75</f>
        <v>0</v>
      </c>
      <c r="AL90" s="891">
        <f>AL80+AL75</f>
        <v>0</v>
      </c>
      <c r="AM90" s="891">
        <f>AM80+AM75</f>
        <v>0</v>
      </c>
      <c r="AN90" s="891"/>
      <c r="AO90" s="891">
        <f>AO80+AO75</f>
        <v>396</v>
      </c>
      <c r="AP90" s="892">
        <f>AP80+AP75</f>
        <v>0</v>
      </c>
      <c r="AQ90" s="893">
        <f>SUM(AR90:AW90)</f>
        <v>828</v>
      </c>
      <c r="AR90" s="891">
        <f>AR80+AR75</f>
        <v>0</v>
      </c>
      <c r="AS90" s="891">
        <f>AS80+AS75</f>
        <v>0</v>
      </c>
      <c r="AT90" s="891">
        <f>AT80+AT75</f>
        <v>0</v>
      </c>
      <c r="AU90" s="891"/>
      <c r="AV90" s="891">
        <f aca="true" t="shared" si="119" ref="AV90:BA90">AV80+AV75</f>
        <v>828</v>
      </c>
      <c r="AW90" s="894">
        <f t="shared" si="119"/>
        <v>0</v>
      </c>
      <c r="AX90" s="504">
        <f t="shared" si="119"/>
        <v>432</v>
      </c>
      <c r="AY90" s="891">
        <f t="shared" si="119"/>
        <v>0</v>
      </c>
      <c r="AZ90" s="891">
        <f t="shared" si="119"/>
        <v>0</v>
      </c>
      <c r="BA90" s="891">
        <f t="shared" si="119"/>
        <v>0</v>
      </c>
      <c r="BB90" s="891"/>
      <c r="BC90" s="891">
        <f>BC80+BC75</f>
        <v>432</v>
      </c>
      <c r="BD90" s="892">
        <f>BD80+BD75</f>
        <v>0</v>
      </c>
      <c r="BE90" s="895"/>
      <c r="BF90" s="505">
        <f>BF80+BF75</f>
        <v>0</v>
      </c>
      <c r="BG90" s="891">
        <f aca="true" t="shared" si="120" ref="BG90:BL90">BG80+BG75</f>
        <v>0</v>
      </c>
      <c r="BH90" s="891">
        <f t="shared" si="120"/>
        <v>0</v>
      </c>
      <c r="BI90" s="891">
        <f t="shared" si="120"/>
        <v>0</v>
      </c>
      <c r="BJ90" s="891">
        <f t="shared" si="120"/>
        <v>0</v>
      </c>
      <c r="BK90" s="891">
        <f t="shared" si="120"/>
        <v>0</v>
      </c>
      <c r="BL90" s="893">
        <f t="shared" si="120"/>
        <v>0</v>
      </c>
      <c r="BM90" s="892">
        <f>BM80+BM75</f>
        <v>0</v>
      </c>
      <c r="BN90" s="897"/>
    </row>
    <row r="91" spans="1:66" ht="12.75">
      <c r="A91" s="454"/>
      <c r="B91" s="766" t="s">
        <v>534</v>
      </c>
      <c r="C91" s="767"/>
      <c r="D91" s="767"/>
      <c r="E91" s="767"/>
      <c r="F91" s="767"/>
      <c r="G91" s="767"/>
      <c r="H91" s="767"/>
      <c r="I91" s="768"/>
      <c r="J91" s="157"/>
      <c r="K91" s="142"/>
      <c r="L91" s="131">
        <f>L83</f>
        <v>216</v>
      </c>
      <c r="M91" s="131">
        <f>M83</f>
        <v>0</v>
      </c>
      <c r="N91" s="132">
        <f>N83</f>
        <v>216</v>
      </c>
      <c r="O91" s="132">
        <f aca="true" t="shared" si="121" ref="O91:T91">O83</f>
        <v>0</v>
      </c>
      <c r="P91" s="132">
        <f t="shared" si="121"/>
        <v>0</v>
      </c>
      <c r="Q91" s="132">
        <f t="shared" si="121"/>
        <v>0</v>
      </c>
      <c r="R91" s="132">
        <f t="shared" si="121"/>
        <v>0</v>
      </c>
      <c r="S91" s="132"/>
      <c r="T91" s="132">
        <f t="shared" si="121"/>
        <v>0</v>
      </c>
      <c r="U91" s="229">
        <f>U83</f>
        <v>216</v>
      </c>
      <c r="V91" s="891">
        <f>V83</f>
        <v>0</v>
      </c>
      <c r="W91" s="892">
        <f>W83</f>
        <v>0</v>
      </c>
      <c r="X91" s="892">
        <f>X83</f>
        <v>0</v>
      </c>
      <c r="Y91" s="892">
        <f>Y83</f>
        <v>0</v>
      </c>
      <c r="Z91" s="892"/>
      <c r="AA91" s="892">
        <f>AA83</f>
        <v>0</v>
      </c>
      <c r="AB91" s="892">
        <f>AB83</f>
        <v>0</v>
      </c>
      <c r="AC91" s="893">
        <f>SUM(AD91:AI91)</f>
        <v>0</v>
      </c>
      <c r="AD91" s="892">
        <f>AD83</f>
        <v>0</v>
      </c>
      <c r="AE91" s="892">
        <f>AE83</f>
        <v>0</v>
      </c>
      <c r="AF91" s="892">
        <f>AF83</f>
        <v>0</v>
      </c>
      <c r="AG91" s="892"/>
      <c r="AH91" s="892">
        <f>AH83</f>
        <v>0</v>
      </c>
      <c r="AI91" s="894">
        <f>AI83</f>
        <v>0</v>
      </c>
      <c r="AJ91" s="891">
        <f>SUM(AK91:AP91)</f>
        <v>0</v>
      </c>
      <c r="AK91" s="892">
        <f>AK83</f>
        <v>0</v>
      </c>
      <c r="AL91" s="892">
        <f>AL83</f>
        <v>0</v>
      </c>
      <c r="AM91" s="892">
        <f>AM83</f>
        <v>0</v>
      </c>
      <c r="AN91" s="892"/>
      <c r="AO91" s="892">
        <f>AO83</f>
        <v>0</v>
      </c>
      <c r="AP91" s="892">
        <f>AP83</f>
        <v>0</v>
      </c>
      <c r="AQ91" s="893">
        <f>SUM(AR91:AW91)</f>
        <v>0</v>
      </c>
      <c r="AR91" s="892">
        <f>AR83</f>
        <v>0</v>
      </c>
      <c r="AS91" s="892">
        <f>AS83</f>
        <v>0</v>
      </c>
      <c r="AT91" s="892">
        <f>AT83</f>
        <v>0</v>
      </c>
      <c r="AU91" s="892"/>
      <c r="AV91" s="892">
        <f aca="true" t="shared" si="122" ref="AV91:BA91">AV83</f>
        <v>0</v>
      </c>
      <c r="AW91" s="894">
        <f t="shared" si="122"/>
        <v>0</v>
      </c>
      <c r="AX91" s="891">
        <f t="shared" si="122"/>
        <v>216</v>
      </c>
      <c r="AY91" s="892">
        <f t="shared" si="122"/>
        <v>0</v>
      </c>
      <c r="AZ91" s="892">
        <f t="shared" si="122"/>
        <v>0</v>
      </c>
      <c r="BA91" s="892">
        <f t="shared" si="122"/>
        <v>0</v>
      </c>
      <c r="BB91" s="892"/>
      <c r="BC91" s="892">
        <f aca="true" t="shared" si="123" ref="BC91:BM91">BC83</f>
        <v>0</v>
      </c>
      <c r="BD91" s="892">
        <f t="shared" si="123"/>
        <v>216</v>
      </c>
      <c r="BE91" s="898">
        <f t="shared" si="123"/>
        <v>0</v>
      </c>
      <c r="BF91" s="896">
        <f t="shared" si="123"/>
        <v>0</v>
      </c>
      <c r="BG91" s="892">
        <f t="shared" si="123"/>
        <v>0</v>
      </c>
      <c r="BH91" s="892">
        <f t="shared" si="123"/>
        <v>0</v>
      </c>
      <c r="BI91" s="892">
        <f t="shared" si="123"/>
        <v>0</v>
      </c>
      <c r="BJ91" s="892">
        <f t="shared" si="123"/>
        <v>0</v>
      </c>
      <c r="BK91" s="892">
        <f t="shared" si="123"/>
        <v>0</v>
      </c>
      <c r="BL91" s="892">
        <f t="shared" si="123"/>
        <v>0</v>
      </c>
      <c r="BM91" s="892">
        <f t="shared" si="123"/>
        <v>0</v>
      </c>
      <c r="BN91" s="899"/>
    </row>
    <row r="92" spans="1:66" ht="12.75" hidden="1">
      <c r="A92" s="469"/>
      <c r="B92" s="900" t="s">
        <v>297</v>
      </c>
      <c r="C92" s="901"/>
      <c r="D92" s="901"/>
      <c r="E92" s="901"/>
      <c r="F92" s="901"/>
      <c r="G92" s="901"/>
      <c r="H92" s="901"/>
      <c r="I92" s="902"/>
      <c r="J92" s="903"/>
      <c r="K92" s="904"/>
      <c r="L92" s="905">
        <f>L85</f>
        <v>0</v>
      </c>
      <c r="M92" s="905" t="str">
        <f>M85</f>
        <v>-</v>
      </c>
      <c r="N92" s="898">
        <f>N85</f>
        <v>0</v>
      </c>
      <c r="O92" s="898">
        <f aca="true" t="shared" si="124" ref="O92:T92">O85</f>
        <v>0</v>
      </c>
      <c r="P92" s="898">
        <f t="shared" si="124"/>
        <v>0</v>
      </c>
      <c r="Q92" s="898">
        <f t="shared" si="124"/>
        <v>0</v>
      </c>
      <c r="R92" s="898">
        <f t="shared" si="124"/>
        <v>0</v>
      </c>
      <c r="S92" s="898"/>
      <c r="T92" s="898">
        <f t="shared" si="124"/>
        <v>0</v>
      </c>
      <c r="U92" s="906">
        <f>U85</f>
        <v>0</v>
      </c>
      <c r="V92" s="907">
        <f aca="true" t="shared" si="125" ref="V92:AA92">V85</f>
        <v>0</v>
      </c>
      <c r="W92" s="892">
        <f t="shared" si="125"/>
        <v>0</v>
      </c>
      <c r="X92" s="892">
        <f t="shared" si="125"/>
        <v>0</v>
      </c>
      <c r="Y92" s="892">
        <f t="shared" si="125"/>
        <v>0</v>
      </c>
      <c r="Z92" s="892"/>
      <c r="AA92" s="892">
        <f t="shared" si="125"/>
        <v>0</v>
      </c>
      <c r="AB92" s="898">
        <f>AB83</f>
        <v>0</v>
      </c>
      <c r="AC92" s="908">
        <f aca="true" t="shared" si="126" ref="AC92:AH92">AC85</f>
        <v>0</v>
      </c>
      <c r="AD92" s="892">
        <f t="shared" si="126"/>
        <v>0</v>
      </c>
      <c r="AE92" s="892">
        <f t="shared" si="126"/>
        <v>0</v>
      </c>
      <c r="AF92" s="892">
        <f t="shared" si="126"/>
        <v>0</v>
      </c>
      <c r="AG92" s="892"/>
      <c r="AH92" s="892">
        <f t="shared" si="126"/>
        <v>0</v>
      </c>
      <c r="AI92" s="906">
        <f>AI83</f>
        <v>0</v>
      </c>
      <c r="AJ92" s="891">
        <f>SUM(AK92:AP92)</f>
        <v>0</v>
      </c>
      <c r="AK92" s="892">
        <f>AK85</f>
        <v>0</v>
      </c>
      <c r="AL92" s="892">
        <f>AL85</f>
        <v>0</v>
      </c>
      <c r="AM92" s="892">
        <f>AM85</f>
        <v>0</v>
      </c>
      <c r="AN92" s="892"/>
      <c r="AO92" s="892">
        <f>AO85</f>
        <v>0</v>
      </c>
      <c r="AP92" s="898">
        <f>AP83</f>
        <v>0</v>
      </c>
      <c r="AQ92" s="893">
        <f>SUM(AR92:AW92)</f>
        <v>0</v>
      </c>
      <c r="AR92" s="892">
        <f>AR85</f>
        <v>0</v>
      </c>
      <c r="AS92" s="892">
        <f>AS85</f>
        <v>0</v>
      </c>
      <c r="AT92" s="892">
        <f>AT85</f>
        <v>0</v>
      </c>
      <c r="AU92" s="892"/>
      <c r="AV92" s="892">
        <f>AV85</f>
        <v>0</v>
      </c>
      <c r="AW92" s="906">
        <f>AW83</f>
        <v>0</v>
      </c>
      <c r="AX92" s="907">
        <f aca="true" t="shared" si="127" ref="AX92:BC92">AX85</f>
        <v>0</v>
      </c>
      <c r="AY92" s="892">
        <f t="shared" si="127"/>
        <v>0</v>
      </c>
      <c r="AZ92" s="892">
        <f t="shared" si="127"/>
        <v>0</v>
      </c>
      <c r="BA92" s="892">
        <f t="shared" si="127"/>
        <v>0</v>
      </c>
      <c r="BB92" s="892"/>
      <c r="BC92" s="892">
        <f t="shared" si="127"/>
        <v>0</v>
      </c>
      <c r="BD92" s="898">
        <f>BD83</f>
        <v>216</v>
      </c>
      <c r="BE92" s="909"/>
      <c r="BF92" s="910">
        <f aca="true" t="shared" si="128" ref="BF92:BL92">BF85</f>
        <v>0</v>
      </c>
      <c r="BG92" s="892">
        <f t="shared" si="128"/>
        <v>0</v>
      </c>
      <c r="BH92" s="892">
        <f t="shared" si="128"/>
        <v>0</v>
      </c>
      <c r="BI92" s="892">
        <f t="shared" si="128"/>
        <v>0</v>
      </c>
      <c r="BJ92" s="892">
        <f t="shared" si="128"/>
        <v>0</v>
      </c>
      <c r="BK92" s="892">
        <f t="shared" si="128"/>
        <v>0</v>
      </c>
      <c r="BL92" s="892">
        <f t="shared" si="128"/>
        <v>0</v>
      </c>
      <c r="BM92" s="906">
        <f>BM83</f>
        <v>0</v>
      </c>
      <c r="BN92" s="881"/>
    </row>
    <row r="93" spans="1:66" ht="12.75">
      <c r="A93" s="911"/>
      <c r="B93" s="766" t="s">
        <v>217</v>
      </c>
      <c r="C93" s="767"/>
      <c r="D93" s="767"/>
      <c r="E93" s="767"/>
      <c r="F93" s="767"/>
      <c r="G93" s="767"/>
      <c r="H93" s="767"/>
      <c r="I93" s="767"/>
      <c r="J93" s="158"/>
      <c r="K93" s="143"/>
      <c r="L93" s="133">
        <f>SUM(L89:L91)</f>
        <v>5832</v>
      </c>
      <c r="M93" s="133">
        <f>SUM(M89:M91)</f>
        <v>5724</v>
      </c>
      <c r="N93" s="134">
        <f>SUM(N89:N91)</f>
        <v>7812</v>
      </c>
      <c r="O93" s="134">
        <f aca="true" t="shared" si="129" ref="O93:T93">SUM(O89:O91)</f>
        <v>2780</v>
      </c>
      <c r="P93" s="134">
        <f t="shared" si="129"/>
        <v>525</v>
      </c>
      <c r="Q93" s="134">
        <f t="shared" si="129"/>
        <v>192</v>
      </c>
      <c r="R93" s="134">
        <f t="shared" si="129"/>
        <v>83</v>
      </c>
      <c r="S93" s="134"/>
      <c r="T93" s="134">
        <f t="shared" si="129"/>
        <v>1980</v>
      </c>
      <c r="U93" s="229">
        <f>SUM(U89:U91)</f>
        <v>5032</v>
      </c>
      <c r="V93" s="891">
        <f aca="true" t="shared" si="130" ref="V93:AB93">SUM(V89:V91)</f>
        <v>934</v>
      </c>
      <c r="W93" s="892">
        <f t="shared" si="130"/>
        <v>120</v>
      </c>
      <c r="X93" s="892">
        <f t="shared" si="130"/>
        <v>40</v>
      </c>
      <c r="Y93" s="892">
        <f t="shared" si="130"/>
        <v>0</v>
      </c>
      <c r="Z93" s="892"/>
      <c r="AA93" s="892">
        <f t="shared" si="130"/>
        <v>0</v>
      </c>
      <c r="AB93" s="892">
        <f t="shared" si="130"/>
        <v>774</v>
      </c>
      <c r="AC93" s="893">
        <f aca="true" t="shared" si="131" ref="AC93:AI93">SUM(AC89:AC91)</f>
        <v>1641</v>
      </c>
      <c r="AD93" s="892">
        <f t="shared" si="131"/>
        <v>142</v>
      </c>
      <c r="AE93" s="892">
        <f t="shared" si="131"/>
        <v>18</v>
      </c>
      <c r="AF93" s="892">
        <f t="shared" si="131"/>
        <v>0</v>
      </c>
      <c r="AG93" s="892"/>
      <c r="AH93" s="892">
        <f t="shared" si="131"/>
        <v>324</v>
      </c>
      <c r="AI93" s="894">
        <f t="shared" si="131"/>
        <v>1157</v>
      </c>
      <c r="AJ93" s="891">
        <f aca="true" t="shared" si="132" ref="AJ93:AP93">SUM(AJ89:AJ91)</f>
        <v>1538</v>
      </c>
      <c r="AK93" s="892">
        <f t="shared" si="132"/>
        <v>118</v>
      </c>
      <c r="AL93" s="892">
        <f t="shared" si="132"/>
        <v>42</v>
      </c>
      <c r="AM93" s="892">
        <f t="shared" si="132"/>
        <v>0</v>
      </c>
      <c r="AN93" s="892"/>
      <c r="AO93" s="892">
        <f t="shared" si="132"/>
        <v>396</v>
      </c>
      <c r="AP93" s="892">
        <f t="shared" si="132"/>
        <v>982</v>
      </c>
      <c r="AQ93" s="893">
        <f aca="true" t="shared" si="133" ref="AQ93:AW93">SUM(AQ89:AQ91)</f>
        <v>2048</v>
      </c>
      <c r="AR93" s="892">
        <f t="shared" si="133"/>
        <v>96</v>
      </c>
      <c r="AS93" s="892">
        <f t="shared" si="133"/>
        <v>42</v>
      </c>
      <c r="AT93" s="892">
        <f t="shared" si="133"/>
        <v>22</v>
      </c>
      <c r="AU93" s="892"/>
      <c r="AV93" s="892">
        <f t="shared" si="133"/>
        <v>828</v>
      </c>
      <c r="AW93" s="894">
        <f t="shared" si="133"/>
        <v>1060</v>
      </c>
      <c r="AX93" s="891">
        <f aca="true" t="shared" si="134" ref="AX93:BD93">SUM(AX89:AX91)</f>
        <v>1651</v>
      </c>
      <c r="AY93" s="892">
        <f t="shared" si="134"/>
        <v>49</v>
      </c>
      <c r="AZ93" s="892">
        <f t="shared" si="134"/>
        <v>50</v>
      </c>
      <c r="BA93" s="892">
        <f t="shared" si="134"/>
        <v>61</v>
      </c>
      <c r="BB93" s="892"/>
      <c r="BC93" s="892">
        <f t="shared" si="134"/>
        <v>432</v>
      </c>
      <c r="BD93" s="892">
        <f t="shared" si="134"/>
        <v>1059</v>
      </c>
      <c r="BE93" s="895"/>
      <c r="BF93" s="896">
        <f aca="true" t="shared" si="135" ref="BF93:BM93">SUM(BF89:BF91)</f>
        <v>0</v>
      </c>
      <c r="BG93" s="892">
        <f t="shared" si="135"/>
        <v>0</v>
      </c>
      <c r="BH93" s="892">
        <f t="shared" si="135"/>
        <v>0</v>
      </c>
      <c r="BI93" s="892">
        <f t="shared" si="135"/>
        <v>0</v>
      </c>
      <c r="BJ93" s="892">
        <f t="shared" si="135"/>
        <v>0</v>
      </c>
      <c r="BK93" s="892">
        <f t="shared" si="135"/>
        <v>0</v>
      </c>
      <c r="BL93" s="892">
        <f t="shared" si="135"/>
        <v>0</v>
      </c>
      <c r="BM93" s="894">
        <f t="shared" si="135"/>
        <v>0</v>
      </c>
      <c r="BN93" s="897"/>
    </row>
    <row r="94" spans="1:66" ht="12.75">
      <c r="A94" s="911"/>
      <c r="B94" s="900" t="s">
        <v>257</v>
      </c>
      <c r="C94" s="901"/>
      <c r="D94" s="901"/>
      <c r="E94" s="901"/>
      <c r="F94" s="901"/>
      <c r="G94" s="901"/>
      <c r="H94" s="901"/>
      <c r="I94" s="901"/>
      <c r="J94" s="901"/>
      <c r="K94" s="901"/>
      <c r="L94" s="901"/>
      <c r="M94" s="901"/>
      <c r="N94" s="769">
        <f>COUNTIF(N11:N15,"&gt;0")+COUNTIF(N17:N19,"&gt;0")+COUNTIF(N22:N28,"&gt;0")+COUNTIF(N32:N36,"&gt;0")+COUNTIF(N57:N60,"&gt;0")+COUNTIF(N63:N65,"&gt;0")+COUNTIF(N71:N71,"&gt;0")+COUNTIF(N68,"&gt;0")+COUNTIF(N52:N54,"&gt;0")+COUNTIF(N45:N50,"&gt;0")+COUNTIF(N38:N43,"&gt;0")</f>
        <v>42</v>
      </c>
      <c r="O94" s="770"/>
      <c r="P94" s="770"/>
      <c r="Q94" s="770"/>
      <c r="R94" s="770"/>
      <c r="S94" s="770"/>
      <c r="T94" s="770"/>
      <c r="U94" s="770"/>
      <c r="V94" s="912">
        <f>COUNTIF(V11:V15,"&gt;0")+COUNTIF(V17:V19,"&gt;0")+COUNTIF(V22:V28,"&gt;0")+COUNTIF(V32:V36,"&gt;0")+COUNTIF(V64:V65,"&gt;0")+COUNTIF(V38:V43,"&gt;0")+COUNTIF(V58:V59,"&gt;0")+COUNTIF(V71:V71,"&gt;0")+COUNTIF(V45:V50,"&gt;0")+COUNTIF(V52:V54,"&gt;0")+COUNTIF(V68,"&gt;0")</f>
        <v>13</v>
      </c>
      <c r="W94" s="913"/>
      <c r="X94" s="913"/>
      <c r="Y94" s="913"/>
      <c r="Z94" s="913"/>
      <c r="AA94" s="913"/>
      <c r="AB94" s="914"/>
      <c r="AC94" s="913">
        <f>COUNTIF(AC11:AC15,"&gt;0")+COUNTIF(AC17:AC19,"&gt;0")+COUNTIF(AC22:AC28,"&gt;0")+COUNTIF(AC32:AC36,"&gt;0")+COUNTIF(AC64:AC65,"&gt;0")+COUNTIF(AC38:AC43,"&gt;0")+COUNTIF(AC58:AC59,"&gt;0")+COUNTIF(AC71:AC71,"&gt;0")+COUNTIF(AC45:AC50,"&gt;0")+COUNTIF(AC52:AC54,"&gt;0")+COUNTIF(AC68,"&gt;0")</f>
        <v>12</v>
      </c>
      <c r="AD94" s="913"/>
      <c r="AE94" s="913"/>
      <c r="AF94" s="913"/>
      <c r="AG94" s="913"/>
      <c r="AH94" s="913"/>
      <c r="AI94" s="913"/>
      <c r="AJ94" s="912">
        <f>COUNTIF(AJ11:AJ15,"&gt;0")+COUNTIF(AJ17:AJ19,"&gt;0")+COUNTIF(AJ22:AJ28,"&gt;0")+COUNTIF(AJ32:AJ36,"&gt;0")+COUNTIF(AJ64:AJ65,"&gt;0")+COUNTIF(AJ38:AJ43,"&gt;0")+COUNTIF(AJ58:AJ59,"&gt;0")+COUNTIF(AJ71:AJ71,"&gt;0")+COUNTIF(AJ45:AJ50,"&gt;0")+COUNTIF(AJ52:AJ54,"&gt;0")+COUNTIF(AJ68,"&gt;0")</f>
        <v>16</v>
      </c>
      <c r="AK94" s="913"/>
      <c r="AL94" s="913"/>
      <c r="AM94" s="913"/>
      <c r="AN94" s="913"/>
      <c r="AO94" s="913"/>
      <c r="AP94" s="914"/>
      <c r="AQ94" s="913">
        <f>COUNTIF(AQ11:AQ15,"&gt;0")+COUNTIF(AQ17:AQ19,"&gt;0")+COUNTIF(AQ22:AQ28,"&gt;0")+COUNTIF(AQ32:AQ36,"&gt;0")+COUNTIF(AQ64:AQ65,"&gt;0")+COUNTIF(AQ38:AQ43,"&gt;0")+COUNTIF(AQ58:AQ59,"&gt;0")+COUNTIF(AQ71:AQ71,"&gt;0")+COUNTIF(AQ45:AQ50,"&gt;0")+COUNTIF(AQ52:AQ54,"&gt;0")+COUNTIF(AQ68,"&gt;0")</f>
        <v>14</v>
      </c>
      <c r="AR94" s="913"/>
      <c r="AS94" s="913"/>
      <c r="AT94" s="913"/>
      <c r="AU94" s="913"/>
      <c r="AV94" s="913"/>
      <c r="AW94" s="913"/>
      <c r="AX94" s="912">
        <f>COUNTIF(AX11:AX15,"&gt;0")+COUNTIF(AX17:AX19,"&gt;0")+COUNTIF(AX22:AX28,"&gt;0")+COUNTIF(AX32:AX36,"&gt;0")+COUNTIF(AX64:AX65,"&gt;0")+COUNTIF(AX38:AX43,"&gt;0")+COUNTIF(AX58:AX59,"&gt;0")+COUNTIF(AX71:AX71,"&gt;0")+COUNTIF(AX45:AX50,"&gt;0")+COUNTIF(AX52:AX54,"&gt;0")+COUNTIF(AX68,"&gt;0")</f>
        <v>9</v>
      </c>
      <c r="AY94" s="913"/>
      <c r="AZ94" s="913"/>
      <c r="BA94" s="913"/>
      <c r="BB94" s="913"/>
      <c r="BC94" s="913"/>
      <c r="BD94" s="914"/>
      <c r="BE94" s="915"/>
      <c r="BF94" s="916">
        <f>COUNTIF(BF11:BF15,"&gt;0")+COUNTIF(BF17:BF19,"&gt;0")+COUNTIF(BF22:BF28,"&gt;0")+COUNTIF(BF32:BF36,"&gt;0")+COUNTIF(BF64:BF65,"&gt;0")+COUNTIF(BF38:BF43,"&gt;0")+COUNTIF(BF58:BF59,"&gt;0")+COUNTIF(BF71:BF71,"&gt;0")+COUNTIF(BF45:BF50,"&gt;0")+COUNTIF(BF52:BF54,"&gt;0")+COUNTIF(BF68,"&gt;0")</f>
        <v>0</v>
      </c>
      <c r="BG94" s="913"/>
      <c r="BH94" s="913"/>
      <c r="BI94" s="913"/>
      <c r="BJ94" s="913"/>
      <c r="BK94" s="913"/>
      <c r="BL94" s="913"/>
      <c r="BM94" s="917"/>
      <c r="BN94" s="897"/>
    </row>
    <row r="95" spans="1:66" ht="12.75">
      <c r="A95" s="911"/>
      <c r="B95" s="900" t="s">
        <v>80</v>
      </c>
      <c r="C95" s="901"/>
      <c r="D95" s="901"/>
      <c r="E95" s="901"/>
      <c r="F95" s="901"/>
      <c r="G95" s="901"/>
      <c r="H95" s="901"/>
      <c r="I95" s="901"/>
      <c r="J95" s="901"/>
      <c r="K95" s="901"/>
      <c r="L95" s="901"/>
      <c r="M95" s="901"/>
      <c r="N95" s="774">
        <f>COUNTIF(N76:N79,"&gt;0")+COUNTIF(N81:N81,"&gt;0")</f>
        <v>1</v>
      </c>
      <c r="O95" s="775"/>
      <c r="P95" s="775"/>
      <c r="Q95" s="775"/>
      <c r="R95" s="775"/>
      <c r="S95" s="775"/>
      <c r="T95" s="775"/>
      <c r="U95" s="776"/>
      <c r="V95" s="918">
        <f>COUNTIF(V76:V79,"&gt;0")+COUNTIF(V81:V81,"&gt;0")</f>
        <v>0</v>
      </c>
      <c r="W95" s="919"/>
      <c r="X95" s="919"/>
      <c r="Y95" s="919"/>
      <c r="Z95" s="919"/>
      <c r="AA95" s="919"/>
      <c r="AB95" s="920"/>
      <c r="AC95" s="921">
        <f>COUNTIF(AC76:AC79,"&gt;0")+COUNTIF(AC81:AC81,"&gt;0")</f>
        <v>1</v>
      </c>
      <c r="AD95" s="919"/>
      <c r="AE95" s="919"/>
      <c r="AF95" s="919"/>
      <c r="AG95" s="919"/>
      <c r="AH95" s="919"/>
      <c r="AI95" s="916"/>
      <c r="AJ95" s="918">
        <f>COUNTIF(AJ76:AJ79,"&gt;0")+COUNTIF(AJ81:AJ81,"&gt;0")</f>
        <v>0</v>
      </c>
      <c r="AK95" s="919"/>
      <c r="AL95" s="919"/>
      <c r="AM95" s="919"/>
      <c r="AN95" s="919"/>
      <c r="AO95" s="919"/>
      <c r="AP95" s="920"/>
      <c r="AQ95" s="921">
        <f>COUNTIF(AQ76:AQ79,"&gt;0")+COUNTIF(AQ81:AQ81,"&gt;0")</f>
        <v>0</v>
      </c>
      <c r="AR95" s="919"/>
      <c r="AS95" s="919"/>
      <c r="AT95" s="919"/>
      <c r="AU95" s="919"/>
      <c r="AV95" s="919"/>
      <c r="AW95" s="916"/>
      <c r="AX95" s="918">
        <f>COUNTIF(AX76:AX79,"&gt;0")+COUNTIF(AX81:AX81,"&gt;0")</f>
        <v>1</v>
      </c>
      <c r="AY95" s="919"/>
      <c r="AZ95" s="919"/>
      <c r="BA95" s="919"/>
      <c r="BB95" s="919"/>
      <c r="BC95" s="919"/>
      <c r="BD95" s="920"/>
      <c r="BE95" s="915"/>
      <c r="BF95" s="919">
        <f>COUNTIF(BF76:BF79,"&gt;0")+COUNTIF(BF81:BF81,"&gt;0")</f>
        <v>0</v>
      </c>
      <c r="BG95" s="919"/>
      <c r="BH95" s="919"/>
      <c r="BI95" s="919"/>
      <c r="BJ95" s="919"/>
      <c r="BK95" s="919"/>
      <c r="BL95" s="919"/>
      <c r="BM95" s="916"/>
      <c r="BN95" s="897"/>
    </row>
    <row r="96" spans="1:66" ht="12.75">
      <c r="A96" s="922"/>
      <c r="B96" s="900" t="s">
        <v>549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1"/>
      <c r="M96" s="901"/>
      <c r="N96" s="771">
        <f>N93/(Y3+AO3+AT3+BA3)</f>
        <v>52.1</v>
      </c>
      <c r="O96" s="772"/>
      <c r="P96" s="772"/>
      <c r="Q96" s="772"/>
      <c r="R96" s="772"/>
      <c r="S96" s="772"/>
      <c r="T96" s="772"/>
      <c r="U96" s="773"/>
      <c r="V96" s="923">
        <f>V89/Y3</f>
        <v>31.1</v>
      </c>
      <c r="W96" s="924"/>
      <c r="X96" s="924"/>
      <c r="Y96" s="924"/>
      <c r="Z96" s="924"/>
      <c r="AA96" s="924"/>
      <c r="AB96" s="925"/>
      <c r="AC96" s="926">
        <f>AC89/AF3</f>
        <v>43.9</v>
      </c>
      <c r="AD96" s="924"/>
      <c r="AE96" s="924"/>
      <c r="AF96" s="924"/>
      <c r="AG96" s="924"/>
      <c r="AH96" s="924"/>
      <c r="AI96" s="927"/>
      <c r="AJ96" s="923">
        <f>AJ89/AO3</f>
        <v>28.6</v>
      </c>
      <c r="AK96" s="924"/>
      <c r="AL96" s="924"/>
      <c r="AM96" s="924"/>
      <c r="AN96" s="924"/>
      <c r="AO96" s="924"/>
      <c r="AP96" s="925"/>
      <c r="AQ96" s="926">
        <f>AQ89/AT3</f>
        <v>30.5</v>
      </c>
      <c r="AR96" s="924"/>
      <c r="AS96" s="924"/>
      <c r="AT96" s="924"/>
      <c r="AU96" s="924"/>
      <c r="AV96" s="924"/>
      <c r="AW96" s="927"/>
      <c r="AX96" s="923">
        <f>AX89/BA3</f>
        <v>25.1</v>
      </c>
      <c r="AY96" s="924"/>
      <c r="AZ96" s="924"/>
      <c r="BA96" s="924"/>
      <c r="BB96" s="924"/>
      <c r="BC96" s="924"/>
      <c r="BD96" s="925"/>
      <c r="BE96" s="915"/>
      <c r="BF96" s="924">
        <f>BF93/BJ3</f>
        <v>0</v>
      </c>
      <c r="BG96" s="924"/>
      <c r="BH96" s="924"/>
      <c r="BI96" s="924"/>
      <c r="BJ96" s="924"/>
      <c r="BK96" s="924"/>
      <c r="BL96" s="924"/>
      <c r="BM96" s="927"/>
      <c r="BN96" s="897"/>
    </row>
    <row r="97" spans="1:66" ht="12.75">
      <c r="A97" s="928"/>
      <c r="B97" s="900" t="s">
        <v>255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1"/>
      <c r="M97" s="901"/>
      <c r="N97" s="771">
        <f>IF('Титул лист (заочная)'!BD31=0,0,IF(N89=0,0,N89/(Y3+AO3+AT3+BA3)))</f>
        <v>37.4</v>
      </c>
      <c r="O97" s="772"/>
      <c r="P97" s="772"/>
      <c r="Q97" s="772"/>
      <c r="R97" s="772"/>
      <c r="S97" s="772"/>
      <c r="T97" s="772"/>
      <c r="U97" s="773"/>
      <c r="V97" s="929">
        <f>SUM(W89:Y89)/Y3*6</f>
        <v>32</v>
      </c>
      <c r="W97" s="930"/>
      <c r="X97" s="930"/>
      <c r="Y97" s="930"/>
      <c r="Z97" s="930"/>
      <c r="AA97" s="930"/>
      <c r="AB97" s="931"/>
      <c r="AC97" s="930">
        <f>SUM(AD89:AF89)/AF3*6</f>
        <v>32</v>
      </c>
      <c r="AD97" s="930"/>
      <c r="AE97" s="930"/>
      <c r="AF97" s="930"/>
      <c r="AG97" s="930"/>
      <c r="AH97" s="930"/>
      <c r="AI97" s="930"/>
      <c r="AJ97" s="929">
        <f>SUM(AK89:AM89)/AO3*6</f>
        <v>24</v>
      </c>
      <c r="AK97" s="930"/>
      <c r="AL97" s="930"/>
      <c r="AM97" s="930"/>
      <c r="AN97" s="930"/>
      <c r="AO97" s="930"/>
      <c r="AP97" s="931"/>
      <c r="AQ97" s="930">
        <f>SUM(AR89:AT89)/AT3*6</f>
        <v>24</v>
      </c>
      <c r="AR97" s="930"/>
      <c r="AS97" s="930"/>
      <c r="AT97" s="930"/>
      <c r="AU97" s="930"/>
      <c r="AV97" s="930"/>
      <c r="AW97" s="930"/>
      <c r="AX97" s="929">
        <f>SUM(AY89:BA89)/BA3*7</f>
        <v>28</v>
      </c>
      <c r="AY97" s="930"/>
      <c r="AZ97" s="930"/>
      <c r="BA97" s="930"/>
      <c r="BB97" s="930"/>
      <c r="BC97" s="930"/>
      <c r="BD97" s="931"/>
      <c r="BE97" s="915"/>
      <c r="BF97" s="927">
        <f>SUM(BH89:BJ89)/BJ3*7</f>
        <v>0</v>
      </c>
      <c r="BG97" s="930"/>
      <c r="BH97" s="930"/>
      <c r="BI97" s="930"/>
      <c r="BJ97" s="930"/>
      <c r="BK97" s="930"/>
      <c r="BL97" s="930"/>
      <c r="BM97" s="926"/>
      <c r="BN97" s="897"/>
    </row>
    <row r="98" spans="1:66" ht="12.75">
      <c r="A98" s="928"/>
      <c r="B98" s="900" t="s">
        <v>254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769">
        <f>V98+AJ98+AQ98+AX98</f>
        <v>10</v>
      </c>
      <c r="O98" s="770"/>
      <c r="P98" s="770"/>
      <c r="Q98" s="770"/>
      <c r="R98" s="770"/>
      <c r="S98" s="770"/>
      <c r="T98" s="770"/>
      <c r="U98" s="770"/>
      <c r="V98" s="912">
        <f>COUNTIF($D$9:$D$73,"*1*")</f>
        <v>2</v>
      </c>
      <c r="W98" s="913"/>
      <c r="X98" s="913"/>
      <c r="Y98" s="913"/>
      <c r="Z98" s="913"/>
      <c r="AA98" s="913"/>
      <c r="AB98" s="914"/>
      <c r="AC98" s="913">
        <f>COUNTIF($D$9:$D$73,"*2*")</f>
        <v>4</v>
      </c>
      <c r="AD98" s="913"/>
      <c r="AE98" s="913"/>
      <c r="AF98" s="913"/>
      <c r="AG98" s="913"/>
      <c r="AH98" s="913"/>
      <c r="AI98" s="913"/>
      <c r="AJ98" s="912">
        <f>COUNTIF($D$9:$D$73,"*3*")</f>
        <v>1</v>
      </c>
      <c r="AK98" s="913"/>
      <c r="AL98" s="913"/>
      <c r="AM98" s="913"/>
      <c r="AN98" s="913"/>
      <c r="AO98" s="913"/>
      <c r="AP98" s="914"/>
      <c r="AQ98" s="913">
        <f>COUNTIF($D$9:$D$73,"*4*")</f>
        <v>6</v>
      </c>
      <c r="AR98" s="913"/>
      <c r="AS98" s="913"/>
      <c r="AT98" s="913"/>
      <c r="AU98" s="913"/>
      <c r="AV98" s="913"/>
      <c r="AW98" s="913"/>
      <c r="AX98" s="912">
        <f>COUNTIF($D$9:$D$73,"*5*")</f>
        <v>1</v>
      </c>
      <c r="AY98" s="913"/>
      <c r="AZ98" s="913"/>
      <c r="BA98" s="913"/>
      <c r="BB98" s="913"/>
      <c r="BC98" s="913"/>
      <c r="BD98" s="914"/>
      <c r="BE98" s="932"/>
      <c r="BF98" s="916">
        <f>COUNTIF($D$9:$D$73,"*6*")</f>
        <v>0</v>
      </c>
      <c r="BG98" s="913"/>
      <c r="BH98" s="913"/>
      <c r="BI98" s="913"/>
      <c r="BJ98" s="913"/>
      <c r="BK98" s="913"/>
      <c r="BL98" s="913"/>
      <c r="BM98" s="921"/>
      <c r="BN98" s="933"/>
    </row>
    <row r="99" spans="1:66" ht="12.75">
      <c r="A99" s="911"/>
      <c r="B99" s="900" t="s">
        <v>253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1"/>
      <c r="M99" s="901"/>
      <c r="N99" s="769">
        <f>V99+AJ99+AQ99+AX99</f>
        <v>28</v>
      </c>
      <c r="O99" s="770"/>
      <c r="P99" s="770"/>
      <c r="Q99" s="770"/>
      <c r="R99" s="770"/>
      <c r="S99" s="770"/>
      <c r="T99" s="770"/>
      <c r="U99" s="770"/>
      <c r="V99" s="912">
        <f>COUNTIF($E$9:$E$73,"*1*")</f>
        <v>8</v>
      </c>
      <c r="W99" s="913"/>
      <c r="X99" s="913"/>
      <c r="Y99" s="913"/>
      <c r="Z99" s="913"/>
      <c r="AA99" s="913"/>
      <c r="AB99" s="914"/>
      <c r="AC99" s="913">
        <f>COUNTIF($E$9:$E$73,"*2*")</f>
        <v>2</v>
      </c>
      <c r="AD99" s="913"/>
      <c r="AE99" s="913"/>
      <c r="AF99" s="913"/>
      <c r="AG99" s="913"/>
      <c r="AH99" s="913"/>
      <c r="AI99" s="913"/>
      <c r="AJ99" s="912">
        <f>COUNTIF($E$9:$E$73,"*3*")</f>
        <v>8</v>
      </c>
      <c r="AK99" s="913"/>
      <c r="AL99" s="913"/>
      <c r="AM99" s="913"/>
      <c r="AN99" s="913"/>
      <c r="AO99" s="913"/>
      <c r="AP99" s="914"/>
      <c r="AQ99" s="913">
        <f>COUNTIF($E$9:$E$73,"*4*")</f>
        <v>6</v>
      </c>
      <c r="AR99" s="913"/>
      <c r="AS99" s="913"/>
      <c r="AT99" s="913"/>
      <c r="AU99" s="913"/>
      <c r="AV99" s="913"/>
      <c r="AW99" s="913"/>
      <c r="AX99" s="912">
        <f>COUNTIF($E$9:$E$73,"*5*")</f>
        <v>6</v>
      </c>
      <c r="AY99" s="913"/>
      <c r="AZ99" s="913"/>
      <c r="BA99" s="913"/>
      <c r="BB99" s="913"/>
      <c r="BC99" s="913"/>
      <c r="BD99" s="914"/>
      <c r="BE99" s="932"/>
      <c r="BF99" s="916">
        <f>COUNTIF($E$9:$E$73,"*6*")</f>
        <v>0</v>
      </c>
      <c r="BG99" s="913"/>
      <c r="BH99" s="913"/>
      <c r="BI99" s="913"/>
      <c r="BJ99" s="913"/>
      <c r="BK99" s="913"/>
      <c r="BL99" s="913"/>
      <c r="BM99" s="921"/>
      <c r="BN99" s="933"/>
    </row>
    <row r="100" spans="1:66" ht="12.75" hidden="1">
      <c r="A100" s="911"/>
      <c r="B100" s="900" t="s">
        <v>252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1"/>
      <c r="M100" s="901"/>
      <c r="N100" s="769">
        <f>V100+AJ100+AQ100+AX100</f>
        <v>5</v>
      </c>
      <c r="O100" s="770"/>
      <c r="P100" s="770"/>
      <c r="Q100" s="770"/>
      <c r="R100" s="770"/>
      <c r="S100" s="770"/>
      <c r="T100" s="770"/>
      <c r="U100" s="770"/>
      <c r="V100" s="639">
        <f>COUNTIF($H$9:$H$72,"*1*")</f>
        <v>0</v>
      </c>
      <c r="W100" s="638"/>
      <c r="X100" s="638"/>
      <c r="Y100" s="638"/>
      <c r="Z100" s="638"/>
      <c r="AA100" s="638"/>
      <c r="AB100" s="645"/>
      <c r="AC100" s="638">
        <f>COUNTIF($H$9:$H$72,"*2*")</f>
        <v>0</v>
      </c>
      <c r="AD100" s="638"/>
      <c r="AE100" s="638"/>
      <c r="AF100" s="638"/>
      <c r="AG100" s="638"/>
      <c r="AH100" s="638"/>
      <c r="AI100" s="638"/>
      <c r="AJ100" s="639">
        <f>COUNTIF($F$9:$F$73,"*3*")</f>
        <v>1</v>
      </c>
      <c r="AK100" s="638"/>
      <c r="AL100" s="638"/>
      <c r="AM100" s="638"/>
      <c r="AN100" s="638"/>
      <c r="AO100" s="638"/>
      <c r="AP100" s="645"/>
      <c r="AQ100" s="638">
        <f>COUNTIF($F$9:$F$73,"*4*")</f>
        <v>1</v>
      </c>
      <c r="AR100" s="638"/>
      <c r="AS100" s="638"/>
      <c r="AT100" s="638"/>
      <c r="AU100" s="638"/>
      <c r="AV100" s="638"/>
      <c r="AW100" s="638"/>
      <c r="AX100" s="639">
        <f>COUNTIF($F$9:$F$73,"*5*")</f>
        <v>3</v>
      </c>
      <c r="AY100" s="638"/>
      <c r="AZ100" s="638"/>
      <c r="BA100" s="638"/>
      <c r="BB100" s="638"/>
      <c r="BC100" s="638"/>
      <c r="BD100" s="645"/>
      <c r="BE100" s="932"/>
      <c r="BF100" s="648">
        <f>COUNTIF($F$9:$F$73,"*6*")</f>
        <v>0</v>
      </c>
      <c r="BG100" s="638"/>
      <c r="BH100" s="638"/>
      <c r="BI100" s="638"/>
      <c r="BJ100" s="638"/>
      <c r="BK100" s="638"/>
      <c r="BL100" s="638"/>
      <c r="BM100" s="934"/>
      <c r="BN100" s="933"/>
    </row>
    <row r="101" spans="1:66" ht="12.75">
      <c r="A101" s="911"/>
      <c r="B101" s="900" t="s">
        <v>533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1"/>
      <c r="M101" s="901"/>
      <c r="N101" s="769">
        <f>V101+AJ101+AQ101+AX101</f>
        <v>3</v>
      </c>
      <c r="O101" s="770"/>
      <c r="P101" s="770"/>
      <c r="Q101" s="770"/>
      <c r="R101" s="770"/>
      <c r="S101" s="770"/>
      <c r="T101" s="770"/>
      <c r="U101" s="770"/>
      <c r="V101" s="639">
        <f>COUNTIF($H$9:$H$73,"*1*")</f>
        <v>0</v>
      </c>
      <c r="W101" s="638"/>
      <c r="X101" s="638"/>
      <c r="Y101" s="638"/>
      <c r="Z101" s="638"/>
      <c r="AA101" s="638"/>
      <c r="AB101" s="645"/>
      <c r="AC101" s="638">
        <f>COUNTIF($H$9:$H$73,"*2*")</f>
        <v>0</v>
      </c>
      <c r="AD101" s="638"/>
      <c r="AE101" s="638"/>
      <c r="AF101" s="638"/>
      <c r="AG101" s="638"/>
      <c r="AH101" s="638"/>
      <c r="AI101" s="638"/>
      <c r="AJ101" s="639">
        <f>COUNTIF($H$9:$H$73,"*3*")</f>
        <v>0</v>
      </c>
      <c r="AK101" s="638"/>
      <c r="AL101" s="638"/>
      <c r="AM101" s="638"/>
      <c r="AN101" s="638"/>
      <c r="AO101" s="638"/>
      <c r="AP101" s="645"/>
      <c r="AQ101" s="638">
        <f>COUNTIF($H$9:$H$73,"*4*")</f>
        <v>1</v>
      </c>
      <c r="AR101" s="638"/>
      <c r="AS101" s="638"/>
      <c r="AT101" s="638"/>
      <c r="AU101" s="638"/>
      <c r="AV101" s="638"/>
      <c r="AW101" s="638"/>
      <c r="AX101" s="639">
        <f>COUNTIF($H$9:$H$73,"*5*")</f>
        <v>2</v>
      </c>
      <c r="AY101" s="638"/>
      <c r="AZ101" s="638"/>
      <c r="BA101" s="638"/>
      <c r="BB101" s="638"/>
      <c r="BC101" s="638"/>
      <c r="BD101" s="645"/>
      <c r="BE101" s="932"/>
      <c r="BF101" s="648">
        <f>COUNTIF($H$9:$H$73,"*6*")</f>
        <v>0</v>
      </c>
      <c r="BG101" s="638"/>
      <c r="BH101" s="638"/>
      <c r="BI101" s="638"/>
      <c r="BJ101" s="638"/>
      <c r="BK101" s="638"/>
      <c r="BL101" s="638"/>
      <c r="BM101" s="934"/>
      <c r="BN101" s="933"/>
    </row>
    <row r="102" spans="1:66" ht="12.75">
      <c r="A102" s="935"/>
      <c r="B102" s="900" t="s">
        <v>535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1"/>
      <c r="M102" s="901"/>
      <c r="N102" s="769">
        <f>V102+AJ102+AQ102+AX102</f>
        <v>14</v>
      </c>
      <c r="O102" s="770"/>
      <c r="P102" s="770"/>
      <c r="Q102" s="770"/>
      <c r="R102" s="770"/>
      <c r="S102" s="770"/>
      <c r="T102" s="770"/>
      <c r="U102" s="770"/>
      <c r="V102" s="639">
        <f>COUNTIF($I$9:$I$72,"*1*")</f>
        <v>3</v>
      </c>
      <c r="W102" s="638"/>
      <c r="X102" s="638"/>
      <c r="Y102" s="638"/>
      <c r="Z102" s="638"/>
      <c r="AA102" s="638"/>
      <c r="AB102" s="645"/>
      <c r="AC102" s="638">
        <f>COUNTIF($I$9:$I$72,"*1*")</f>
        <v>3</v>
      </c>
      <c r="AD102" s="638"/>
      <c r="AE102" s="638"/>
      <c r="AF102" s="638"/>
      <c r="AG102" s="638"/>
      <c r="AH102" s="638"/>
      <c r="AI102" s="638"/>
      <c r="AJ102" s="639">
        <f>COUNTIF($I$9:$I$73,"*3*")</f>
        <v>7</v>
      </c>
      <c r="AK102" s="638"/>
      <c r="AL102" s="638"/>
      <c r="AM102" s="638"/>
      <c r="AN102" s="638"/>
      <c r="AO102" s="638"/>
      <c r="AP102" s="645"/>
      <c r="AQ102" s="638">
        <f>COUNTIF($I$9:$I$73,"*4*")</f>
        <v>3</v>
      </c>
      <c r="AR102" s="638"/>
      <c r="AS102" s="638"/>
      <c r="AT102" s="638"/>
      <c r="AU102" s="638"/>
      <c r="AV102" s="638"/>
      <c r="AW102" s="638"/>
      <c r="AX102" s="639">
        <f>COUNTIF($I$9:$I$73,"*5*")</f>
        <v>1</v>
      </c>
      <c r="AY102" s="638"/>
      <c r="AZ102" s="638"/>
      <c r="BA102" s="638"/>
      <c r="BB102" s="638"/>
      <c r="BC102" s="638"/>
      <c r="BD102" s="645"/>
      <c r="BE102" s="932"/>
      <c r="BF102" s="648">
        <f>COUNTIF($I$9:$I$73,"*6*")</f>
        <v>0</v>
      </c>
      <c r="BG102" s="638"/>
      <c r="BH102" s="638"/>
      <c r="BI102" s="638"/>
      <c r="BJ102" s="638"/>
      <c r="BK102" s="638"/>
      <c r="BL102" s="638"/>
      <c r="BM102" s="934"/>
      <c r="BN102" s="933"/>
    </row>
    <row r="105" spans="1:7" ht="12.75" hidden="1">
      <c r="A105" s="604" t="s">
        <v>279</v>
      </c>
      <c r="B105" s="604"/>
      <c r="C105" s="606" t="s">
        <v>280</v>
      </c>
      <c r="D105" s="606"/>
      <c r="E105" s="606" t="s">
        <v>301</v>
      </c>
      <c r="F105" s="606"/>
      <c r="G105" s="503"/>
    </row>
    <row r="106" spans="1:7" ht="12.75" hidden="1">
      <c r="A106" s="487">
        <v>1</v>
      </c>
      <c r="B106" s="487">
        <v>11</v>
      </c>
      <c r="C106" s="488">
        <v>2</v>
      </c>
      <c r="D106" s="489" t="s">
        <v>40</v>
      </c>
      <c r="E106" s="488">
        <v>2</v>
      </c>
      <c r="F106" s="489" t="s">
        <v>39</v>
      </c>
      <c r="G106" s="936"/>
    </row>
    <row r="107" spans="1:7" ht="51" hidden="1">
      <c r="A107" s="487" t="s">
        <v>260</v>
      </c>
      <c r="B107" s="487" t="s">
        <v>147</v>
      </c>
      <c r="C107" s="487" t="s">
        <v>7</v>
      </c>
      <c r="D107" s="490" t="s">
        <v>282</v>
      </c>
      <c r="E107" s="487" t="s">
        <v>7</v>
      </c>
      <c r="F107" s="490" t="s">
        <v>282</v>
      </c>
      <c r="G107" s="937"/>
    </row>
    <row r="108" spans="1:7" ht="12.75" hidden="1">
      <c r="A108" s="487">
        <v>1</v>
      </c>
      <c r="B108" s="487">
        <v>21</v>
      </c>
      <c r="C108" s="488">
        <v>2</v>
      </c>
      <c r="D108" s="489" t="s">
        <v>40</v>
      </c>
      <c r="E108" s="488">
        <v>2</v>
      </c>
      <c r="F108" s="489" t="s">
        <v>39</v>
      </c>
      <c r="G108" s="936"/>
    </row>
    <row r="109" spans="1:7" ht="51" hidden="1">
      <c r="A109" s="487" t="s">
        <v>260</v>
      </c>
      <c r="B109" s="487" t="s">
        <v>147</v>
      </c>
      <c r="C109" s="487" t="s">
        <v>7</v>
      </c>
      <c r="D109" s="490" t="s">
        <v>283</v>
      </c>
      <c r="E109" s="487" t="s">
        <v>7</v>
      </c>
      <c r="F109" s="490" t="s">
        <v>283</v>
      </c>
      <c r="G109" s="937"/>
    </row>
    <row r="110" spans="1:7" ht="12.75" hidden="1">
      <c r="A110" s="487">
        <v>1</v>
      </c>
      <c r="B110" s="487">
        <v>30</v>
      </c>
      <c r="C110" s="488">
        <v>2</v>
      </c>
      <c r="D110" s="489" t="s">
        <v>40</v>
      </c>
      <c r="E110" s="488">
        <v>2</v>
      </c>
      <c r="F110" s="489" t="s">
        <v>39</v>
      </c>
      <c r="G110" s="936"/>
    </row>
    <row r="111" spans="1:7" ht="51" hidden="1">
      <c r="A111" s="487" t="s">
        <v>260</v>
      </c>
      <c r="B111" s="487" t="s">
        <v>147</v>
      </c>
      <c r="C111" s="487" t="s">
        <v>7</v>
      </c>
      <c r="D111" s="490" t="s">
        <v>284</v>
      </c>
      <c r="E111" s="487" t="s">
        <v>7</v>
      </c>
      <c r="F111" s="490" t="s">
        <v>284</v>
      </c>
      <c r="G111" s="937"/>
    </row>
    <row r="112" spans="1:7" ht="12.75" hidden="1">
      <c r="A112" s="487">
        <v>1</v>
      </c>
      <c r="B112" s="487">
        <v>39</v>
      </c>
      <c r="C112" s="488">
        <v>2</v>
      </c>
      <c r="D112" s="489" t="s">
        <v>40</v>
      </c>
      <c r="E112" s="488">
        <v>2</v>
      </c>
      <c r="F112" s="489" t="s">
        <v>39</v>
      </c>
      <c r="G112" s="936"/>
    </row>
    <row r="113" spans="1:7" ht="51" hidden="1">
      <c r="A113" s="487" t="s">
        <v>260</v>
      </c>
      <c r="B113" s="487" t="s">
        <v>147</v>
      </c>
      <c r="C113" s="487" t="s">
        <v>7</v>
      </c>
      <c r="D113" s="490" t="s">
        <v>285</v>
      </c>
      <c r="E113" s="487" t="s">
        <v>7</v>
      </c>
      <c r="F113" s="490" t="s">
        <v>285</v>
      </c>
      <c r="G113" s="937"/>
    </row>
    <row r="114" spans="1:7" ht="12.75" hidden="1">
      <c r="A114" s="487">
        <v>1</v>
      </c>
      <c r="B114" s="487">
        <v>48</v>
      </c>
      <c r="C114" s="488">
        <v>2</v>
      </c>
      <c r="D114" s="489" t="s">
        <v>40</v>
      </c>
      <c r="E114" s="488">
        <v>2</v>
      </c>
      <c r="F114" s="489" t="s">
        <v>39</v>
      </c>
      <c r="G114" s="936"/>
    </row>
    <row r="115" spans="1:7" ht="51" hidden="1">
      <c r="A115" s="487" t="s">
        <v>260</v>
      </c>
      <c r="B115" s="487" t="s">
        <v>147</v>
      </c>
      <c r="C115" s="487" t="s">
        <v>7</v>
      </c>
      <c r="D115" s="490" t="s">
        <v>286</v>
      </c>
      <c r="E115" s="487" t="s">
        <v>7</v>
      </c>
      <c r="F115" s="490" t="s">
        <v>286</v>
      </c>
      <c r="G115" s="937"/>
    </row>
    <row r="116" spans="1:7" ht="12.75" hidden="1">
      <c r="A116" s="487">
        <v>1</v>
      </c>
      <c r="B116" s="487">
        <v>57</v>
      </c>
      <c r="C116" s="488">
        <v>2</v>
      </c>
      <c r="D116" s="489" t="s">
        <v>40</v>
      </c>
      <c r="E116" s="488">
        <v>2</v>
      </c>
      <c r="F116" s="489" t="s">
        <v>39</v>
      </c>
      <c r="G116" s="936"/>
    </row>
    <row r="117" spans="1:7" ht="51" hidden="1">
      <c r="A117" s="487" t="s">
        <v>260</v>
      </c>
      <c r="B117" s="487" t="s">
        <v>147</v>
      </c>
      <c r="C117" s="487" t="s">
        <v>7</v>
      </c>
      <c r="D117" s="490" t="s">
        <v>287</v>
      </c>
      <c r="E117" s="487" t="s">
        <v>7</v>
      </c>
      <c r="F117" s="490" t="s">
        <v>287</v>
      </c>
      <c r="G117" s="937"/>
    </row>
    <row r="118" spans="1:7" ht="12.75" hidden="1">
      <c r="A118" s="487">
        <v>1</v>
      </c>
      <c r="B118" s="487">
        <v>66</v>
      </c>
      <c r="C118" s="488">
        <v>2</v>
      </c>
      <c r="D118" s="489" t="s">
        <v>40</v>
      </c>
      <c r="E118" s="488">
        <v>2</v>
      </c>
      <c r="F118" s="489" t="s">
        <v>39</v>
      </c>
      <c r="G118" s="936"/>
    </row>
    <row r="119" spans="1:7" ht="51" hidden="1">
      <c r="A119" s="487" t="s">
        <v>260</v>
      </c>
      <c r="B119" s="487" t="s">
        <v>147</v>
      </c>
      <c r="C119" s="487" t="s">
        <v>7</v>
      </c>
      <c r="D119" s="490" t="s">
        <v>288</v>
      </c>
      <c r="E119" s="487" t="s">
        <v>7</v>
      </c>
      <c r="F119" s="490" t="s">
        <v>288</v>
      </c>
      <c r="G119" s="937"/>
    </row>
    <row r="120" spans="1:7" ht="12.75" hidden="1">
      <c r="A120" s="487">
        <v>1</v>
      </c>
      <c r="B120" s="487">
        <v>75</v>
      </c>
      <c r="C120" s="488">
        <v>2</v>
      </c>
      <c r="D120" s="489" t="s">
        <v>40</v>
      </c>
      <c r="E120" s="488">
        <v>2</v>
      </c>
      <c r="F120" s="489" t="s">
        <v>39</v>
      </c>
      <c r="G120" s="936"/>
    </row>
    <row r="121" spans="1:7" ht="51" hidden="1">
      <c r="A121" s="487" t="s">
        <v>260</v>
      </c>
      <c r="B121" s="487" t="s">
        <v>147</v>
      </c>
      <c r="C121" s="487" t="s">
        <v>7</v>
      </c>
      <c r="D121" s="490" t="s">
        <v>289</v>
      </c>
      <c r="E121" s="487" t="s">
        <v>7</v>
      </c>
      <c r="F121" s="490" t="s">
        <v>289</v>
      </c>
      <c r="G121" s="937"/>
    </row>
    <row r="122" spans="1:7" ht="12.75" hidden="1">
      <c r="A122" s="487">
        <v>1</v>
      </c>
      <c r="B122" s="487">
        <v>84</v>
      </c>
      <c r="C122" s="488">
        <v>2</v>
      </c>
      <c r="D122" s="489" t="s">
        <v>40</v>
      </c>
      <c r="E122" s="488">
        <v>2</v>
      </c>
      <c r="F122" s="489" t="s">
        <v>39</v>
      </c>
      <c r="G122" s="936"/>
    </row>
    <row r="123" spans="1:7" ht="51" hidden="1">
      <c r="A123" s="487" t="s">
        <v>260</v>
      </c>
      <c r="B123" s="487" t="s">
        <v>147</v>
      </c>
      <c r="C123" s="487" t="s">
        <v>7</v>
      </c>
      <c r="D123" s="490" t="s">
        <v>290</v>
      </c>
      <c r="E123" s="487" t="s">
        <v>7</v>
      </c>
      <c r="F123" s="490" t="s">
        <v>290</v>
      </c>
      <c r="G123" s="937"/>
    </row>
    <row r="124" spans="1:7" ht="12.75" hidden="1">
      <c r="A124" s="487">
        <v>1</v>
      </c>
      <c r="B124" s="487">
        <v>93</v>
      </c>
      <c r="C124" s="488">
        <v>2</v>
      </c>
      <c r="D124" s="489" t="s">
        <v>40</v>
      </c>
      <c r="E124" s="488">
        <v>2</v>
      </c>
      <c r="F124" s="489" t="s">
        <v>39</v>
      </c>
      <c r="G124" s="936"/>
    </row>
    <row r="125" spans="1:7" ht="51" hidden="1">
      <c r="A125" s="487" t="s">
        <v>260</v>
      </c>
      <c r="B125" s="487" t="s">
        <v>147</v>
      </c>
      <c r="C125" s="487" t="s">
        <v>7</v>
      </c>
      <c r="D125" s="490" t="s">
        <v>291</v>
      </c>
      <c r="E125" s="487" t="s">
        <v>7</v>
      </c>
      <c r="F125" s="490" t="s">
        <v>291</v>
      </c>
      <c r="G125" s="937"/>
    </row>
    <row r="126" spans="1:3" ht="12.75" hidden="1">
      <c r="A126" s="487">
        <v>1</v>
      </c>
      <c r="B126" s="487">
        <v>102</v>
      </c>
      <c r="C126" s="484"/>
    </row>
    <row r="127" spans="1:3" ht="12.75" hidden="1">
      <c r="A127" s="487" t="s">
        <v>260</v>
      </c>
      <c r="B127" s="487" t="s">
        <v>147</v>
      </c>
      <c r="C127" s="484"/>
    </row>
  </sheetData>
  <sheetProtection selectLockedCells="1" sort="0" autoFilter="0" pivotTables="0" selectUnlockedCells="1"/>
  <autoFilter ref="A8:BS85"/>
  <mergeCells count="167">
    <mergeCell ref="AJ102:AP102"/>
    <mergeCell ref="AQ102:AW102"/>
    <mergeCell ref="AX102:BD102"/>
    <mergeCell ref="BF102:BM102"/>
    <mergeCell ref="AC102:AI102"/>
    <mergeCell ref="A105:B105"/>
    <mergeCell ref="C105:D105"/>
    <mergeCell ref="E105:F105"/>
    <mergeCell ref="B101:M101"/>
    <mergeCell ref="N101:U101"/>
    <mergeCell ref="V101:AB101"/>
    <mergeCell ref="B102:M102"/>
    <mergeCell ref="N102:U102"/>
    <mergeCell ref="V102:AB102"/>
    <mergeCell ref="BE2:BN2"/>
    <mergeCell ref="AC3:AD3"/>
    <mergeCell ref="AF3:AH3"/>
    <mergeCell ref="AC4:AD4"/>
    <mergeCell ref="AF4:AH4"/>
    <mergeCell ref="N99:U99"/>
    <mergeCell ref="V99:AB99"/>
    <mergeCell ref="AJ99:AP99"/>
    <mergeCell ref="AQ99:AW99"/>
    <mergeCell ref="AX99:BD99"/>
    <mergeCell ref="AC99:AI99"/>
    <mergeCell ref="AQ101:AW101"/>
    <mergeCell ref="AX101:BD101"/>
    <mergeCell ref="BF99:BM99"/>
    <mergeCell ref="AJ101:AP101"/>
    <mergeCell ref="BF101:BM101"/>
    <mergeCell ref="AC101:AI101"/>
    <mergeCell ref="B100:M100"/>
    <mergeCell ref="AJ100:AP100"/>
    <mergeCell ref="AQ100:AW100"/>
    <mergeCell ref="AX100:BD100"/>
    <mergeCell ref="BF100:BM100"/>
    <mergeCell ref="AC100:AI100"/>
    <mergeCell ref="N100:U100"/>
    <mergeCell ref="V100:AB100"/>
    <mergeCell ref="B99:M99"/>
    <mergeCell ref="BF98:BM98"/>
    <mergeCell ref="B97:M97"/>
    <mergeCell ref="N97:U97"/>
    <mergeCell ref="V97:AB97"/>
    <mergeCell ref="AJ97:AP97"/>
    <mergeCell ref="AQ97:AW97"/>
    <mergeCell ref="AX97:BD97"/>
    <mergeCell ref="AC97:AI97"/>
    <mergeCell ref="AC98:AI98"/>
    <mergeCell ref="AC95:AI95"/>
    <mergeCell ref="AC96:AI96"/>
    <mergeCell ref="BF97:BM97"/>
    <mergeCell ref="B98:M98"/>
    <mergeCell ref="N98:U98"/>
    <mergeCell ref="V98:AB98"/>
    <mergeCell ref="AJ98:AP98"/>
    <mergeCell ref="AQ98:AW98"/>
    <mergeCell ref="AX98:BD98"/>
    <mergeCell ref="AQ94:AW94"/>
    <mergeCell ref="AX94:BD94"/>
    <mergeCell ref="BF94:BM94"/>
    <mergeCell ref="B95:M95"/>
    <mergeCell ref="N95:U95"/>
    <mergeCell ref="V95:AB95"/>
    <mergeCell ref="AJ95:AP95"/>
    <mergeCell ref="AQ95:AW95"/>
    <mergeCell ref="AX95:BD95"/>
    <mergeCell ref="AC94:AI94"/>
    <mergeCell ref="B90:I90"/>
    <mergeCell ref="BF95:BM95"/>
    <mergeCell ref="B96:M96"/>
    <mergeCell ref="N96:U96"/>
    <mergeCell ref="V96:AB96"/>
    <mergeCell ref="AJ96:AP96"/>
    <mergeCell ref="AQ96:AW96"/>
    <mergeCell ref="AX96:BD96"/>
    <mergeCell ref="BF96:BM96"/>
    <mergeCell ref="AJ94:AP94"/>
    <mergeCell ref="AQ3:AR3"/>
    <mergeCell ref="B91:I91"/>
    <mergeCell ref="B92:I92"/>
    <mergeCell ref="B93:I93"/>
    <mergeCell ref="B94:M94"/>
    <mergeCell ref="N94:U94"/>
    <mergeCell ref="V94:AB94"/>
    <mergeCell ref="A87:C87"/>
    <mergeCell ref="A88:C88"/>
    <mergeCell ref="B89:I89"/>
    <mergeCell ref="AX4:AY4"/>
    <mergeCell ref="BA4:BC4"/>
    <mergeCell ref="D3:D7"/>
    <mergeCell ref="E3:E7"/>
    <mergeCell ref="P3:R3"/>
    <mergeCell ref="J1:K6"/>
    <mergeCell ref="T4:T7"/>
    <mergeCell ref="AX2:BD2"/>
    <mergeCell ref="L1:M6"/>
    <mergeCell ref="N1:U1"/>
    <mergeCell ref="Y3:AA3"/>
    <mergeCell ref="AJ3:AK3"/>
    <mergeCell ref="BG6:BK6"/>
    <mergeCell ref="BF4:BH4"/>
    <mergeCell ref="BJ4:BL4"/>
    <mergeCell ref="BG5:BH5"/>
    <mergeCell ref="AJ4:AK4"/>
    <mergeCell ref="AO4:AP4"/>
    <mergeCell ref="AQ4:AR4"/>
    <mergeCell ref="AT4:AV4"/>
    <mergeCell ref="AQ2:AW2"/>
    <mergeCell ref="BA3:BC3"/>
    <mergeCell ref="BF3:BH3"/>
    <mergeCell ref="BJ3:BL3"/>
    <mergeCell ref="P4:P7"/>
    <mergeCell ref="Q4:Q7"/>
    <mergeCell ref="R4:R7"/>
    <mergeCell ref="S4:S7"/>
    <mergeCell ref="V4:W4"/>
    <mergeCell ref="Y4:AA4"/>
    <mergeCell ref="AQ6:AR6"/>
    <mergeCell ref="AO3:AP3"/>
    <mergeCell ref="BO1:BO7"/>
    <mergeCell ref="BP1:BP7"/>
    <mergeCell ref="H3:H7"/>
    <mergeCell ref="I3:I7"/>
    <mergeCell ref="O3:O7"/>
    <mergeCell ref="N2:N7"/>
    <mergeCell ref="O2:U2"/>
    <mergeCell ref="AJ2:AP2"/>
    <mergeCell ref="B70:I70"/>
    <mergeCell ref="B73:I73"/>
    <mergeCell ref="B63:I63"/>
    <mergeCell ref="B57:I57"/>
    <mergeCell ref="A1:A7"/>
    <mergeCell ref="B1:B7"/>
    <mergeCell ref="C1:C7"/>
    <mergeCell ref="D1:I2"/>
    <mergeCell ref="B44:I44"/>
    <mergeCell ref="B51:I51"/>
    <mergeCell ref="B62:I62"/>
    <mergeCell ref="B67:I67"/>
    <mergeCell ref="U3:U7"/>
    <mergeCell ref="V3:W3"/>
    <mergeCell ref="B29:I29"/>
    <mergeCell ref="B20:I20"/>
    <mergeCell ref="B21:I21"/>
    <mergeCell ref="B10:I10"/>
    <mergeCell ref="B9:I9"/>
    <mergeCell ref="B83:I83"/>
    <mergeCell ref="A72:B72"/>
    <mergeCell ref="A69:B69"/>
    <mergeCell ref="A66:B66"/>
    <mergeCell ref="A61:B61"/>
    <mergeCell ref="B30:I30"/>
    <mergeCell ref="B31:I31"/>
    <mergeCell ref="B37:I37"/>
    <mergeCell ref="A55:B55"/>
    <mergeCell ref="B56:I56"/>
    <mergeCell ref="V1:BE1"/>
    <mergeCell ref="B16:I16"/>
    <mergeCell ref="AJ6:AK6"/>
    <mergeCell ref="AC6:AD6"/>
    <mergeCell ref="V6:W6"/>
    <mergeCell ref="AT3:AV3"/>
    <mergeCell ref="AX3:AY3"/>
    <mergeCell ref="V2:AB2"/>
    <mergeCell ref="AC2:AI2"/>
    <mergeCell ref="AX6:AY6"/>
  </mergeCells>
  <conditionalFormatting sqref="BO52:BO55 BO74 BO63:BO66 BO68:BO69 BO71:BO72 BO76:BO79 BO11:BO15 BO17:BO19 BO22:BO28 BO32:BO36">
    <cfRule type="expression" priority="1" dxfId="2" stopIfTrue="1">
      <formula>AND(N11&gt;0,BO11=0)</formula>
    </cfRule>
    <cfRule type="expression" priority="2" dxfId="2" stopIfTrue="1">
      <formula>AND(N11=0,BO11&lt;&gt;0)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M86"/>
  <sheetViews>
    <sheetView showZeros="0" zoomScale="90" zoomScaleNormal="90" zoomScalePageLayoutView="0" workbookViewId="0" topLeftCell="A2">
      <pane xSplit="11" ySplit="8" topLeftCell="L63" activePane="bottomRight" state="frozen"/>
      <selection pane="topLeft" activeCell="A2" sqref="A2"/>
      <selection pane="topRight" activeCell="L2" sqref="L2"/>
      <selection pane="bottomLeft" activeCell="A10" sqref="A10"/>
      <selection pane="bottomRight" activeCell="K75" sqref="K75"/>
    </sheetView>
  </sheetViews>
  <sheetFormatPr defaultColWidth="9.33203125" defaultRowHeight="12.75"/>
  <cols>
    <col min="1" max="1" width="16.16015625" style="0" customWidth="1"/>
    <col min="2" max="2" width="0" style="0" hidden="1" customWidth="1"/>
    <col min="8" max="8" width="9.33203125" style="139" customWidth="1"/>
  </cols>
  <sheetData>
    <row r="1" ht="13.5" hidden="1" thickBot="1"/>
    <row r="2" spans="1:13" ht="12.75" customHeight="1" thickBot="1">
      <c r="A2" s="778" t="s">
        <v>67</v>
      </c>
      <c r="B2" s="778" t="s">
        <v>68</v>
      </c>
      <c r="C2" s="779" t="s">
        <v>4</v>
      </c>
      <c r="D2" s="779"/>
      <c r="E2" s="779"/>
      <c r="F2" s="779"/>
      <c r="G2" s="779"/>
      <c r="I2" s="779" t="s">
        <v>4</v>
      </c>
      <c r="J2" s="779"/>
      <c r="K2" s="779"/>
      <c r="L2" s="779"/>
      <c r="M2" s="779"/>
    </row>
    <row r="3" spans="1:13" ht="13.5" thickBot="1">
      <c r="A3" s="778"/>
      <c r="B3" s="778"/>
      <c r="C3" s="779"/>
      <c r="D3" s="779"/>
      <c r="E3" s="779"/>
      <c r="F3" s="779"/>
      <c r="G3" s="779"/>
      <c r="I3" s="779"/>
      <c r="J3" s="779"/>
      <c r="K3" s="779"/>
      <c r="L3" s="779"/>
      <c r="M3" s="779"/>
    </row>
    <row r="4" spans="1:13" ht="12.75" customHeight="1" thickBot="1">
      <c r="A4" s="778"/>
      <c r="B4" s="778"/>
      <c r="C4" s="777" t="s">
        <v>59</v>
      </c>
      <c r="D4" s="777" t="s">
        <v>60</v>
      </c>
      <c r="E4" s="777" t="s">
        <v>61</v>
      </c>
      <c r="F4" s="777" t="s">
        <v>62</v>
      </c>
      <c r="G4" s="777" t="s">
        <v>63</v>
      </c>
      <c r="I4" s="777" t="s">
        <v>59</v>
      </c>
      <c r="J4" s="777" t="s">
        <v>60</v>
      </c>
      <c r="K4" s="777" t="s">
        <v>61</v>
      </c>
      <c r="L4" s="777" t="s">
        <v>62</v>
      </c>
      <c r="M4" s="777" t="s">
        <v>63</v>
      </c>
    </row>
    <row r="5" spans="1:13" ht="12.75" customHeight="1" thickBot="1">
      <c r="A5" s="778"/>
      <c r="B5" s="778"/>
      <c r="C5" s="777"/>
      <c r="D5" s="777"/>
      <c r="E5" s="777"/>
      <c r="F5" s="777"/>
      <c r="G5" s="777"/>
      <c r="I5" s="777"/>
      <c r="J5" s="777"/>
      <c r="K5" s="777"/>
      <c r="L5" s="777"/>
      <c r="M5" s="777"/>
    </row>
    <row r="6" spans="1:13" ht="13.5" thickBot="1">
      <c r="A6" s="778"/>
      <c r="B6" s="778"/>
      <c r="C6" s="777"/>
      <c r="D6" s="777"/>
      <c r="E6" s="777"/>
      <c r="F6" s="777"/>
      <c r="G6" s="777"/>
      <c r="I6" s="777"/>
      <c r="J6" s="777"/>
      <c r="K6" s="777"/>
      <c r="L6" s="777"/>
      <c r="M6" s="777"/>
    </row>
    <row r="7" spans="1:13" ht="13.5" thickBot="1">
      <c r="A7" s="778"/>
      <c r="B7" s="778"/>
      <c r="C7" s="777"/>
      <c r="D7" s="777"/>
      <c r="E7" s="777"/>
      <c r="F7" s="777"/>
      <c r="G7" s="777"/>
      <c r="I7" s="777"/>
      <c r="J7" s="777"/>
      <c r="K7" s="777"/>
      <c r="L7" s="777"/>
      <c r="M7" s="777"/>
    </row>
    <row r="8" spans="1:13" ht="13.5" thickBot="1">
      <c r="A8" s="778"/>
      <c r="B8" s="778"/>
      <c r="C8" s="777"/>
      <c r="D8" s="777"/>
      <c r="E8" s="777"/>
      <c r="F8" s="777"/>
      <c r="G8" s="777"/>
      <c r="I8" s="777"/>
      <c r="J8" s="777"/>
      <c r="K8" s="777"/>
      <c r="L8" s="777"/>
      <c r="M8" s="777"/>
    </row>
    <row r="9" spans="1:13" ht="39" thickBot="1">
      <c r="A9" s="135" t="str">
        <f>'Учебный план'!B28</f>
        <v>Обязательная часть циклов ППССЗ</v>
      </c>
      <c r="B9" s="135">
        <f>'Учебный план'!C28</f>
        <v>0</v>
      </c>
      <c r="C9" s="135">
        <f>'Учебный план'!D28</f>
        <v>0</v>
      </c>
      <c r="D9" s="135">
        <f>'Учебный план'!E28</f>
        <v>0</v>
      </c>
      <c r="E9" s="135">
        <f>'Учебный план'!H28</f>
        <v>0</v>
      </c>
      <c r="F9" s="135" t="e">
        <f>'Учебный план'!#REF!</f>
        <v>#REF!</v>
      </c>
      <c r="G9" s="135">
        <f>'Учебный план'!I28</f>
        <v>0</v>
      </c>
      <c r="H9" s="140"/>
      <c r="I9" s="136">
        <f>'Учебный план (заочная) '!D9</f>
        <v>0</v>
      </c>
      <c r="J9" s="136">
        <f>'Учебный план (заочная) '!E9</f>
        <v>0</v>
      </c>
      <c r="K9" s="136">
        <f>'Учебный план (заочная) '!F9</f>
        <v>0</v>
      </c>
      <c r="L9" s="136">
        <f>'Учебный план (заочная) '!H9</f>
        <v>0</v>
      </c>
      <c r="M9" s="136">
        <f>'Учебный план (заочная) '!I9</f>
        <v>0</v>
      </c>
    </row>
    <row r="10" spans="1:13" ht="64.5" thickBot="1">
      <c r="A10" s="135" t="str">
        <f>'Учебный план'!B29</f>
        <v>Общий гумманитарный и социально-экономический цикл</v>
      </c>
      <c r="B10" s="135">
        <f>'Учебный план'!C29</f>
        <v>0</v>
      </c>
      <c r="C10" s="135">
        <f>'Учебный план'!D29</f>
        <v>0</v>
      </c>
      <c r="D10" s="135">
        <f>'Учебный план'!E29</f>
        <v>0</v>
      </c>
      <c r="E10" s="135">
        <f>'Учебный план'!H29</f>
        <v>0</v>
      </c>
      <c r="F10" s="135" t="e">
        <f>'Учебный план'!#REF!</f>
        <v>#REF!</v>
      </c>
      <c r="G10" s="135">
        <f>'Учебный план'!I29</f>
        <v>0</v>
      </c>
      <c r="H10" s="140"/>
      <c r="I10" s="136">
        <f>'Учебный план (заочная) '!D10</f>
        <v>0</v>
      </c>
      <c r="J10" s="136">
        <f>'Учебный план (заочная) '!E10</f>
        <v>0</v>
      </c>
      <c r="K10" s="136">
        <f>'Учебный план (заочная) '!F10</f>
        <v>0</v>
      </c>
      <c r="L10" s="136">
        <f>'Учебный план (заочная) '!H10</f>
        <v>0</v>
      </c>
      <c r="M10" s="136">
        <f>'Учебный план (заочная) '!I10</f>
        <v>0</v>
      </c>
    </row>
    <row r="11" spans="1:13" ht="26.25" thickBot="1">
      <c r="A11" s="137" t="str">
        <f>'Учебный план'!B30</f>
        <v>Основы философии</v>
      </c>
      <c r="B11" s="137">
        <f>'Учебный план'!C30</f>
        <v>0</v>
      </c>
      <c r="C11" s="137">
        <f>'Учебный план'!D30</f>
        <v>0</v>
      </c>
      <c r="D11" s="137" t="str">
        <f>'Учебный план'!E30</f>
        <v>3</v>
      </c>
      <c r="E11" s="137">
        <f>'Учебный план'!H30</f>
        <v>0</v>
      </c>
      <c r="F11" s="137" t="e">
        <f>'Учебный план'!#REF!</f>
        <v>#REF!</v>
      </c>
      <c r="G11" s="137">
        <f>'Учебный план'!I30</f>
        <v>0</v>
      </c>
      <c r="I11" s="138">
        <f>'Учебный план (заочная) '!D11</f>
        <v>0</v>
      </c>
      <c r="J11" s="138" t="str">
        <f>'Учебный план (заочная) '!E11</f>
        <v>1</v>
      </c>
      <c r="K11" s="138">
        <f>'Учебный план (заочная) '!F11</f>
        <v>0</v>
      </c>
      <c r="L11" s="138">
        <f>'Учебный план (заочная) '!H11</f>
        <v>0</v>
      </c>
      <c r="M11" s="138">
        <f>'Учебный план (заочная) '!I11</f>
        <v>0</v>
      </c>
    </row>
    <row r="12" spans="1:13" ht="13.5" thickBot="1">
      <c r="A12" s="137" t="str">
        <f>'Учебный план'!B31</f>
        <v>История</v>
      </c>
      <c r="B12" s="137">
        <f>'Учебный план'!C31</f>
        <v>0</v>
      </c>
      <c r="C12" s="137">
        <f>'Учебный план'!D31</f>
        <v>0</v>
      </c>
      <c r="D12" s="137" t="str">
        <f>'Учебный план'!E31</f>
        <v>3</v>
      </c>
      <c r="E12" s="137">
        <f>'Учебный план'!H31</f>
        <v>0</v>
      </c>
      <c r="F12" s="137" t="e">
        <f>'Учебный план'!#REF!</f>
        <v>#REF!</v>
      </c>
      <c r="G12" s="137">
        <f>'Учебный план'!I31</f>
        <v>0</v>
      </c>
      <c r="I12" s="138">
        <f>'Учебный план (заочная) '!D12</f>
        <v>0</v>
      </c>
      <c r="J12" s="138" t="str">
        <f>'Учебный план (заочная) '!E12</f>
        <v>1</v>
      </c>
      <c r="K12" s="138">
        <f>'Учебный план (заочная) '!F12</f>
        <v>0</v>
      </c>
      <c r="L12" s="138">
        <f>'Учебный план (заочная) '!H12</f>
        <v>0</v>
      </c>
      <c r="M12" s="138">
        <f>'Учебный план (заочная) '!I12</f>
        <v>0</v>
      </c>
    </row>
    <row r="13" spans="1:13" ht="26.25" thickBot="1">
      <c r="A13" s="137" t="str">
        <f>'Учебный план'!B32</f>
        <v>Психология общения</v>
      </c>
      <c r="B13" s="137">
        <f>'Учебный план'!C32</f>
        <v>0</v>
      </c>
      <c r="C13" s="137">
        <f>'Учебный план'!D32</f>
        <v>0</v>
      </c>
      <c r="D13" s="137" t="str">
        <f>'Учебный план'!E32</f>
        <v>5</v>
      </c>
      <c r="E13" s="137">
        <f>'Учебный план'!H32</f>
        <v>0</v>
      </c>
      <c r="F13" s="137" t="e">
        <f>'Учебный план'!#REF!</f>
        <v>#REF!</v>
      </c>
      <c r="G13" s="137">
        <f>'Учебный план'!I32</f>
        <v>0</v>
      </c>
      <c r="I13" s="138">
        <f>'Учебный план (заочная) '!D13</f>
        <v>0</v>
      </c>
      <c r="J13" s="138" t="str">
        <f>'Учебный план (заочная) '!E13</f>
        <v>2</v>
      </c>
      <c r="K13" s="138">
        <f>'Учебный план (заочная) '!F13</f>
        <v>0</v>
      </c>
      <c r="L13" s="138">
        <f>'Учебный план (заочная) '!H13</f>
        <v>0</v>
      </c>
      <c r="M13" s="138">
        <f>'Учебный план (заочная) '!I13</f>
        <v>0</v>
      </c>
    </row>
    <row r="14" spans="1:13" ht="26.25" thickBot="1">
      <c r="A14" s="137" t="str">
        <f>'Учебный план'!B33</f>
        <v>Иностранный язык</v>
      </c>
      <c r="B14" s="137">
        <f>'Учебный план'!C33</f>
        <v>0</v>
      </c>
      <c r="C14" s="137">
        <f>'Учебный план'!D33</f>
        <v>0</v>
      </c>
      <c r="D14" s="137" t="str">
        <f>'Учебный план'!E33</f>
        <v>Х</v>
      </c>
      <c r="E14" s="137">
        <f>'Учебный план'!H33</f>
        <v>0</v>
      </c>
      <c r="F14" s="137" t="e">
        <f>'Учебный план'!#REF!</f>
        <v>#REF!</v>
      </c>
      <c r="G14" s="137" t="str">
        <f>'Учебный план'!I33</f>
        <v>3,4,6,7,8,9</v>
      </c>
      <c r="I14" s="138">
        <f>'Учебный план (заочная) '!D14</f>
        <v>0</v>
      </c>
      <c r="J14" s="138" t="str">
        <f>'Учебный план (заочная) '!E14</f>
        <v>5</v>
      </c>
      <c r="K14" s="138">
        <f>'Учебный план (заочная) '!F14</f>
        <v>0</v>
      </c>
      <c r="L14" s="138">
        <f>'Учебный план (заочная) '!H14</f>
        <v>0</v>
      </c>
      <c r="M14" s="138" t="str">
        <f>'Учебный план (заочная) '!I14</f>
        <v>1,2,3,4</v>
      </c>
    </row>
    <row r="15" spans="1:13" ht="26.25" thickBot="1">
      <c r="A15" s="137" t="str">
        <f>'Учебный план'!B34</f>
        <v>Физическая культура</v>
      </c>
      <c r="B15" s="137">
        <f>'Учебный план'!C34</f>
        <v>0</v>
      </c>
      <c r="C15" s="137">
        <f>'Учебный план'!D34</f>
        <v>0</v>
      </c>
      <c r="D15" s="137">
        <f>'Учебный план'!E34</f>
        <v>0</v>
      </c>
      <c r="E15" s="137">
        <f>'Учебный план'!H34</f>
        <v>0</v>
      </c>
      <c r="F15" s="137" t="e">
        <f>'Учебный план'!#REF!</f>
        <v>#REF!</v>
      </c>
      <c r="G15" s="137">
        <f>'Учебный план'!I34</f>
        <v>0</v>
      </c>
      <c r="I15" s="138">
        <f>'Учебный план (заочная) '!D15</f>
        <v>0</v>
      </c>
      <c r="J15" s="138">
        <f>'Учебный план (заочная) '!E15</f>
        <v>0</v>
      </c>
      <c r="K15" s="138" t="str">
        <f>'Учебный план (заочная) '!F15</f>
        <v>5</v>
      </c>
      <c r="L15" s="138">
        <f>'Учебный план (заочная) '!H15</f>
        <v>0</v>
      </c>
      <c r="M15" s="138" t="str">
        <f>'Учебный план (заочная) '!I15</f>
        <v>1,2,3,,4</v>
      </c>
    </row>
    <row r="16" spans="1:13" ht="51.75" thickBot="1">
      <c r="A16" s="135" t="str">
        <f>'Учебный план'!B35</f>
        <v>Математический и общий естественнонаучный цикл</v>
      </c>
      <c r="B16" s="135">
        <f>'Учебный план'!C35</f>
        <v>0</v>
      </c>
      <c r="C16" s="135">
        <f>'Учебный план'!D35</f>
        <v>0</v>
      </c>
      <c r="D16" s="135">
        <f>'Учебный план'!E35</f>
        <v>0</v>
      </c>
      <c r="E16" s="135">
        <f>'Учебный план'!H35</f>
        <v>0</v>
      </c>
      <c r="F16" s="135" t="e">
        <f>'Учебный план'!#REF!</f>
        <v>#REF!</v>
      </c>
      <c r="G16" s="135">
        <f>'Учебный план'!I35</f>
        <v>0</v>
      </c>
      <c r="H16" s="140"/>
      <c r="I16" s="136">
        <f>'Учебный план (заочная) '!D16</f>
        <v>0</v>
      </c>
      <c r="J16" s="136">
        <f>'Учебный план (заочная) '!E16</f>
        <v>0</v>
      </c>
      <c r="K16" s="136">
        <f>'Учебный план (заочная) '!F16</f>
        <v>0</v>
      </c>
      <c r="L16" s="136">
        <f>'Учебный план (заочная) '!H16</f>
        <v>0</v>
      </c>
      <c r="M16" s="136">
        <f>'Учебный план (заочная) '!I16</f>
        <v>0</v>
      </c>
    </row>
    <row r="17" spans="1:13" ht="13.5" thickBot="1">
      <c r="A17" s="137" t="str">
        <f>'Учебный план'!B36</f>
        <v>Математика</v>
      </c>
      <c r="B17" s="137">
        <f>'Учебный план'!C36</f>
        <v>0</v>
      </c>
      <c r="C17" s="137" t="str">
        <f>'Учебный план'!D36</f>
        <v>3</v>
      </c>
      <c r="D17" s="137">
        <f>'Учебный план'!E36</f>
        <v>0</v>
      </c>
      <c r="E17" s="137">
        <f>'Учебный план'!H36</f>
        <v>0</v>
      </c>
      <c r="F17" s="137" t="e">
        <f>'Учебный план'!#REF!</f>
        <v>#REF!</v>
      </c>
      <c r="G17" s="137">
        <f>'Учебный план'!I36</f>
        <v>0</v>
      </c>
      <c r="I17" s="138" t="str">
        <f>'Учебный план (заочная) '!D17</f>
        <v>1</v>
      </c>
      <c r="J17" s="138">
        <f>'Учебный план (заочная) '!E17</f>
        <v>0</v>
      </c>
      <c r="K17" s="138">
        <f>'Учебный план (заочная) '!F17</f>
        <v>0</v>
      </c>
      <c r="L17" s="138">
        <f>'Учебный план (заочная) '!H17</f>
        <v>0</v>
      </c>
      <c r="M17" s="138">
        <f>'Учебный план (заочная) '!I17</f>
        <v>0</v>
      </c>
    </row>
    <row r="18" spans="1:13" ht="13.5" thickBot="1">
      <c r="A18" s="137" t="str">
        <f>'Учебный план'!B37</f>
        <v>Информатика</v>
      </c>
      <c r="B18" s="137">
        <f>'Учебный план'!C37</f>
        <v>0</v>
      </c>
      <c r="C18" s="137">
        <f>'Учебный план'!D37</f>
        <v>0</v>
      </c>
      <c r="D18" s="137" t="str">
        <f>'Учебный план'!E37</f>
        <v>3</v>
      </c>
      <c r="E18" s="137">
        <f>'Учебный план'!H37</f>
        <v>0</v>
      </c>
      <c r="F18" s="137" t="e">
        <f>'Учебный план'!#REF!</f>
        <v>#REF!</v>
      </c>
      <c r="G18" s="137">
        <f>'Учебный план'!I37</f>
        <v>0</v>
      </c>
      <c r="I18" s="138">
        <f>'Учебный план (заочная) '!D18</f>
        <v>0</v>
      </c>
      <c r="J18" s="138" t="str">
        <f>'Учебный план (заочная) '!E18</f>
        <v>1</v>
      </c>
      <c r="K18" s="138">
        <f>'Учебный план (заочная) '!F18</f>
        <v>0</v>
      </c>
      <c r="L18" s="138">
        <f>'Учебный план (заочная) '!H18</f>
        <v>0</v>
      </c>
      <c r="M18" s="138">
        <f>'Учебный план (заочная) '!I18</f>
        <v>0</v>
      </c>
    </row>
    <row r="19" spans="1:13" ht="51.75" thickBot="1">
      <c r="A19" s="137" t="str">
        <f>'Учебный план'!B38</f>
        <v>Экологические основы природопользования</v>
      </c>
      <c r="B19" s="137">
        <f>'Учебный план'!C38</f>
        <v>0</v>
      </c>
      <c r="C19" s="137">
        <f>'Учебный план'!D38</f>
        <v>0</v>
      </c>
      <c r="D19" s="137" t="str">
        <f>'Учебный план'!E38</f>
        <v>3</v>
      </c>
      <c r="E19" s="137">
        <f>'Учебный план'!H38</f>
        <v>0</v>
      </c>
      <c r="F19" s="137" t="e">
        <f>'Учебный план'!#REF!</f>
        <v>#REF!</v>
      </c>
      <c r="G19" s="137">
        <f>'Учебный план'!I38</f>
        <v>0</v>
      </c>
      <c r="I19" s="138">
        <f>'Учебный план (заочная) '!D19</f>
        <v>0</v>
      </c>
      <c r="J19" s="138" t="str">
        <f>'Учебный план (заочная) '!E19</f>
        <v>1</v>
      </c>
      <c r="K19" s="138">
        <f>'Учебный план (заочная) '!F19</f>
        <v>0</v>
      </c>
      <c r="L19" s="138">
        <f>'Учебный план (заочная) '!H19</f>
        <v>0</v>
      </c>
      <c r="M19" s="138">
        <f>'Учебный план (заочная) '!I19</f>
        <v>0</v>
      </c>
    </row>
    <row r="20" spans="1:13" ht="26.25" thickBot="1">
      <c r="A20" s="137" t="str">
        <f>'Учебный план'!B39</f>
        <v>Профессиональный цикл</v>
      </c>
      <c r="B20" s="137">
        <f>'Учебный план'!C39</f>
        <v>0</v>
      </c>
      <c r="C20" s="137">
        <f>'Учебный план'!D39</f>
        <v>0</v>
      </c>
      <c r="D20" s="137">
        <f>'Учебный план'!E39</f>
        <v>0</v>
      </c>
      <c r="E20" s="137">
        <f>'Учебный план'!H39</f>
        <v>0</v>
      </c>
      <c r="F20" s="137" t="e">
        <f>'Учебный план'!#REF!</f>
        <v>#REF!</v>
      </c>
      <c r="G20" s="137">
        <f>'Учебный план'!I39</f>
        <v>0</v>
      </c>
      <c r="I20" s="138">
        <f>'Учебный план (заочная) '!D20</f>
        <v>0</v>
      </c>
      <c r="J20" s="138">
        <f>'Учебный план (заочная) '!E20</f>
        <v>0</v>
      </c>
      <c r="K20" s="138">
        <f>'Учебный план (заочная) '!F20</f>
        <v>0</v>
      </c>
      <c r="L20" s="138">
        <f>'Учебный план (заочная) '!H20</f>
        <v>0</v>
      </c>
      <c r="M20" s="138">
        <f>'Учебный план (заочная) '!I20</f>
        <v>0</v>
      </c>
    </row>
    <row r="21" spans="1:13" ht="39" thickBot="1">
      <c r="A21" s="137" t="str">
        <f>'Учебный план'!B40</f>
        <v>Общепрофессиональные дисциплины</v>
      </c>
      <c r="B21" s="137">
        <f>'Учебный план'!C40</f>
        <v>0</v>
      </c>
      <c r="C21" s="137">
        <f>'Учебный план'!D40</f>
        <v>0</v>
      </c>
      <c r="D21" s="137">
        <f>'Учебный план'!E40</f>
        <v>0</v>
      </c>
      <c r="E21" s="137">
        <f>'Учебный план'!H40</f>
        <v>0</v>
      </c>
      <c r="F21" s="137" t="e">
        <f>'Учебный план'!#REF!</f>
        <v>#REF!</v>
      </c>
      <c r="G21" s="137">
        <f>'Учебный план'!I40</f>
        <v>0</v>
      </c>
      <c r="I21" s="138">
        <f>'Учебный план (заочная) '!D21</f>
        <v>0</v>
      </c>
      <c r="J21" s="138">
        <f>'Учебный план (заочная) '!E21</f>
        <v>0</v>
      </c>
      <c r="K21" s="138">
        <f>'Учебный план (заочная) '!F21</f>
        <v>0</v>
      </c>
      <c r="L21" s="138">
        <f>'Учебный план (заочная) '!H21</f>
        <v>0</v>
      </c>
      <c r="M21" s="138">
        <f>'Учебный план (заочная) '!I21</f>
        <v>0</v>
      </c>
    </row>
    <row r="22" spans="1:13" ht="26.25" thickBot="1">
      <c r="A22" s="137" t="str">
        <f>'Учебный план'!B41</f>
        <v>Инженерная графика</v>
      </c>
      <c r="B22" s="137">
        <f>'Учебный план'!C41</f>
        <v>0</v>
      </c>
      <c r="C22" s="137">
        <f>'Учебный план'!D41</f>
        <v>0</v>
      </c>
      <c r="D22" s="137" t="str">
        <f>'Учебный план'!E41</f>
        <v>4</v>
      </c>
      <c r="E22" s="137">
        <f>'Учебный план'!H41</f>
        <v>0</v>
      </c>
      <c r="F22" s="137" t="e">
        <f>'Учебный план'!#REF!</f>
        <v>#REF!</v>
      </c>
      <c r="G22" s="137" t="str">
        <f>'Учебный план'!I41</f>
        <v>3</v>
      </c>
      <c r="I22" s="138">
        <f>'Учебный план (заочная) '!D22</f>
        <v>0</v>
      </c>
      <c r="J22" s="138" t="str">
        <f>'Учебный план (заочная) '!E22</f>
        <v>1</v>
      </c>
      <c r="K22" s="138">
        <f>'Учебный план (заочная) '!F22</f>
        <v>0</v>
      </c>
      <c r="L22" s="138">
        <f>'Учебный план (заочная) '!H22</f>
        <v>0</v>
      </c>
      <c r="M22" s="138">
        <f>'Учебный план (заочная) '!I22</f>
        <v>0</v>
      </c>
    </row>
    <row r="23" spans="1:13" ht="13.5" thickBot="1">
      <c r="A23" s="137" t="str">
        <f>'Учебный план'!B42</f>
        <v>Механика</v>
      </c>
      <c r="B23" s="137">
        <f>'Учебный план'!C42</f>
        <v>0</v>
      </c>
      <c r="C23" s="137">
        <f>'Учебный план'!D42</f>
        <v>0</v>
      </c>
      <c r="D23" s="137" t="str">
        <f>'Учебный план'!E42</f>
        <v>4</v>
      </c>
      <c r="E23" s="137">
        <f>'Учебный план'!H42</f>
        <v>0</v>
      </c>
      <c r="F23" s="137" t="e">
        <f>'Учебный план'!#REF!</f>
        <v>#REF!</v>
      </c>
      <c r="G23" s="137">
        <f>'Учебный план'!I42</f>
        <v>0</v>
      </c>
      <c r="I23" s="138">
        <f>'Учебный план (заочная) '!D23</f>
        <v>0</v>
      </c>
      <c r="J23" s="138" t="str">
        <f>'Учебный план (заочная) '!E23</f>
        <v>1</v>
      </c>
      <c r="K23" s="138">
        <f>'Учебный план (заочная) '!F23</f>
        <v>0</v>
      </c>
      <c r="L23" s="138">
        <f>'Учебный план (заочная) '!H23</f>
        <v>0</v>
      </c>
      <c r="M23" s="138">
        <f>'Учебный план (заочная) '!I23</f>
        <v>0</v>
      </c>
    </row>
    <row r="24" spans="1:13" ht="26.25" thickBot="1">
      <c r="A24" s="137" t="str">
        <f>'Учебный план'!B43</f>
        <v>Электроника и электротехника</v>
      </c>
      <c r="B24" s="137" t="str">
        <f>'Учебный план'!C43</f>
        <v>Электроника</v>
      </c>
      <c r="C24" s="137">
        <f>'Учебный план'!D43</f>
        <v>0</v>
      </c>
      <c r="D24" s="137" t="str">
        <f>'Учебный план'!E43</f>
        <v>3</v>
      </c>
      <c r="E24" s="137">
        <f>'Учебный план'!H43</f>
        <v>0</v>
      </c>
      <c r="F24" s="137" t="e">
        <f>'Учебный план'!#REF!</f>
        <v>#REF!</v>
      </c>
      <c r="G24" s="137">
        <f>'Учебный план'!I43</f>
        <v>0</v>
      </c>
      <c r="I24" s="138">
        <f>'Учебный план (заочная) '!D24</f>
        <v>0</v>
      </c>
      <c r="J24" s="138" t="str">
        <f>'Учебный план (заочная) '!E24</f>
        <v>1</v>
      </c>
      <c r="K24" s="138">
        <f>'Учебный план (заочная) '!F24</f>
        <v>0</v>
      </c>
      <c r="L24" s="138">
        <f>'Учебный план (заочная) '!H24</f>
        <v>0</v>
      </c>
      <c r="M24" s="138">
        <f>'Учебный план (заочная) '!I24</f>
        <v>0</v>
      </c>
    </row>
    <row r="25" spans="1:13" ht="64.5" thickBot="1">
      <c r="A25" s="137" t="str">
        <f>'Учебный план'!B44</f>
        <v>Правовые основы профессиональной деятельности                                               </v>
      </c>
      <c r="B25" s="137" t="str">
        <f>'Учебный план'!C44</f>
        <v>ПОПД</v>
      </c>
      <c r="C25" s="137" t="str">
        <f>'Учебный план'!D44</f>
        <v>8</v>
      </c>
      <c r="D25" s="137">
        <f>'Учебный план'!E44</f>
        <v>0</v>
      </c>
      <c r="E25" s="137">
        <f>'Учебный план'!H44</f>
        <v>0</v>
      </c>
      <c r="F25" s="137" t="e">
        <f>'Учебный план'!#REF!</f>
        <v>#REF!</v>
      </c>
      <c r="G25" s="137" t="str">
        <f>'Учебный план'!I44</f>
        <v>7</v>
      </c>
      <c r="I25" s="138" t="str">
        <f>'Учебный план (заочная) '!D25</f>
        <v>4</v>
      </c>
      <c r="J25" s="138">
        <f>'Учебный план (заочная) '!E25</f>
        <v>0</v>
      </c>
      <c r="K25" s="138">
        <f>'Учебный план (заочная) '!F25</f>
        <v>0</v>
      </c>
      <c r="L25" s="138">
        <f>'Учебный план (заочная) '!H25</f>
        <v>0</v>
      </c>
      <c r="M25" s="138">
        <f>'Учебный план (заочная) '!I25</f>
        <v>0</v>
      </c>
    </row>
    <row r="26" spans="1:13" ht="26.25" thickBot="1">
      <c r="A26" s="137" t="str">
        <f>'Учебный план'!B45</f>
        <v>Метрология и стандартизация</v>
      </c>
      <c r="B26" s="137">
        <f>'Учебный план'!C45</f>
        <v>0</v>
      </c>
      <c r="C26" s="137">
        <f>'Учебный план'!D45</f>
        <v>0</v>
      </c>
      <c r="D26" s="137" t="str">
        <f>'Учебный план'!E45</f>
        <v>3</v>
      </c>
      <c r="E26" s="137">
        <f>'Учебный план'!H45</f>
        <v>0</v>
      </c>
      <c r="F26" s="137" t="e">
        <f>'Учебный план'!#REF!</f>
        <v>#REF!</v>
      </c>
      <c r="G26" s="137">
        <f>'Учебный план'!I45</f>
        <v>0</v>
      </c>
      <c r="I26" s="138">
        <f>'Учебный план (заочная) '!D26</f>
        <v>0</v>
      </c>
      <c r="J26" s="138" t="str">
        <f>'Учебный план (заочная) '!E26</f>
        <v>1</v>
      </c>
      <c r="K26" s="138">
        <f>'Учебный план (заочная) '!F26</f>
        <v>0</v>
      </c>
      <c r="L26" s="138">
        <f>'Учебный план (заочная) '!H26</f>
        <v>0</v>
      </c>
      <c r="M26" s="138">
        <f>'Учебный план (заочная) '!I26</f>
        <v>0</v>
      </c>
    </row>
    <row r="27" spans="1:13" ht="39" thickBot="1">
      <c r="A27" s="137" t="str">
        <f>'Учебный план'!B46</f>
        <v>Теория и устройство судна</v>
      </c>
      <c r="B27" s="137" t="str">
        <f>'Учебный план'!C46</f>
        <v>ТУС</v>
      </c>
      <c r="C27" s="137" t="str">
        <f>'Учебный план'!D46</f>
        <v>4</v>
      </c>
      <c r="D27" s="137">
        <f>'Учебный план'!E46</f>
        <v>0</v>
      </c>
      <c r="E27" s="137">
        <f>'Учебный план'!H46</f>
        <v>0</v>
      </c>
      <c r="F27" s="137" t="e">
        <f>'Учебный план'!#REF!</f>
        <v>#REF!</v>
      </c>
      <c r="G27" s="137" t="str">
        <f>'Учебный план'!I46</f>
        <v>3</v>
      </c>
      <c r="I27" s="138" t="str">
        <f>'Учебный план (заочная) '!D27</f>
        <v>2</v>
      </c>
      <c r="J27" s="138">
        <f>'Учебный план (заочная) '!E27</f>
        <v>0</v>
      </c>
      <c r="K27" s="138">
        <f>'Учебный план (заочная) '!F27</f>
        <v>0</v>
      </c>
      <c r="L27" s="138">
        <f>'Учебный план (заочная) '!H27</f>
        <v>0</v>
      </c>
      <c r="M27" s="138" t="str">
        <f>'Учебный план (заочная) '!I27</f>
        <v>1</v>
      </c>
    </row>
    <row r="28" spans="1:13" ht="39" thickBot="1">
      <c r="A28" s="137" t="str">
        <f>'Учебный план'!B47</f>
        <v>Безопасность жизнедеятельности</v>
      </c>
      <c r="B28" s="137">
        <f>'Учебный план'!C47</f>
        <v>0</v>
      </c>
      <c r="C28" s="137" t="str">
        <f>'Учебный план'!D47</f>
        <v>3</v>
      </c>
      <c r="D28" s="137">
        <f>'Учебный план'!E47</f>
        <v>0</v>
      </c>
      <c r="E28" s="137">
        <f>'Учебный план'!H47</f>
        <v>0</v>
      </c>
      <c r="F28" s="137" t="e">
        <f>'Учебный план'!#REF!</f>
        <v>#REF!</v>
      </c>
      <c r="G28" s="137">
        <f>'Учебный план'!I47</f>
        <v>0</v>
      </c>
      <c r="I28" s="138" t="str">
        <f>'Учебный план (заочная) '!D28</f>
        <v>1</v>
      </c>
      <c r="J28" s="138">
        <f>'Учебный план (заочная) '!E28</f>
        <v>0</v>
      </c>
      <c r="K28" s="138">
        <f>'Учебный план (заочная) '!F28</f>
        <v>0</v>
      </c>
      <c r="L28" s="138">
        <f>'Учебный план (заочная) '!H28</f>
        <v>0</v>
      </c>
      <c r="M28" s="138">
        <f>'Учебный план (заочная) '!I28</f>
        <v>0</v>
      </c>
    </row>
    <row r="29" spans="1:13" ht="26.25" thickBot="1">
      <c r="A29" s="135" t="str">
        <f>'Учебный план'!B48</f>
        <v>Профессиональные модули</v>
      </c>
      <c r="B29" s="135">
        <f>'Учебный план'!C48</f>
        <v>0</v>
      </c>
      <c r="C29" s="135">
        <f>'Учебный план'!D48</f>
        <v>0</v>
      </c>
      <c r="D29" s="135">
        <f>'Учебный план'!E48</f>
        <v>0</v>
      </c>
      <c r="E29" s="135">
        <f>'Учебный план'!H48</f>
        <v>0</v>
      </c>
      <c r="F29" s="135" t="e">
        <f>'Учебный план'!#REF!</f>
        <v>#REF!</v>
      </c>
      <c r="G29" s="135">
        <f>'Учебный план'!I48</f>
        <v>0</v>
      </c>
      <c r="H29" s="140"/>
      <c r="I29" s="136">
        <f>'Учебный план (заочная) '!D29</f>
        <v>0</v>
      </c>
      <c r="J29" s="136">
        <f>'Учебный план (заочная) '!E29</f>
        <v>0</v>
      </c>
      <c r="K29" s="136">
        <f>'Учебный план (заочная) '!F29</f>
        <v>0</v>
      </c>
      <c r="L29" s="136">
        <f>'Учебный план (заочная) '!H29</f>
        <v>0</v>
      </c>
      <c r="M29" s="136">
        <f>'Учебный план (заочная) '!I29</f>
        <v>0</v>
      </c>
    </row>
    <row r="30" spans="1:13" ht="90" thickBot="1">
      <c r="A30" s="135" t="str">
        <f>'Учебный план'!B49</f>
        <v>Управление и эксплуатация судна с правом эксплуатации судовых энергетических установок</v>
      </c>
      <c r="B30" s="135">
        <f>'Учебный план'!C49</f>
        <v>0</v>
      </c>
      <c r="C30" s="135">
        <f>'Учебный план'!D49</f>
        <v>0</v>
      </c>
      <c r="D30" s="135">
        <f>'Учебный план'!E49</f>
        <v>0</v>
      </c>
      <c r="E30" s="135">
        <f>'Учебный план'!H49</f>
        <v>0</v>
      </c>
      <c r="F30" s="135" t="e">
        <f>'Учебный план'!#REF!</f>
        <v>#REF!</v>
      </c>
      <c r="G30" s="135">
        <f>'Учебный план'!I49</f>
        <v>0</v>
      </c>
      <c r="H30" s="140"/>
      <c r="I30" s="136">
        <f>'Учебный план (заочная) '!D30</f>
        <v>0</v>
      </c>
      <c r="J30" s="136">
        <f>'Учебный план (заочная) '!E30</f>
        <v>0</v>
      </c>
      <c r="K30" s="136">
        <f>'Учебный план (заочная) '!F30</f>
        <v>0</v>
      </c>
      <c r="L30" s="136">
        <f>'Учебный план (заочная) '!H30</f>
        <v>0</v>
      </c>
      <c r="M30" s="136">
        <f>'Учебный план (заочная) '!I30</f>
        <v>0</v>
      </c>
    </row>
    <row r="31" spans="1:13" ht="51.75" thickBot="1">
      <c r="A31" s="135" t="str">
        <f>'Учебный план'!B50</f>
        <v>Навигация, навигационная гидрометеорология и лоция</v>
      </c>
      <c r="B31" s="135">
        <f>'Учебный план'!C50</f>
        <v>0</v>
      </c>
      <c r="C31" s="135">
        <f>'Учебный план'!D50</f>
        <v>0</v>
      </c>
      <c r="D31" s="135">
        <f>'Учебный план'!E50</f>
        <v>0</v>
      </c>
      <c r="E31" s="135">
        <f>'Учебный план'!H50</f>
        <v>0</v>
      </c>
      <c r="F31" s="135" t="e">
        <f>'Учебный план'!#REF!</f>
        <v>#REF!</v>
      </c>
      <c r="G31" s="135">
        <f>'Учебный план'!I50</f>
        <v>0</v>
      </c>
      <c r="H31" s="140"/>
      <c r="I31" s="136">
        <f>'Учебный план (заочная) '!D31</f>
        <v>0</v>
      </c>
      <c r="J31" s="136">
        <f>'Учебный план (заочная) '!E31</f>
        <v>0</v>
      </c>
      <c r="K31" s="136">
        <f>'Учебный план (заочная) '!F31</f>
        <v>0</v>
      </c>
      <c r="L31" s="136">
        <f>'Учебный план (заочная) '!H31</f>
        <v>0</v>
      </c>
      <c r="M31" s="136">
        <f>'Учебный план (заочная) '!I31</f>
        <v>0</v>
      </c>
    </row>
    <row r="32" spans="1:13" ht="26.25" thickBot="1">
      <c r="A32" s="137" t="str">
        <f>'Учебный план'!B51</f>
        <v>Навигация и лоция</v>
      </c>
      <c r="B32" s="137">
        <f>'Учебный план'!C51</f>
        <v>0</v>
      </c>
      <c r="C32" s="137">
        <f>'Учебный план'!D51</f>
        <v>0</v>
      </c>
      <c r="D32" s="137" t="str">
        <f>'Учебный план'!E51</f>
        <v>7,Х</v>
      </c>
      <c r="E32" s="137" t="str">
        <f>'Учебный план'!H51</f>
        <v>Х</v>
      </c>
      <c r="F32" s="137" t="e">
        <f>'Учебный план'!#REF!</f>
        <v>#REF!</v>
      </c>
      <c r="G32" s="137" t="str">
        <f>'Учебный план'!I51</f>
        <v>5,6,8,9</v>
      </c>
      <c r="I32" s="138">
        <f>'Учебный план (заочная) '!D32</f>
        <v>0</v>
      </c>
      <c r="J32" s="138" t="str">
        <f>'Учебный план (заочная) '!E32</f>
        <v>4,5</v>
      </c>
      <c r="K32" s="138">
        <f>'Учебный план (заочная) '!F32</f>
        <v>0</v>
      </c>
      <c r="L32" s="138" t="str">
        <f>'Учебный план (заочная) '!H32</f>
        <v>5</v>
      </c>
      <c r="M32" s="138" t="str">
        <f>'Учебный план (заочная) '!I32</f>
        <v>3</v>
      </c>
    </row>
    <row r="33" spans="1:13" ht="42" customHeight="1" thickBot="1">
      <c r="A33" s="137" t="str">
        <f>'Учебный план'!B52</f>
        <v>Основы картографии и навигационные карты</v>
      </c>
      <c r="B33" s="137">
        <f>'Учебный план'!C52</f>
        <v>0</v>
      </c>
      <c r="C33" s="137">
        <f>'Учебный план'!D52</f>
        <v>0</v>
      </c>
      <c r="D33" s="137" t="str">
        <f>'Учебный план'!E52</f>
        <v>5</v>
      </c>
      <c r="E33" s="137">
        <f>'Учебный план'!H52</f>
        <v>0</v>
      </c>
      <c r="F33" s="137" t="e">
        <f>'Учебный план'!#REF!</f>
        <v>#REF!</v>
      </c>
      <c r="G33" s="137" t="str">
        <f>'Учебный план'!I52</f>
        <v>4</v>
      </c>
      <c r="I33" s="138">
        <f>'Учебный план (заочная) '!D33</f>
        <v>0</v>
      </c>
      <c r="J33" s="138" t="str">
        <f>'Учебный план (заочная) '!E33</f>
        <v>3</v>
      </c>
      <c r="K33" s="138">
        <f>'Учебный план (заочная) '!F33</f>
        <v>0</v>
      </c>
      <c r="L33" s="138">
        <f>'Учебный план (заочная) '!H33</f>
        <v>0</v>
      </c>
      <c r="M33" s="138" t="str">
        <f>'Учебный план (заочная) '!I33</f>
        <v>2</v>
      </c>
    </row>
    <row r="34" spans="1:13" ht="38.25" customHeight="1" thickBot="1">
      <c r="A34" s="137" t="str">
        <f>'Учебный план'!B53</f>
        <v>Навигационная гидрометеорология</v>
      </c>
      <c r="B34" s="137">
        <f>'Учебный план'!C53</f>
        <v>0</v>
      </c>
      <c r="C34" s="137">
        <f>'Учебный план'!D53</f>
        <v>0</v>
      </c>
      <c r="D34" s="137" t="str">
        <f>'Учебный план'!E53</f>
        <v>8</v>
      </c>
      <c r="E34" s="137">
        <f>'Учебный план'!H53</f>
        <v>0</v>
      </c>
      <c r="F34" s="137" t="e">
        <f>'Учебный план'!#REF!</f>
        <v>#REF!</v>
      </c>
      <c r="G34" s="137" t="str">
        <f>'Учебный план'!I53</f>
        <v>6,7</v>
      </c>
      <c r="I34" s="138">
        <f>'Учебный план (заочная) '!D34</f>
        <v>0</v>
      </c>
      <c r="J34" s="138" t="str">
        <f>'Учебный план (заочная) '!E34</f>
        <v>5</v>
      </c>
      <c r="K34" s="138">
        <f>'Учебный план (заочная) '!F34</f>
        <v>0</v>
      </c>
      <c r="L34" s="138">
        <f>'Учебный план (заочная) '!H34</f>
        <v>0</v>
      </c>
      <c r="M34" s="138">
        <f>'Учебный план (заочная) '!I34</f>
        <v>0</v>
      </c>
    </row>
    <row r="35" spans="1:13" ht="38.25" customHeight="1" thickBot="1">
      <c r="A35" s="137" t="str">
        <f>'Учебный план'!B54</f>
        <v>Мореходная астрономия</v>
      </c>
      <c r="B35" s="137">
        <f>'Учебный план'!C54</f>
        <v>0</v>
      </c>
      <c r="C35" s="137" t="str">
        <f>'Учебный план'!D54</f>
        <v>8</v>
      </c>
      <c r="D35" s="137">
        <f>'Учебный план'!E54</f>
        <v>0</v>
      </c>
      <c r="E35" s="137">
        <f>'Учебный план'!H54</f>
        <v>0</v>
      </c>
      <c r="F35" s="137" t="e">
        <f>'Учебный план'!#REF!</f>
        <v>#REF!</v>
      </c>
      <c r="G35" s="137" t="str">
        <f>'Учебный план'!I54</f>
        <v>6,7</v>
      </c>
      <c r="I35" s="138" t="str">
        <f>'Учебный план (заочная) '!D35</f>
        <v>4</v>
      </c>
      <c r="J35" s="138">
        <f>'Учебный план (заочная) '!E35</f>
        <v>0</v>
      </c>
      <c r="K35" s="138">
        <f>'Учебный план (заочная) '!F35</f>
        <v>0</v>
      </c>
      <c r="L35" s="138">
        <f>'Учебный план (заочная) '!H35</f>
        <v>0</v>
      </c>
      <c r="M35" s="138" t="str">
        <f>'Учебный план (заочная) '!I35</f>
        <v>3</v>
      </c>
    </row>
    <row r="36" spans="1:13" ht="56.25" customHeight="1" thickBot="1">
      <c r="A36" s="137" t="str">
        <f>'Учебный план'!B55</f>
        <v>Тренажерная подготовка. Использование ЭКНИС</v>
      </c>
      <c r="B36" s="137" t="str">
        <f>'Учебный план'!C55</f>
        <v>ЭКНИС</v>
      </c>
      <c r="C36" s="137">
        <f>'Учебный план'!D55</f>
        <v>0</v>
      </c>
      <c r="D36" s="137">
        <f>'Учебный план'!E55</f>
        <v>0</v>
      </c>
      <c r="E36" s="137">
        <f>'Учебный план'!H55</f>
        <v>0</v>
      </c>
      <c r="F36" s="137" t="e">
        <f>'Учебный план'!#REF!</f>
        <v>#REF!</v>
      </c>
      <c r="G36" s="137">
        <f>'Учебный план'!I55</f>
        <v>0</v>
      </c>
      <c r="I36" s="138">
        <f>'Учебный план (заочная) '!D36</f>
        <v>0</v>
      </c>
      <c r="J36" s="138">
        <f>'Учебный план (заочная) '!E36</f>
        <v>0</v>
      </c>
      <c r="K36" s="138" t="str">
        <f>'Учебный план (заочная) '!F36</f>
        <v>3</v>
      </c>
      <c r="L36" s="138">
        <f>'Учебный план (заочная) '!H36</f>
        <v>0</v>
      </c>
      <c r="M36" s="138">
        <f>'Учебный план (заочная) '!I36</f>
        <v>0</v>
      </c>
    </row>
    <row r="37" spans="1:13" ht="64.5" thickBot="1">
      <c r="A37" s="135" t="str">
        <f>'Учебный план'!B56</f>
        <v>Управление судном и технические средства судовождения</v>
      </c>
      <c r="B37" s="135">
        <f>'Учебный план'!C56</f>
        <v>0</v>
      </c>
      <c r="C37" s="135">
        <f>'Учебный план'!D56</f>
        <v>0</v>
      </c>
      <c r="D37" s="135">
        <f>'Учебный план'!E56</f>
        <v>0</v>
      </c>
      <c r="E37" s="135">
        <f>'Учебный план'!H56</f>
        <v>0</v>
      </c>
      <c r="F37" s="135" t="e">
        <f>'Учебный план'!#REF!</f>
        <v>#REF!</v>
      </c>
      <c r="G37" s="135">
        <f>'Учебный план'!I56</f>
        <v>0</v>
      </c>
      <c r="H37" s="140"/>
      <c r="I37" s="136">
        <f>'Учебный план (заочная) '!D37</f>
        <v>0</v>
      </c>
      <c r="J37" s="136">
        <f>'Учебный план (заочная) '!E37</f>
        <v>0</v>
      </c>
      <c r="K37" s="136">
        <f>'Учебный план (заочная) '!F37</f>
        <v>0</v>
      </c>
      <c r="L37" s="136">
        <f>'Учебный план (заочная) '!H37</f>
        <v>0</v>
      </c>
      <c r="M37" s="136">
        <f>'Учебный план (заочная) '!I37</f>
        <v>0</v>
      </c>
    </row>
    <row r="38" spans="1:13" ht="32.25" customHeight="1" thickBot="1">
      <c r="A38" s="137" t="str">
        <f>'Учебный план'!B57</f>
        <v>Управление судном</v>
      </c>
      <c r="B38" s="137">
        <f>'Учебный план'!C57</f>
        <v>0</v>
      </c>
      <c r="C38" s="137">
        <f>'Учебный план'!D57</f>
        <v>0</v>
      </c>
      <c r="D38" s="137" t="str">
        <f>'Учебный план'!E57</f>
        <v>7</v>
      </c>
      <c r="E38" s="137">
        <f>'Учебный план'!H57</f>
        <v>0</v>
      </c>
      <c r="F38" s="137" t="e">
        <f>'Учебный план'!#REF!</f>
        <v>#REF!</v>
      </c>
      <c r="G38" s="137" t="str">
        <f>'Учебный план'!I57</f>
        <v>6</v>
      </c>
      <c r="I38" s="138">
        <f>'Учебный план (заочная) '!D38</f>
        <v>0</v>
      </c>
      <c r="J38" s="138" t="str">
        <f>'Учебный план (заочная) '!E38</f>
        <v>4</v>
      </c>
      <c r="K38" s="138">
        <f>'Учебный план (заочная) '!F38</f>
        <v>0</v>
      </c>
      <c r="L38" s="138">
        <f>'Учебный план (заочная) '!H38</f>
        <v>0</v>
      </c>
      <c r="M38" s="138" t="str">
        <f>'Учебный план (заочная) '!I38</f>
        <v>3</v>
      </c>
    </row>
    <row r="39" spans="1:13" ht="45.75" customHeight="1" thickBot="1">
      <c r="A39" s="137" t="str">
        <f>'Учебный план'!B58</f>
        <v>Радионавигационные системы </v>
      </c>
      <c r="B39" s="137" t="str">
        <f>'Учебный план'!C58</f>
        <v>РНС</v>
      </c>
      <c r="C39" s="137">
        <f>'Учебный план'!D58</f>
        <v>0</v>
      </c>
      <c r="D39" s="137" t="str">
        <f>'Учебный план'!E58</f>
        <v>5</v>
      </c>
      <c r="E39" s="137">
        <f>'Учебный план'!H58</f>
        <v>0</v>
      </c>
      <c r="F39" s="137" t="e">
        <f>'Учебный план'!#REF!</f>
        <v>#REF!</v>
      </c>
      <c r="G39" s="137" t="str">
        <f>'Учебный план'!I58</f>
        <v>4</v>
      </c>
      <c r="I39" s="138">
        <f>'Учебный план (заочная) '!D39</f>
        <v>0</v>
      </c>
      <c r="J39" s="138" t="str">
        <f>'Учебный план (заочная) '!E39</f>
        <v>3</v>
      </c>
      <c r="K39" s="138">
        <f>'Учебный план (заочная) '!F39</f>
        <v>0</v>
      </c>
      <c r="L39" s="138">
        <f>'Учебный план (заочная) '!H39</f>
        <v>0</v>
      </c>
      <c r="M39" s="138">
        <f>'Учебный план (заочная) '!I39</f>
        <v>0</v>
      </c>
    </row>
    <row r="40" spans="1:13" ht="53.25" customHeight="1" thickBot="1">
      <c r="A40" s="137" t="str">
        <f>'Учебный план'!B59</f>
        <v>Электронавигационные приборы и системы</v>
      </c>
      <c r="B40" s="137" t="str">
        <f>'Учебный план'!C59</f>
        <v>ЭНПиС</v>
      </c>
      <c r="C40" s="137" t="str">
        <f>'Учебный план'!D59</f>
        <v>6</v>
      </c>
      <c r="D40" s="137">
        <f>'Учебный план'!E59</f>
        <v>0</v>
      </c>
      <c r="E40" s="137">
        <f>'Учебный план'!H59</f>
        <v>0</v>
      </c>
      <c r="F40" s="137" t="e">
        <f>'Учебный план'!#REF!</f>
        <v>#REF!</v>
      </c>
      <c r="G40" s="137" t="str">
        <f>'Учебный план'!I59</f>
        <v>4,5</v>
      </c>
      <c r="I40" s="138" t="str">
        <f>'Учебный план (заочная) '!D40</f>
        <v>4</v>
      </c>
      <c r="J40" s="138">
        <f>'Учебный план (заочная) '!E40</f>
        <v>0</v>
      </c>
      <c r="K40" s="138">
        <f>'Учебный план (заочная) '!F40</f>
        <v>0</v>
      </c>
      <c r="L40" s="138">
        <f>'Учебный план (заочная) '!H40</f>
        <v>0</v>
      </c>
      <c r="M40" s="138" t="str">
        <f>'Учебный план (заочная) '!I40</f>
        <v>3</v>
      </c>
    </row>
    <row r="41" spans="1:13" ht="58.5" customHeight="1" thickBot="1">
      <c r="A41" s="137" t="str">
        <f>'Учебный план'!B60</f>
        <v>Тренажерная подготовка. Использование РЛС и САРП</v>
      </c>
      <c r="B41" s="137" t="str">
        <f>'Учебный план'!C60</f>
        <v>РЛС и САРП</v>
      </c>
      <c r="C41" s="137">
        <f>'Учебный план'!D60</f>
        <v>0</v>
      </c>
      <c r="D41" s="137">
        <f>'Учебный план'!E60</f>
        <v>0</v>
      </c>
      <c r="E41" s="137">
        <f>'Учебный план'!H60</f>
        <v>0</v>
      </c>
      <c r="F41" s="137" t="e">
        <f>'Учебный план'!#REF!</f>
        <v>#REF!</v>
      </c>
      <c r="G41" s="137" t="str">
        <f>'Учебный план'!I60</f>
        <v>9</v>
      </c>
      <c r="I41" s="138">
        <f>'Учебный план (заочная) '!D41</f>
        <v>0</v>
      </c>
      <c r="J41" s="138">
        <f>'Учебный план (заочная) '!E41</f>
        <v>0</v>
      </c>
      <c r="K41" s="138" t="str">
        <f>'Учебный план (заочная) '!F41</f>
        <v>5</v>
      </c>
      <c r="L41" s="138">
        <f>'Учебный план (заочная) '!H41</f>
        <v>0</v>
      </c>
      <c r="M41" s="138">
        <f>'Учебный план (заочная) '!I41</f>
        <v>0</v>
      </c>
    </row>
    <row r="42" spans="1:13" ht="69.75" customHeight="1" thickBot="1">
      <c r="A42" s="137" t="str">
        <f>'Учебный план'!B62</f>
        <v>Оператор связи ГМССБ</v>
      </c>
      <c r="B42" s="137" t="str">
        <f>'Учебный план'!C62</f>
        <v>ГМССБ</v>
      </c>
      <c r="C42" s="137">
        <f>'Учебный план'!D62</f>
        <v>0</v>
      </c>
      <c r="D42" s="137">
        <f>'Учебный план'!E62</f>
        <v>0</v>
      </c>
      <c r="E42" s="137">
        <f>'Учебный план'!H62</f>
        <v>0</v>
      </c>
      <c r="F42" s="137" t="e">
        <f>'Учебный план'!#REF!</f>
        <v>#REF!</v>
      </c>
      <c r="G42" s="137" t="str">
        <f>'Учебный план'!I62</f>
        <v>9</v>
      </c>
      <c r="I42" s="138">
        <f>'Учебный план (заочная) '!D43</f>
        <v>0</v>
      </c>
      <c r="J42" s="138">
        <f>'Учебный план (заочная) '!E43</f>
        <v>0</v>
      </c>
      <c r="K42" s="138" t="str">
        <f>'Учебный план (заочная) '!F43</f>
        <v>5</v>
      </c>
      <c r="L42" s="138">
        <f>'Учебный план (заочная) '!H43</f>
        <v>0</v>
      </c>
      <c r="M42" s="138">
        <f>'Учебный план (заочная) '!I43</f>
        <v>0</v>
      </c>
    </row>
    <row r="43" spans="1:13" ht="64.5" thickBot="1">
      <c r="A43" s="135" t="str">
        <f>'Учебный план'!B63</f>
        <v>Судовые энергетические установки и электрооборудование судов</v>
      </c>
      <c r="B43" s="135">
        <f>'Учебный план'!C63</f>
        <v>0</v>
      </c>
      <c r="C43" s="135">
        <f>'Учебный план'!D63</f>
        <v>0</v>
      </c>
      <c r="D43" s="135">
        <f>'Учебный план'!E63</f>
        <v>0</v>
      </c>
      <c r="E43" s="135">
        <f>'Учебный план'!H63</f>
        <v>0</v>
      </c>
      <c r="F43" s="135" t="e">
        <f>'Учебный план'!#REF!</f>
        <v>#REF!</v>
      </c>
      <c r="G43" s="135">
        <f>'Учебный план'!I63</f>
        <v>0</v>
      </c>
      <c r="H43" s="140"/>
      <c r="I43" s="136">
        <f>'Учебный план (заочная) '!D44</f>
        <v>0</v>
      </c>
      <c r="J43" s="136">
        <f>'Учебный план (заочная) '!E44</f>
        <v>0</v>
      </c>
      <c r="K43" s="136">
        <f>'Учебный план (заочная) '!F44</f>
        <v>0</v>
      </c>
      <c r="L43" s="136">
        <f>'Учебный план (заочная) '!H44</f>
        <v>0</v>
      </c>
      <c r="M43" s="136">
        <f>'Учебный план (заочная) '!I44</f>
        <v>0</v>
      </c>
    </row>
    <row r="44" spans="1:13" ht="51.75" thickBot="1">
      <c r="A44" s="137" t="str">
        <f>'Учебный план'!B64</f>
        <v>Судовые вспомогательные механизмы и системы</v>
      </c>
      <c r="B44" s="137" t="str">
        <f>'Учебный план'!C64</f>
        <v>СВМиС</v>
      </c>
      <c r="C44" s="137">
        <f>'Учебный план'!D64</f>
        <v>0</v>
      </c>
      <c r="D44" s="137" t="str">
        <f>'Учебный план'!E64</f>
        <v>5</v>
      </c>
      <c r="E44" s="137">
        <f>'Учебный план'!H64</f>
        <v>0</v>
      </c>
      <c r="F44" s="137" t="e">
        <f>'Учебный план'!#REF!</f>
        <v>#REF!</v>
      </c>
      <c r="G44" s="137" t="str">
        <f>'Учебный план'!I64</f>
        <v>4</v>
      </c>
      <c r="I44" s="138">
        <f>'Учебный план (заочная) '!D45</f>
        <v>0</v>
      </c>
      <c r="J44" s="138" t="str">
        <f>'Учебный план (заочная) '!E45</f>
        <v>3</v>
      </c>
      <c r="K44" s="138">
        <f>'Учебный план (заочная) '!F45</f>
        <v>0</v>
      </c>
      <c r="L44" s="138">
        <f>'Учебный план (заочная) '!H45</f>
        <v>0</v>
      </c>
      <c r="M44" s="138" t="str">
        <f>'Учебный план (заочная) '!I45</f>
        <v>2</v>
      </c>
    </row>
    <row r="45" spans="1:13" ht="90" thickBot="1">
      <c r="A45" s="137" t="str">
        <f>'Учебный план'!B65</f>
        <v>Судовые энергетические установки (включая тренажер вахтенного механика)</v>
      </c>
      <c r="B45" s="137" t="str">
        <f>'Учебный план'!C65</f>
        <v>СЭУ</v>
      </c>
      <c r="C45" s="137">
        <f>'Учебный план'!D65</f>
        <v>0</v>
      </c>
      <c r="D45" s="137" t="str">
        <f>'Учебный план'!E65</f>
        <v>6,Х</v>
      </c>
      <c r="E45" s="137">
        <f>'Учебный план'!H65</f>
        <v>0</v>
      </c>
      <c r="F45" s="137" t="e">
        <f>'Учебный план'!#REF!</f>
        <v>#REF!</v>
      </c>
      <c r="G45" s="137" t="str">
        <f>'Учебный план'!I65</f>
        <v>4,5,7,8,9</v>
      </c>
      <c r="I45" s="138">
        <f>'Учебный план (заочная) '!D46</f>
        <v>0</v>
      </c>
      <c r="J45" s="138" t="str">
        <f>'Учебный план (заочная) '!E46</f>
        <v>3,,5</v>
      </c>
      <c r="K45" s="138">
        <f>'Учебный план (заочная) '!F46</f>
        <v>0</v>
      </c>
      <c r="L45" s="138">
        <f>'Учебный план (заочная) '!H46</f>
        <v>0</v>
      </c>
      <c r="M45" s="138" t="str">
        <f>'Учебный план (заочная) '!I46</f>
        <v>2,4</v>
      </c>
    </row>
    <row r="46" spans="1:13" ht="64.5" thickBot="1">
      <c r="A46" s="137" t="str">
        <f>'Учебный план'!B66</f>
        <v>Судовая автоматика и контрольно-измерительные приборы</v>
      </c>
      <c r="B46" s="137" t="str">
        <f>'Учебный план'!C66</f>
        <v>САиКИП</v>
      </c>
      <c r="C46" s="137">
        <f>'Учебный план'!D66</f>
        <v>0</v>
      </c>
      <c r="D46" s="137" t="str">
        <f>'Учебный план'!E66</f>
        <v>6</v>
      </c>
      <c r="E46" s="137">
        <f>'Учебный план'!H66</f>
        <v>0</v>
      </c>
      <c r="F46" s="137" t="e">
        <f>'Учебный план'!#REF!</f>
        <v>#REF!</v>
      </c>
      <c r="G46" s="137" t="str">
        <f>'Учебный план'!I66</f>
        <v>5</v>
      </c>
      <c r="I46" s="138">
        <f>'Учебный план (заочная) '!D47</f>
        <v>0</v>
      </c>
      <c r="J46" s="138" t="str">
        <f>'Учебный план (заочная) '!E47</f>
        <v>4</v>
      </c>
      <c r="K46" s="138">
        <f>'Учебный план (заочная) '!F47</f>
        <v>0</v>
      </c>
      <c r="L46" s="138">
        <f>'Учебный план (заочная) '!H47</f>
        <v>0</v>
      </c>
      <c r="M46" s="138">
        <f>'Учебный план (заочная) '!I47</f>
        <v>0</v>
      </c>
    </row>
    <row r="47" spans="1:13" ht="64.5" thickBot="1">
      <c r="A47" s="137" t="str">
        <f>'Учебный план'!B67</f>
        <v>Обслуживание и ремонт судовых энергетических установок</v>
      </c>
      <c r="B47" s="137">
        <f>'Учебный план'!C67</f>
        <v>0</v>
      </c>
      <c r="C47" s="137">
        <f>'Учебный план'!D67</f>
        <v>0</v>
      </c>
      <c r="D47" s="137" t="str">
        <f>'Учебный план'!E67</f>
        <v>Х</v>
      </c>
      <c r="E47" s="137">
        <f>'Учебный план'!H67</f>
        <v>0</v>
      </c>
      <c r="F47" s="137" t="e">
        <f>'Учебный план'!#REF!</f>
        <v>#REF!</v>
      </c>
      <c r="G47" s="137" t="str">
        <f>'Учебный план'!I67</f>
        <v>9</v>
      </c>
      <c r="I47" s="138">
        <f>'Учебный план (заочная) '!D48</f>
        <v>0</v>
      </c>
      <c r="J47" s="138" t="str">
        <f>'Учебный план (заочная) '!E48</f>
        <v>5</v>
      </c>
      <c r="K47" s="138">
        <f>'Учебный план (заочная) '!F48</f>
        <v>0</v>
      </c>
      <c r="L47" s="138">
        <f>'Учебный план (заочная) '!H48</f>
        <v>0</v>
      </c>
      <c r="M47" s="138" t="str">
        <f>'Учебный план (заочная) '!I48</f>
        <v>5</v>
      </c>
    </row>
    <row r="48" spans="1:13" ht="26.25" thickBot="1">
      <c r="A48" s="137" t="str">
        <f>'Учебный план'!B68</f>
        <v>Электрооборудование судов</v>
      </c>
      <c r="B48" s="137">
        <f>'Учебный план'!C68</f>
        <v>0</v>
      </c>
      <c r="C48" s="137">
        <f>'Учебный план'!D68</f>
        <v>0</v>
      </c>
      <c r="D48" s="137" t="str">
        <f>'Учебный план'!E68</f>
        <v>6</v>
      </c>
      <c r="E48" s="137">
        <f>'Учебный план'!H68</f>
        <v>0</v>
      </c>
      <c r="F48" s="137" t="e">
        <f>'Учебный план'!#REF!</f>
        <v>#REF!</v>
      </c>
      <c r="G48" s="137">
        <f>'Учебный план'!I68</f>
        <v>0</v>
      </c>
      <c r="I48" s="138">
        <f>'Учебный план (заочная) '!D49</f>
        <v>0</v>
      </c>
      <c r="J48" s="138" t="str">
        <f>'Учебный план (заочная) '!E49</f>
        <v>3</v>
      </c>
      <c r="K48" s="138">
        <f>'Учебный план (заочная) '!F49</f>
        <v>0</v>
      </c>
      <c r="L48" s="138">
        <f>'Учебный план (заочная) '!H49</f>
        <v>0</v>
      </c>
      <c r="M48" s="138">
        <f>'Учебный план (заочная) '!I49</f>
        <v>0</v>
      </c>
    </row>
    <row r="49" spans="1:13" ht="77.25" thickBot="1">
      <c r="A49" s="137" t="str">
        <f>'Учебный план'!B69</f>
        <v>Обслуживание и ремонт судового электрического и электронного оборудования</v>
      </c>
      <c r="B49" s="137">
        <f>'Учебный план'!C69</f>
        <v>0</v>
      </c>
      <c r="C49" s="137">
        <f>'Учебный план'!D69</f>
        <v>0</v>
      </c>
      <c r="D49" s="137" t="str">
        <f>'Учебный план'!E69</f>
        <v>7</v>
      </c>
      <c r="E49" s="137">
        <f>'Учебный план'!H69</f>
        <v>0</v>
      </c>
      <c r="F49" s="137" t="e">
        <f>'Учебный план'!#REF!</f>
        <v>#REF!</v>
      </c>
      <c r="G49" s="137">
        <f>'Учебный план'!I69</f>
        <v>0</v>
      </c>
      <c r="I49" s="138">
        <f>'Учебный план (заочная) '!D50</f>
        <v>0</v>
      </c>
      <c r="J49" s="138" t="str">
        <f>'Учебный план (заочная) '!E50</f>
        <v>4</v>
      </c>
      <c r="K49" s="138">
        <f>'Учебный план (заочная) '!F50</f>
        <v>0</v>
      </c>
      <c r="L49" s="138">
        <f>'Учебный план (заочная) '!H50</f>
        <v>0</v>
      </c>
      <c r="M49" s="138">
        <f>'Учебный план (заочная) '!I50</f>
        <v>0</v>
      </c>
    </row>
    <row r="50" spans="1:13" ht="39" thickBot="1">
      <c r="A50" s="135" t="str">
        <f>'Учебный план'!B70</f>
        <v>Судовождение на внутренних водных путях</v>
      </c>
      <c r="B50" s="135">
        <f>'Учебный план'!C70</f>
        <v>0</v>
      </c>
      <c r="C50" s="135">
        <f>'Учебный план'!D70</f>
        <v>0</v>
      </c>
      <c r="D50" s="135">
        <f>'Учебный план'!E70</f>
        <v>0</v>
      </c>
      <c r="E50" s="135">
        <f>'Учебный план'!H70</f>
        <v>0</v>
      </c>
      <c r="F50" s="135" t="e">
        <f>'Учебный план'!#REF!</f>
        <v>#REF!</v>
      </c>
      <c r="G50" s="135">
        <f>'Учебный план'!I70</f>
        <v>0</v>
      </c>
      <c r="H50" s="140"/>
      <c r="I50" s="136">
        <f>'Учебный план (заочная) '!D51</f>
        <v>0</v>
      </c>
      <c r="J50" s="136">
        <f>'Учебный план (заочная) '!E51</f>
        <v>0</v>
      </c>
      <c r="K50" s="136">
        <f>'Учебный план (заочная) '!F51</f>
        <v>0</v>
      </c>
      <c r="L50" s="136">
        <f>'Учебный план (заочная) '!H51</f>
        <v>0</v>
      </c>
      <c r="M50" s="136">
        <f>'Учебный план (заочная) '!I51</f>
        <v>0</v>
      </c>
    </row>
    <row r="51" spans="1:13" ht="51.75" thickBot="1">
      <c r="A51" s="137" t="str">
        <f>'Учебный план'!B71</f>
        <v>Правила плавания и управление судами на ВВП</v>
      </c>
      <c r="B51" s="137">
        <f>'Учебный план'!C71</f>
        <v>0</v>
      </c>
      <c r="C51" s="137" t="str">
        <f>'Учебный план'!D71</f>
        <v>6</v>
      </c>
      <c r="D51" s="137" t="str">
        <f>'Учебный план'!E71</f>
        <v>8</v>
      </c>
      <c r="E51" s="137" t="str">
        <f>'Учебный план'!H71</f>
        <v>8</v>
      </c>
      <c r="F51" s="137" t="e">
        <f>'Учебный план'!#REF!</f>
        <v>#REF!</v>
      </c>
      <c r="G51" s="137" t="str">
        <f>'Учебный план'!I71</f>
        <v>4,5,7</v>
      </c>
      <c r="I51" s="138" t="str">
        <f>'Учебный план (заочная) '!D52</f>
        <v>4</v>
      </c>
      <c r="J51" s="138" t="str">
        <f>'Учебный план (заочная) '!E52</f>
        <v>5</v>
      </c>
      <c r="K51" s="138">
        <f>'Учебный план (заочная) '!F52</f>
        <v>0</v>
      </c>
      <c r="L51" s="138" t="str">
        <f>'Учебный план (заочная) '!H52</f>
        <v>5</v>
      </c>
      <c r="M51" s="138" t="str">
        <f>'Учебный план (заочная) '!I52</f>
        <v>2,3</v>
      </c>
    </row>
    <row r="52" spans="1:13" ht="39" thickBot="1">
      <c r="A52" s="137" t="str">
        <f>'Учебный план'!B72</f>
        <v>Лоция внутренних водных путей</v>
      </c>
      <c r="B52" s="137" t="str">
        <f>'Учебный план'!C72</f>
        <v>Лоция ВВП</v>
      </c>
      <c r="C52" s="137">
        <f>'Учебный план'!D72</f>
        <v>0</v>
      </c>
      <c r="D52" s="137" t="str">
        <f>'Учебный план'!E72</f>
        <v>5</v>
      </c>
      <c r="E52" s="137">
        <f>'Учебный план'!H72</f>
        <v>0</v>
      </c>
      <c r="F52" s="137" t="e">
        <f>'Учебный план'!#REF!</f>
        <v>#REF!</v>
      </c>
      <c r="G52" s="137" t="str">
        <f>'Учебный план'!I72</f>
        <v>4</v>
      </c>
      <c r="I52" s="138">
        <f>'Учебный план (заочная) '!D53</f>
        <v>0</v>
      </c>
      <c r="J52" s="138" t="str">
        <f>'Учебный план (заочная) '!E53</f>
        <v>3</v>
      </c>
      <c r="K52" s="138">
        <f>'Учебный план (заочная) '!F53</f>
        <v>0</v>
      </c>
      <c r="L52" s="138">
        <f>'Учебный план (заочная) '!H53</f>
        <v>0</v>
      </c>
      <c r="M52" s="138" t="str">
        <f>'Учебный план (заочная) '!I53</f>
        <v>2</v>
      </c>
    </row>
    <row r="53" spans="1:13" ht="26.25" thickBot="1">
      <c r="A53" s="137" t="str">
        <f>'Учебный план'!B73</f>
        <v>Использование РЛС на ВВП</v>
      </c>
      <c r="B53" s="137" t="str">
        <f>'Учебный план'!C73</f>
        <v>РЛС на ВВП</v>
      </c>
      <c r="C53" s="137">
        <f>'Учебный план'!D73</f>
        <v>0</v>
      </c>
      <c r="D53" s="137">
        <f>'Учебный план'!E73</f>
        <v>0</v>
      </c>
      <c r="E53" s="137">
        <f>'Учебный план'!H73</f>
        <v>0</v>
      </c>
      <c r="F53" s="137" t="e">
        <f>'Учебный план'!#REF!</f>
        <v>#REF!</v>
      </c>
      <c r="G53" s="137" t="str">
        <f>'Учебный план'!I73</f>
        <v>5</v>
      </c>
      <c r="I53" s="138">
        <f>'Учебный план (заочная) '!D54</f>
        <v>0</v>
      </c>
      <c r="J53" s="138">
        <f>'Учебный план (заочная) '!E54</f>
        <v>0</v>
      </c>
      <c r="K53" s="138" t="str">
        <f>'Учебный план (заочная) '!F54</f>
        <v>4</v>
      </c>
      <c r="L53" s="138">
        <f>'Учебный план (заочная) '!H54</f>
        <v>0</v>
      </c>
      <c r="M53" s="138">
        <f>'Учебный план (заочная) '!I54</f>
        <v>0</v>
      </c>
    </row>
    <row r="54" spans="1:13" ht="13.5" thickBot="1">
      <c r="A54" s="137">
        <f>'Учебный план'!B74</f>
        <v>0</v>
      </c>
      <c r="B54" s="137">
        <f>'Учебный план'!C74</f>
        <v>0</v>
      </c>
      <c r="C54" s="137" t="str">
        <f>'Учебный план'!D74</f>
        <v>Х</v>
      </c>
      <c r="D54" s="137">
        <f>'Учебный план'!E74</f>
        <v>0</v>
      </c>
      <c r="E54" s="137">
        <f>'Учебный план'!H74</f>
        <v>0</v>
      </c>
      <c r="F54" s="137" t="e">
        <f>'Учебный план'!#REF!</f>
        <v>#REF!</v>
      </c>
      <c r="G54" s="137">
        <f>'Учебный план'!I74</f>
        <v>0</v>
      </c>
      <c r="I54" s="138" t="str">
        <f>'Учебный план (заочная) '!D55</f>
        <v>5</v>
      </c>
      <c r="J54" s="138">
        <f>'Учебный план (заочная) '!E55</f>
        <v>0</v>
      </c>
      <c r="K54" s="138">
        <f>'Учебный план (заочная) '!F55</f>
        <v>0</v>
      </c>
      <c r="L54" s="138">
        <f>'Учебный план (заочная) '!H55</f>
        <v>0</v>
      </c>
      <c r="M54" s="138">
        <f>'Учебный план (заочная) '!I55</f>
        <v>0</v>
      </c>
    </row>
    <row r="55" spans="1:13" ht="39" thickBot="1">
      <c r="A55" s="135" t="str">
        <f>'Учебный план'!B75</f>
        <v>Обеспечение безопасности плавания</v>
      </c>
      <c r="B55" s="135">
        <f>'Учебный план'!C75</f>
        <v>0</v>
      </c>
      <c r="C55" s="135">
        <f>'Учебный план'!D75</f>
        <v>0</v>
      </c>
      <c r="D55" s="135">
        <f>'Учебный план'!E75</f>
        <v>0</v>
      </c>
      <c r="E55" s="135">
        <f>'Учебный план'!H75</f>
        <v>0</v>
      </c>
      <c r="F55" s="135" t="e">
        <f>'Учебный план'!#REF!</f>
        <v>#REF!</v>
      </c>
      <c r="G55" s="135">
        <f>'Учебный план'!I75</f>
        <v>0</v>
      </c>
      <c r="H55" s="140"/>
      <c r="I55" s="136">
        <f>'Учебный план (заочная) '!D56</f>
        <v>0</v>
      </c>
      <c r="J55" s="136">
        <f>'Учебный план (заочная) '!E56</f>
        <v>0</v>
      </c>
      <c r="K55" s="136">
        <f>'Учебный план (заочная) '!F56</f>
        <v>0</v>
      </c>
      <c r="L55" s="136">
        <f>'Учебный план (заочная) '!H56</f>
        <v>0</v>
      </c>
      <c r="M55" s="136">
        <f>'Учебный план (заочная) '!I56</f>
        <v>0</v>
      </c>
    </row>
    <row r="56" spans="1:13" ht="64.5" thickBot="1">
      <c r="A56" s="135" t="str">
        <f>'Учебный план'!B76</f>
        <v>Безопасность жизнедеятельности на судне и транспортная безопасность</v>
      </c>
      <c r="B56" s="135">
        <f>'Учебный план'!C76</f>
        <v>0</v>
      </c>
      <c r="C56" s="135">
        <f>'Учебный план'!D76</f>
        <v>0</v>
      </c>
      <c r="D56" s="135">
        <f>'Учебный план'!E76</f>
        <v>0</v>
      </c>
      <c r="E56" s="135">
        <f>'Учебный план'!H76</f>
        <v>0</v>
      </c>
      <c r="F56" s="135" t="e">
        <f>'Учебный план'!#REF!</f>
        <v>#REF!</v>
      </c>
      <c r="G56" s="135">
        <f>'Учебный план'!I76</f>
        <v>0</v>
      </c>
      <c r="H56" s="140"/>
      <c r="I56" s="136">
        <f>'Учебный план (заочная) '!D57</f>
        <v>0</v>
      </c>
      <c r="J56" s="136">
        <f>'Учебный план (заочная) '!E57</f>
        <v>0</v>
      </c>
      <c r="K56" s="136">
        <f>'Учебный план (заочная) '!F57</f>
        <v>0</v>
      </c>
      <c r="L56" s="136">
        <f>'Учебный план (заочная) '!H57</f>
        <v>0</v>
      </c>
      <c r="M56" s="136">
        <f>'Учебный план (заочная) '!I57</f>
        <v>0</v>
      </c>
    </row>
    <row r="57" spans="1:13" ht="39" thickBot="1">
      <c r="A57" s="137" t="str">
        <f>'Учебный план'!B77</f>
        <v>Безопасность жизнедеятельности на судне</v>
      </c>
      <c r="B57" s="137" t="str">
        <f>'Учебный план'!C77</f>
        <v>БЖС</v>
      </c>
      <c r="C57" s="137">
        <f>'Учебный план'!D77</f>
        <v>0</v>
      </c>
      <c r="D57" s="137">
        <f>'Учебный план'!E77</f>
        <v>0</v>
      </c>
      <c r="E57" s="137">
        <f>'Учебный план'!H77</f>
        <v>0</v>
      </c>
      <c r="F57" s="137" t="e">
        <f>'Учебный план'!#REF!</f>
        <v>#REF!</v>
      </c>
      <c r="G57" s="137" t="str">
        <f>'Учебный план'!I77</f>
        <v>3</v>
      </c>
      <c r="I57" s="138">
        <f>'Учебный план (заочная) '!D58</f>
        <v>0</v>
      </c>
      <c r="J57" s="138">
        <f>'Учебный план (заочная) '!E58</f>
        <v>0</v>
      </c>
      <c r="K57" s="138" t="str">
        <f>'Учебный план (заочная) '!F58</f>
        <v>2</v>
      </c>
      <c r="L57" s="138">
        <f>'Учебный план (заочная) '!H58</f>
        <v>0</v>
      </c>
      <c r="M57" s="138">
        <f>'Учебный план (заочная) '!I58</f>
        <v>0</v>
      </c>
    </row>
    <row r="58" spans="1:13" ht="26.25" thickBot="1">
      <c r="A58" s="137" t="str">
        <f>'Учебный план'!B78</f>
        <v>Транспортная безопасность</v>
      </c>
      <c r="B58" s="137">
        <f>'Учебный план'!C78</f>
        <v>0</v>
      </c>
      <c r="C58" s="137">
        <f>'Учебный план'!D78</f>
        <v>0</v>
      </c>
      <c r="D58" s="137" t="str">
        <f>'Учебный план'!E78</f>
        <v>Х</v>
      </c>
      <c r="E58" s="137">
        <f>'Учебный план'!H78</f>
        <v>0</v>
      </c>
      <c r="F58" s="137" t="e">
        <f>'Учебный план'!#REF!</f>
        <v>#REF!</v>
      </c>
      <c r="G58" s="137">
        <f>'Учебный план'!I78</f>
        <v>0</v>
      </c>
      <c r="I58" s="138">
        <f>'Учебный план (заочная) '!D59</f>
        <v>0</v>
      </c>
      <c r="J58" s="138" t="str">
        <f>'Учебный план (заочная) '!E59</f>
        <v>2</v>
      </c>
      <c r="K58" s="138">
        <f>'Учебный план (заочная) '!F59</f>
        <v>0</v>
      </c>
      <c r="L58" s="138">
        <f>'Учебный план (заочная) '!H59</f>
        <v>0</v>
      </c>
      <c r="M58" s="138">
        <f>'Учебный план (заочная) '!I59</f>
        <v>0</v>
      </c>
    </row>
    <row r="59" spans="1:13" ht="39" thickBot="1">
      <c r="A59" s="137" t="str">
        <f>'Учебный план'!B79</f>
        <v>Техника безопасности на судах</v>
      </c>
      <c r="B59" s="137">
        <f>'Учебный план'!C79</f>
        <v>0</v>
      </c>
      <c r="C59" s="137" t="str">
        <f>'Учебный план'!D79</f>
        <v>5</v>
      </c>
      <c r="D59" s="137">
        <f>'Учебный план'!E79</f>
        <v>0</v>
      </c>
      <c r="E59" s="137">
        <f>'Учебный план'!H79</f>
        <v>0</v>
      </c>
      <c r="F59" s="137" t="e">
        <f>'Учебный план'!#REF!</f>
        <v>#REF!</v>
      </c>
      <c r="G59" s="137">
        <f>'Учебный план'!I79</f>
        <v>0</v>
      </c>
      <c r="I59" s="138" t="str">
        <f>'Учебный план (заочная) '!D60</f>
        <v>2</v>
      </c>
      <c r="J59" s="138">
        <f>'Учебный план (заочная) '!E60</f>
        <v>0</v>
      </c>
      <c r="K59" s="138">
        <f>'Учебный план (заочная) '!F60</f>
        <v>0</v>
      </c>
      <c r="L59" s="138">
        <f>'Учебный план (заочная) '!H60</f>
        <v>0</v>
      </c>
      <c r="M59" s="138">
        <f>'Учебный план (заочная) '!I60</f>
        <v>0</v>
      </c>
    </row>
    <row r="60" spans="1:13" ht="13.5" thickBot="1">
      <c r="A60" s="137">
        <f>'Учебный план'!B80</f>
        <v>0</v>
      </c>
      <c r="B60" s="137">
        <f>'Учебный план'!C80</f>
        <v>0</v>
      </c>
      <c r="C60" s="137" t="str">
        <f>'Учебный план'!D80</f>
        <v>Х</v>
      </c>
      <c r="D60" s="137">
        <f>'Учебный план'!E80</f>
        <v>0</v>
      </c>
      <c r="E60" s="137">
        <f>'Учебный план'!H80</f>
        <v>0</v>
      </c>
      <c r="F60" s="137" t="e">
        <f>'Учебный план'!#REF!</f>
        <v>#REF!</v>
      </c>
      <c r="G60" s="137">
        <f>'Учебный план'!I80</f>
        <v>0</v>
      </c>
      <c r="I60" s="138" t="str">
        <f>'Учебный план (заочная) '!D61</f>
        <v>2</v>
      </c>
      <c r="J60" s="138">
        <f>'Учебный план (заочная) '!E61</f>
        <v>0</v>
      </c>
      <c r="K60" s="138">
        <f>'Учебный план (заочная) '!F61</f>
        <v>0</v>
      </c>
      <c r="L60" s="138">
        <f>'Учебный план (заочная) '!H61</f>
        <v>0</v>
      </c>
      <c r="M60" s="138">
        <f>'Учебный план (заочная) '!I61</f>
        <v>0</v>
      </c>
    </row>
    <row r="61" spans="1:13" ht="39" thickBot="1">
      <c r="A61" s="135" t="str">
        <f>'Учебный план'!B81</f>
        <v>Обработка и размещение груза</v>
      </c>
      <c r="B61" s="135">
        <f>'Учебный план'!C81</f>
        <v>0</v>
      </c>
      <c r="C61" s="135">
        <f>'Учебный план'!D81</f>
        <v>0</v>
      </c>
      <c r="D61" s="135">
        <f>'Учебный план'!E81</f>
        <v>0</v>
      </c>
      <c r="E61" s="135">
        <f>'Учебный план'!H81</f>
        <v>0</v>
      </c>
      <c r="F61" s="135" t="e">
        <f>'Учебный план'!#REF!</f>
        <v>#REF!</v>
      </c>
      <c r="G61" s="135">
        <f>'Учебный план'!I81</f>
        <v>0</v>
      </c>
      <c r="H61" s="140"/>
      <c r="I61" s="136">
        <f>'Учебный план (заочная) '!D62</f>
        <v>0</v>
      </c>
      <c r="J61" s="136">
        <f>'Учебный план (заочная) '!E62</f>
        <v>0</v>
      </c>
      <c r="K61" s="136">
        <f>'Учебный план (заочная) '!F62</f>
        <v>0</v>
      </c>
      <c r="L61" s="136">
        <f>'Учебный план (заочная) '!H62</f>
        <v>0</v>
      </c>
      <c r="M61" s="136">
        <f>'Учебный план (заочная) '!I62</f>
        <v>0</v>
      </c>
    </row>
    <row r="62" spans="1:13" ht="39" thickBot="1">
      <c r="A62" s="137" t="str">
        <f>'Учебный план'!B82</f>
        <v>Технология перевозки груза</v>
      </c>
      <c r="B62" s="137">
        <f>'Учебный план'!C82</f>
        <v>0</v>
      </c>
      <c r="C62" s="137">
        <f>'Учебный план'!D82</f>
        <v>0</v>
      </c>
      <c r="D62" s="137">
        <f>'Учебный план'!E82</f>
        <v>0</v>
      </c>
      <c r="E62" s="137">
        <f>'Учебный план'!H82</f>
        <v>0</v>
      </c>
      <c r="F62" s="137" t="e">
        <f>'Учебный план'!#REF!</f>
        <v>#REF!</v>
      </c>
      <c r="G62" s="137">
        <f>'Учебный план'!I82</f>
        <v>0</v>
      </c>
      <c r="I62" s="138">
        <f>'Учебный план (заочная) '!D63</f>
        <v>0</v>
      </c>
      <c r="J62" s="138">
        <f>'Учебный план (заочная) '!E63</f>
        <v>0</v>
      </c>
      <c r="K62" s="138">
        <f>'Учебный план (заочная) '!F63</f>
        <v>0</v>
      </c>
      <c r="L62" s="138">
        <f>'Учебный план (заочная) '!H63</f>
        <v>0</v>
      </c>
      <c r="M62" s="138">
        <f>'Учебный план (заочная) '!I63</f>
        <v>0</v>
      </c>
    </row>
    <row r="63" spans="1:13" ht="26.25" thickBot="1">
      <c r="A63" s="137" t="str">
        <f>'Учебный план'!B83</f>
        <v>Коммерческая эксплуатация</v>
      </c>
      <c r="B63" s="137">
        <f>'Учебный план'!C83</f>
        <v>0</v>
      </c>
      <c r="C63" s="137">
        <f>'Учебный план'!D83</f>
        <v>0</v>
      </c>
      <c r="D63" s="137" t="str">
        <f>'Учебный план'!E83</f>
        <v>8</v>
      </c>
      <c r="E63" s="137">
        <f>'Учебный план'!H83</f>
        <v>0</v>
      </c>
      <c r="F63" s="137" t="e">
        <f>'Учебный план'!#REF!</f>
        <v>#REF!</v>
      </c>
      <c r="G63" s="137" t="str">
        <f>'Учебный план'!I83</f>
        <v>7</v>
      </c>
      <c r="I63" s="138">
        <f>'Учебный план (заочная) '!D64</f>
        <v>0</v>
      </c>
      <c r="J63" s="138" t="str">
        <f>'Учебный план (заочная) '!E64</f>
        <v>3</v>
      </c>
      <c r="K63" s="138">
        <f>'Учебный план (заочная) '!F64</f>
        <v>0</v>
      </c>
      <c r="L63" s="138">
        <f>'Учебный план (заочная) '!H64</f>
        <v>0</v>
      </c>
      <c r="M63" s="138">
        <f>'Учебный план (заочная) '!I64</f>
        <v>0</v>
      </c>
    </row>
    <row r="64" spans="1:13" ht="26.25" thickBot="1">
      <c r="A64" s="137" t="str">
        <f>'Учебный план'!B84</f>
        <v>Технология перевозок</v>
      </c>
      <c r="B64" s="137">
        <f>'Учебный план'!C84</f>
        <v>0</v>
      </c>
      <c r="C64" s="137">
        <f>'Учебный план'!D84</f>
        <v>0</v>
      </c>
      <c r="D64" s="137" t="str">
        <f>'Учебный план'!E84</f>
        <v>8</v>
      </c>
      <c r="E64" s="137" t="str">
        <f>'Учебный план'!H84</f>
        <v>8</v>
      </c>
      <c r="F64" s="137" t="e">
        <f>'Учебный план'!#REF!</f>
        <v>#REF!</v>
      </c>
      <c r="G64" s="137" t="str">
        <f>'Учебный план'!I84</f>
        <v>7</v>
      </c>
      <c r="I64" s="138">
        <f>'Учебный план (заочная) '!D65</f>
        <v>0</v>
      </c>
      <c r="J64" s="138" t="str">
        <f>'Учебный план (заочная) '!E65</f>
        <v>4</v>
      </c>
      <c r="K64" s="138">
        <f>'Учебный план (заочная) '!F65</f>
        <v>0</v>
      </c>
      <c r="L64" s="138" t="str">
        <f>'Учебный план (заочная) '!H65</f>
        <v>4</v>
      </c>
      <c r="M64" s="138">
        <f>'Учебный план (заочная) '!I65</f>
        <v>0</v>
      </c>
    </row>
    <row r="65" spans="1:13" ht="13.5" thickBot="1">
      <c r="A65" s="137">
        <f>'Учебный план'!B85</f>
        <v>0</v>
      </c>
      <c r="B65" s="137">
        <f>'Учебный план'!C85</f>
        <v>0</v>
      </c>
      <c r="C65" s="137" t="str">
        <f>'Учебный план'!D85</f>
        <v>Х</v>
      </c>
      <c r="D65" s="137">
        <f>'Учебный план'!E85</f>
        <v>0</v>
      </c>
      <c r="E65" s="137">
        <f>'Учебный план'!H85</f>
        <v>0</v>
      </c>
      <c r="F65" s="137" t="e">
        <f>'Учебный план'!#REF!</f>
        <v>#REF!</v>
      </c>
      <c r="G65" s="137">
        <f>'Учебный план'!I85</f>
        <v>0</v>
      </c>
      <c r="I65" s="138" t="str">
        <f>'Учебный план (заочная) '!D66</f>
        <v>4</v>
      </c>
      <c r="J65" s="138">
        <f>'Учебный план (заочная) '!E66</f>
        <v>0</v>
      </c>
      <c r="K65" s="138">
        <f>'Учебный план (заочная) '!F66</f>
        <v>0</v>
      </c>
      <c r="L65" s="138">
        <f>'Учебный план (заочная) '!H66</f>
        <v>0</v>
      </c>
      <c r="M65" s="138">
        <f>'Учебный план (заочная) '!I66</f>
        <v>0</v>
      </c>
    </row>
    <row r="66" spans="1:13" ht="39" thickBot="1">
      <c r="A66" s="135" t="str">
        <f>'Учебный план'!B86</f>
        <v>Анализ эффективности работы судна</v>
      </c>
      <c r="B66" s="135">
        <f>'Учебный план'!C86</f>
        <v>0</v>
      </c>
      <c r="C66" s="135">
        <f>'Учебный план'!D86</f>
        <v>0</v>
      </c>
      <c r="D66" s="135">
        <f>'Учебный план'!E86</f>
        <v>0</v>
      </c>
      <c r="E66" s="135">
        <f>'Учебный план'!H86</f>
        <v>0</v>
      </c>
      <c r="F66" s="135" t="e">
        <f>'Учебный план'!#REF!</f>
        <v>#REF!</v>
      </c>
      <c r="G66" s="135">
        <f>'Учебный план'!I86</f>
        <v>0</v>
      </c>
      <c r="H66" s="140"/>
      <c r="I66" s="136">
        <f>'Учебный план (заочная) '!D67</f>
        <v>0</v>
      </c>
      <c r="J66" s="136">
        <f>'Учебный план (заочная) '!E67</f>
        <v>0</v>
      </c>
      <c r="K66" s="136">
        <f>'Учебный план (заочная) '!F67</f>
        <v>0</v>
      </c>
      <c r="L66" s="136">
        <f>'Учебный план (заочная) '!H67</f>
        <v>0</v>
      </c>
      <c r="M66" s="136">
        <f>'Учебный план (заочная) '!I67</f>
        <v>0</v>
      </c>
    </row>
    <row r="67" spans="1:13" ht="90" thickBot="1">
      <c r="A67" s="137" t="str">
        <f>'Учебный план'!B87</f>
        <v>Основы анализа эффективности работы судна с применением информационных технологий</v>
      </c>
      <c r="B67" s="137">
        <f>'Учебный план'!C87</f>
        <v>0</v>
      </c>
      <c r="C67" s="137">
        <f>'Учебный план'!D87</f>
        <v>0</v>
      </c>
      <c r="D67" s="137" t="str">
        <f>'Учебный план'!E87</f>
        <v>8</v>
      </c>
      <c r="E67" s="137">
        <f>'Учебный план'!H87</f>
        <v>0</v>
      </c>
      <c r="F67" s="137" t="e">
        <f>'Учебный план'!#REF!</f>
        <v>#REF!</v>
      </c>
      <c r="G67" s="137" t="str">
        <f>'Учебный план'!I87</f>
        <v>7</v>
      </c>
      <c r="I67" s="138">
        <f>'Учебный план (заочная) '!D68</f>
        <v>0</v>
      </c>
      <c r="J67" s="138" t="str">
        <f>'Учебный план (заочная) '!E68</f>
        <v>4</v>
      </c>
      <c r="K67" s="138">
        <f>'Учебный план (заочная) '!F68</f>
        <v>0</v>
      </c>
      <c r="L67" s="138">
        <f>'Учебный план (заочная) '!H68</f>
        <v>0</v>
      </c>
      <c r="M67" s="138">
        <f>'Учебный план (заочная) '!I68</f>
        <v>0</v>
      </c>
    </row>
    <row r="68" spans="1:13" ht="13.5" thickBot="1">
      <c r="A68" s="137">
        <f>'Учебный план'!B88</f>
        <v>0</v>
      </c>
      <c r="B68" s="137">
        <f>'Учебный план'!C88</f>
        <v>0</v>
      </c>
      <c r="C68" s="137" t="str">
        <f>'Учебный план'!D88</f>
        <v>Х</v>
      </c>
      <c r="D68" s="137">
        <f>'Учебный план'!E88</f>
        <v>0</v>
      </c>
      <c r="E68" s="137">
        <f>'Учебный план'!H88</f>
        <v>0</v>
      </c>
      <c r="F68" s="137" t="e">
        <f>'Учебный план'!#REF!</f>
        <v>#REF!</v>
      </c>
      <c r="G68" s="137">
        <f>'Учебный план'!I88</f>
        <v>0</v>
      </c>
      <c r="I68" s="138" t="str">
        <f>'Учебный план (заочная) '!D69</f>
        <v>4</v>
      </c>
      <c r="J68" s="138">
        <f>'Учебный план (заочная) '!E69</f>
        <v>0</v>
      </c>
      <c r="K68" s="138">
        <f>'Учебный план (заочная) '!F69</f>
        <v>0</v>
      </c>
      <c r="L68" s="138">
        <f>'Учебный план (заочная) '!H69</f>
        <v>0</v>
      </c>
      <c r="M68" s="138">
        <f>'Учебный план (заочная) '!I69</f>
        <v>0</v>
      </c>
    </row>
    <row r="69" spans="1:13" ht="90" thickBot="1">
      <c r="A69" s="135" t="str">
        <f>'Учебный план'!B89</f>
        <v>Выполнение работ по одной или нескольким профессиям рабочих, должностям служащих</v>
      </c>
      <c r="B69" s="135">
        <f>'Учебный план'!C89</f>
        <v>0</v>
      </c>
      <c r="C69" s="135">
        <f>'Учебный план'!D89</f>
        <v>0</v>
      </c>
      <c r="D69" s="135">
        <f>'Учебный план'!E89</f>
        <v>0</v>
      </c>
      <c r="E69" s="135">
        <f>'Учебный план'!H89</f>
        <v>0</v>
      </c>
      <c r="F69" s="135" t="e">
        <f>'Учебный план'!#REF!</f>
        <v>#REF!</v>
      </c>
      <c r="G69" s="135">
        <f>'Учебный план'!I89</f>
        <v>0</v>
      </c>
      <c r="H69" s="140"/>
      <c r="I69" s="136">
        <f>'Учебный план (заочная) '!D70</f>
        <v>0</v>
      </c>
      <c r="J69" s="136">
        <f>'Учебный план (заочная) '!E70</f>
        <v>0</v>
      </c>
      <c r="K69" s="136">
        <f>'Учебный план (заочная) '!F70</f>
        <v>0</v>
      </c>
      <c r="L69" s="136">
        <f>'Учебный план (заочная) '!H70</f>
        <v>0</v>
      </c>
      <c r="M69" s="136">
        <f>'Учебный план (заочная) '!I70</f>
        <v>0</v>
      </c>
    </row>
    <row r="70" spans="1:13" ht="13.5" thickBot="1">
      <c r="A70" s="137" t="e">
        <f>'Учебный план'!#REF!</f>
        <v>#REF!</v>
      </c>
      <c r="B70" s="137" t="e">
        <f>'Учебный план'!#REF!</f>
        <v>#REF!</v>
      </c>
      <c r="C70" s="137" t="e">
        <f>'Учебный план'!#REF!</f>
        <v>#REF!</v>
      </c>
      <c r="D70" s="137" t="e">
        <f>'Учебный план'!#REF!</f>
        <v>#REF!</v>
      </c>
      <c r="E70" s="137" t="e">
        <f>'Учебный план'!#REF!</f>
        <v>#REF!</v>
      </c>
      <c r="F70" s="137" t="e">
        <f>'Учебный план'!#REF!</f>
        <v>#REF!</v>
      </c>
      <c r="G70" s="137" t="e">
        <f>'Учебный план'!#REF!</f>
        <v>#REF!</v>
      </c>
      <c r="I70" s="138" t="e">
        <f>'Учебный план (заочная) '!#REF!</f>
        <v>#REF!</v>
      </c>
      <c r="J70" s="138" t="e">
        <f>'Учебный план (заочная) '!#REF!</f>
        <v>#REF!</v>
      </c>
      <c r="K70" s="138" t="e">
        <f>'Учебный план (заочная) '!#REF!</f>
        <v>#REF!</v>
      </c>
      <c r="L70" s="138" t="e">
        <f>'Учебный план (заочная) '!#REF!</f>
        <v>#REF!</v>
      </c>
      <c r="M70" s="138" t="e">
        <f>'Учебный план (заочная) '!#REF!</f>
        <v>#REF!</v>
      </c>
    </row>
    <row r="71" spans="1:13" ht="13.5" thickBot="1">
      <c r="A71" s="137" t="str">
        <f>'Учебный план'!B90</f>
        <v>Матрос</v>
      </c>
      <c r="B71" s="137" t="str">
        <f>'Учебный план'!C90</f>
        <v>Матрос</v>
      </c>
      <c r="C71" s="137" t="str">
        <f>'Учебный план'!D90</f>
        <v>4</v>
      </c>
      <c r="D71" s="137">
        <f>'Учебный план'!E90</f>
        <v>0</v>
      </c>
      <c r="E71" s="137">
        <f>'Учебный план'!H90</f>
        <v>0</v>
      </c>
      <c r="F71" s="137" t="e">
        <f>'Учебный план'!#REF!</f>
        <v>#REF!</v>
      </c>
      <c r="G71" s="137">
        <f>'Учебный план'!I90</f>
        <v>0</v>
      </c>
      <c r="I71" s="138" t="str">
        <f>'Учебный план (заочная) '!D71</f>
        <v>2</v>
      </c>
      <c r="J71" s="138">
        <f>'Учебный план (заочная) '!E71</f>
        <v>0</v>
      </c>
      <c r="K71" s="138">
        <f>'Учебный план (заочная) '!F71</f>
        <v>0</v>
      </c>
      <c r="L71" s="138">
        <f>'Учебный план (заочная) '!H71</f>
        <v>0</v>
      </c>
      <c r="M71" s="138">
        <f>'Учебный план (заочная) '!I71</f>
        <v>0</v>
      </c>
    </row>
    <row r="72" spans="1:13" ht="13.5" thickBot="1">
      <c r="A72" s="137">
        <f>'Учебный план'!B91</f>
        <v>0</v>
      </c>
      <c r="B72" s="137">
        <f>'Учебный план'!C91</f>
        <v>0</v>
      </c>
      <c r="C72" s="137">
        <f>'Учебный план'!D91</f>
        <v>5</v>
      </c>
      <c r="D72" s="137">
        <f>'Учебный план'!E91</f>
        <v>0</v>
      </c>
      <c r="E72" s="137">
        <f>'Учебный план'!H91</f>
        <v>0</v>
      </c>
      <c r="F72" s="137" t="e">
        <f>'Учебный план'!#REF!</f>
        <v>#REF!</v>
      </c>
      <c r="G72" s="137">
        <f>'Учебный план'!I91</f>
        <v>0</v>
      </c>
      <c r="I72" s="138" t="str">
        <f>'Учебный план (заочная) '!D72</f>
        <v>3</v>
      </c>
      <c r="J72" s="138">
        <f>'Учебный план (заочная) '!E72</f>
        <v>0</v>
      </c>
      <c r="K72" s="138">
        <f>'Учебный план (заочная) '!F72</f>
        <v>0</v>
      </c>
      <c r="L72" s="138">
        <f>'Учебный план (заочная) '!H72</f>
        <v>0</v>
      </c>
      <c r="M72" s="138">
        <f>'Учебный план (заочная) '!I72</f>
        <v>0</v>
      </c>
    </row>
    <row r="73" spans="1:13" ht="39" thickBot="1">
      <c r="A73" s="135" t="str">
        <f>'Учебный план'!B92</f>
        <v>Вариативная часть циклов ППССЗ</v>
      </c>
      <c r="B73" s="135">
        <f>'Учебный план'!C92</f>
        <v>0</v>
      </c>
      <c r="C73" s="135">
        <f>'Учебный план'!D92</f>
        <v>0</v>
      </c>
      <c r="D73" s="135">
        <f>'Учебный план'!E92</f>
        <v>0</v>
      </c>
      <c r="E73" s="135">
        <f>'Учебный план'!H92</f>
        <v>0</v>
      </c>
      <c r="F73" s="135" t="e">
        <f>'Учебный план'!#REF!</f>
        <v>#REF!</v>
      </c>
      <c r="G73" s="135">
        <f>'Учебный план'!I92</f>
        <v>0</v>
      </c>
      <c r="H73" s="140"/>
      <c r="I73" s="136">
        <f>'Учебный план (заочная) '!D73</f>
        <v>0</v>
      </c>
      <c r="J73" s="136">
        <f>'Учебный план (заочная) '!E73</f>
        <v>0</v>
      </c>
      <c r="K73" s="136">
        <f>'Учебный план (заочная) '!F73</f>
        <v>0</v>
      </c>
      <c r="L73" s="136">
        <f>'Учебный план (заочная) '!H73</f>
        <v>0</v>
      </c>
      <c r="M73" s="136">
        <f>'Учебный план (заочная) '!I73</f>
        <v>0</v>
      </c>
    </row>
    <row r="74" spans="1:13" ht="77.25" thickBot="1">
      <c r="A74" s="159" t="str">
        <f>'Учебный план'!B93</f>
        <v>Эксплуатация судовых энергетических установок на вспомогательном уровне</v>
      </c>
      <c r="B74" s="159" t="str">
        <f>'Учебный план'!C93</f>
        <v>ЭСЭУ</v>
      </c>
      <c r="C74" s="159" t="str">
        <f>'Учебный план'!D93</f>
        <v>4</v>
      </c>
      <c r="D74" s="159">
        <f>'Учебный план'!E93</f>
        <v>0</v>
      </c>
      <c r="E74" s="159">
        <f>'Учебный план'!H93</f>
        <v>0</v>
      </c>
      <c r="F74" s="159" t="e">
        <f>'Учебный план'!#REF!</f>
        <v>#REF!</v>
      </c>
      <c r="G74" s="159" t="str">
        <f>'Учебный план'!I93</f>
        <v>3</v>
      </c>
      <c r="H74" s="160"/>
      <c r="I74" s="161" t="str">
        <f>'Учебный план (заочная) '!D74</f>
        <v>2</v>
      </c>
      <c r="J74" s="161">
        <f>'Учебный план (заочная) '!E74</f>
        <v>0</v>
      </c>
      <c r="K74" s="161">
        <f>'Учебный план (заочная) '!F74</f>
        <v>0</v>
      </c>
      <c r="L74" s="161">
        <f>'Учебный план (заочная) '!H74</f>
        <v>0</v>
      </c>
      <c r="M74" s="161">
        <f>'Учебный план (заочная) '!I74</f>
        <v>0</v>
      </c>
    </row>
    <row r="75" spans="1:13" ht="13.5" thickBot="1">
      <c r="A75" s="159">
        <f>'Учебный план'!B94</f>
        <v>0</v>
      </c>
      <c r="B75" s="159">
        <f>'Учебный план'!C94</f>
        <v>0</v>
      </c>
      <c r="C75" s="159">
        <f>'Учебный план'!D94</f>
        <v>0</v>
      </c>
      <c r="D75" s="159">
        <f>'Учебный план'!E94</f>
        <v>0</v>
      </c>
      <c r="E75" s="159">
        <f>'Учебный план'!H94</f>
        <v>0</v>
      </c>
      <c r="F75" s="159" t="e">
        <f>'Учебный план'!#REF!</f>
        <v>#REF!</v>
      </c>
      <c r="G75" s="159">
        <f>'Учебный план'!I94</f>
        <v>0</v>
      </c>
      <c r="H75" s="160"/>
      <c r="I75" s="161" t="e">
        <f>'Учебный план (заочная) '!#REF!</f>
        <v>#REF!</v>
      </c>
      <c r="J75" s="161" t="e">
        <f>'Учебный план (заочная) '!#REF!</f>
        <v>#REF!</v>
      </c>
      <c r="K75" s="161" t="e">
        <f>'Учебный план (заочная) '!#REF!</f>
        <v>#REF!</v>
      </c>
      <c r="L75" s="161" t="e">
        <f>'Учебный план (заочная) '!#REF!</f>
        <v>#REF!</v>
      </c>
      <c r="M75" s="161" t="e">
        <f>'Учебный план (заочная) '!#REF!</f>
        <v>#REF!</v>
      </c>
    </row>
    <row r="76" spans="1:13" ht="26.25" thickBot="1">
      <c r="A76" s="135" t="str">
        <f>'Учебный план'!B95</f>
        <v>Учебная практика</v>
      </c>
      <c r="B76" s="135">
        <f>'Учебный план'!C95</f>
        <v>0</v>
      </c>
      <c r="C76" s="135">
        <f>'Учебный план'!D95</f>
        <v>0</v>
      </c>
      <c r="D76" s="135">
        <f>'Учебный план'!E95</f>
        <v>4</v>
      </c>
      <c r="E76" s="135">
        <f>'Учебный план'!H95</f>
        <v>0</v>
      </c>
      <c r="F76" s="135" t="e">
        <f>'Учебный план'!#REF!</f>
        <v>#REF!</v>
      </c>
      <c r="G76" s="135">
        <f>'Учебный план'!I95</f>
        <v>0</v>
      </c>
      <c r="H76" s="140"/>
      <c r="I76" s="136">
        <f>'Учебный план (заочная) '!D75</f>
        <v>0</v>
      </c>
      <c r="J76" s="136" t="str">
        <f>'Учебный план (заочная) '!E75</f>
        <v>2</v>
      </c>
      <c r="K76" s="136">
        <f>'Учебный план (заочная) '!F75</f>
        <v>0</v>
      </c>
      <c r="L76" s="136">
        <f>'Учебный план (заочная) '!H75</f>
        <v>0</v>
      </c>
      <c r="M76" s="136">
        <f>'Учебный план (заочная) '!I75</f>
        <v>0</v>
      </c>
    </row>
    <row r="77" spans="1:13" ht="26.25" thickBot="1">
      <c r="A77" s="137" t="str">
        <f>'Учебный план'!B96</f>
        <v>Слесарная практика</v>
      </c>
      <c r="B77" s="137">
        <f>'Учебный план'!C96</f>
        <v>0</v>
      </c>
      <c r="C77" s="137">
        <f>'Учебный план'!D96</f>
        <v>0</v>
      </c>
      <c r="D77" s="137">
        <f>'Учебный план'!E96</f>
        <v>0</v>
      </c>
      <c r="E77" s="137">
        <f>'Учебный план'!H96</f>
        <v>0</v>
      </c>
      <c r="F77" s="137" t="e">
        <f>'Учебный план'!#REF!</f>
        <v>#REF!</v>
      </c>
      <c r="G77" s="137">
        <f>'Учебный план'!I96</f>
        <v>0</v>
      </c>
      <c r="I77" s="138">
        <f>'Учебный план (заочная) '!D76</f>
        <v>0</v>
      </c>
      <c r="J77" s="138">
        <f>'Учебный план (заочная) '!E76</f>
        <v>0</v>
      </c>
      <c r="K77" s="138">
        <f>'Учебный план (заочная) '!F76</f>
        <v>0</v>
      </c>
      <c r="L77" s="138">
        <f>'Учебный план (заочная) '!H76</f>
        <v>0</v>
      </c>
      <c r="M77" s="138">
        <f>'Учебный план (заочная) '!I76</f>
        <v>0</v>
      </c>
    </row>
    <row r="78" spans="1:13" ht="39" thickBot="1">
      <c r="A78" s="137" t="str">
        <f>'Учебный план'!B97</f>
        <v>Шлюпочно-такелажная практика</v>
      </c>
      <c r="B78" s="137">
        <f>'Учебный план'!C97</f>
        <v>0</v>
      </c>
      <c r="C78" s="137">
        <f>'Учебный план'!D97</f>
        <v>0</v>
      </c>
      <c r="D78" s="137">
        <f>'Учебный план'!E97</f>
        <v>0</v>
      </c>
      <c r="E78" s="137">
        <f>'Учебный план'!H97</f>
        <v>0</v>
      </c>
      <c r="F78" s="137" t="e">
        <f>'Учебный план'!#REF!</f>
        <v>#REF!</v>
      </c>
      <c r="G78" s="137">
        <f>'Учебный план'!I97</f>
        <v>0</v>
      </c>
      <c r="I78" s="138">
        <f>'Учебный план (заочная) '!D77</f>
        <v>0</v>
      </c>
      <c r="J78" s="138">
        <f>'Учебный план (заочная) '!E77</f>
        <v>0</v>
      </c>
      <c r="K78" s="138">
        <f>'Учебный план (заочная) '!F77</f>
        <v>0</v>
      </c>
      <c r="L78" s="138">
        <f>'Учебный план (заочная) '!H77</f>
        <v>0</v>
      </c>
      <c r="M78" s="138">
        <f>'Учебный план (заочная) '!I77</f>
        <v>0</v>
      </c>
    </row>
    <row r="79" spans="1:13" ht="39" thickBot="1">
      <c r="A79" s="137" t="str">
        <f>'Учебный план'!B98</f>
        <v>Учебная плавательная (групповая)</v>
      </c>
      <c r="B79" s="137">
        <f>'Учебный план'!C98</f>
        <v>0</v>
      </c>
      <c r="C79" s="137">
        <f>'Учебный план'!D98</f>
        <v>0</v>
      </c>
      <c r="D79" s="137">
        <f>'Учебный план'!E98</f>
        <v>0</v>
      </c>
      <c r="E79" s="137">
        <f>'Учебный план'!H98</f>
        <v>0</v>
      </c>
      <c r="F79" s="137" t="e">
        <f>'Учебный план'!#REF!</f>
        <v>#REF!</v>
      </c>
      <c r="G79" s="137">
        <f>'Учебный план'!I98</f>
        <v>0</v>
      </c>
      <c r="I79" s="138">
        <f>'Учебный план (заочная) '!D78</f>
        <v>0</v>
      </c>
      <c r="J79" s="138">
        <f>'Учебный план (заочная) '!E78</f>
        <v>0</v>
      </c>
      <c r="K79" s="138">
        <f>'Учебный план (заочная) '!F78</f>
        <v>0</v>
      </c>
      <c r="L79" s="138">
        <f>'Учебный план (заочная) '!H78</f>
        <v>0</v>
      </c>
      <c r="M79" s="138">
        <f>'Учебный план (заочная) '!I78</f>
        <v>0</v>
      </c>
    </row>
    <row r="80" spans="1:13" ht="39" thickBot="1">
      <c r="A80" s="137" t="str">
        <f>'Учебный план'!B99</f>
        <v>Обучение по пассажирским судам</v>
      </c>
      <c r="B80" s="137">
        <f>'Учебный план'!C99</f>
        <v>0</v>
      </c>
      <c r="C80" s="137">
        <f>'Учебный план'!D99</f>
        <v>0</v>
      </c>
      <c r="D80" s="137">
        <f>'Учебный план'!E99</f>
        <v>0</v>
      </c>
      <c r="E80" s="137">
        <f>'Учебный план'!H99</f>
        <v>0</v>
      </c>
      <c r="F80" s="137" t="e">
        <f>'Учебный план'!#REF!</f>
        <v>#REF!</v>
      </c>
      <c r="G80" s="137">
        <f>'Учебный план'!I99</f>
        <v>0</v>
      </c>
      <c r="I80" s="138">
        <f>'Учебный план (заочная) '!D79</f>
        <v>0</v>
      </c>
      <c r="J80" s="138">
        <f>'Учебный план (заочная) '!E79</f>
        <v>0</v>
      </c>
      <c r="K80" s="138">
        <f>'Учебный план (заочная) '!F79</f>
        <v>0</v>
      </c>
      <c r="L80" s="138">
        <f>'Учебный план (заочная) '!H79</f>
        <v>0</v>
      </c>
      <c r="M80" s="138">
        <f>'Учебный план (заочная) '!I79</f>
        <v>0</v>
      </c>
    </row>
    <row r="81" spans="1:13" ht="26.25" thickBot="1">
      <c r="A81" s="135" t="str">
        <f>'Учебный план'!B100</f>
        <v>Производственная практика</v>
      </c>
      <c r="B81" s="135">
        <f>'Учебный план'!C100</f>
        <v>0</v>
      </c>
      <c r="C81" s="135">
        <f>'Учебный план'!D100</f>
        <v>0</v>
      </c>
      <c r="D81" s="135">
        <f>'Учебный план'!E100</f>
        <v>0</v>
      </c>
      <c r="E81" s="135">
        <f>'Учебный план'!H100</f>
        <v>0</v>
      </c>
      <c r="F81" s="135" t="e">
        <f>'Учебный план'!#REF!</f>
        <v>#REF!</v>
      </c>
      <c r="G81" s="135">
        <f>'Учебный план'!I100</f>
        <v>0</v>
      </c>
      <c r="H81" s="140"/>
      <c r="I81" s="136">
        <f>'Учебный план (заочная) '!D80</f>
        <v>0</v>
      </c>
      <c r="J81" s="136">
        <f>'Учебный план (заочная) '!E80</f>
        <v>0</v>
      </c>
      <c r="K81" s="136">
        <f>'Учебный план (заочная) '!F80</f>
        <v>0</v>
      </c>
      <c r="L81" s="136">
        <f>'Учебный план (заочная) '!H80</f>
        <v>0</v>
      </c>
      <c r="M81" s="136">
        <f>'Учебный план (заочная) '!I80</f>
        <v>0</v>
      </c>
    </row>
    <row r="82" spans="1:13" ht="64.5" thickBot="1">
      <c r="A82" s="137" t="str">
        <f>'Учебный план'!B101</f>
        <v>Производственная практика (практика по профилю специальности)</v>
      </c>
      <c r="B82" s="137">
        <f>'Учебный план'!C101</f>
        <v>0</v>
      </c>
      <c r="C82" s="137">
        <f>'Учебный план'!D101</f>
        <v>0</v>
      </c>
      <c r="D82" s="137" t="str">
        <f>'Учебный план'!E101</f>
        <v>7,9</v>
      </c>
      <c r="E82" s="137">
        <f>'Учебный план'!H101</f>
        <v>0</v>
      </c>
      <c r="F82" s="137" t="e">
        <f>'Учебный план'!#REF!</f>
        <v>#REF!</v>
      </c>
      <c r="G82" s="137">
        <f>'Учебный план'!I101</f>
        <v>0</v>
      </c>
      <c r="I82" s="138">
        <f>'Учебный план (заочная) '!D81</f>
        <v>0</v>
      </c>
      <c r="J82" s="138">
        <f>'Учебный план (заочная) '!E81</f>
        <v>4.5</v>
      </c>
      <c r="K82" s="138">
        <f>'Учебный план (заочная) '!F81</f>
        <v>0</v>
      </c>
      <c r="L82" s="138">
        <f>'Учебный план (заочная) '!H81</f>
        <v>0</v>
      </c>
      <c r="M82" s="138">
        <f>'Учебный план (заочная) '!I81</f>
        <v>0</v>
      </c>
    </row>
    <row r="83" spans="1:13" ht="51.75" thickBot="1">
      <c r="A83" s="137" t="str">
        <f>'Учебный план'!B102</f>
        <v>Производственная практика (преддипломная)</v>
      </c>
      <c r="B83" s="137">
        <f>'Учебный план'!C102</f>
        <v>0</v>
      </c>
      <c r="C83" s="137">
        <f>'Учебный план'!D102</f>
        <v>0</v>
      </c>
      <c r="D83" s="137" t="str">
        <f>'Учебный план'!E102</f>
        <v>9</v>
      </c>
      <c r="E83" s="137">
        <f>'Учебный план'!H102</f>
        <v>0</v>
      </c>
      <c r="F83" s="137" t="e">
        <f>'Учебный план'!#REF!</f>
        <v>#REF!</v>
      </c>
      <c r="G83" s="137">
        <f>'Учебный план'!I102</f>
        <v>0</v>
      </c>
      <c r="I83" s="138">
        <f>'Учебный план (заочная) '!D82</f>
        <v>0</v>
      </c>
      <c r="J83" s="138">
        <f>'Учебный план (заочная) '!E82</f>
        <v>5</v>
      </c>
      <c r="K83" s="138">
        <f>'Учебный план (заочная) '!F82</f>
        <v>0</v>
      </c>
      <c r="L83" s="138">
        <f>'Учебный план (заочная) '!H82</f>
        <v>0</v>
      </c>
      <c r="M83" s="138">
        <f>'Учебный план (заочная) '!I82</f>
        <v>0</v>
      </c>
    </row>
    <row r="84" spans="1:13" ht="39" thickBot="1">
      <c r="A84" s="135" t="str">
        <f>'Учебный план'!B103</f>
        <v>Государственная итоговая аттестация</v>
      </c>
      <c r="B84" s="135">
        <f>'Учебный план'!C103</f>
        <v>0</v>
      </c>
      <c r="C84" s="135">
        <f>'Учебный план'!D103</f>
        <v>0</v>
      </c>
      <c r="D84" s="135">
        <f>'Учебный план'!E103</f>
        <v>0</v>
      </c>
      <c r="E84" s="135">
        <f>'Учебный план'!H103</f>
        <v>0</v>
      </c>
      <c r="F84" s="135" t="e">
        <f>'Учебный план'!#REF!</f>
        <v>#REF!</v>
      </c>
      <c r="G84" s="135">
        <f>'Учебный план'!I103</f>
        <v>0</v>
      </c>
      <c r="H84" s="140"/>
      <c r="I84" s="136">
        <f>'Учебный план (заочная) '!D83</f>
        <v>0</v>
      </c>
      <c r="J84" s="136">
        <f>'Учебный план (заочная) '!E83</f>
        <v>0</v>
      </c>
      <c r="K84" s="136">
        <f>'Учебный план (заочная) '!F83</f>
        <v>0</v>
      </c>
      <c r="L84" s="136">
        <f>'Учебный план (заочная) '!H83</f>
        <v>0</v>
      </c>
      <c r="M84" s="136">
        <f>'Учебный план (заочная) '!I83</f>
        <v>0</v>
      </c>
    </row>
    <row r="85" spans="1:13" ht="64.5" thickBot="1">
      <c r="A85" s="137" t="str">
        <f>'Учебный план'!B104</f>
        <v>Подготовка и защита  выпускной квалификационной работы</v>
      </c>
      <c r="B85" s="137">
        <f>'Учебный план'!C104</f>
        <v>0</v>
      </c>
      <c r="C85" s="137">
        <f>'Учебный план'!D104</f>
        <v>0</v>
      </c>
      <c r="D85" s="137">
        <f>'Учебный план'!E104</f>
        <v>0</v>
      </c>
      <c r="E85" s="137">
        <f>'Учебный план'!H104</f>
        <v>0</v>
      </c>
      <c r="F85" s="137" t="e">
        <f>'Учебный план'!#REF!</f>
        <v>#REF!</v>
      </c>
      <c r="G85" s="137">
        <f>'Учебный план'!I104</f>
        <v>0</v>
      </c>
      <c r="I85" s="138">
        <f>'Учебный план (заочная) '!D84</f>
        <v>0</v>
      </c>
      <c r="J85" s="138">
        <f>'Учебный план (заочная) '!E84</f>
        <v>0</v>
      </c>
      <c r="K85" s="138">
        <f>'Учебный план (заочная) '!F84</f>
        <v>0</v>
      </c>
      <c r="L85" s="138">
        <f>'Учебный план (заочная) '!H84</f>
        <v>0</v>
      </c>
      <c r="M85" s="138">
        <f>'Учебный план (заочная) '!I84</f>
        <v>0</v>
      </c>
    </row>
    <row r="86" spans="1:13" ht="13.5" thickBot="1">
      <c r="A86" s="135" t="str">
        <f>'Учебный план'!B105</f>
        <v>Консультации</v>
      </c>
      <c r="B86" s="135">
        <f>'Учебный план'!C105</f>
        <v>0</v>
      </c>
      <c r="C86" s="135">
        <f>'Учебный план'!D105</f>
        <v>0</v>
      </c>
      <c r="D86" s="135">
        <f>'Учебный план'!E105</f>
        <v>0</v>
      </c>
      <c r="E86" s="135">
        <f>'Учебный план'!H105</f>
        <v>0</v>
      </c>
      <c r="F86" s="135" t="e">
        <f>'Учебный план'!#REF!</f>
        <v>#REF!</v>
      </c>
      <c r="G86" s="135">
        <f>'Учебный план'!I105</f>
        <v>0</v>
      </c>
      <c r="H86" s="140"/>
      <c r="I86" s="136">
        <f>'Учебный план (заочная) '!D85</f>
        <v>0</v>
      </c>
      <c r="J86" s="136">
        <f>'Учебный план (заочная) '!E85</f>
        <v>0</v>
      </c>
      <c r="K86" s="136">
        <f>'Учебный план (заочная) '!F85</f>
        <v>0</v>
      </c>
      <c r="L86" s="136">
        <f>'Учебный план (заочная) '!H85</f>
        <v>0</v>
      </c>
      <c r="M86" s="136">
        <f>'Учебный план (заочная) '!I85</f>
        <v>0</v>
      </c>
    </row>
  </sheetData>
  <sheetProtection password="8B06" sheet="1" objects="1" scenarios="1" selectLockedCells="1" selectUnlockedCells="1"/>
  <mergeCells count="14">
    <mergeCell ref="L4:L8"/>
    <mergeCell ref="M4:M8"/>
    <mergeCell ref="I2:M3"/>
    <mergeCell ref="I4:I8"/>
    <mergeCell ref="J4:J8"/>
    <mergeCell ref="K4:K8"/>
    <mergeCell ref="E4:E8"/>
    <mergeCell ref="F4:F8"/>
    <mergeCell ref="G4:G8"/>
    <mergeCell ref="A2:A8"/>
    <mergeCell ref="B2:B8"/>
    <mergeCell ref="C2:G3"/>
    <mergeCell ref="C4:C8"/>
    <mergeCell ref="D4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Zeros="0" zoomScale="80" zoomScaleNormal="80" zoomScalePageLayoutView="0" workbookViewId="0" topLeftCell="A1">
      <selection activeCell="J24" sqref="J24"/>
    </sheetView>
  </sheetViews>
  <sheetFormatPr defaultColWidth="9.33203125" defaultRowHeight="12.75"/>
  <cols>
    <col min="1" max="1" width="58.16015625" style="101" customWidth="1"/>
    <col min="2" max="2" width="12.66015625" style="101" customWidth="1"/>
    <col min="3" max="3" width="16.5" style="101" customWidth="1"/>
    <col min="4" max="5" width="16.16015625" style="101" customWidth="1"/>
    <col min="6" max="6" width="16.33203125" style="101" customWidth="1"/>
    <col min="7" max="7" width="15.5" style="101" customWidth="1"/>
    <col min="8" max="9" width="28.5" style="101" customWidth="1"/>
    <col min="10" max="16384" width="9.33203125" style="101" customWidth="1"/>
  </cols>
  <sheetData>
    <row r="1" spans="1:9" s="62" customFormat="1" ht="12.75">
      <c r="A1" s="800" t="s">
        <v>98</v>
      </c>
      <c r="B1" s="800"/>
      <c r="C1" s="800"/>
      <c r="D1" s="800"/>
      <c r="E1" s="800"/>
      <c r="F1" s="800"/>
      <c r="G1" s="800"/>
      <c r="H1" s="800"/>
      <c r="I1" s="800"/>
    </row>
    <row r="2" spans="1:9" s="62" customFormat="1" ht="29.25" customHeight="1">
      <c r="A2" s="830" t="s">
        <v>93</v>
      </c>
      <c r="B2" s="831"/>
      <c r="C2" s="832"/>
      <c r="D2" s="802" t="s">
        <v>97</v>
      </c>
      <c r="E2" s="803"/>
      <c r="F2" s="801" t="s">
        <v>99</v>
      </c>
      <c r="G2" s="801"/>
      <c r="H2" s="828" t="s">
        <v>144</v>
      </c>
      <c r="I2" s="829"/>
    </row>
    <row r="3" spans="1:9" s="62" customFormat="1" ht="63.75">
      <c r="A3" s="833"/>
      <c r="B3" s="834"/>
      <c r="C3" s="835"/>
      <c r="D3" s="63" t="s">
        <v>168</v>
      </c>
      <c r="E3" s="63" t="s">
        <v>259</v>
      </c>
      <c r="F3" s="63" t="s">
        <v>168</v>
      </c>
      <c r="G3" s="63" t="s">
        <v>259</v>
      </c>
      <c r="H3" s="63" t="s">
        <v>168</v>
      </c>
      <c r="I3" s="63" t="s">
        <v>259</v>
      </c>
    </row>
    <row r="4" spans="1:9" s="62" customFormat="1" ht="12.75">
      <c r="A4" s="64" t="str">
        <f>'Титульный лист'!A12:N12</f>
        <v>Специфика:</v>
      </c>
      <c r="B4" s="65"/>
      <c r="C4" s="65"/>
      <c r="D4" s="65"/>
      <c r="E4" s="65"/>
      <c r="F4" s="65"/>
      <c r="G4" s="65"/>
      <c r="H4" s="65"/>
      <c r="I4" s="66"/>
    </row>
    <row r="5" spans="1:9" s="62" customFormat="1" ht="12.75" hidden="1">
      <c r="A5" s="67">
        <f>'Титульный лист'!O12:O12</f>
        <v>0</v>
      </c>
      <c r="B5" s="68"/>
      <c r="C5" s="68"/>
      <c r="D5" s="68"/>
      <c r="E5" s="68"/>
      <c r="F5" s="68"/>
      <c r="G5" s="68"/>
      <c r="H5" s="69"/>
      <c r="I5" s="70"/>
    </row>
    <row r="6" spans="1:9" s="62" customFormat="1" ht="12.75">
      <c r="A6" s="789" t="s">
        <v>503</v>
      </c>
      <c r="B6" s="787"/>
      <c r="C6" s="788"/>
      <c r="D6" s="150">
        <f>G33*G37</f>
        <v>2106</v>
      </c>
      <c r="E6" s="151">
        <v>1404</v>
      </c>
      <c r="F6" s="71">
        <f>'Учебный план'!N11</f>
        <v>2106</v>
      </c>
      <c r="G6" s="71">
        <f>'Учебный план'!O11</f>
        <v>1404</v>
      </c>
      <c r="H6" s="72" t="str">
        <f>IF(OR(D6="",E6=""),"введите данные ФГОС",IF('Учебный план'!N113=0,"заполняйте учебный план",IF(OR(D6="-",D6=F6),"норма",IF(F6&lt;D6,F6-D6,IF(F6&gt;D6,F6-D6,"норма")))))</f>
        <v>норма</v>
      </c>
      <c r="I6" s="72" t="str">
        <f>IF(OR(D6="",E6=""),"введите данные ФГОС",IF('Учебный план'!N113=0,"заполняйте учебный план",IF(OR(E6="-",E6=G6),"норма",IF(G6&lt;E6,G6-E6,IF(G6&gt;E6,G6-E6,"норма")))))</f>
        <v>норма</v>
      </c>
    </row>
    <row r="7" spans="1:9" s="62" customFormat="1" ht="12.75" hidden="1">
      <c r="A7" s="789" t="s">
        <v>504</v>
      </c>
      <c r="B7" s="787"/>
      <c r="C7" s="788"/>
      <c r="D7" s="150" t="s">
        <v>22</v>
      </c>
      <c r="E7" s="152" t="s">
        <v>22</v>
      </c>
      <c r="F7" s="71">
        <f>'Учебный план'!N12</f>
        <v>1380</v>
      </c>
      <c r="G7" s="71">
        <f>'Учебный план'!O12</f>
        <v>920</v>
      </c>
      <c r="H7" s="72" t="str">
        <f>IF(OR(D7="",E7=""),"введите данные ФГОС",IF('Учебный план'!N113=0,"заполняйте учебный план",IF(OR(D7="-",D7=F7),"норма",IF(F7&lt;D7,F7-D7,IF(F7&gt;D7,F7-D7,"норма")))))</f>
        <v>норма</v>
      </c>
      <c r="I7" s="72" t="str">
        <f>IF(OR(D7="",E7=""),"введите данные ФГОС",IF('Учебный план'!N113=0,"заполняйте учебный план",IF(OR(E7="-",E7=G7),"норма",IF(G7&lt;E7,G7-E7,IF(G7&gt;E7,G7-E7,"норма")))))</f>
        <v>норма</v>
      </c>
    </row>
    <row r="8" spans="1:9" s="62" customFormat="1" ht="12.75" hidden="1">
      <c r="A8" s="789" t="s">
        <v>505</v>
      </c>
      <c r="B8" s="787"/>
      <c r="C8" s="788"/>
      <c r="D8" s="150" t="s">
        <v>22</v>
      </c>
      <c r="E8" s="152" t="s">
        <v>22</v>
      </c>
      <c r="F8" s="71" t="e">
        <f>'Учебный план'!#REF!</f>
        <v>#REF!</v>
      </c>
      <c r="G8" s="71" t="e">
        <f>'Учебный план'!#REF!</f>
        <v>#REF!</v>
      </c>
      <c r="H8" s="72" t="e">
        <f>IF(OR(D8="",E8=""),"введите данные ФГОС",IF('Учебный план'!N113=0,"заполняйте учебный план",IF(OR(D8="-",D8=F8),"норма",IF(F8&lt;D8,F8-D8,IF(F8&gt;D8,F8-D8,"норма")))))</f>
        <v>#REF!</v>
      </c>
      <c r="I8" s="72" t="e">
        <f>IF(OR(D8="",E8=""),"введите данные ФГОС",IF('Учебный план'!N113=0,"заполняйте учебный план",IF(OR(E8="-",E8=G8),"норма",IF(G8&lt;E8,G8-E8,IF(G8&gt;E8,G8-E8,"норма")))))</f>
        <v>#REF!</v>
      </c>
    </row>
    <row r="9" spans="1:9" s="62" customFormat="1" ht="12.75">
      <c r="A9" s="789" t="s">
        <v>357</v>
      </c>
      <c r="B9" s="787"/>
      <c r="C9" s="788"/>
      <c r="D9" s="151">
        <v>3942</v>
      </c>
      <c r="E9" s="151">
        <v>2628</v>
      </c>
      <c r="F9" s="71">
        <f>'Учебный план'!N28</f>
        <v>5494</v>
      </c>
      <c r="G9" s="71">
        <f>'Учебный план'!O28</f>
        <v>3663</v>
      </c>
      <c r="H9" s="72">
        <f>IF(OR(D9="",E9=""),"введите данные ФГОС",IF('Учебный план'!N113=0,"заполняйте учебный план",IF(OR(D9="-",D9=F9),"норма",IF(F9&lt;D9,F9-D9,IF(F9&gt;D9,F9-D9,"норма")))))</f>
        <v>1552</v>
      </c>
      <c r="I9" s="72">
        <f>IF(OR(D9="",E9=""),"введите данные ФГОС",IF('Учебный план'!N113=0,"заполняйте учебный план",IF(OR(E9="-",E9=G9),"норма",IF(G9&lt;E9,G9-E9,IF(G9&gt;E9,G9-E9,"норма")))))</f>
        <v>1035</v>
      </c>
    </row>
    <row r="10" spans="1:9" s="62" customFormat="1" ht="12.75">
      <c r="A10" s="786" t="s">
        <v>162</v>
      </c>
      <c r="B10" s="787"/>
      <c r="C10" s="788"/>
      <c r="D10" s="151">
        <v>944</v>
      </c>
      <c r="E10" s="151">
        <v>560</v>
      </c>
      <c r="F10" s="71">
        <f>'Учебный план'!N29</f>
        <v>1030</v>
      </c>
      <c r="G10" s="71">
        <f>'Учебный план'!O29</f>
        <v>606</v>
      </c>
      <c r="H10" s="72">
        <f>IF(OR(D10="",E10=""),"введите данные ФГОС",IF('Учебный план'!N113=0,"заполняйте учебный план",IF(OR(D10="-",D10=F10),"норма",IF(F10&lt;D10,F10-D10,IF(F10&gt;D10,F10-D10,"норма")))))</f>
        <v>86</v>
      </c>
      <c r="I10" s="72">
        <f>IF(OR(D10="",E10=""),"введите данные ФГОС",IF('Учебный план'!N113=0,"заполняйте учебный план",IF(OR(E10="-",E10=G10),"норма",IF(G10&lt;E10,G10-E10,IF(G10&gt;E10,G10-E10,"норма")))))</f>
        <v>46</v>
      </c>
    </row>
    <row r="11" spans="1:9" s="62" customFormat="1" ht="12.75">
      <c r="A11" s="789" t="s">
        <v>274</v>
      </c>
      <c r="B11" s="787"/>
      <c r="C11" s="788"/>
      <c r="D11" s="151">
        <v>198</v>
      </c>
      <c r="E11" s="151">
        <v>132</v>
      </c>
      <c r="F11" s="71">
        <f>'Учебный план'!N35</f>
        <v>198</v>
      </c>
      <c r="G11" s="71">
        <f>'Учебный план'!O35</f>
        <v>132</v>
      </c>
      <c r="H11" s="72" t="str">
        <f>IF(OR(D11="",E11=""),"введите данные ФГОС",IF('Учебный план'!N113=0,"заполняйте учебный план",IF(OR(D11="-",D11=F11),"норма",IF(F11&lt;D11,F11-D11,IF(F11&gt;D11,F11-D11,"норма")))))</f>
        <v>норма</v>
      </c>
      <c r="I11" s="72" t="str">
        <f>IF(OR(D11="",E11=""),"введите данные ФГОС",IF('Учебный план'!N113=0,"заполняйте учебный план",IF(OR(E11="-",E11=G11),"норма",IF(G11&lt;E11,G11-E11,IF(G11&gt;E11,G11-E11,"норма")))))</f>
        <v>норма</v>
      </c>
    </row>
    <row r="12" spans="1:9" s="62" customFormat="1" ht="12.75">
      <c r="A12" s="786" t="s">
        <v>69</v>
      </c>
      <c r="B12" s="787"/>
      <c r="C12" s="788"/>
      <c r="D12" s="151">
        <v>2800</v>
      </c>
      <c r="E12" s="151">
        <v>1936</v>
      </c>
      <c r="F12" s="71">
        <f>'Учебный план'!N39</f>
        <v>4266</v>
      </c>
      <c r="G12" s="71">
        <f>'Учебный план'!O39</f>
        <v>2925</v>
      </c>
      <c r="H12" s="72">
        <f>IF(OR(D12="",E12=""),"введите данные ФГОС",IF('Учебный план'!N113=0,"заполняйте учебный план",IF(OR(D12="-",D12=F12),"норма",IF(F12&lt;D12,F12-D12,IF(F12&gt;D12,F12-D12,"норма")))))</f>
        <v>1466</v>
      </c>
      <c r="I12" s="72">
        <f>IF(OR(D12="",E12=""),"введите данные ФГОС",IF('Учебный план'!N113=0,"заполняйте учебный план",IF(OR(E12="-",E12=G12),"норма",IF(G12&lt;E12,G12-E12,IF(G12&gt;E12,G12-E12,"норма")))))</f>
        <v>989</v>
      </c>
    </row>
    <row r="13" spans="1:9" s="62" customFormat="1" ht="12.75">
      <c r="A13" s="789" t="s">
        <v>177</v>
      </c>
      <c r="B13" s="787"/>
      <c r="C13" s="788"/>
      <c r="D13" s="151">
        <v>552</v>
      </c>
      <c r="E13" s="151">
        <v>368</v>
      </c>
      <c r="F13" s="71">
        <f>'Учебный план'!N40</f>
        <v>622</v>
      </c>
      <c r="G13" s="71">
        <f>'Учебный план'!O40</f>
        <v>415</v>
      </c>
      <c r="H13" s="72">
        <f>IF(OR(D13="",E13=""),"введите данные ФГОС",IF('Учебный план'!N113=0,"заполняйте учебный план",IF(OR(D13="-",D13=F13),"норма",IF(F13&lt;D13,F13-D13,IF(F13&gt;D13,F13-D13,"норма")))))</f>
        <v>70</v>
      </c>
      <c r="I13" s="72">
        <f>IF(OR(D13="",E13=""),"введите данные ФГОС",IF('Учебный план'!N113=0,"заполняйте учебный план",IF(OR(E13="-",E13=G13),"норма",IF(G13&lt;E13,G13-E13,IF(G13&gt;E13,G13-E13,"норма")))))</f>
        <v>47</v>
      </c>
    </row>
    <row r="14" spans="1:9" s="62" customFormat="1" ht="12.75">
      <c r="A14" s="789" t="s">
        <v>175</v>
      </c>
      <c r="B14" s="787"/>
      <c r="C14" s="788"/>
      <c r="D14" s="151">
        <v>2248</v>
      </c>
      <c r="E14" s="151">
        <v>1568</v>
      </c>
      <c r="F14" s="71">
        <f>'Учебный план'!N48</f>
        <v>3644</v>
      </c>
      <c r="G14" s="71">
        <f>'Учебный план'!O48</f>
        <v>2510</v>
      </c>
      <c r="H14" s="72">
        <f>IF(OR(D14="",E14=""),"введите данные ФГОС",IF('Учебный план'!N113=0,"заполняйте учебный план",IF(OR(D14="-",D14=F14),"норма",IF(F14&lt;D14,F14-D14,IF(F14&gt;D14,F14-D14,"норма")))))</f>
        <v>1396</v>
      </c>
      <c r="I14" s="72">
        <f>IF(OR(D14="",E14=""),"введите данные ФГОС",IF('Учебный план'!N113=0,"заполняйте учебный план",IF(OR(E14="-",E14=G14),"норма",IF(G14&lt;E14,G14-E14,IF(G14&gt;E14,G14-E14,"норма")))))</f>
        <v>942</v>
      </c>
    </row>
    <row r="15" spans="1:9" s="62" customFormat="1" ht="12.75">
      <c r="A15" s="789" t="s">
        <v>362</v>
      </c>
      <c r="B15" s="787"/>
      <c r="C15" s="788"/>
      <c r="D15" s="151">
        <v>1674</v>
      </c>
      <c r="E15" s="151">
        <v>1116</v>
      </c>
      <c r="F15" s="71">
        <f>'Учебный план'!N92</f>
        <v>122</v>
      </c>
      <c r="G15" s="71">
        <f>'Учебный план'!O92</f>
        <v>81</v>
      </c>
      <c r="H15" s="72">
        <f>IF(OR(D15="",E15=""),"введите данные ФГОС",IF('Учебный план'!N113=0,"заполняйте учебный план",IF(OR(D15="-",D15=F15),"норма",IF(F15&lt;D15,F15-D15,IF(F15&gt;D15,F15-D15,"норма")))))</f>
        <v>-1552</v>
      </c>
      <c r="I15" s="72">
        <f>IF(OR(D15="",E15=""),"введите данные ФГОС",IF('Учебный план'!N113=0,"заполняйте учебный план",IF(OR(E15="-",E15=G15),"норма",IF(G15&lt;E15,G15-E15,IF(G15&gt;E15,G15-E15,"норма")))))</f>
        <v>-1035</v>
      </c>
    </row>
    <row r="16" spans="1:9" s="62" customFormat="1" ht="12.75">
      <c r="A16" s="789" t="s">
        <v>363</v>
      </c>
      <c r="B16" s="787"/>
      <c r="C16" s="788"/>
      <c r="D16" s="151">
        <v>5616</v>
      </c>
      <c r="E16" s="151">
        <v>3744</v>
      </c>
      <c r="F16" s="71">
        <f>F9+F15</f>
        <v>5616</v>
      </c>
      <c r="G16" s="71">
        <f>G9+G15</f>
        <v>3744</v>
      </c>
      <c r="H16" s="72" t="str">
        <f>IF(OR(D16="",E16=""),"введите данные ФГОС",IF('Учебный план'!N113=0,"заполняйте учебный план",IF(OR(D16="-",D16=F16),"норма",IF(F16&lt;D16,F16-D16,IF(F16&gt;D16,F16-D16,"норма")))))</f>
        <v>норма</v>
      </c>
      <c r="I16" s="72" t="str">
        <f>IF(OR(D16="",E16=""),"введите данные ФГОС",IF('Учебный план'!N113=0,"заполняйте учебный план",IF(OR(E16="-",E16=G16),"норма",IF(G16&lt;E16,G16-E16,IF(G16&gt;E16,G16-E16,"норма")))))</f>
        <v>норма</v>
      </c>
    </row>
    <row r="17" spans="1:9" s="62" customFormat="1" ht="12.75" hidden="1">
      <c r="A17" s="786" t="s">
        <v>273</v>
      </c>
      <c r="B17" s="787"/>
      <c r="C17" s="788"/>
      <c r="D17" s="150">
        <v>2970</v>
      </c>
      <c r="E17" s="151">
        <v>1980</v>
      </c>
      <c r="F17" s="71">
        <f>'Учебный план'!N95+'Учебный план'!N100</f>
        <v>0</v>
      </c>
      <c r="G17" s="71">
        <f>'Учебный план'!O95+'Учебный план'!O100</f>
        <v>1980</v>
      </c>
      <c r="H17" s="72">
        <f>IF(OR(D17="",E17=""),"введите данные ФГОС",IF('Учебный план'!N113=0,"заполняйте учебный план",IF(OR(D17="-",D17=F17),"норма",IF(F17&lt;D17,F17-D17,IF(F17&gt;D17,F17-D17,"норма")))))</f>
        <v>-2970</v>
      </c>
      <c r="I17" s="72" t="str">
        <f>IF(OR(D17="",E17=""),"введите данные ФГОС",IF('Учебный план'!N113=0,"заполняйте учебный план",IF(OR(E17="-",E17=G17),"норма",IF(G17&lt;E17,G17-E17,IF(G17&gt;E17,G17-E17,"норма")))))</f>
        <v>норма</v>
      </c>
    </row>
    <row r="18" spans="1:9" s="62" customFormat="1" ht="12.75" hidden="1">
      <c r="A18" s="786" t="s">
        <v>6</v>
      </c>
      <c r="B18" s="787"/>
      <c r="C18" s="788"/>
      <c r="D18" s="150">
        <f>'Титульный лист'!BH26*G37</f>
        <v>486</v>
      </c>
      <c r="E18" s="150">
        <f>'Титульный лист'!BH26*Нормы!G38</f>
        <v>324</v>
      </c>
      <c r="F18" s="71">
        <f>'Учебный план'!N95</f>
        <v>0</v>
      </c>
      <c r="G18" s="71">
        <f>'Учебный план'!O95</f>
        <v>324</v>
      </c>
      <c r="H18" s="72">
        <f>IF(OR(D18="",E18=""),"введите данные ФГОС",IF('Учебный план'!N113=0,"заполняйте учебный план",IF(OR(D18="-",D18=F18),"норма",IF(F18&lt;D18,F18-D18,IF(F18&gt;D18,F18-D18,"норма")))))</f>
        <v>-486</v>
      </c>
      <c r="I18" s="72" t="str">
        <f>IF(OR(D18="",E18=""),"введите данные ФГОС",IF('Учебный план'!N113=0,"заполняйте учебный план",IF(OR(E18="-",E18=G18),"норма",IF(G18&lt;E18,G18-E18,IF(G18&gt;E18,G18-E18,"норма")))))</f>
        <v>норма</v>
      </c>
    </row>
    <row r="19" spans="1:9" s="62" customFormat="1" ht="12.75" hidden="1">
      <c r="A19" s="786" t="s">
        <v>137</v>
      </c>
      <c r="B19" s="787"/>
      <c r="C19" s="788"/>
      <c r="D19" s="150">
        <f>D17-D18</f>
        <v>2484</v>
      </c>
      <c r="E19" s="150">
        <v>1656</v>
      </c>
      <c r="F19" s="71">
        <f>'Учебный план'!N100</f>
        <v>0</v>
      </c>
      <c r="G19" s="71">
        <f>'Учебный план'!O100</f>
        <v>1656</v>
      </c>
      <c r="H19" s="72">
        <f>IF(OR(D19="",E19=""),"введите данные ФГОС",IF('Учебный план'!N113=0,"заполняйте учебный план",IF(OR(D19="-",D19=F19),"норма",IF(F19&lt;D19,F19-D19,IF(F19&gt;D19,F19-D19,"норма")))))</f>
        <v>-2484</v>
      </c>
      <c r="I19" s="72" t="str">
        <f>IF(OR(D19="",E19=""),"введите данные ФГОС",IF('Учебный план'!N113=0,"заполняйте учебный план",IF(OR(E19="-",E19=G19),"норма",IF(G19&lt;E19,G19-E19,IF(G19&gt;E19,G19-E19,"норма")))))</f>
        <v>норма</v>
      </c>
    </row>
    <row r="20" spans="1:9" s="62" customFormat="1" ht="12.75" hidden="1">
      <c r="A20" s="786" t="s">
        <v>207</v>
      </c>
      <c r="B20" s="787"/>
      <c r="C20" s="788"/>
      <c r="D20" s="150">
        <f>G30*G37</f>
        <v>216</v>
      </c>
      <c r="E20" s="150">
        <v>144</v>
      </c>
      <c r="F20" s="71">
        <f>'Учебный план'!N103</f>
        <v>216</v>
      </c>
      <c r="G20" s="71">
        <f>'Учебный план'!O103</f>
        <v>0</v>
      </c>
      <c r="H20" s="72" t="str">
        <f>IF(OR(D20="",E20=""),"введите данные ФГОС",IF('Учебный план'!N113=0,"заполняйте учебный план",IF(OR(D20="-",D20=F20),"норма",IF(F20&lt;D20,F20-D20,IF(F20&gt;D20,F20-D20,"норма")))))</f>
        <v>норма</v>
      </c>
      <c r="I20" s="72">
        <f>IF(OR(D20="",E20=""),"введите данные ФГОС",IF('Учебный план'!N113=0,"заполняйте учебный план",IF(OR(E20="-",E20=G20),"норма",IF(G20&lt;E20,G20-E20,IF(G20&gt;E20,G20-E20,"норма")))))</f>
        <v>-144</v>
      </c>
    </row>
    <row r="21" spans="1:9" s="62" customFormat="1" ht="12.75" hidden="1">
      <c r="A21" s="790" t="s">
        <v>91</v>
      </c>
      <c r="B21" s="791"/>
      <c r="C21" s="792"/>
      <c r="D21" s="150">
        <f>D6+D9+D15+D17+D20</f>
        <v>10908</v>
      </c>
      <c r="E21" s="150">
        <f>E6+E9+E15+SUM(E18:E20)</f>
        <v>7272</v>
      </c>
      <c r="F21" s="153">
        <f>F6+F9+F15+F17+F20</f>
        <v>7938</v>
      </c>
      <c r="G21" s="153">
        <f>G6+G9+G15+G17+G20</f>
        <v>7128</v>
      </c>
      <c r="H21" s="72">
        <f>IF(OR(D21="",E21=""),"введите данные ФГОС",IF('Учебный план'!N113=0,"заполняйте учебный план",IF(OR(D21="-",D21=F21),"норма",IF(F21&lt;D21,F21-D21,IF(F21&gt;D21,F21-D21,"норма")))))</f>
        <v>-2970</v>
      </c>
      <c r="I21" s="72">
        <f>IF(OR(D21="",E21=""),"введите данные ФГОС",IF('Учебный план'!N113=0,"заполняйте учебный план",IF(OR(E21="-",E21=G21),"норма",IF(G21&lt;E21,G21-E21,IF(G21&gt;E21,G21-E21,"норма")))))</f>
        <v>-144</v>
      </c>
    </row>
    <row r="22" spans="1:9" s="62" customFormat="1" ht="12.75">
      <c r="A22" s="73"/>
      <c r="B22" s="73"/>
      <c r="C22" s="73"/>
      <c r="D22" s="73"/>
      <c r="E22" s="73"/>
      <c r="F22" s="73"/>
      <c r="G22" s="73"/>
      <c r="H22" s="73"/>
      <c r="I22" s="73"/>
    </row>
    <row r="23" spans="1:9" s="62" customFormat="1" ht="12.75">
      <c r="A23" s="816" t="s">
        <v>92</v>
      </c>
      <c r="B23" s="816"/>
      <c r="C23" s="816"/>
      <c r="D23" s="816"/>
      <c r="E23" s="816"/>
      <c r="F23" s="816"/>
      <c r="G23" s="816"/>
      <c r="H23" s="816"/>
      <c r="I23" s="816"/>
    </row>
    <row r="24" spans="1:9" s="62" customFormat="1" ht="78" customHeight="1">
      <c r="A24" s="802" t="s">
        <v>112</v>
      </c>
      <c r="B24" s="827"/>
      <c r="C24" s="827"/>
      <c r="D24" s="827"/>
      <c r="E24" s="803"/>
      <c r="F24" s="74" t="s">
        <v>366</v>
      </c>
      <c r="G24" s="74" t="s">
        <v>367</v>
      </c>
      <c r="H24" s="63" t="s">
        <v>113</v>
      </c>
      <c r="I24" s="63" t="s">
        <v>114</v>
      </c>
    </row>
    <row r="25" spans="1:9" s="62" customFormat="1" ht="12.75">
      <c r="A25" s="783"/>
      <c r="B25" s="784"/>
      <c r="C25" s="784"/>
      <c r="D25" s="784"/>
      <c r="E25" s="785"/>
      <c r="F25" s="75"/>
      <c r="G25" s="76"/>
      <c r="H25" s="77"/>
      <c r="I25" s="78"/>
    </row>
    <row r="26" spans="1:9" s="62" customFormat="1" ht="12.75">
      <c r="A26" s="793" t="s">
        <v>372</v>
      </c>
      <c r="B26" s="781"/>
      <c r="C26" s="781"/>
      <c r="D26" s="781"/>
      <c r="E26" s="782"/>
      <c r="F26" s="79">
        <v>199</v>
      </c>
      <c r="G26" s="80">
        <v>199</v>
      </c>
      <c r="H26" s="81">
        <f>IF(G26="","введите данные ФГОС",IF(F26="","введите рекомендации УМУ",IF('Титульный лист'!BN30=0,"заполняйте титульный лист",SUM('Титульный лист'!BN26:BN29))))</f>
        <v>199</v>
      </c>
      <c r="I26" s="82" t="str">
        <f aca="true" t="shared" si="0" ref="I26:I35">IF(G26="","введите данные ФГОС",IF(F26="","введите рекомендации УМУ",IF(H26="заполняйте титульный лист","заполняйте титульный лист",IF(AND(H26=G26,H26=F26),"норма","отклонение"))))</f>
        <v>норма</v>
      </c>
    </row>
    <row r="27" spans="1:9" s="62" customFormat="1" ht="12.75">
      <c r="A27" s="780" t="s">
        <v>261</v>
      </c>
      <c r="B27" s="781"/>
      <c r="C27" s="781"/>
      <c r="D27" s="781"/>
      <c r="E27" s="782"/>
      <c r="F27" s="79">
        <v>104</v>
      </c>
      <c r="G27" s="80">
        <v>104</v>
      </c>
      <c r="H27" s="81">
        <f>IF(G27="","введите данные ФГОС",IF(F27="","введите рекомендации УМУ",IF('Титульный лист'!BN30=0,"заполняйте титульный лист",SUM('Титульный лист'!BD26:BD29))))</f>
        <v>104</v>
      </c>
      <c r="I27" s="82" t="str">
        <f t="shared" si="0"/>
        <v>норма</v>
      </c>
    </row>
    <row r="28" spans="1:9" s="62" customFormat="1" ht="12.75">
      <c r="A28" s="780" t="s">
        <v>262</v>
      </c>
      <c r="B28" s="781"/>
      <c r="C28" s="781"/>
      <c r="D28" s="781"/>
      <c r="E28" s="782"/>
      <c r="F28" s="79">
        <v>55</v>
      </c>
      <c r="G28" s="80">
        <v>55</v>
      </c>
      <c r="H28" s="81">
        <f>IF(G28="","введите данные ФГОС",IF(F28="","введите рекомендации УМУ",IF('Титульный лист'!BN30=0,"заполняйте титульный лист",SUM('Титульный лист'!BH25:BI29))))</f>
        <v>55</v>
      </c>
      <c r="I28" s="82" t="str">
        <f t="shared" si="0"/>
        <v>норма</v>
      </c>
    </row>
    <row r="29" spans="1:9" s="62" customFormat="1" ht="12.75">
      <c r="A29" s="780" t="s">
        <v>263</v>
      </c>
      <c r="B29" s="781"/>
      <c r="C29" s="781"/>
      <c r="D29" s="781"/>
      <c r="E29" s="782"/>
      <c r="F29" s="79">
        <v>7</v>
      </c>
      <c r="G29" s="80">
        <v>7</v>
      </c>
      <c r="H29" s="81">
        <f>IF(G29="","введите данные ФГОС",IF(F29="","введите рекомендации УМУ",IF('Титульный лист'!BN30=0,"заполняйте титульный лист",SUM('Титульный лист'!BG26:BG29))))</f>
        <v>7</v>
      </c>
      <c r="I29" s="82" t="str">
        <f t="shared" si="0"/>
        <v>норма</v>
      </c>
    </row>
    <row r="30" spans="1:9" s="62" customFormat="1" ht="12.75">
      <c r="A30" s="793" t="s">
        <v>550</v>
      </c>
      <c r="B30" s="781"/>
      <c r="C30" s="781"/>
      <c r="D30" s="781"/>
      <c r="E30" s="782"/>
      <c r="F30" s="79">
        <v>4</v>
      </c>
      <c r="G30" s="80">
        <v>4</v>
      </c>
      <c r="H30" s="81">
        <f>IF(G30="","введите данные ФГОС",IF(F30="","введите рекомендации УМУ",IF('Титульный лист'!BN30=0,"заполняйте титульный лист",SUM('Титульный лист'!BJ25:BL29))))</f>
        <v>4</v>
      </c>
      <c r="I30" s="82" t="str">
        <f t="shared" si="0"/>
        <v>норма</v>
      </c>
    </row>
    <row r="31" spans="1:9" s="62" customFormat="1" ht="12.75">
      <c r="A31" s="780" t="s">
        <v>264</v>
      </c>
      <c r="B31" s="781"/>
      <c r="C31" s="781"/>
      <c r="D31" s="781"/>
      <c r="E31" s="782"/>
      <c r="F31" s="79">
        <v>29</v>
      </c>
      <c r="G31" s="80">
        <v>29</v>
      </c>
      <c r="H31" s="81">
        <f>IF(G31="","введите данные ФГОС",IF(F31="","введите рекомендации УМУ",IF('Титульный лист'!BN30=0,"заполняйте титульный лист",SUM('Титульный лист'!BM26:BM29))))</f>
        <v>29</v>
      </c>
      <c r="I31" s="82" t="str">
        <f t="shared" si="0"/>
        <v>норма</v>
      </c>
    </row>
    <row r="32" spans="1:9" s="62" customFormat="1" ht="12.75" customHeight="1">
      <c r="A32" s="793" t="s">
        <v>373</v>
      </c>
      <c r="B32" s="781"/>
      <c r="C32" s="781"/>
      <c r="D32" s="781"/>
      <c r="E32" s="782"/>
      <c r="F32" s="79">
        <v>52</v>
      </c>
      <c r="G32" s="80">
        <v>52</v>
      </c>
      <c r="H32" s="81">
        <f>IF(G32="","введите данные ФГОС",IF(F32="","введите рекомендации УМУ",IF('Титульный лист'!BN30=0,"заполняйте титульный лист",'Титульный лист'!BN25)))</f>
        <v>52</v>
      </c>
      <c r="I32" s="82" t="str">
        <f t="shared" si="0"/>
        <v>норма</v>
      </c>
    </row>
    <row r="33" spans="1:9" s="62" customFormat="1" ht="12.75" customHeight="1">
      <c r="A33" s="793" t="s">
        <v>374</v>
      </c>
      <c r="B33" s="781"/>
      <c r="C33" s="781"/>
      <c r="D33" s="781"/>
      <c r="E33" s="782"/>
      <c r="F33" s="79">
        <v>39</v>
      </c>
      <c r="G33" s="80">
        <v>39</v>
      </c>
      <c r="H33" s="81">
        <f>IF(G33="","введите данные ФГОС",IF(F33="","введите рекомендации УМУ",IF('Титульный лист'!BN30=0,"заполняйте титульный лист",'Титульный лист'!BD25)))</f>
        <v>39</v>
      </c>
      <c r="I33" s="82" t="str">
        <f t="shared" si="0"/>
        <v>норма</v>
      </c>
    </row>
    <row r="34" spans="1:9" s="62" customFormat="1" ht="12.75" customHeight="1">
      <c r="A34" s="793" t="s">
        <v>375</v>
      </c>
      <c r="B34" s="781"/>
      <c r="C34" s="781"/>
      <c r="D34" s="781"/>
      <c r="E34" s="782"/>
      <c r="F34" s="79">
        <v>2</v>
      </c>
      <c r="G34" s="80">
        <v>2</v>
      </c>
      <c r="H34" s="81">
        <f>IF(G34="","введите данные ФГОС",IF(F34="","введите рекомендации УМУ",IF('Титульный лист'!BN30=0,"заполняйте титульный лист",'Титульный лист'!BG25)))</f>
        <v>2</v>
      </c>
      <c r="I34" s="82" t="str">
        <f t="shared" si="0"/>
        <v>норма</v>
      </c>
    </row>
    <row r="35" spans="1:9" s="62" customFormat="1" ht="12.75" customHeight="1">
      <c r="A35" s="793" t="s">
        <v>376</v>
      </c>
      <c r="B35" s="781"/>
      <c r="C35" s="781"/>
      <c r="D35" s="781"/>
      <c r="E35" s="782"/>
      <c r="F35" s="79">
        <v>11</v>
      </c>
      <c r="G35" s="80">
        <v>11</v>
      </c>
      <c r="H35" s="81">
        <f>IF(G35="","введите данные ФГОС",IF(F35="","введите рекомендации УМУ",IF('Титульный лист'!BN30=0,"заполняйте титульный лист",'Титульный лист'!BM25)))</f>
        <v>11</v>
      </c>
      <c r="I35" s="82" t="str">
        <f t="shared" si="0"/>
        <v>норма</v>
      </c>
    </row>
    <row r="36" spans="1:9" s="62" customFormat="1" ht="12.75">
      <c r="A36" s="783"/>
      <c r="B36" s="784"/>
      <c r="C36" s="784"/>
      <c r="D36" s="784"/>
      <c r="E36" s="785"/>
      <c r="F36" s="75"/>
      <c r="G36" s="76"/>
      <c r="H36" s="77"/>
      <c r="I36" s="78"/>
    </row>
    <row r="37" spans="1:9" s="62" customFormat="1" ht="12.75" customHeight="1">
      <c r="A37" s="780" t="s">
        <v>265</v>
      </c>
      <c r="B37" s="781"/>
      <c r="C37" s="781"/>
      <c r="D37" s="781"/>
      <c r="E37" s="782"/>
      <c r="F37" s="83">
        <v>54</v>
      </c>
      <c r="G37" s="84">
        <v>54</v>
      </c>
      <c r="H37" s="85">
        <f>IF(G37="","введите данные ФГОС",IF(F37="","введите рекомендации УМУ",IF('Учебный план'!N113=0,"заполняйте учебный план",'Учебный план'!N116)))</f>
        <v>54</v>
      </c>
      <c r="I37" s="82" t="str">
        <f>IF(G37="","введите данные ФГОС",IF(F37="","введите рекомендации УМУ",IF(H37="заполняйте учебный план","заполняйте учебный план",IF(AND(H37&lt;=G37,H37&lt;=F37),"норма","отклонение"))))</f>
        <v>норма</v>
      </c>
    </row>
    <row r="38" spans="1:9" s="62" customFormat="1" ht="12.75" customHeight="1">
      <c r="A38" s="780" t="s">
        <v>266</v>
      </c>
      <c r="B38" s="781"/>
      <c r="C38" s="781"/>
      <c r="D38" s="781"/>
      <c r="E38" s="782"/>
      <c r="F38" s="83">
        <v>36</v>
      </c>
      <c r="G38" s="84">
        <v>36</v>
      </c>
      <c r="H38" s="85">
        <f>IF(G38="","введите данные ФГОС",IF(F38="","введите рекомендации УМУ",IF('Учебный план'!N113=0,"заполняйте учебный план",'Учебный план'!N117)))</f>
        <v>36</v>
      </c>
      <c r="I38" s="8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87" customFormat="1" ht="12.75" customHeight="1">
      <c r="A39" s="780" t="s">
        <v>116</v>
      </c>
      <c r="B39" s="781"/>
      <c r="C39" s="781"/>
      <c r="D39" s="781"/>
      <c r="E39" s="782"/>
      <c r="F39" s="79">
        <v>11</v>
      </c>
      <c r="G39" s="80">
        <v>11</v>
      </c>
      <c r="H39" s="81">
        <f>IF(G39="","введите данные ФГОС",IF(F39="","введите рекомендации УМУ",IF('Титульный лист'!BN30=0,"заполняйте титульный лист",DMAX('Титульный лист'!BM21:BN29,1,F60:G61))))</f>
        <v>11</v>
      </c>
      <c r="I39" s="86" t="str">
        <f>IF(G39="","введите данные ФГОС",IF(F39="","введите рекомендации УМУ",IF(H39="заполняйте титульный лист","заполняйте титульный лист",IF(AND(H39&lt;=F39,H39&lt;=G39),"норма","отклонение"))))</f>
        <v>норма</v>
      </c>
    </row>
    <row r="40" spans="1:9" s="87" customFormat="1" ht="12.75" customHeight="1">
      <c r="A40" s="780" t="s">
        <v>115</v>
      </c>
      <c r="B40" s="781"/>
      <c r="C40" s="781"/>
      <c r="D40" s="781"/>
      <c r="E40" s="782"/>
      <c r="F40" s="79">
        <v>5</v>
      </c>
      <c r="G40" s="80">
        <v>5</v>
      </c>
      <c r="H40" s="81">
        <f>IF(G40="","введите данные ФГОС",IF(F40="","введите рекомендации УМУ",IF('Титульный лист'!BN30=0,"заполняйте титульный лист",DMIN('Титульный лист'!BM21:BN29,1,F62:G63))))</f>
        <v>8</v>
      </c>
      <c r="I40" s="86" t="str">
        <f>IF(G40="","введите данные ФГОС",IF(F40="","введите рекомендации УМУ",IF(H40="заполняйте титульный лист","заполняйте титульный лист",IF(AND(H40&gt;=F40,H40&gt;=G40),"норма","отклонение"))))</f>
        <v>норма</v>
      </c>
    </row>
    <row r="41" spans="1:9" s="87" customFormat="1" ht="12.75" customHeight="1">
      <c r="A41" s="780" t="s">
        <v>267</v>
      </c>
      <c r="B41" s="781"/>
      <c r="C41" s="781"/>
      <c r="D41" s="781"/>
      <c r="E41" s="782"/>
      <c r="F41" s="71">
        <v>2</v>
      </c>
      <c r="G41" s="88">
        <v>2</v>
      </c>
      <c r="H41" s="89">
        <v>2</v>
      </c>
      <c r="I41" s="82" t="str">
        <f>IF(G41="","введите данные ФГОС",IF(F41="","введите рекомендации УМУ",IF(H41="заполняйте учебный план","заполняйте учебный план",IF(AND(H41=G41,H41=F41),"норма","отклонение"))))</f>
        <v>норма</v>
      </c>
    </row>
    <row r="42" spans="1:9" s="87" customFormat="1" ht="12.75" customHeight="1">
      <c r="A42" s="780" t="s">
        <v>268</v>
      </c>
      <c r="B42" s="781"/>
      <c r="C42" s="781"/>
      <c r="D42" s="781"/>
      <c r="E42" s="782"/>
      <c r="F42" s="71">
        <v>2</v>
      </c>
      <c r="G42" s="88">
        <v>2</v>
      </c>
      <c r="H42" s="89">
        <f>IF(G42="","введите данные ФГОС",IF(F42="","введите рекомендации УМУ",IF('Учебный план'!N113=0,"заполняйте учебный план",IF(F67&lt;&gt;G42,F67,IF(G67&lt;&gt;G42,G67,G42)))))</f>
        <v>2</v>
      </c>
      <c r="I42" s="82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87" customFormat="1" ht="12.75" customHeight="1" hidden="1">
      <c r="A43" s="780" t="s">
        <v>300</v>
      </c>
      <c r="B43" s="781"/>
      <c r="C43" s="781"/>
      <c r="D43" s="781"/>
      <c r="E43" s="782"/>
      <c r="F43" s="71">
        <v>0</v>
      </c>
      <c r="G43" s="88">
        <v>0</v>
      </c>
      <c r="H43" s="89">
        <f>IF(G43="","введите данные ФГОС",IF(F43="","введите рекомендации УМУ",IF('Титульный лист'!BN30=0,"заполняйте титульный лист",IF('Учебный план'!N113=0,"заполняйте учебный план",MAX(IF('Титульный лист'!BN25&gt;0,'Учебный план'!V105+'Учебный план'!AC105,0),IF('Титульный лист'!BN26&gt;0,'Учебный план'!AJ105+'Учебный план'!AQ105,0),IF('Титульный лист'!BN27&gt;0,'Учебный план'!AX105+'Учебный план'!BE105,0),IF('Титульный лист'!BN28&gt;0,'Учебный план'!BL105+'Учебный план'!BS105,0),IF('Титульный лист'!BN29&gt;0,'Учебный план'!BZ105+'Учебный план'!CG105,0))))))</f>
        <v>0</v>
      </c>
      <c r="I43" s="82" t="str">
        <f>IF(G43="","введите данные ФГОС",IF(F43="","введите рекомендации УМУ",IF(H43="заполняйте титульный лист","заполняйте титульный лист",IF(H43="заполняйте учебный план","заполняйте учебный план",IF(AND(H43=G43,H43=F43),"норма","отклонение")))))</f>
        <v>норма</v>
      </c>
    </row>
    <row r="44" spans="1:9" s="87" customFormat="1" ht="12.75" customHeight="1">
      <c r="A44" s="780" t="s">
        <v>292</v>
      </c>
      <c r="B44" s="781"/>
      <c r="C44" s="781"/>
      <c r="D44" s="781"/>
      <c r="E44" s="782"/>
      <c r="F44" s="79">
        <v>8</v>
      </c>
      <c r="G44" s="80">
        <v>8</v>
      </c>
      <c r="H44" s="81">
        <f>IF(G44="","введите данные ФГОС",IF(F44="","введите рекомендации УМУ",IF('Учебный план'!N113=0,"заполняйте учебный план",MAX('Учебный план'!AA118+'Учебный план'!AH118,'Учебный план'!AO118+'Учебный план'!AV118,'Учебный план'!BC118+'Учебный план'!BJ118,'Учебный план'!BQ118+'Учебный план'!BX118,'Учебный план'!CE118+'Учебный план'!CL118))))</f>
        <v>5</v>
      </c>
      <c r="I44" s="82" t="str">
        <f>IF(G44="","введите данные ФГОС",IF(F44="","введите рекомендации УМУ",IF(H44="заполняйте учебный план","заполняйте учебный план",IF(AND(H44&lt;=G44,H44&lt;=F44),"норма","отклонение"))))</f>
        <v>норма</v>
      </c>
    </row>
    <row r="45" spans="1:9" s="87" customFormat="1" ht="12.75" customHeight="1">
      <c r="A45" s="780" t="s">
        <v>293</v>
      </c>
      <c r="B45" s="781"/>
      <c r="C45" s="781"/>
      <c r="D45" s="781"/>
      <c r="E45" s="782"/>
      <c r="F45" s="79">
        <v>10</v>
      </c>
      <c r="G45" s="80">
        <v>10</v>
      </c>
      <c r="H45" s="81">
        <f>IF(G45="","введите данные ФГОС",IF(F45="","введите рекомендации УМУ",IF('Учебный план'!N113=0,"заполняйте учебный план",MAX('Учебный план'!AA119+'Учебный план'!AH119,'Учебный план'!AO119+'Учебный план'!AV119,'Учебный план'!BC119+'Учебный план'!BJ119,'Учебный план'!BQ119+'Учебный план'!BX119,'Учебный план'!CE119+'Учебный план'!CL119))))</f>
        <v>10</v>
      </c>
      <c r="I45" s="8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87" customFormat="1" ht="12.75" customHeight="1">
      <c r="A46" s="780" t="s">
        <v>269</v>
      </c>
      <c r="B46" s="781"/>
      <c r="C46" s="781"/>
      <c r="D46" s="781"/>
      <c r="E46" s="782"/>
      <c r="F46" s="79">
        <v>3</v>
      </c>
      <c r="G46" s="80">
        <v>3</v>
      </c>
      <c r="H46" s="81">
        <f>IF(G46="","введите данные ФГОС",IF(F46="","введите рекомендации УМУ",IF('Учебный план'!N113=0,"заполняйте учебный план",'Учебный план'!N120)))</f>
        <v>3</v>
      </c>
      <c r="I46" s="86" t="str">
        <f>IF(G46="","введите данные ФГОС",IF(F46="","введите рекомендации УМУ",IF(H46="заполняйте учебный план","заполняйте учебный план",IF(AND(H46&lt;=F46,H46&lt;=G46),"норма","отклонение"))))</f>
        <v>норма</v>
      </c>
    </row>
    <row r="47" spans="1:9" s="87" customFormat="1" ht="12.75" customHeight="1">
      <c r="A47" s="780" t="s">
        <v>270</v>
      </c>
      <c r="B47" s="781"/>
      <c r="C47" s="781"/>
      <c r="D47" s="781"/>
      <c r="E47" s="782"/>
      <c r="F47" s="71" t="s">
        <v>148</v>
      </c>
      <c r="G47" s="88" t="s">
        <v>148</v>
      </c>
      <c r="H47" s="81" t="s">
        <v>148</v>
      </c>
      <c r="I47" s="86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87" customFormat="1" ht="12.75" customHeight="1">
      <c r="A48" s="780" t="s">
        <v>138</v>
      </c>
      <c r="B48" s="781"/>
      <c r="C48" s="781"/>
      <c r="D48" s="781"/>
      <c r="E48" s="782"/>
      <c r="F48" s="71" t="s">
        <v>148</v>
      </c>
      <c r="G48" s="88" t="s">
        <v>148</v>
      </c>
      <c r="H48" s="81" t="s">
        <v>148</v>
      </c>
      <c r="I48" s="86" t="str">
        <f>IF(G48="","введите данные ФГОС",IF(F48="","введите рекомендации УМУ",IF(H48="запоняйте учебный план","заполняйте учебный план",IF(H48="да","норма","отклонение"))))</f>
        <v>норма</v>
      </c>
    </row>
    <row r="49" spans="1:9" s="62" customFormat="1" ht="12.75">
      <c r="A49" s="73"/>
      <c r="B49" s="73"/>
      <c r="C49" s="73"/>
      <c r="D49" s="73"/>
      <c r="E49" s="73"/>
      <c r="F49" s="73"/>
      <c r="G49" s="73"/>
      <c r="H49" s="73"/>
      <c r="I49" s="73"/>
    </row>
    <row r="50" spans="1:9" s="62" customFormat="1" ht="12.75">
      <c r="A50" s="73"/>
      <c r="B50" s="73"/>
      <c r="C50" s="73"/>
      <c r="D50" s="73"/>
      <c r="E50" s="73"/>
      <c r="F50" s="73"/>
      <c r="G50" s="73"/>
      <c r="H50" s="73"/>
      <c r="I50" s="73"/>
    </row>
    <row r="51" spans="1:9" s="62" customFormat="1" ht="12.75">
      <c r="A51" s="816" t="s">
        <v>94</v>
      </c>
      <c r="B51" s="816"/>
      <c r="C51" s="816"/>
      <c r="D51" s="816"/>
      <c r="E51" s="816"/>
      <c r="F51" s="816"/>
      <c r="G51" s="816"/>
      <c r="H51" s="816"/>
      <c r="I51" s="816"/>
    </row>
    <row r="52" spans="1:9" s="62" customFormat="1" ht="12.75">
      <c r="A52" s="817" t="s">
        <v>271</v>
      </c>
      <c r="B52" s="798"/>
      <c r="C52" s="798"/>
      <c r="D52" s="798"/>
      <c r="E52" s="798"/>
      <c r="F52" s="810" t="s">
        <v>509</v>
      </c>
      <c r="G52" s="811"/>
      <c r="H52" s="811"/>
      <c r="I52" s="812"/>
    </row>
    <row r="53" spans="1:9" s="62" customFormat="1" ht="12.75">
      <c r="A53" s="813" t="str">
        <f>A4</f>
        <v>Специфика:</v>
      </c>
      <c r="B53" s="814"/>
      <c r="C53" s="814"/>
      <c r="D53" s="814"/>
      <c r="E53" s="814"/>
      <c r="F53" s="815" t="s">
        <v>272</v>
      </c>
      <c r="G53" s="815"/>
      <c r="H53" s="815"/>
      <c r="I53" s="815"/>
    </row>
    <row r="54" spans="1:9" s="62" customFormat="1" ht="12.75">
      <c r="A54" s="818">
        <f>A5</f>
        <v>0</v>
      </c>
      <c r="B54" s="819"/>
      <c r="C54" s="819"/>
      <c r="D54" s="819"/>
      <c r="E54" s="819"/>
      <c r="F54" s="805" t="s">
        <v>486</v>
      </c>
      <c r="G54" s="806"/>
      <c r="H54" s="806"/>
      <c r="I54" s="807"/>
    </row>
    <row r="55" spans="1:9" s="62" customFormat="1" ht="12.75">
      <c r="A55" s="73"/>
      <c r="B55" s="73"/>
      <c r="C55" s="73"/>
      <c r="D55" s="73"/>
      <c r="E55" s="73"/>
      <c r="F55" s="73"/>
      <c r="G55" s="73"/>
      <c r="H55" s="73"/>
      <c r="I55" s="73"/>
    </row>
    <row r="56" spans="1:9" s="62" customFormat="1" ht="12.75">
      <c r="A56" s="804" t="s">
        <v>95</v>
      </c>
      <c r="B56" s="804"/>
      <c r="C56" s="804"/>
      <c r="D56" s="804"/>
      <c r="E56" s="804"/>
      <c r="F56" s="804"/>
      <c r="G56" s="804"/>
      <c r="H56" s="804"/>
      <c r="I56" s="73"/>
    </row>
    <row r="57" spans="1:9" s="62" customFormat="1" ht="12.75">
      <c r="A57" s="797" t="s">
        <v>536</v>
      </c>
      <c r="B57" s="798"/>
      <c r="C57" s="798"/>
      <c r="D57" s="798"/>
      <c r="E57" s="799"/>
      <c r="F57" s="820" t="str">
        <f>'Титульный лист'!BC14</f>
        <v>07.05.2014 № 441</v>
      </c>
      <c r="G57" s="821"/>
      <c r="H57" s="822"/>
      <c r="I57" s="73"/>
    </row>
    <row r="58" spans="1:9" s="62" customFormat="1" ht="12.75">
      <c r="A58" s="817" t="s">
        <v>96</v>
      </c>
      <c r="B58" s="798"/>
      <c r="C58" s="798"/>
      <c r="D58" s="798"/>
      <c r="E58" s="799"/>
      <c r="F58" s="794">
        <v>43344</v>
      </c>
      <c r="G58" s="795"/>
      <c r="H58" s="796"/>
      <c r="I58" s="73"/>
    </row>
    <row r="60" spans="1:7" s="91" customFormat="1" ht="12" customHeight="1" hidden="1">
      <c r="A60" s="90"/>
      <c r="B60" s="90"/>
      <c r="C60" s="90"/>
      <c r="D60" s="90"/>
      <c r="F60" s="92" t="s">
        <v>24</v>
      </c>
      <c r="G60" s="92" t="s">
        <v>5</v>
      </c>
    </row>
    <row r="61" spans="1:9" s="91" customFormat="1" ht="11.25" customHeight="1" hidden="1">
      <c r="A61" s="90"/>
      <c r="B61" s="90"/>
      <c r="C61" s="90"/>
      <c r="D61" s="90"/>
      <c r="F61" s="92"/>
      <c r="G61" s="92" t="s">
        <v>147</v>
      </c>
      <c r="I61" s="93"/>
    </row>
    <row r="62" spans="1:7" s="91" customFormat="1" ht="11.25" customHeight="1" hidden="1">
      <c r="A62" s="90"/>
      <c r="B62" s="90"/>
      <c r="C62" s="90"/>
      <c r="D62" s="90"/>
      <c r="F62" s="92" t="s">
        <v>24</v>
      </c>
      <c r="G62" s="92" t="s">
        <v>5</v>
      </c>
    </row>
    <row r="63" spans="1:7" s="91" customFormat="1" ht="11.25" customHeight="1" hidden="1">
      <c r="A63" s="90"/>
      <c r="B63" s="90"/>
      <c r="C63" s="90"/>
      <c r="D63" s="90"/>
      <c r="F63" s="92" t="s">
        <v>277</v>
      </c>
      <c r="G63" s="92" t="s">
        <v>147</v>
      </c>
    </row>
    <row r="64" spans="1:4" s="91" customFormat="1" ht="11.25" customHeight="1" hidden="1">
      <c r="A64" s="90"/>
      <c r="B64" s="90"/>
      <c r="C64" s="90"/>
      <c r="D64" s="90"/>
    </row>
    <row r="65" spans="1:7" s="91" customFormat="1" ht="11.25" customHeight="1" hidden="1">
      <c r="A65" s="90"/>
      <c r="B65" s="90"/>
      <c r="C65" s="90"/>
      <c r="D65" s="825" t="s">
        <v>304</v>
      </c>
      <c r="E65" s="826"/>
      <c r="F65" s="823" t="s">
        <v>305</v>
      </c>
      <c r="G65" s="824"/>
    </row>
    <row r="66" spans="1:7" s="91" customFormat="1" ht="11.25" customHeight="1" hidden="1">
      <c r="A66" s="94" t="s">
        <v>146</v>
      </c>
      <c r="D66" s="95" t="s">
        <v>302</v>
      </c>
      <c r="E66" s="95" t="s">
        <v>303</v>
      </c>
      <c r="F66" s="95" t="s">
        <v>302</v>
      </c>
      <c r="G66" s="95" t="s">
        <v>303</v>
      </c>
    </row>
    <row r="67" spans="1:8" s="91" customFormat="1" ht="11.25" customHeight="1" hidden="1">
      <c r="A67" s="96" t="s">
        <v>509</v>
      </c>
      <c r="D67" s="97" t="e">
        <f>MAX(IF('Титульный лист'!BB25=0,0,DSUM('Учебный план'!A10:CM92,"23",D68:E69)/'Титульный лист'!BB25),IF('Титульный лист'!BC25=0,0,DSUM('Учебный план'!A10:CM92,"32",D70:E71)/'Титульный лист'!BC25),IF('Титульный лист'!BB26=0,0,DSUM('Учебный план'!A10:CM92,"41",D72:E73)/'Титульный лист'!BB26),IF('Титульный лист'!BC26=0,0,DSUM('Учебный план'!A10:CM92,"50",D74:E75)/'Титульный лист'!BC26),IF('Титульный лист'!BB27=0,0,DSUM('Учебный план'!A10:CM92,"59",D76:E77)/'Титульный лист'!BB27),IF('Титульный лист'!BC27=0,0,DSUM('Учебный план'!A10:CM92,"68",D78:E79)/'Титульный лист'!BC27),IF('Титульный лист'!BB28=0,0,DSUM('Учебный план'!A10:CM92,"77",D80:E81)/'Титульный лист'!BB28),IF('Титульный лист'!BC28=0,0,DSUM('Учебный план'!A10:CM92,"86",D82:E83)/'Титульный лист'!BC28),IF('Титульный лист'!BB29=0,0,DSUM('Учебный план'!A10:CM92,"95",D84:E85)/'Титульный лист'!BB29),IF('Титульный лист'!BC29=0,0,DSUM('Учебный план'!A10:CM92,"104",D86:E87)/'Титульный лист'!BC29))</f>
        <v>#VALUE!</v>
      </c>
      <c r="E67" s="97" t="e">
        <f>MIN(IF('Титульный лист'!BB25=0,100,DSUM('Учебный план'!A10:CM92,"23",D68:E69)/'Титульный лист'!BB25),IF('Титульный лист'!BC25=0,100,DSUM('Учебный план'!A10:CM92,"32",D70:E71)/'Титульный лист'!BC25),IF('Титульный лист'!BB26=0,100,DSUM('Учебный план'!A10:CM92,"41",D72:E73)/'Титульный лист'!BB26),IF('Титульный лист'!BC26=0,100,DSUM('Учебный план'!A10:CM92,"50",D74:E75)/'Титульный лист'!BC26),IF('Титульный лист'!BB27=0,100,DSUM('Учебный план'!A10:CM92,"59",D76:E77)/'Титульный лист'!BB27),IF('Титульный лист'!BC27=0,100,DSUM('Учебный план'!A10:CM92,"68",D78:E79)/'Титульный лист'!BC27),IF('Титульный лист'!BB28=0,100,DSUM('Учебный план'!A10:CM92,"77",D80:E81)/'Титульный лист'!BB28),IF('Титульный лист'!BC28=0,100,DSUM('Учебный план'!A10:CM92,"86",D82:E83)/'Титульный лист'!BC28),IF('Титульный лист'!BB29=0,100,DSUM('Учебный план'!A10:CM92,"95",D84:E85)/'Титульный лист'!BB29),IF('Титульный лист'!BC29=0,100,DSUM('Учебный план'!A10:CM92,"104",D86:E87)/'Титульный лист'!BC29))</f>
        <v>#VALUE!</v>
      </c>
      <c r="F67" s="97">
        <v>2</v>
      </c>
      <c r="G67" s="97">
        <v>2</v>
      </c>
      <c r="H67" s="98"/>
    </row>
    <row r="68" spans="1:7" s="91" customFormat="1" ht="11.25" customHeight="1" hidden="1">
      <c r="A68" s="96" t="e">
        <f>#REF!</f>
        <v>#REF!</v>
      </c>
      <c r="D68" s="99">
        <v>2</v>
      </c>
      <c r="E68" s="99">
        <v>23</v>
      </c>
      <c r="F68" s="99">
        <v>2</v>
      </c>
      <c r="G68" s="99">
        <v>28</v>
      </c>
    </row>
    <row r="69" spans="1:7" s="91" customFormat="1" ht="22.5" customHeight="1" hidden="1">
      <c r="A69" s="96" t="e">
        <f>#REF!</f>
        <v>#REF!</v>
      </c>
      <c r="D69" s="99" t="s">
        <v>7</v>
      </c>
      <c r="E69" s="99" t="s">
        <v>147</v>
      </c>
      <c r="F69" s="99" t="s">
        <v>7</v>
      </c>
      <c r="G69" s="99" t="s">
        <v>147</v>
      </c>
    </row>
    <row r="70" spans="1:7" s="91" customFormat="1" ht="11.25" customHeight="1" hidden="1">
      <c r="A70" s="96" t="e">
        <f>#REF!</f>
        <v>#REF!</v>
      </c>
      <c r="D70" s="99">
        <v>2</v>
      </c>
      <c r="E70" s="99">
        <v>32</v>
      </c>
      <c r="F70" s="99">
        <v>2</v>
      </c>
      <c r="G70" s="99">
        <v>37</v>
      </c>
    </row>
    <row r="71" spans="1:10" s="91" customFormat="1" ht="22.5" customHeight="1" hidden="1">
      <c r="A71" s="96" t="e">
        <f>#REF!</f>
        <v>#REF!</v>
      </c>
      <c r="D71" s="99" t="s">
        <v>7</v>
      </c>
      <c r="E71" s="99" t="s">
        <v>147</v>
      </c>
      <c r="F71" s="99" t="s">
        <v>7</v>
      </c>
      <c r="G71" s="99" t="s">
        <v>147</v>
      </c>
      <c r="H71" s="98"/>
      <c r="I71" s="98"/>
      <c r="J71" s="98"/>
    </row>
    <row r="72" spans="1:7" s="91" customFormat="1" ht="11.25" customHeight="1" hidden="1">
      <c r="A72" s="96" t="e">
        <f>#REF!</f>
        <v>#REF!</v>
      </c>
      <c r="D72" s="99">
        <v>2</v>
      </c>
      <c r="E72" s="99">
        <v>41</v>
      </c>
      <c r="F72" s="99">
        <v>2</v>
      </c>
      <c r="G72" s="99">
        <v>46</v>
      </c>
    </row>
    <row r="73" spans="1:7" s="91" customFormat="1" ht="22.5" customHeight="1" hidden="1">
      <c r="A73" s="96" t="e">
        <f>#REF!</f>
        <v>#REF!</v>
      </c>
      <c r="D73" s="99" t="s">
        <v>7</v>
      </c>
      <c r="E73" s="99" t="s">
        <v>147</v>
      </c>
      <c r="F73" s="99" t="s">
        <v>7</v>
      </c>
      <c r="G73" s="99" t="s">
        <v>147</v>
      </c>
    </row>
    <row r="74" spans="1:7" s="91" customFormat="1" ht="11.25" customHeight="1" hidden="1">
      <c r="A74" s="96" t="e">
        <f>#REF!</f>
        <v>#REF!</v>
      </c>
      <c r="D74" s="99">
        <v>2</v>
      </c>
      <c r="E74" s="99">
        <v>50</v>
      </c>
      <c r="F74" s="99">
        <v>2</v>
      </c>
      <c r="G74" s="99">
        <v>55</v>
      </c>
    </row>
    <row r="75" spans="1:7" s="91" customFormat="1" ht="22.5" customHeight="1" hidden="1">
      <c r="A75" s="96" t="e">
        <f>#REF!</f>
        <v>#REF!</v>
      </c>
      <c r="D75" s="99" t="s">
        <v>7</v>
      </c>
      <c r="E75" s="99" t="s">
        <v>147</v>
      </c>
      <c r="F75" s="99" t="s">
        <v>7</v>
      </c>
      <c r="G75" s="99" t="s">
        <v>147</v>
      </c>
    </row>
    <row r="76" spans="1:7" s="91" customFormat="1" ht="11.25" customHeight="1" hidden="1">
      <c r="A76" s="96" t="e">
        <f>#REF!</f>
        <v>#REF!</v>
      </c>
      <c r="D76" s="99">
        <v>2</v>
      </c>
      <c r="E76" s="99">
        <v>59</v>
      </c>
      <c r="F76" s="99">
        <v>2</v>
      </c>
      <c r="G76" s="99">
        <v>64</v>
      </c>
    </row>
    <row r="77" spans="4:7" s="91" customFormat="1" ht="22.5" customHeight="1" hidden="1">
      <c r="D77" s="99" t="s">
        <v>7</v>
      </c>
      <c r="E77" s="99" t="s">
        <v>147</v>
      </c>
      <c r="F77" s="99" t="s">
        <v>7</v>
      </c>
      <c r="G77" s="99" t="s">
        <v>147</v>
      </c>
    </row>
    <row r="78" spans="1:7" s="91" customFormat="1" ht="11.25" customHeight="1" hidden="1">
      <c r="A78" s="808" t="s">
        <v>299</v>
      </c>
      <c r="B78" s="809"/>
      <c r="D78" s="99">
        <v>2</v>
      </c>
      <c r="E78" s="99">
        <v>68</v>
      </c>
      <c r="F78" s="99">
        <v>2</v>
      </c>
      <c r="G78" s="99">
        <v>73</v>
      </c>
    </row>
    <row r="79" spans="1:7" s="91" customFormat="1" ht="22.5" customHeight="1" hidden="1">
      <c r="A79" s="145" t="s">
        <v>480</v>
      </c>
      <c r="B79" s="146" t="s">
        <v>481</v>
      </c>
      <c r="D79" s="99" t="s">
        <v>7</v>
      </c>
      <c r="E79" s="99" t="s">
        <v>147</v>
      </c>
      <c r="F79" s="99" t="s">
        <v>7</v>
      </c>
      <c r="G79" s="99" t="s">
        <v>147</v>
      </c>
    </row>
    <row r="80" spans="1:7" s="91" customFormat="1" ht="11.25" customHeight="1" hidden="1">
      <c r="A80" s="145" t="s">
        <v>482</v>
      </c>
      <c r="B80" s="146" t="s">
        <v>483</v>
      </c>
      <c r="D80" s="99">
        <v>2</v>
      </c>
      <c r="E80" s="99">
        <v>77</v>
      </c>
      <c r="F80" s="99">
        <v>2</v>
      </c>
      <c r="G80" s="99">
        <v>82</v>
      </c>
    </row>
    <row r="81" spans="1:7" s="91" customFormat="1" ht="22.5" customHeight="1" hidden="1">
      <c r="A81" s="145" t="s">
        <v>484</v>
      </c>
      <c r="B81" s="146" t="s">
        <v>485</v>
      </c>
      <c r="D81" s="99" t="s">
        <v>7</v>
      </c>
      <c r="E81" s="99" t="s">
        <v>147</v>
      </c>
      <c r="F81" s="99" t="s">
        <v>7</v>
      </c>
      <c r="G81" s="99" t="s">
        <v>147</v>
      </c>
    </row>
    <row r="82" spans="1:7" s="91" customFormat="1" ht="11.25" customHeight="1" hidden="1">
      <c r="A82" s="145" t="s">
        <v>486</v>
      </c>
      <c r="B82" s="146" t="s">
        <v>487</v>
      </c>
      <c r="D82" s="99">
        <v>2</v>
      </c>
      <c r="E82" s="99">
        <v>86</v>
      </c>
      <c r="F82" s="99">
        <v>2</v>
      </c>
      <c r="G82" s="99">
        <v>91</v>
      </c>
    </row>
    <row r="83" spans="1:7" s="91" customFormat="1" ht="22.5" customHeight="1" hidden="1">
      <c r="A83" s="145" t="s">
        <v>488</v>
      </c>
      <c r="B83" s="146" t="s">
        <v>489</v>
      </c>
      <c r="D83" s="99" t="s">
        <v>7</v>
      </c>
      <c r="E83" s="99" t="s">
        <v>147</v>
      </c>
      <c r="F83" s="99" t="s">
        <v>7</v>
      </c>
      <c r="G83" s="99" t="s">
        <v>147</v>
      </c>
    </row>
    <row r="84" spans="1:7" s="91" customFormat="1" ht="11.25" customHeight="1" hidden="1">
      <c r="A84" s="145" t="s">
        <v>490</v>
      </c>
      <c r="B84" s="146" t="s">
        <v>491</v>
      </c>
      <c r="D84" s="99">
        <v>2</v>
      </c>
      <c r="E84" s="99">
        <v>95</v>
      </c>
      <c r="F84" s="99">
        <v>2</v>
      </c>
      <c r="G84" s="99">
        <v>100</v>
      </c>
    </row>
    <row r="85" spans="1:7" s="91" customFormat="1" ht="22.5" customHeight="1" hidden="1">
      <c r="A85" s="145" t="s">
        <v>492</v>
      </c>
      <c r="B85" s="146" t="s">
        <v>493</v>
      </c>
      <c r="D85" s="99" t="s">
        <v>7</v>
      </c>
      <c r="E85" s="99" t="s">
        <v>147</v>
      </c>
      <c r="F85" s="99" t="s">
        <v>7</v>
      </c>
      <c r="G85" s="99" t="s">
        <v>147</v>
      </c>
    </row>
    <row r="86" spans="1:7" s="91" customFormat="1" ht="11.25" customHeight="1" hidden="1">
      <c r="A86" s="145" t="s">
        <v>494</v>
      </c>
      <c r="B86" s="146" t="s">
        <v>495</v>
      </c>
      <c r="D86" s="99">
        <v>2</v>
      </c>
      <c r="E86" s="99">
        <v>104</v>
      </c>
      <c r="F86" s="99">
        <v>2</v>
      </c>
      <c r="G86" s="99">
        <v>109</v>
      </c>
    </row>
    <row r="87" spans="1:7" s="91" customFormat="1" ht="22.5" customHeight="1" hidden="1">
      <c r="A87" s="145" t="s">
        <v>496</v>
      </c>
      <c r="B87" s="146" t="s">
        <v>497</v>
      </c>
      <c r="D87" s="99" t="s">
        <v>7</v>
      </c>
      <c r="E87" s="99" t="s">
        <v>147</v>
      </c>
      <c r="F87" s="99" t="s">
        <v>7</v>
      </c>
      <c r="G87" s="99" t="s">
        <v>147</v>
      </c>
    </row>
    <row r="88" spans="1:2" s="91" customFormat="1" ht="11.25" customHeight="1" hidden="1">
      <c r="A88" s="147" t="s">
        <v>498</v>
      </c>
      <c r="B88" s="104">
        <v>31</v>
      </c>
    </row>
    <row r="89" spans="1:2" s="91" customFormat="1" ht="11.25" customHeight="1" hidden="1">
      <c r="A89" s="145" t="s">
        <v>499</v>
      </c>
      <c r="B89" s="148">
        <v>33</v>
      </c>
    </row>
    <row r="90" spans="1:2" s="91" customFormat="1" ht="11.25" customHeight="1" hidden="1">
      <c r="A90" s="96" t="e">
        <f>#REF!</f>
        <v>#REF!</v>
      </c>
      <c r="B90" s="100" t="e">
        <f>#REF!</f>
        <v>#REF!</v>
      </c>
    </row>
    <row r="91" spans="1:2" s="91" customFormat="1" ht="11.25" customHeight="1" hidden="1">
      <c r="A91" s="96" t="e">
        <f>#REF!</f>
        <v>#REF!</v>
      </c>
      <c r="B91" s="100" t="e">
        <f>#REF!</f>
        <v>#REF!</v>
      </c>
    </row>
    <row r="92" spans="1:2" s="91" customFormat="1" ht="11.25" customHeight="1" hidden="1">
      <c r="A92" s="96" t="e">
        <f>#REF!</f>
        <v>#REF!</v>
      </c>
      <c r="B92" s="100" t="e">
        <f>#REF!</f>
        <v>#REF!</v>
      </c>
    </row>
    <row r="93" spans="1:2" s="91" customFormat="1" ht="11.25" customHeight="1" hidden="1">
      <c r="A93" s="96" t="e">
        <f>#REF!</f>
        <v>#REF!</v>
      </c>
      <c r="B93" s="100" t="e">
        <f>#REF!</f>
        <v>#REF!</v>
      </c>
    </row>
    <row r="94" spans="1:2" s="91" customFormat="1" ht="11.25" customHeight="1" hidden="1">
      <c r="A94" s="96" t="e">
        <f>#REF!</f>
        <v>#REF!</v>
      </c>
      <c r="B94" s="100" t="e">
        <f>#REF!</f>
        <v>#REF!</v>
      </c>
    </row>
    <row r="95" spans="1:2" s="91" customFormat="1" ht="11.25" customHeight="1" hidden="1">
      <c r="A95" s="96" t="e">
        <f>#REF!</f>
        <v>#REF!</v>
      </c>
      <c r="B95" s="100" t="e">
        <f>#REF!</f>
        <v>#REF!</v>
      </c>
    </row>
    <row r="96" spans="1:7" s="91" customFormat="1" ht="12.75" customHeight="1" hidden="1">
      <c r="A96" s="96" t="e">
        <f>#REF!</f>
        <v>#REF!</v>
      </c>
      <c r="B96" s="100" t="e">
        <f>#REF!</f>
        <v>#REF!</v>
      </c>
      <c r="D96" s="101"/>
      <c r="E96" s="101"/>
      <c r="F96" s="101"/>
      <c r="G96" s="101"/>
    </row>
    <row r="97" spans="1:7" s="91" customFormat="1" ht="12.75" customHeight="1" hidden="1">
      <c r="A97" s="96" t="e">
        <f>#REF!</f>
        <v>#REF!</v>
      </c>
      <c r="B97" s="100" t="e">
        <f>#REF!</f>
        <v>#REF!</v>
      </c>
      <c r="D97" s="101"/>
      <c r="E97" s="101"/>
      <c r="F97" s="101"/>
      <c r="G97" s="101"/>
    </row>
    <row r="98" spans="1:7" s="91" customFormat="1" ht="12.75" customHeight="1" hidden="1">
      <c r="A98" s="96" t="e">
        <f>#REF!</f>
        <v>#REF!</v>
      </c>
      <c r="B98" s="100" t="e">
        <f>#REF!</f>
        <v>#REF!</v>
      </c>
      <c r="D98" s="101"/>
      <c r="E98" s="101"/>
      <c r="F98" s="101"/>
      <c r="G98" s="101"/>
    </row>
  </sheetData>
  <sheetProtection selectLockedCells="1" selectUnlockedCells="1"/>
  <mergeCells count="62">
    <mergeCell ref="H2:I2"/>
    <mergeCell ref="A2:C3"/>
    <mergeCell ref="A6:C6"/>
    <mergeCell ref="A7:C7"/>
    <mergeCell ref="A8:C8"/>
    <mergeCell ref="A35:E35"/>
    <mergeCell ref="A9:C9"/>
    <mergeCell ref="A16:C16"/>
    <mergeCell ref="A30:E30"/>
    <mergeCell ref="A33:E33"/>
    <mergeCell ref="A41:E41"/>
    <mergeCell ref="A42:E42"/>
    <mergeCell ref="F57:H57"/>
    <mergeCell ref="F65:G65"/>
    <mergeCell ref="D65:E65"/>
    <mergeCell ref="A23:I23"/>
    <mergeCell ref="A24:E24"/>
    <mergeCell ref="A25:E25"/>
    <mergeCell ref="A28:E28"/>
    <mergeCell ref="A32:E32"/>
    <mergeCell ref="A43:E43"/>
    <mergeCell ref="A29:E29"/>
    <mergeCell ref="A34:E34"/>
    <mergeCell ref="A38:E38"/>
    <mergeCell ref="A58:E58"/>
    <mergeCell ref="A54:E54"/>
    <mergeCell ref="A40:E40"/>
    <mergeCell ref="A46:E46"/>
    <mergeCell ref="A47:E47"/>
    <mergeCell ref="A45:E45"/>
    <mergeCell ref="A48:E48"/>
    <mergeCell ref="A44:E44"/>
    <mergeCell ref="A18:C18"/>
    <mergeCell ref="A20:C20"/>
    <mergeCell ref="A78:B78"/>
    <mergeCell ref="F52:I52"/>
    <mergeCell ref="A53:E53"/>
    <mergeCell ref="F53:I53"/>
    <mergeCell ref="A51:I51"/>
    <mergeCell ref="A52:E52"/>
    <mergeCell ref="F58:H58"/>
    <mergeCell ref="A57:E57"/>
    <mergeCell ref="A1:I1"/>
    <mergeCell ref="F2:G2"/>
    <mergeCell ref="D2:E2"/>
    <mergeCell ref="A14:C14"/>
    <mergeCell ref="A19:C19"/>
    <mergeCell ref="A56:H56"/>
    <mergeCell ref="F54:I54"/>
    <mergeCell ref="A11:C11"/>
    <mergeCell ref="A12:C12"/>
    <mergeCell ref="A13:C13"/>
    <mergeCell ref="A15:C15"/>
    <mergeCell ref="A10:C10"/>
    <mergeCell ref="A21:C21"/>
    <mergeCell ref="A26:E26"/>
    <mergeCell ref="A27:E27"/>
    <mergeCell ref="A39:E39"/>
    <mergeCell ref="A31:E31"/>
    <mergeCell ref="A36:E36"/>
    <mergeCell ref="A37:E37"/>
    <mergeCell ref="A17:C17"/>
  </mergeCells>
  <conditionalFormatting sqref="I25:I48 H6:I21">
    <cfRule type="cellIs" priority="2" dxfId="0" operator="equal" stopIfTrue="1">
      <formula>"норма"</formula>
    </cfRule>
  </conditionalFormatting>
  <conditionalFormatting sqref="I41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90" zoomScaleNormal="90" zoomScalePageLayoutView="0" workbookViewId="0" topLeftCell="A1">
      <selection activeCell="B29" sqref="B29"/>
    </sheetView>
  </sheetViews>
  <sheetFormatPr defaultColWidth="9.33203125" defaultRowHeight="12.75"/>
  <cols>
    <col min="1" max="1" width="9.33203125" style="38" customWidth="1"/>
    <col min="2" max="2" width="100.83203125" style="38" customWidth="1"/>
    <col min="3" max="4" width="9.33203125" style="38" customWidth="1"/>
    <col min="5" max="5" width="100.83203125" style="38" customWidth="1"/>
    <col min="6" max="16384" width="9.33203125" style="38" customWidth="1"/>
  </cols>
  <sheetData>
    <row r="1" spans="1:5" ht="28.5" customHeight="1">
      <c r="A1" s="836" t="s">
        <v>149</v>
      </c>
      <c r="B1" s="836"/>
      <c r="C1" s="399"/>
      <c r="D1" s="836" t="s">
        <v>0</v>
      </c>
      <c r="E1" s="836"/>
    </row>
    <row r="2" spans="1:5" ht="25.5">
      <c r="A2" s="400" t="s">
        <v>81</v>
      </c>
      <c r="B2" s="401" t="s">
        <v>389</v>
      </c>
      <c r="C2" s="399"/>
      <c r="D2" s="402" t="s">
        <v>310</v>
      </c>
      <c r="E2" s="401" t="s">
        <v>397</v>
      </c>
    </row>
    <row r="3" spans="1:5" ht="25.5">
      <c r="A3" s="400" t="s">
        <v>82</v>
      </c>
      <c r="B3" s="401" t="s">
        <v>390</v>
      </c>
      <c r="C3" s="399"/>
      <c r="D3" s="402" t="s">
        <v>311</v>
      </c>
      <c r="E3" s="401" t="s">
        <v>398</v>
      </c>
    </row>
    <row r="4" spans="1:5" ht="12.75">
      <c r="A4" s="400" t="s">
        <v>83</v>
      </c>
      <c r="B4" s="401" t="s">
        <v>388</v>
      </c>
      <c r="C4" s="399"/>
      <c r="D4" s="402" t="s">
        <v>312</v>
      </c>
      <c r="E4" s="401" t="s">
        <v>399</v>
      </c>
    </row>
    <row r="5" spans="1:5" ht="25.5">
      <c r="A5" s="400" t="s">
        <v>84</v>
      </c>
      <c r="B5" s="401" t="s">
        <v>391</v>
      </c>
      <c r="C5" s="403" t="s">
        <v>26</v>
      </c>
      <c r="D5" s="402" t="s">
        <v>401</v>
      </c>
      <c r="E5" s="401" t="s">
        <v>400</v>
      </c>
    </row>
    <row r="6" spans="1:5" ht="25.5">
      <c r="A6" s="400" t="s">
        <v>85</v>
      </c>
      <c r="B6" s="401" t="s">
        <v>392</v>
      </c>
      <c r="C6" s="399"/>
      <c r="D6" s="402" t="s">
        <v>313</v>
      </c>
      <c r="E6" s="401" t="s">
        <v>402</v>
      </c>
    </row>
    <row r="7" spans="1:5" ht="25.5">
      <c r="A7" s="400" t="s">
        <v>86</v>
      </c>
      <c r="B7" s="401" t="s">
        <v>393</v>
      </c>
      <c r="C7" s="399"/>
      <c r="D7" s="402" t="s">
        <v>314</v>
      </c>
      <c r="E7" s="401" t="s">
        <v>403</v>
      </c>
    </row>
    <row r="8" spans="1:5" ht="25.5">
      <c r="A8" s="400" t="s">
        <v>87</v>
      </c>
      <c r="B8" s="401" t="s">
        <v>394</v>
      </c>
      <c r="C8" s="399"/>
      <c r="D8" s="402" t="s">
        <v>315</v>
      </c>
      <c r="E8" s="401" t="s">
        <v>321</v>
      </c>
    </row>
    <row r="9" spans="1:5" ht="25.5">
      <c r="A9" s="400" t="s">
        <v>88</v>
      </c>
      <c r="B9" s="401" t="s">
        <v>395</v>
      </c>
      <c r="C9" s="399"/>
      <c r="D9" s="402" t="s">
        <v>404</v>
      </c>
      <c r="E9" s="401" t="s">
        <v>405</v>
      </c>
    </row>
    <row r="10" spans="1:5" ht="22.5" customHeight="1">
      <c r="A10" s="400" t="s">
        <v>89</v>
      </c>
      <c r="B10" s="401" t="s">
        <v>309</v>
      </c>
      <c r="C10" s="399"/>
      <c r="D10" s="402" t="s">
        <v>316</v>
      </c>
      <c r="E10" s="401" t="s">
        <v>406</v>
      </c>
    </row>
    <row r="11" spans="1:5" ht="25.5">
      <c r="A11" s="400" t="s">
        <v>90</v>
      </c>
      <c r="B11" s="401" t="s">
        <v>396</v>
      </c>
      <c r="C11" s="399"/>
      <c r="D11" s="402" t="s">
        <v>317</v>
      </c>
      <c r="E11" s="401" t="s">
        <v>407</v>
      </c>
    </row>
    <row r="12" spans="1:5" ht="25.5">
      <c r="A12" s="404"/>
      <c r="B12" s="405"/>
      <c r="C12" s="399"/>
      <c r="D12" s="402" t="s">
        <v>318</v>
      </c>
      <c r="E12" s="401" t="s">
        <v>322</v>
      </c>
    </row>
    <row r="13" spans="1:5" ht="25.5">
      <c r="A13" s="404"/>
      <c r="B13" s="405"/>
      <c r="C13" s="399"/>
      <c r="D13" s="402" t="s">
        <v>319</v>
      </c>
      <c r="E13" s="401" t="s">
        <v>323</v>
      </c>
    </row>
    <row r="14" spans="1:5" ht="25.5">
      <c r="A14" s="404"/>
      <c r="B14" s="405"/>
      <c r="C14" s="399"/>
      <c r="D14" s="402" t="s">
        <v>320</v>
      </c>
      <c r="E14" s="401" t="s">
        <v>324</v>
      </c>
    </row>
    <row r="15" spans="1:5" ht="13.5">
      <c r="A15" s="406"/>
      <c r="B15" s="406"/>
      <c r="C15" s="399"/>
      <c r="D15" s="402" t="s">
        <v>408</v>
      </c>
      <c r="E15" s="401" t="s">
        <v>409</v>
      </c>
    </row>
    <row r="16" spans="1:5" ht="25.5">
      <c r="A16" s="404"/>
      <c r="B16" s="405"/>
      <c r="C16" s="399"/>
      <c r="D16" s="402" t="s">
        <v>410</v>
      </c>
      <c r="E16" s="401" t="s">
        <v>411</v>
      </c>
    </row>
    <row r="17" spans="1:5" ht="25.5">
      <c r="A17" s="404"/>
      <c r="B17" s="405"/>
      <c r="C17" s="399"/>
      <c r="D17" s="402" t="s">
        <v>412</v>
      </c>
      <c r="E17" s="401" t="s">
        <v>413</v>
      </c>
    </row>
    <row r="18" spans="1:5" ht="12.75">
      <c r="A18" s="404"/>
      <c r="B18" s="405"/>
      <c r="C18" s="399"/>
      <c r="D18" s="399"/>
      <c r="E18" s="399"/>
    </row>
    <row r="19" spans="1:2" ht="12.75">
      <c r="A19" s="39"/>
      <c r="B19" s="36"/>
    </row>
    <row r="20" spans="1:2" ht="12.75">
      <c r="A20" s="39"/>
      <c r="B20" s="36"/>
    </row>
    <row r="21" spans="1:2" ht="13.5">
      <c r="A21" s="37"/>
      <c r="B21" s="37"/>
    </row>
    <row r="22" spans="1:2" ht="12.75">
      <c r="A22" s="39"/>
      <c r="B22" s="36"/>
    </row>
    <row r="23" spans="1:2" ht="12.75">
      <c r="A23" s="39"/>
      <c r="B23" s="36"/>
    </row>
    <row r="24" spans="1:2" ht="12.75">
      <c r="A24" s="39"/>
      <c r="B24" s="36"/>
    </row>
    <row r="25" spans="1:2" ht="12.75">
      <c r="A25" s="39"/>
      <c r="B25" s="36"/>
    </row>
    <row r="26" spans="1:2" ht="12.75">
      <c r="A26" s="36"/>
      <c r="B26" s="36"/>
    </row>
    <row r="27" spans="1:2" ht="12.75">
      <c r="A27" s="39"/>
      <c r="B27" s="36"/>
    </row>
    <row r="28" spans="1:2" ht="12.75">
      <c r="A28" s="39"/>
      <c r="B28" s="36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F48" sqref="F48"/>
    </sheetView>
  </sheetViews>
  <sheetFormatPr defaultColWidth="9.33203125" defaultRowHeight="12.75"/>
  <cols>
    <col min="1" max="1" width="5.16015625" style="56" customWidth="1"/>
    <col min="2" max="2" width="93.5" style="56" customWidth="1"/>
    <col min="3" max="3" width="46.66015625" style="56" customWidth="1"/>
    <col min="4" max="4" width="9.33203125" style="56" customWidth="1"/>
    <col min="5" max="5" width="0" style="56" hidden="1" customWidth="1"/>
    <col min="6" max="16384" width="9.33203125" style="56" customWidth="1"/>
  </cols>
  <sheetData>
    <row r="1" spans="1:3" s="60" customFormat="1" ht="12.75" customHeight="1">
      <c r="A1" s="839" t="s">
        <v>652</v>
      </c>
      <c r="B1" s="839"/>
      <c r="C1" s="839"/>
    </row>
    <row r="2" spans="1:3" s="60" customFormat="1" ht="12.75">
      <c r="A2" s="57" t="s">
        <v>34</v>
      </c>
      <c r="B2" s="57" t="s">
        <v>152</v>
      </c>
      <c r="C2" s="57" t="s">
        <v>35</v>
      </c>
    </row>
    <row r="3" spans="1:3" s="60" customFormat="1" ht="12.75">
      <c r="A3" s="339">
        <v>1</v>
      </c>
      <c r="B3" s="58" t="s">
        <v>653</v>
      </c>
      <c r="C3" s="146" t="s">
        <v>481</v>
      </c>
    </row>
    <row r="4" spans="1:3" s="60" customFormat="1" ht="12.75">
      <c r="A4" s="339">
        <v>2</v>
      </c>
      <c r="B4" s="58" t="s">
        <v>654</v>
      </c>
      <c r="C4" s="146" t="s">
        <v>483</v>
      </c>
    </row>
    <row r="5" spans="1:4" s="60" customFormat="1" ht="12.75">
      <c r="A5" s="339">
        <v>3</v>
      </c>
      <c r="B5" s="58" t="s">
        <v>655</v>
      </c>
      <c r="C5" s="146" t="s">
        <v>485</v>
      </c>
      <c r="D5" s="340"/>
    </row>
    <row r="6" spans="1:3" s="60" customFormat="1" ht="25.5">
      <c r="A6" s="339">
        <v>4</v>
      </c>
      <c r="B6" s="58" t="s">
        <v>656</v>
      </c>
      <c r="C6" s="146" t="s">
        <v>487</v>
      </c>
    </row>
    <row r="7" spans="1:3" s="60" customFormat="1" ht="29.25" customHeight="1">
      <c r="A7" s="339">
        <v>5</v>
      </c>
      <c r="B7" s="58" t="s">
        <v>657</v>
      </c>
      <c r="C7" s="146" t="s">
        <v>489</v>
      </c>
    </row>
    <row r="8" spans="1:3" s="60" customFormat="1" ht="27.75" customHeight="1">
      <c r="A8" s="339">
        <v>6</v>
      </c>
      <c r="B8" s="58" t="s">
        <v>658</v>
      </c>
      <c r="C8" s="146" t="s">
        <v>491</v>
      </c>
    </row>
    <row r="9" spans="1:3" s="60" customFormat="1" ht="25.5">
      <c r="A9" s="339">
        <v>7</v>
      </c>
      <c r="B9" s="58" t="s">
        <v>659</v>
      </c>
      <c r="C9" s="146" t="s">
        <v>493</v>
      </c>
    </row>
    <row r="10" spans="1:3" s="60" customFormat="1" ht="26.25" customHeight="1">
      <c r="A10" s="339">
        <v>8</v>
      </c>
      <c r="B10" s="145" t="s">
        <v>499</v>
      </c>
      <c r="C10" s="148">
        <v>20</v>
      </c>
    </row>
    <row r="11" spans="1:3" ht="23.25" customHeight="1">
      <c r="A11" s="108">
        <v>9</v>
      </c>
      <c r="B11" s="147" t="s">
        <v>498</v>
      </c>
      <c r="C11" s="104">
        <v>13</v>
      </c>
    </row>
    <row r="12" spans="1:3" ht="25.5" customHeight="1">
      <c r="A12" s="839" t="s">
        <v>145</v>
      </c>
      <c r="B12" s="839"/>
      <c r="C12" s="839"/>
    </row>
    <row r="13" spans="1:3" ht="12.75">
      <c r="A13" s="57" t="s">
        <v>34</v>
      </c>
      <c r="B13" s="57" t="s">
        <v>153</v>
      </c>
      <c r="C13" s="57" t="s">
        <v>35</v>
      </c>
    </row>
    <row r="14" spans="1:3" ht="12.75">
      <c r="A14" s="108">
        <v>1</v>
      </c>
      <c r="B14" s="58" t="s">
        <v>500</v>
      </c>
      <c r="C14" s="59">
        <v>64</v>
      </c>
    </row>
    <row r="15" spans="1:3" ht="12.75">
      <c r="A15" s="108">
        <v>2</v>
      </c>
      <c r="B15" s="147" t="s">
        <v>501</v>
      </c>
      <c r="C15" s="104">
        <v>5</v>
      </c>
    </row>
    <row r="16" spans="1:3" ht="12.75" hidden="1">
      <c r="A16" s="111">
        <v>3</v>
      </c>
      <c r="B16" s="58"/>
      <c r="C16" s="59"/>
    </row>
    <row r="17" spans="1:3" ht="12.75" hidden="1">
      <c r="A17" s="111">
        <v>4</v>
      </c>
      <c r="B17" s="58"/>
      <c r="C17" s="59"/>
    </row>
    <row r="18" spans="1:3" ht="12.75" hidden="1">
      <c r="A18" s="111">
        <v>5</v>
      </c>
      <c r="B18" s="58"/>
      <c r="C18" s="59"/>
    </row>
    <row r="19" spans="1:3" ht="12.75">
      <c r="A19" s="339">
        <v>3</v>
      </c>
      <c r="B19" s="58" t="s">
        <v>705</v>
      </c>
      <c r="C19" s="59">
        <v>28</v>
      </c>
    </row>
    <row r="20" spans="1:3" ht="12.75">
      <c r="A20" s="60"/>
      <c r="B20" s="60"/>
      <c r="C20" s="60"/>
    </row>
    <row r="21" spans="1:3" ht="12.75">
      <c r="A21" s="839" t="s">
        <v>100</v>
      </c>
      <c r="B21" s="839"/>
      <c r="C21" s="839"/>
    </row>
    <row r="22" spans="1:3" ht="12.75">
      <c r="A22" s="57" t="s">
        <v>34</v>
      </c>
      <c r="B22" s="57" t="s">
        <v>9</v>
      </c>
      <c r="C22" s="57" t="s">
        <v>101</v>
      </c>
    </row>
    <row r="23" spans="1:3" ht="12.75">
      <c r="A23" s="339">
        <v>1</v>
      </c>
      <c r="B23" s="109" t="s">
        <v>102</v>
      </c>
      <c r="C23" s="108" t="s">
        <v>103</v>
      </c>
    </row>
    <row r="24" spans="1:3" ht="12.75">
      <c r="A24" s="339">
        <v>2</v>
      </c>
      <c r="B24" s="109" t="s">
        <v>104</v>
      </c>
      <c r="C24" s="108" t="s">
        <v>106</v>
      </c>
    </row>
    <row r="25" spans="1:3" ht="12.75">
      <c r="A25" s="339">
        <v>3</v>
      </c>
      <c r="B25" s="109" t="s">
        <v>105</v>
      </c>
      <c r="C25" s="108" t="s">
        <v>107</v>
      </c>
    </row>
    <row r="26" spans="1:3" ht="12.75">
      <c r="A26" s="339">
        <v>4</v>
      </c>
      <c r="B26" s="110" t="s">
        <v>215</v>
      </c>
      <c r="C26" s="108" t="s">
        <v>214</v>
      </c>
    </row>
    <row r="27" spans="1:3" ht="12.75">
      <c r="A27" s="60"/>
      <c r="B27" s="60"/>
      <c r="C27" s="60"/>
    </row>
    <row r="28" spans="1:3" ht="12.75" hidden="1">
      <c r="A28" s="838" t="s">
        <v>332</v>
      </c>
      <c r="B28" s="838"/>
      <c r="C28" s="838"/>
    </row>
    <row r="29" spans="1:3" ht="12.75" hidden="1">
      <c r="A29" s="61" t="s">
        <v>34</v>
      </c>
      <c r="B29" s="61" t="s">
        <v>333</v>
      </c>
      <c r="C29" s="61" t="s">
        <v>334</v>
      </c>
    </row>
    <row r="30" spans="1:3" ht="12.75" hidden="1">
      <c r="A30" s="61">
        <v>1</v>
      </c>
      <c r="B30" s="58" t="s">
        <v>365</v>
      </c>
      <c r="C30" s="59" t="s">
        <v>191</v>
      </c>
    </row>
    <row r="31" spans="1:3" ht="12.75" hidden="1">
      <c r="A31" s="61">
        <v>2</v>
      </c>
      <c r="B31" s="58" t="s">
        <v>193</v>
      </c>
      <c r="C31" s="59" t="s">
        <v>192</v>
      </c>
    </row>
    <row r="32" spans="1:3" ht="12.75" hidden="1">
      <c r="A32" s="61">
        <v>3</v>
      </c>
      <c r="B32" s="58" t="s">
        <v>196</v>
      </c>
      <c r="C32" s="59" t="s">
        <v>195</v>
      </c>
    </row>
    <row r="33" spans="1:3" ht="12.75" hidden="1">
      <c r="A33" s="61">
        <v>4</v>
      </c>
      <c r="B33" s="58" t="s">
        <v>198</v>
      </c>
      <c r="C33" s="154" t="s">
        <v>197</v>
      </c>
    </row>
    <row r="34" spans="1:3" ht="12.75" hidden="1">
      <c r="A34" s="61">
        <v>5</v>
      </c>
      <c r="B34" s="165"/>
      <c r="C34" s="166"/>
    </row>
    <row r="35" spans="1:3" ht="12.75" hidden="1">
      <c r="A35" s="60"/>
      <c r="B35" s="60"/>
      <c r="C35" s="60"/>
    </row>
    <row r="36" spans="1:3" ht="12.75">
      <c r="A36" s="838" t="s">
        <v>335</v>
      </c>
      <c r="B36" s="838"/>
      <c r="C36" s="838"/>
    </row>
    <row r="37" spans="1:3" s="163" customFormat="1" ht="12.75">
      <c r="A37" s="162" t="s">
        <v>34</v>
      </c>
      <c r="B37" s="162" t="s">
        <v>336</v>
      </c>
      <c r="C37" s="162" t="s">
        <v>334</v>
      </c>
    </row>
    <row r="38" spans="1:3" s="163" customFormat="1" ht="12.75">
      <c r="A38" s="119">
        <v>1</v>
      </c>
      <c r="B38" s="58" t="s">
        <v>583</v>
      </c>
      <c r="C38" s="58" t="s">
        <v>582</v>
      </c>
    </row>
    <row r="39" spans="1:3" s="163" customFormat="1" ht="12.75">
      <c r="A39" s="119">
        <v>2</v>
      </c>
      <c r="B39" s="58" t="s">
        <v>584</v>
      </c>
      <c r="C39" s="58" t="s">
        <v>191</v>
      </c>
    </row>
    <row r="40" spans="1:3" s="163" customFormat="1" ht="12.75">
      <c r="A40" s="119">
        <v>3</v>
      </c>
      <c r="B40" s="58" t="s">
        <v>585</v>
      </c>
      <c r="C40" s="58" t="s">
        <v>192</v>
      </c>
    </row>
    <row r="41" spans="1:3" s="163" customFormat="1" ht="12.75">
      <c r="A41" s="119">
        <v>4</v>
      </c>
      <c r="B41" s="58" t="s">
        <v>586</v>
      </c>
      <c r="C41" s="58" t="s">
        <v>191</v>
      </c>
    </row>
    <row r="42" spans="1:3" s="163" customFormat="1" ht="12.75">
      <c r="A42" s="119">
        <v>5</v>
      </c>
      <c r="B42" s="58" t="s">
        <v>587</v>
      </c>
      <c r="C42" s="58" t="s">
        <v>191</v>
      </c>
    </row>
    <row r="43" spans="1:3" s="163" customFormat="1" ht="12.75">
      <c r="A43" s="119">
        <v>6</v>
      </c>
      <c r="B43" s="58" t="s">
        <v>598</v>
      </c>
      <c r="C43" s="58" t="s">
        <v>191</v>
      </c>
    </row>
    <row r="44" spans="1:3" s="163" customFormat="1" ht="12.75">
      <c r="A44" s="119">
        <v>7</v>
      </c>
      <c r="B44" s="58" t="s">
        <v>588</v>
      </c>
      <c r="C44" s="58" t="s">
        <v>197</v>
      </c>
    </row>
    <row r="45" spans="1:3" s="163" customFormat="1" ht="12.75">
      <c r="A45" s="119">
        <v>8</v>
      </c>
      <c r="B45" s="58" t="s">
        <v>589</v>
      </c>
      <c r="C45" s="164" t="s">
        <v>195</v>
      </c>
    </row>
    <row r="46" spans="1:3" s="163" customFormat="1" ht="12.75">
      <c r="A46" s="119">
        <v>9</v>
      </c>
      <c r="B46" s="58" t="s">
        <v>590</v>
      </c>
      <c r="C46" s="58" t="s">
        <v>192</v>
      </c>
    </row>
    <row r="47" spans="1:3" s="163" customFormat="1" ht="12.75">
      <c r="A47" s="119">
        <v>10</v>
      </c>
      <c r="B47" s="58" t="s">
        <v>599</v>
      </c>
      <c r="C47" s="58" t="s">
        <v>191</v>
      </c>
    </row>
    <row r="48" spans="1:3" s="163" customFormat="1" ht="12.75">
      <c r="A48" s="119">
        <v>11</v>
      </c>
      <c r="B48" s="58" t="s">
        <v>591</v>
      </c>
      <c r="C48" s="58"/>
    </row>
    <row r="49" spans="1:3" ht="12.75">
      <c r="A49" s="60"/>
      <c r="B49" s="60"/>
      <c r="C49" s="60"/>
    </row>
    <row r="50" spans="1:3" ht="12.75">
      <c r="A50" s="838" t="s">
        <v>368</v>
      </c>
      <c r="B50" s="838"/>
      <c r="C50" s="838"/>
    </row>
    <row r="51" spans="1:5" ht="12.75">
      <c r="A51" s="61" t="s">
        <v>34</v>
      </c>
      <c r="B51" s="61" t="s">
        <v>333</v>
      </c>
      <c r="C51" s="105" t="s">
        <v>369</v>
      </c>
      <c r="E51" s="56">
        <v>1552</v>
      </c>
    </row>
    <row r="52" spans="1:5" s="60" customFormat="1" ht="12.75">
      <c r="A52" s="338">
        <v>1</v>
      </c>
      <c r="B52" s="106" t="s">
        <v>649</v>
      </c>
      <c r="C52" s="58" t="s">
        <v>673</v>
      </c>
      <c r="E52" s="60">
        <v>84</v>
      </c>
    </row>
    <row r="53" spans="1:5" s="60" customFormat="1" ht="12.75">
      <c r="A53" s="59">
        <v>2</v>
      </c>
      <c r="B53" s="106" t="s">
        <v>650</v>
      </c>
      <c r="C53" s="107" t="s">
        <v>674</v>
      </c>
      <c r="E53" s="60">
        <v>70</v>
      </c>
    </row>
    <row r="54" spans="1:5" s="60" customFormat="1" ht="12.75">
      <c r="A54" s="59">
        <v>3</v>
      </c>
      <c r="B54" s="106" t="s">
        <v>651</v>
      </c>
      <c r="C54" s="107" t="s">
        <v>675</v>
      </c>
      <c r="E54" s="60">
        <v>1398</v>
      </c>
    </row>
    <row r="56" spans="2:3" ht="71.25" customHeight="1">
      <c r="B56" s="837" t="s">
        <v>371</v>
      </c>
      <c r="C56" s="837"/>
    </row>
  </sheetData>
  <sheetProtection formatCells="0" formatColumns="0" formatRows="0" insertColumns="0" insertRows="0" insertHyperlinks="0" deleteColumns="0" deleteRows="0" sort="0" autoFilter="0" pivotTables="0"/>
  <mergeCells count="7">
    <mergeCell ref="B56:C56"/>
    <mergeCell ref="A50:C50"/>
    <mergeCell ref="A1:C1"/>
    <mergeCell ref="A12:C12"/>
    <mergeCell ref="A21:C21"/>
    <mergeCell ref="A28:C28"/>
    <mergeCell ref="A36:C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6" sqref="C6"/>
    </sheetView>
  </sheetViews>
  <sheetFormatPr defaultColWidth="36" defaultRowHeight="12.75"/>
  <cols>
    <col min="1" max="1" width="4.5" style="38" customWidth="1"/>
    <col min="2" max="2" width="32.16015625" style="38" customWidth="1"/>
    <col min="3" max="3" width="92.33203125" style="38" customWidth="1"/>
    <col min="4" max="16384" width="36" style="38" customWidth="1"/>
  </cols>
  <sheetData>
    <row r="1" spans="1:3" ht="12.75">
      <c r="A1" s="840" t="s">
        <v>150</v>
      </c>
      <c r="B1" s="840"/>
      <c r="C1" s="840"/>
    </row>
    <row r="2" spans="1:3" ht="12.75">
      <c r="A2" s="40" t="s">
        <v>34</v>
      </c>
      <c r="B2" s="40" t="s">
        <v>151</v>
      </c>
      <c r="C2" s="41" t="s">
        <v>9</v>
      </c>
    </row>
    <row r="3" spans="1:3" s="60" customFormat="1" ht="12.75">
      <c r="A3" s="167">
        <v>1</v>
      </c>
      <c r="B3" s="168" t="s">
        <v>218</v>
      </c>
      <c r="C3" s="169" t="s">
        <v>511</v>
      </c>
    </row>
    <row r="4" spans="1:3" s="60" customFormat="1" ht="12.75">
      <c r="A4" s="112">
        <v>2</v>
      </c>
      <c r="B4" s="113" t="s">
        <v>218</v>
      </c>
      <c r="C4" s="114" t="s">
        <v>219</v>
      </c>
    </row>
    <row r="5" spans="1:3" s="60" customFormat="1" ht="12.75">
      <c r="A5" s="167">
        <v>3</v>
      </c>
      <c r="B5" s="113" t="s">
        <v>218</v>
      </c>
      <c r="C5" s="114" t="s">
        <v>512</v>
      </c>
    </row>
    <row r="6" spans="1:3" s="60" customFormat="1" ht="12.75">
      <c r="A6" s="112">
        <v>4</v>
      </c>
      <c r="B6" s="113" t="s">
        <v>218</v>
      </c>
      <c r="C6" s="114" t="s">
        <v>220</v>
      </c>
    </row>
    <row r="7" spans="1:3" s="60" customFormat="1" ht="12.75">
      <c r="A7" s="167">
        <v>5</v>
      </c>
      <c r="B7" s="113" t="s">
        <v>218</v>
      </c>
      <c r="C7" s="114" t="s">
        <v>221</v>
      </c>
    </row>
    <row r="8" spans="1:3" s="60" customFormat="1" ht="12.75">
      <c r="A8" s="112">
        <v>6</v>
      </c>
      <c r="B8" s="113" t="s">
        <v>218</v>
      </c>
      <c r="C8" s="114" t="s">
        <v>222</v>
      </c>
    </row>
    <row r="9" spans="1:3" s="60" customFormat="1" ht="12.75">
      <c r="A9" s="167">
        <v>7</v>
      </c>
      <c r="B9" s="113" t="s">
        <v>218</v>
      </c>
      <c r="C9" s="114" t="s">
        <v>223</v>
      </c>
    </row>
    <row r="10" spans="1:3" s="60" customFormat="1" ht="12.75">
      <c r="A10" s="112">
        <v>8</v>
      </c>
      <c r="B10" s="113" t="s">
        <v>218</v>
      </c>
      <c r="C10" s="114" t="s">
        <v>224</v>
      </c>
    </row>
    <row r="11" spans="1:3" s="60" customFormat="1" ht="12.75">
      <c r="A11" s="167">
        <v>9</v>
      </c>
      <c r="B11" s="113" t="s">
        <v>218</v>
      </c>
      <c r="C11" s="114" t="s">
        <v>225</v>
      </c>
    </row>
    <row r="12" spans="1:3" s="60" customFormat="1" ht="12.75">
      <c r="A12" s="112">
        <v>10</v>
      </c>
      <c r="B12" s="113" t="s">
        <v>218</v>
      </c>
      <c r="C12" s="114" t="s">
        <v>226</v>
      </c>
    </row>
    <row r="13" spans="1:3" s="60" customFormat="1" ht="12.75">
      <c r="A13" s="167">
        <v>11</v>
      </c>
      <c r="B13" s="113" t="s">
        <v>218</v>
      </c>
      <c r="C13" s="114" t="s">
        <v>227</v>
      </c>
    </row>
    <row r="14" spans="1:3" s="60" customFormat="1" ht="12.75">
      <c r="A14" s="112">
        <v>12</v>
      </c>
      <c r="B14" s="113" t="s">
        <v>218</v>
      </c>
      <c r="C14" s="114" t="s">
        <v>228</v>
      </c>
    </row>
    <row r="15" spans="1:3" s="60" customFormat="1" ht="12.75">
      <c r="A15" s="167">
        <v>13</v>
      </c>
      <c r="B15" s="113" t="s">
        <v>218</v>
      </c>
      <c r="C15" s="114" t="s">
        <v>229</v>
      </c>
    </row>
    <row r="16" spans="1:3" s="60" customFormat="1" ht="12.75">
      <c r="A16" s="112">
        <v>14</v>
      </c>
      <c r="B16" s="113" t="s">
        <v>230</v>
      </c>
      <c r="C16" s="114" t="s">
        <v>231</v>
      </c>
    </row>
    <row r="17" spans="1:3" s="60" customFormat="1" ht="12.75">
      <c r="A17" s="167">
        <v>15</v>
      </c>
      <c r="B17" s="113" t="s">
        <v>230</v>
      </c>
      <c r="C17" s="114" t="s">
        <v>232</v>
      </c>
    </row>
    <row r="18" spans="1:3" s="60" customFormat="1" ht="12.75">
      <c r="A18" s="112">
        <v>16</v>
      </c>
      <c r="B18" s="113" t="s">
        <v>230</v>
      </c>
      <c r="C18" s="114" t="s">
        <v>233</v>
      </c>
    </row>
    <row r="19" spans="1:3" s="60" customFormat="1" ht="12.75">
      <c r="A19" s="167">
        <v>17</v>
      </c>
      <c r="B19" s="113" t="s">
        <v>230</v>
      </c>
      <c r="C19" s="114" t="s">
        <v>234</v>
      </c>
    </row>
    <row r="20" spans="1:3" s="60" customFormat="1" ht="12.75">
      <c r="A20" s="112">
        <v>18</v>
      </c>
      <c r="B20" s="113" t="s">
        <v>230</v>
      </c>
      <c r="C20" s="114" t="s">
        <v>235</v>
      </c>
    </row>
    <row r="21" spans="1:3" s="60" customFormat="1" ht="25.5">
      <c r="A21" s="167">
        <v>19</v>
      </c>
      <c r="B21" s="113" t="s">
        <v>230</v>
      </c>
      <c r="C21" s="114" t="s">
        <v>236</v>
      </c>
    </row>
    <row r="22" spans="1:3" s="60" customFormat="1" ht="12.75">
      <c r="A22" s="112">
        <v>20</v>
      </c>
      <c r="B22" s="113" t="s">
        <v>230</v>
      </c>
      <c r="C22" s="114" t="s">
        <v>237</v>
      </c>
    </row>
    <row r="23" spans="1:3" s="60" customFormat="1" ht="12.75">
      <c r="A23" s="167">
        <v>21</v>
      </c>
      <c r="B23" s="113" t="s">
        <v>238</v>
      </c>
      <c r="C23" s="114" t="s">
        <v>239</v>
      </c>
    </row>
    <row r="24" spans="1:3" s="60" customFormat="1" ht="12.75">
      <c r="A24" s="112">
        <v>22</v>
      </c>
      <c r="B24" s="113" t="s">
        <v>238</v>
      </c>
      <c r="C24" s="114" t="s">
        <v>240</v>
      </c>
    </row>
    <row r="25" spans="1:3" s="60" customFormat="1" ht="12.75">
      <c r="A25" s="167">
        <v>23</v>
      </c>
      <c r="B25" s="115" t="s">
        <v>241</v>
      </c>
      <c r="C25" s="114" t="s">
        <v>244</v>
      </c>
    </row>
    <row r="26" spans="1:3" s="60" customFormat="1" ht="12.75">
      <c r="A26" s="112">
        <v>24</v>
      </c>
      <c r="B26" s="115" t="s">
        <v>241</v>
      </c>
      <c r="C26" s="114" t="s">
        <v>242</v>
      </c>
    </row>
    <row r="27" spans="1:3" s="60" customFormat="1" ht="12.75">
      <c r="A27" s="167">
        <v>25</v>
      </c>
      <c r="B27" s="115" t="s">
        <v>241</v>
      </c>
      <c r="C27" s="114" t="s">
        <v>243</v>
      </c>
    </row>
    <row r="28" spans="1:3" s="60" customFormat="1" ht="12.75">
      <c r="A28" s="112">
        <v>26</v>
      </c>
      <c r="B28" s="114" t="s">
        <v>245</v>
      </c>
      <c r="C28" s="114" t="s">
        <v>248</v>
      </c>
    </row>
    <row r="29" spans="1:3" s="60" customFormat="1" ht="12.75">
      <c r="A29" s="167">
        <v>27</v>
      </c>
      <c r="B29" s="114" t="s">
        <v>245</v>
      </c>
      <c r="C29" s="114" t="s">
        <v>249</v>
      </c>
    </row>
    <row r="30" spans="1:3" s="60" customFormat="1" ht="12.75">
      <c r="A30" s="112">
        <v>28</v>
      </c>
      <c r="B30" s="114" t="s">
        <v>245</v>
      </c>
      <c r="C30" s="114" t="s">
        <v>250</v>
      </c>
    </row>
    <row r="31" spans="1:3" s="60" customFormat="1" ht="12.75">
      <c r="A31" s="167">
        <v>29</v>
      </c>
      <c r="B31" s="115" t="s">
        <v>246</v>
      </c>
      <c r="C31" s="114" t="s">
        <v>251</v>
      </c>
    </row>
    <row r="32" spans="1:3" s="60" customFormat="1" ht="12.75">
      <c r="A32" s="112">
        <v>30</v>
      </c>
      <c r="B32" s="115" t="s">
        <v>246</v>
      </c>
      <c r="C32" s="114" t="s">
        <v>247</v>
      </c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horizontalDpi="600" verticalDpi="600" orientation="landscape" paperSize="8" scale="10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В. Колыванов</dc:creator>
  <cp:keywords/>
  <dc:description/>
  <cp:lastModifiedBy>Зам. по уч. работе</cp:lastModifiedBy>
  <cp:lastPrinted>2021-04-14T13:20:47Z</cp:lastPrinted>
  <dcterms:created xsi:type="dcterms:W3CDTF">2001-03-30T05:31:47Z</dcterms:created>
  <dcterms:modified xsi:type="dcterms:W3CDTF">2022-05-13T09:11:33Z</dcterms:modified>
  <cp:category/>
  <cp:version/>
  <cp:contentType/>
  <cp:contentStatus/>
</cp:coreProperties>
</file>