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0" yWindow="300" windowWidth="19440" windowHeight="7875" tabRatio="798" activeTab="1"/>
  </bookViews>
  <sheets>
    <sheet name="Титульный лист" sheetId="1" r:id="rId1"/>
    <sheet name="Учебный план" sheetId="2" r:id="rId2"/>
    <sheet name="Титульный лист (заочная)" sheetId="3" r:id="rId3"/>
    <sheet name="Учебный план (заочная)" sheetId="4" r:id="rId4"/>
    <sheet name="Сравнение УП" sheetId="5" state="hidden" r:id="rId5"/>
    <sheet name="Нормы" sheetId="6" state="hidden" r:id="rId6"/>
    <sheet name="Компетенции" sheetId="7" r:id="rId7"/>
    <sheet name="Материально-техническая база" sheetId="8" r:id="rId8"/>
    <sheet name="Примечание" sheetId="9" r:id="rId9"/>
    <sheet name="Пояснения" sheetId="10" r:id="rId10"/>
  </sheets>
  <externalReferences>
    <externalReference r:id="rId13"/>
  </externalReferences>
  <definedNames>
    <definedName name="_xlnm._FilterDatabase" localSheetId="3" hidden="1">'Учебный план (заочная)'!$A$8:$BL$8</definedName>
    <definedName name="_xlnm._FilterDatabase" localSheetId="3" hidden="1">'Учебный план (заочная)'!$A$8:$BL$65</definedName>
    <definedName name="_xlnm.Print_Area" localSheetId="5">'Нормы'!$A$1:$I$59</definedName>
    <definedName name="_xlnm.Print_Area" localSheetId="9">'Пояснения'!$A$1:$D$9</definedName>
    <definedName name="_xlnm.Print_Titles" localSheetId="1">'Учебный план'!$2:$8</definedName>
  </definedNames>
  <calcPr fullCalcOnLoad="1" fullPrecision="0"/>
</workbook>
</file>

<file path=xl/sharedStrings.xml><?xml version="1.0" encoding="utf-8"?>
<sst xmlns="http://schemas.openxmlformats.org/spreadsheetml/2006/main" count="2033" uniqueCount="630">
  <si>
    <t>Выпускник должен обладать следующими профессиональными компетенциями (ПК):</t>
  </si>
  <si>
    <t>Всего</t>
  </si>
  <si>
    <t>Объем часов</t>
  </si>
  <si>
    <t>из них</t>
  </si>
  <si>
    <t>Распределение по семестрам</t>
  </si>
  <si>
    <t>всего</t>
  </si>
  <si>
    <t>Учебная практика</t>
  </si>
  <si>
    <t>Физическая культура</t>
  </si>
  <si>
    <t>Теоретическое обучение</t>
  </si>
  <si>
    <t>Наименование</t>
  </si>
  <si>
    <t>курсы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</si>
  <si>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</si>
  <si>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</si>
  <si>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</si>
  <si>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</si>
  <si>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</si>
  <si>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</si>
  <si>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</si>
  <si>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</si>
  <si>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</si>
  <si>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</si>
  <si>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</si>
  <si>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-</t>
  </si>
  <si>
    <t>учебная практика</t>
  </si>
  <si>
    <t>каникулы</t>
  </si>
  <si>
    <t>октябрь</t>
  </si>
  <si>
    <t xml:space="preserve"> </t>
  </si>
  <si>
    <t>1</t>
  </si>
  <si>
    <t>к</t>
  </si>
  <si>
    <t>3</t>
  </si>
  <si>
    <t>2</t>
  </si>
  <si>
    <t>А</t>
  </si>
  <si>
    <t>в</t>
  </si>
  <si>
    <t>Федеральное агентство морского и речного транспорта Российской Федерации</t>
  </si>
  <si>
    <t>№</t>
  </si>
  <si>
    <t>Код</t>
  </si>
  <si>
    <t>8</t>
  </si>
  <si>
    <t>9</t>
  </si>
  <si>
    <t>4</t>
  </si>
  <si>
    <t>5</t>
  </si>
  <si>
    <t>6</t>
  </si>
  <si>
    <t>7</t>
  </si>
  <si>
    <t>неделя отсутствует</t>
  </si>
  <si>
    <t>Каникулы</t>
  </si>
  <si>
    <t>Утверждаю</t>
  </si>
  <si>
    <t>Образовательная программа:</t>
  </si>
  <si>
    <t>Форма обучения:</t>
  </si>
  <si>
    <t>Федеральный государственный образовательный стандарт утвержден приказом Министерством образования и науки Российской Федерации</t>
  </si>
  <si>
    <t>у</t>
  </si>
  <si>
    <t>п</t>
  </si>
  <si>
    <t>ИТОГО</t>
  </si>
  <si>
    <t>недель</t>
  </si>
  <si>
    <t>Гос. экзамены</t>
  </si>
  <si>
    <t>итог</t>
  </si>
  <si>
    <r>
      <t>27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IV</t>
    </r>
  </si>
  <si>
    <r>
      <t>30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III</t>
    </r>
  </si>
  <si>
    <r>
      <t>26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</t>
    </r>
  </si>
  <si>
    <r>
      <t>29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IX</t>
    </r>
  </si>
  <si>
    <t>экзамены</t>
  </si>
  <si>
    <t>зачеты</t>
  </si>
  <si>
    <t>лекций</t>
  </si>
  <si>
    <t>лабораторных</t>
  </si>
  <si>
    <t>самостоятельной работы</t>
  </si>
  <si>
    <t>семестр</t>
  </si>
  <si>
    <t>Наименование учебных циклов, разделов и перечень дисциплин</t>
  </si>
  <si>
    <t>Сокращенное наименование перечня дисциплин</t>
  </si>
  <si>
    <t>Профессиональный цикл</t>
  </si>
  <si>
    <t>о</t>
  </si>
  <si>
    <t>теоретическое обучение (осенний семестр)</t>
  </si>
  <si>
    <t>теоретическое обучение (весенний семестр)</t>
  </si>
  <si>
    <t>10</t>
  </si>
  <si>
    <t>всего аудиторных</t>
  </si>
  <si>
    <t>в том числе</t>
  </si>
  <si>
    <t>всего самостоятельной работы</t>
  </si>
  <si>
    <t>Количество практик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</si>
  <si>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</si>
  <si>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</si>
  <si>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</si>
  <si>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</si>
  <si>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</si>
  <si>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</si>
  <si>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</si>
  <si>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</si>
  <si>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ОК-9</t>
  </si>
  <si>
    <t>ОК-10</t>
  </si>
  <si>
    <t>Итого</t>
  </si>
  <si>
    <t>Проверка</t>
  </si>
  <si>
    <t>Цикл</t>
  </si>
  <si>
    <t>Закрепление учебного плана</t>
  </si>
  <si>
    <t>Атрибуты учебного плана</t>
  </si>
  <si>
    <t>Год начала подготовки по этому учебному плану</t>
  </si>
  <si>
    <t>Трудоемкость из ФГОС</t>
  </si>
  <si>
    <t>Нормы часов по циклам</t>
  </si>
  <si>
    <t>Трудоемкость из учебного плана</t>
  </si>
  <si>
    <t>Условные обозначения</t>
  </si>
  <si>
    <t>Обозначение</t>
  </si>
  <si>
    <t>очная</t>
  </si>
  <si>
    <t>очно-заочная</t>
  </si>
  <si>
    <t>заочная</t>
  </si>
  <si>
    <t>экстернат</t>
  </si>
  <si>
    <t>Наименоваиние показателя</t>
  </si>
  <si>
    <t>Данные учебного плана</t>
  </si>
  <si>
    <t>Отклонение (норма или отклонение)</t>
  </si>
  <si>
    <t>Минимальный объем каникулярного времени в учебном году, нед.</t>
  </si>
  <si>
    <t>Максимальный объем каникулярного времени в учебном году, нед.</t>
  </si>
  <si>
    <r>
      <t xml:space="preserve"> 5  </t>
    </r>
    <r>
      <rPr>
        <sz val="6"/>
        <rFont val="Times New Roman"/>
        <family val="1"/>
      </rPr>
      <t>X</t>
    </r>
  </si>
  <si>
    <r>
      <t xml:space="preserve"> 2 </t>
    </r>
    <r>
      <rPr>
        <sz val="6"/>
        <rFont val="Times New Roman"/>
        <family val="1"/>
      </rPr>
      <t>XI</t>
    </r>
  </si>
  <si>
    <r>
      <t xml:space="preserve"> 4  </t>
    </r>
    <r>
      <rPr>
        <sz val="6"/>
        <rFont val="Times New Roman"/>
        <family val="1"/>
      </rPr>
      <t>I</t>
    </r>
  </si>
  <si>
    <r>
      <t xml:space="preserve"> 1 </t>
    </r>
    <r>
      <rPr>
        <sz val="6"/>
        <rFont val="Times New Roman"/>
        <family val="1"/>
      </rPr>
      <t>II</t>
    </r>
  </si>
  <si>
    <r>
      <t xml:space="preserve"> 1 </t>
    </r>
    <r>
      <rPr>
        <sz val="5"/>
        <rFont val="Times New Roman"/>
        <family val="1"/>
      </rPr>
      <t>VIII</t>
    </r>
  </si>
  <si>
    <r>
      <t xml:space="preserve"> 5 </t>
    </r>
    <r>
      <rPr>
        <sz val="6"/>
        <rFont val="Times New Roman"/>
        <family val="1"/>
      </rPr>
      <t>IV</t>
    </r>
  </si>
  <si>
    <r>
      <t xml:space="preserve"> 3 </t>
    </r>
    <r>
      <rPr>
        <sz val="6"/>
        <rFont val="Times New Roman"/>
        <family val="1"/>
      </rPr>
      <t>V</t>
    </r>
  </si>
  <si>
    <r>
      <t>27</t>
    </r>
    <r>
      <rPr>
        <sz val="6"/>
        <rFont val="Times New Roman"/>
        <family val="1"/>
      </rPr>
      <t>VII</t>
    </r>
  </si>
  <si>
    <r>
      <t xml:space="preserve"> 3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II</t>
    </r>
  </si>
  <si>
    <r>
      <t xml:space="preserve"> 1 </t>
    </r>
    <r>
      <rPr>
        <sz val="6"/>
        <rFont val="Times New Roman"/>
        <family val="1"/>
      </rPr>
      <t>III</t>
    </r>
  </si>
  <si>
    <r>
      <t xml:space="preserve"> 5 </t>
    </r>
    <r>
      <rPr>
        <sz val="6"/>
        <rFont val="Times New Roman"/>
        <family val="1"/>
      </rPr>
      <t>VII</t>
    </r>
  </si>
  <si>
    <r>
      <t>29</t>
    </r>
    <r>
      <rPr>
        <sz val="6"/>
        <rFont val="Times New Roman"/>
        <family val="1"/>
      </rPr>
      <t>VI</t>
    </r>
  </si>
  <si>
    <r>
      <t>29</t>
    </r>
    <r>
      <rPr>
        <sz val="6"/>
        <rFont val="Times New Roman"/>
        <family val="1"/>
      </rPr>
      <t>XII</t>
    </r>
  </si>
  <si>
    <r>
      <t>27</t>
    </r>
    <r>
      <rPr>
        <sz val="6"/>
        <rFont val="Times New Roman"/>
        <family val="1"/>
      </rPr>
      <t>X</t>
    </r>
  </si>
  <si>
    <t>всего часов</t>
  </si>
  <si>
    <t>История</t>
  </si>
  <si>
    <t>Иностранный язык</t>
  </si>
  <si>
    <t>Математика</t>
  </si>
  <si>
    <t>Информатика</t>
  </si>
  <si>
    <t>Безопасность жизнедеятельности</t>
  </si>
  <si>
    <t>Производственная практика</t>
  </si>
  <si>
    <t>Наличие формы промежуточного контроля</t>
  </si>
  <si>
    <t>практики</t>
  </si>
  <si>
    <t>нед.</t>
  </si>
  <si>
    <t>итог.гос.аттест.</t>
  </si>
  <si>
    <t>Распределение объема часов</t>
  </si>
  <si>
    <t>консультации</t>
  </si>
  <si>
    <t>Отклонение, ("-" -недобор, "+" - перебор)</t>
  </si>
  <si>
    <t>Перечень факультетов</t>
  </si>
  <si>
    <t>Наименование факультета</t>
  </si>
  <si>
    <t>&gt;0</t>
  </si>
  <si>
    <t>да</t>
  </si>
  <si>
    <t>Выпускник должен обладать следующими общие компетенциями (ОК):</t>
  </si>
  <si>
    <t>Перечень кабинетов, лабораторий, мастерских и других помещений</t>
  </si>
  <si>
    <t>Вид помещения</t>
  </si>
  <si>
    <t>Наименование цикловой комиссии (или кафедры)</t>
  </si>
  <si>
    <t>Наименование отделения (факультета)</t>
  </si>
  <si>
    <t>Квалификация:</t>
  </si>
  <si>
    <t>базовая подготовка</t>
  </si>
  <si>
    <t>углубленная подготовка</t>
  </si>
  <si>
    <t>Специальность:</t>
  </si>
  <si>
    <t>Образовательная база приема:</t>
  </si>
  <si>
    <t>на базе среднего(полного) общего образования</t>
  </si>
  <si>
    <t>на базе основного общего образования</t>
  </si>
  <si>
    <t>Индекс</t>
  </si>
  <si>
    <t>ОГСЭ.00</t>
  </si>
  <si>
    <t>Общий гумманитарный и социально-экономический цикл</t>
  </si>
  <si>
    <t>ОГСЭ.01</t>
  </si>
  <si>
    <t>ОГСЭ.02</t>
  </si>
  <si>
    <t>ОГСЭ.03</t>
  </si>
  <si>
    <t>ОГСЭ.04</t>
  </si>
  <si>
    <t>Основы философии</t>
  </si>
  <si>
    <t>Всего максимальной учебной нагрузки обучающегося</t>
  </si>
  <si>
    <t>ЕН.00</t>
  </si>
  <si>
    <t>ЕН.01</t>
  </si>
  <si>
    <t>ЕН.02</t>
  </si>
  <si>
    <t>ПМ.00</t>
  </si>
  <si>
    <t>Математический и общий естественно-научный цикл</t>
  </si>
  <si>
    <t>Физика</t>
  </si>
  <si>
    <t>Профессиональные модули</t>
  </si>
  <si>
    <t>Консультации</t>
  </si>
  <si>
    <t>Общепрофессиональные дисциплины</t>
  </si>
  <si>
    <t>ОП.00</t>
  </si>
  <si>
    <t>ОП.01</t>
  </si>
  <si>
    <t>Инженерная графика</t>
  </si>
  <si>
    <t>ОП.02</t>
  </si>
  <si>
    <t>ОП.03</t>
  </si>
  <si>
    <t>Электроника и электротехника</t>
  </si>
  <si>
    <t>ОП.04</t>
  </si>
  <si>
    <t>ОП.05</t>
  </si>
  <si>
    <t>ОП.06</t>
  </si>
  <si>
    <t>ОП.07</t>
  </si>
  <si>
    <t>ОП.08</t>
  </si>
  <si>
    <t>П.00</t>
  </si>
  <si>
    <t>ПМ.03</t>
  </si>
  <si>
    <t>ПМ.04</t>
  </si>
  <si>
    <t>Выполнение работ по одной или нескольким профессиям рабочих, должностям служащих</t>
  </si>
  <si>
    <t>Специфика:</t>
  </si>
  <si>
    <t>УП.00</t>
  </si>
  <si>
    <t>УП.01</t>
  </si>
  <si>
    <t>ПП.00</t>
  </si>
  <si>
    <t>ПП.01</t>
  </si>
  <si>
    <t>ГИА.00</t>
  </si>
  <si>
    <t>ГИА.01</t>
  </si>
  <si>
    <t>ГИА.02</t>
  </si>
  <si>
    <t>ВЧ.01</t>
  </si>
  <si>
    <t>осенняя промежуточная аттестация</t>
  </si>
  <si>
    <t>весенняя промежуточная аттестация</t>
  </si>
  <si>
    <t>оа</t>
  </si>
  <si>
    <t>ва</t>
  </si>
  <si>
    <t>Объем часов по ФГОС</t>
  </si>
  <si>
    <t>н.п.а.</t>
  </si>
  <si>
    <t>недель промежуточной аттестации</t>
  </si>
  <si>
    <t>курсовых проектов (работ)</t>
  </si>
  <si>
    <t>ИТОГО часов</t>
  </si>
  <si>
    <t>Кабинет</t>
  </si>
  <si>
    <t>Социально-экономических дисциплин</t>
  </si>
  <si>
    <t>Математики</t>
  </si>
  <si>
    <t>Инженерной графики</t>
  </si>
  <si>
    <t>Лаборатория</t>
  </si>
  <si>
    <t>Спортивный комплекс</t>
  </si>
  <si>
    <t>Зал</t>
  </si>
  <si>
    <t>Актовый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</si>
  <si>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</si>
  <si>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</si>
  <si>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</si>
  <si>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</si>
  <si>
    <t>Количество зачетов / в том числе обязательных (без физической культуры)</t>
  </si>
  <si>
    <t>Количество экзаменов / в том числе обязательных (без физической культуры)</t>
  </si>
  <si>
    <t>Количество аудиторных часов в неделю</t>
  </si>
  <si>
    <t>Всего часов обучения по практикам</t>
  </si>
  <si>
    <t>Количество дисциплин</t>
  </si>
  <si>
    <t>в т.ч. обязательных учебных занятий (аудиторных)</t>
  </si>
  <si>
    <t>в т.ч. обязательных учебных занятий</t>
  </si>
  <si>
    <t>МДК.*</t>
  </si>
  <si>
    <t>Обучение по учебным циклам, недель</t>
  </si>
  <si>
    <t>Учебная и производственная практика, недель</t>
  </si>
  <si>
    <t>Промежуточная аттестация, недель</t>
  </si>
  <si>
    <t>Каникулярное время, недель</t>
  </si>
  <si>
    <t>Максимальный объем учебной нагрузки обучающихся, час. в неделю</t>
  </si>
  <si>
    <t>Максимальный объем аудиторной учебной нагрузки обучающихся, час. в неделю</t>
  </si>
  <si>
    <t>Обязательных еженедельных аудиторных занятий по дисциплине "Физическая культура", час. в неделю</t>
  </si>
  <si>
    <t>Обязательных еженедельных самостоятельных занятий по дисциплине "Физическая культура", час. в неделю</t>
  </si>
  <si>
    <t>Максимальное количество курсовых работ (проектов) на весь период обучения, ед.</t>
  </si>
  <si>
    <t>Закрепление дисциплины за кафедрами (цикловыми комиссиями)</t>
  </si>
  <si>
    <t>Специальность относится к факультету (отделению)</t>
  </si>
  <si>
    <t>Основная закрепленная за специальностью кафедра (цикловая комиссия)</t>
  </si>
  <si>
    <t>Учебная и производственная практика</t>
  </si>
  <si>
    <t>Математический и общий естественнонаучный цикл</t>
  </si>
  <si>
    <t>Общеобразовательные профильные дисциплины</t>
  </si>
  <si>
    <t>Общеобразовательные базовые дисциплины</t>
  </si>
  <si>
    <t>года</t>
  </si>
  <si>
    <t>месяцев</t>
  </si>
  <si>
    <t>&gt;2</t>
  </si>
  <si>
    <t>1,2</t>
  </si>
  <si>
    <t>Количество дисциплин по модулям</t>
  </si>
  <si>
    <t>Зачет по физкультуре</t>
  </si>
  <si>
    <t>/</t>
  </si>
  <si>
    <t>*1*</t>
  </si>
  <si>
    <t>*2*</t>
  </si>
  <si>
    <t>*3*</t>
  </si>
  <si>
    <t>*4*</t>
  </si>
  <si>
    <t>*5*</t>
  </si>
  <si>
    <t>*6*</t>
  </si>
  <si>
    <t>*7*</t>
  </si>
  <si>
    <t>*8*</t>
  </si>
  <si>
    <t>*9*</t>
  </si>
  <si>
    <t>*Х*</t>
  </si>
  <si>
    <t>Максимальное количество экзаменов в учебном году (без физической культуры), ед. в год</t>
  </si>
  <si>
    <t>Максимальное количество зачетов в учебном году (без физической культуры), ед. в год</t>
  </si>
  <si>
    <t>лекции</t>
  </si>
  <si>
    <t>занятий (уроки, практика, семинар и др.)</t>
  </si>
  <si>
    <t>другие виды работ</t>
  </si>
  <si>
    <t>Из всего часов на консультации</t>
  </si>
  <si>
    <t>Промежуточная аттестация</t>
  </si>
  <si>
    <t>Наименование цикловых комиссий</t>
  </si>
  <si>
    <t>Объем консультаций на учебную группу на учебный год, час. в год</t>
  </si>
  <si>
    <t>Зач по физку</t>
  </si>
  <si>
    <t>максимум физра</t>
  </si>
  <si>
    <t>минимум физра</t>
  </si>
  <si>
    <t>аудиторная</t>
  </si>
  <si>
    <t>самостоятельная</t>
  </si>
  <si>
    <t>Теория и устройство судна</t>
  </si>
  <si>
    <t>Принимать решения в стандартных и нестандартных ситуациях и нести за них ответственность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</si>
  <si>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</si>
  <si>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Ориентироваться в условиях частой смены технологий в профессиональной деятельности</t>
  </si>
  <si>
    <t>Понимать сущность и социальную значимость своей будущей профессии, проявлять к ней устойчивый интерес</t>
  </si>
  <si>
    <t>Материаловедение</t>
  </si>
  <si>
    <t>ОК 1-10</t>
  </si>
  <si>
    <t>ЕН.03</t>
  </si>
  <si>
    <t>Техническая термодинамика и теплопередача</t>
  </si>
  <si>
    <t>Техническое обслуживание и ремонт судового оборудования</t>
  </si>
  <si>
    <t>Техническая эксплуатация судовой автоматики</t>
  </si>
  <si>
    <t>Гидравлика</t>
  </si>
  <si>
    <t xml:space="preserve">Организовывать собственную деятельность, выбирать типовые методы и способы выполнения профессиональных задач, оценивать их эффективность  и качество </t>
  </si>
  <si>
    <t xml:space="preserve">Использовать информационно-коммуникационные технологии в профессиональной деятельности </t>
  </si>
  <si>
    <t xml:space="preserve">Работать в коллективе и в команде, эффективно общаться с коллегами, руководством, потребителями </t>
  </si>
  <si>
    <t xml:space="preserve">Владеть письменной и устной коммуникацией на государственном и иностранном (английском) языке </t>
  </si>
  <si>
    <t xml:space="preserve">Обеспечивать техническую эксплуатацию главных энергетических установок судна, вспомогательных механизмов и связанных с ними систем управления </t>
  </si>
  <si>
    <t>Осуществлять контроль выполнения национальных и международных требований по эксплуатации судна</t>
  </si>
  <si>
    <t>Осуществлять выбор оборудования, элементов и систем оборудования для замены в процессе эксплуатации судов</t>
  </si>
  <si>
    <t xml:space="preserve">Осуществлять эксплуатацию судовых технических средств в соответствии с установленными правилами и процедурами,обеспечивающими безопасность операций и отсутствие загрязнения окружающей среды </t>
  </si>
  <si>
    <t>Организовывать мероприятия по обеспечению транспортной безопасности</t>
  </si>
  <si>
    <t>Применять средства по борьбе за живучесть судна</t>
  </si>
  <si>
    <t xml:space="preserve">Организовывать и обеспечивать действия подчиненных членов экипажа судна при организации учебных пожарных тревог, предупреждения возникновения пожара и при тушении пожара </t>
  </si>
  <si>
    <t xml:space="preserve">Организовывать и обеспечивать действия подчиненных членов экипажа судна при авариях </t>
  </si>
  <si>
    <t>Оказывать первую медицинскую помощь пострадавшим</t>
  </si>
  <si>
    <t xml:space="preserve">Организовывать и обеспечивать действия подчиненных членов экипажа судна по предупреждению и предотвращению загрязнения водной среды </t>
  </si>
  <si>
    <t>Планировать работу структурного подразделения</t>
  </si>
  <si>
    <t>Руководить работой структурного подразделения</t>
  </si>
  <si>
    <t>Анализировать процесс и результаты деятельности структурного подразделения</t>
  </si>
  <si>
    <t>Ииностранного языка</t>
  </si>
  <si>
    <t>Информатики</t>
  </si>
  <si>
    <t>Экологических основ природопользования</t>
  </si>
  <si>
    <t>Механики</t>
  </si>
  <si>
    <t>Материаловедения</t>
  </si>
  <si>
    <t>Метрологии и стандартизации</t>
  </si>
  <si>
    <t>Технической термодинамики и теплопередачи</t>
  </si>
  <si>
    <t>Теории и устройства судна</t>
  </si>
  <si>
    <t>Судовых энергетических установок</t>
  </si>
  <si>
    <t>Судовых вспомогательных механизмов и систем</t>
  </si>
  <si>
    <t>Мастерская</t>
  </si>
  <si>
    <t>Слесарная</t>
  </si>
  <si>
    <t>Тренажер (комплекс (модуль))</t>
  </si>
  <si>
    <t>Судовой энергетической установки</t>
  </si>
  <si>
    <t xml:space="preserve">Организовывать и обеспечивать действия подчиненных членов экипажа судна при оставлении судна, использовать спасательные шлюпки, спасательные плоты и иные спасательные средства </t>
  </si>
  <si>
    <t>техник-судомеханик</t>
  </si>
  <si>
    <t>____________________ И.К.Кузьмичев</t>
  </si>
  <si>
    <t>Механика</t>
  </si>
  <si>
    <t>Метрология и стандартизация</t>
  </si>
  <si>
    <t>Организация работы структурного подразделения</t>
  </si>
  <si>
    <t>ПМ.02 МДК.02.01</t>
  </si>
  <si>
    <t>Национальные и международные требования по эксплуатации судна</t>
  </si>
  <si>
    <t>Нижегородское речное училище им.И.П.Кулибина</t>
  </si>
  <si>
    <t>Ректор</t>
  </si>
  <si>
    <t>Дисциплина</t>
  </si>
  <si>
    <t>Наименование ПМ</t>
  </si>
  <si>
    <t>ПМ.01</t>
  </si>
  <si>
    <t>ПМ.02</t>
  </si>
  <si>
    <t>Распределение недель практик по ПМ</t>
  </si>
  <si>
    <t>Наименование практики и сроки</t>
  </si>
  <si>
    <t>26.02.05 Эксплуатация судовых энергетических установок</t>
  </si>
  <si>
    <t>07.05.2014 г. № 443</t>
  </si>
  <si>
    <t>"Волжский государственный университет водного транспорта"</t>
  </si>
  <si>
    <t>Норматив (ФГОС, нормативные акты РФ или университета</t>
  </si>
  <si>
    <t>Норматив рекомендуемый учебно-методическим управлением университета</t>
  </si>
  <si>
    <t>Профессионального цикла специальности "Эксплуатация судовых энергетических установок"</t>
  </si>
  <si>
    <t>Экзамены квалификационные</t>
  </si>
  <si>
    <t>ОК 1-10; ПК 1.1, 1.3-1.5, 2.1-2.3, 3.1-3.3</t>
  </si>
  <si>
    <t>ОК 1-10; ПК 1.1-1.5, 2.1-2.3,  3.1-3.3</t>
  </si>
  <si>
    <t>ОК 1-10; ПК 1.1-1.5, 2.1-2.3, 3.1-3.3</t>
  </si>
  <si>
    <t>ОК 1-10; ПК 1.1-1.5, 3.1-3.3</t>
  </si>
  <si>
    <t>ОК 1-10; ПК 1.1-1.5, 2.1-2.7, 3.1-3.3</t>
  </si>
  <si>
    <t>ОК 1-10; ПК 1.1-1.5</t>
  </si>
  <si>
    <t>ОК 1-10; ПК 2.1-2.7</t>
  </si>
  <si>
    <t>Брать на себя ответственность за работу членов команды (подчиненных), результат выполнения заданий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</si>
  <si>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</si>
  <si>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Выполнять техническое обслуживание и ремонт судового оборудования</t>
  </si>
  <si>
    <t>ПК-1.1</t>
  </si>
  <si>
    <t>ПК-1.2</t>
  </si>
  <si>
    <t>ПК-1.3</t>
  </si>
  <si>
    <t>ПК-1.4</t>
  </si>
  <si>
    <t>ПК-1.5</t>
  </si>
  <si>
    <t>ПК-2.1</t>
  </si>
  <si>
    <t>ПК-2.2</t>
  </si>
  <si>
    <t>ПК-2.3</t>
  </si>
  <si>
    <t>ПК-2.4</t>
  </si>
  <si>
    <t>ПК-2.5</t>
  </si>
  <si>
    <t>ПК-2.6</t>
  </si>
  <si>
    <t>ПК-2.7</t>
  </si>
  <si>
    <t>ПК-3.1</t>
  </si>
  <si>
    <t>ПК-3.2</t>
  </si>
  <si>
    <t>ПК-3.3</t>
  </si>
  <si>
    <t xml:space="preserve">Безопасности жизнедеятельностии охраны труда  </t>
  </si>
  <si>
    <t>Технологии судоремонта</t>
  </si>
  <si>
    <t>Судового электрооборудования и электронной аппаратуры</t>
  </si>
  <si>
    <t>Электромонтажная</t>
  </si>
  <si>
    <t xml:space="preserve">ПМ.01 
МДК.01.01               </t>
  </si>
  <si>
    <t>ПМ.03
МДК.03.01</t>
  </si>
  <si>
    <t>Организация работы структурного подразделения                                                                Основы управления структурным подразделением</t>
  </si>
  <si>
    <t>Эксплуатация, техническое обслуживание и ремонт судового энергетичсеского оборудования. 
Основы эксплуатации, технического обслуживания и ремонта судового энергетического оборудования</t>
  </si>
  <si>
    <t xml:space="preserve">Обеспечение безопасности плавания.
Безопасность жизнедеятельности на судне и транспортная безопасность </t>
  </si>
  <si>
    <t>Принято Ученым советом университета</t>
  </si>
  <si>
    <t>Федеральное государственное бюджетное образовательное учреждение высшего  образования</t>
  </si>
  <si>
    <t>УЧЕБНЫЙ  ПЛАН СРЕДНЕГО ПРОФЕССИОНАЛЬНОГО ОБРАЗОВАНИЯ</t>
  </si>
  <si>
    <t>по программе подготовки специалистов среднего звена</t>
  </si>
  <si>
    <t>Обязательная часть циклов ППССЗ</t>
  </si>
  <si>
    <t>Вариативная часть циклов ППССЗ</t>
  </si>
  <si>
    <t>Всего часов обучения по циклам ППССЗ</t>
  </si>
  <si>
    <t>Нормативный срок освоения ППССЗ, недель</t>
  </si>
  <si>
    <t>Дополнительный срок освоения ППССЗ на базе основного общего образования, недель</t>
  </si>
  <si>
    <t>Теоретическое обучение при дополнительном сроке освоения ППССЗ на базе основного общего образования, недель</t>
  </si>
  <si>
    <t>Промежуточная аттестация при дополнительном сроке освоения ППССЗ на базе основного общего образования, недель</t>
  </si>
  <si>
    <t>Каникулярное время при дополнительном сроке освоения ППССЗ на базе основного общего образования, недель</t>
  </si>
  <si>
    <t>УП.02</t>
  </si>
  <si>
    <t>Шлюпочно-такелажная</t>
  </si>
  <si>
    <t>УП.03</t>
  </si>
  <si>
    <t>Групповая плавательская</t>
  </si>
  <si>
    <t>Экзамен квалификационный</t>
  </si>
  <si>
    <t>ОК 1-10;ПК 1.1-1.5;ПК 2.1-2.7; ПК 3.1-3.3</t>
  </si>
  <si>
    <t>Начальная подготовка по безопасности (правило VI/1 МК ПДНВ)</t>
  </si>
  <si>
    <t>Подготовка по охране (правило VI/6 МК ПДНВ)</t>
  </si>
  <si>
    <t>ОК 1-10; ПК 1.1-1.5; 2.1-2.7</t>
  </si>
  <si>
    <t>ОК 1-10; ПК 3.1-3.3</t>
  </si>
  <si>
    <t>Электрооборудование судов</t>
  </si>
  <si>
    <t>3,4,5,6,7,8</t>
  </si>
  <si>
    <t>ОК 2,3,6,7</t>
  </si>
  <si>
    <t>28</t>
  </si>
  <si>
    <t>УП.04</t>
  </si>
  <si>
    <t>Экологические основы природопользования</t>
  </si>
  <si>
    <t>ОК 1-10; ПК 1.1; 1.3; 1.5; 3.2; 3.3</t>
  </si>
  <si>
    <t xml:space="preserve">ОК 1-10, ПК1.1-1.5, ПК2.1-2.3 </t>
  </si>
  <si>
    <t>ОК 1-10, ПК1.1-1.5, ПК2.1</t>
  </si>
  <si>
    <t>ОК 1-10;ПК 1.3</t>
  </si>
  <si>
    <t>ОК 1-10;ПК 1.5;ПК 2.1,2.2,2.6</t>
  </si>
  <si>
    <t>Перенос часов по блокам</t>
  </si>
  <si>
    <t>Добавлено часов</t>
  </si>
  <si>
    <t>*Добавлено часов из примерной структуры и содержания общеобразовательного цикла основной профессиональной образовательной программы СПО на базе основного общего образования с получением среднего общего образования (ППССЗ) с учетом требований ФГОС и профиля профессионального образования. Состав дополнительных учебных дисциплин по выбору обучающихся, предлагаемых образовательной организацией, часы на их изучение образовательная организация определяет самостоятельно в пределах освоения ППССЗ, установленного стандартом.</t>
  </si>
  <si>
    <t>МДК.01.01.01</t>
  </si>
  <si>
    <t>МДК.01.01.02</t>
  </si>
  <si>
    <t>МДК.01.01.03</t>
  </si>
  <si>
    <t>МДК.01.01.04</t>
  </si>
  <si>
    <t>МДК.01.01.05</t>
  </si>
  <si>
    <t>МДК.01.01.06</t>
  </si>
  <si>
    <t>МДК.01.01.07</t>
  </si>
  <si>
    <t>МДК.02.01.02</t>
  </si>
  <si>
    <t>МДК.03.01.01</t>
  </si>
  <si>
    <t>МДК.03.01.02</t>
  </si>
  <si>
    <t>МДК.04.01</t>
  </si>
  <si>
    <t>МДК.02.01.02.01</t>
  </si>
  <si>
    <t>МДК.02.01.02.02</t>
  </si>
  <si>
    <t>МДК.02.01.02.03</t>
  </si>
  <si>
    <t xml:space="preserve">Эксплуатация, техническое обслуживание и ремонт судового энергетического оборудования    </t>
  </si>
  <si>
    <t>Обеспечение безопасности плавания</t>
  </si>
  <si>
    <t>26.02.05  Эксплуатация судовых энергетических установок</t>
  </si>
  <si>
    <t>техник - судомеханик</t>
  </si>
  <si>
    <t xml:space="preserve">07.05.2014 № 443 </t>
  </si>
  <si>
    <t>самостоятельная работа (осенний семестр)</t>
  </si>
  <si>
    <t>самостоятельная работа (весенний семестр)</t>
  </si>
  <si>
    <t>3 курс</t>
  </si>
  <si>
    <t>4 курс</t>
  </si>
  <si>
    <t>дней</t>
  </si>
  <si>
    <t>5 курс</t>
  </si>
  <si>
    <t>Всего максимальной нагрузки ЗАОЧНОЕ ОТДЕЛЕНИЕ</t>
  </si>
  <si>
    <t>Всего максимальной нагрузки ОЧНОЕ ОТДЕЛЕНИЕ</t>
  </si>
  <si>
    <t>Судовые вспомогательные механизмы и их эксплуатация</t>
  </si>
  <si>
    <t>5,8</t>
  </si>
  <si>
    <t>ПП.02</t>
  </si>
  <si>
    <t>часов</t>
  </si>
  <si>
    <t>ОП. 00 Общепрофессиональные дисциплины</t>
  </si>
  <si>
    <t>ПМ. 00 Профессиональные модули</t>
  </si>
  <si>
    <t>Компьютерная графика</t>
  </si>
  <si>
    <t>Кафедра теории конструирования инженерных сооружений</t>
  </si>
  <si>
    <t>ОК 1-10; ПК 1.1-1.5, 2.1-2.7</t>
  </si>
  <si>
    <t>ИТОГО по часам:</t>
  </si>
  <si>
    <t>Ставок:</t>
  </si>
  <si>
    <t>Отношение кол-ва курсантов к кол-ву ставок</t>
  </si>
  <si>
    <t>Количество часов по курсам</t>
  </si>
  <si>
    <t>Количество ставок преподавателей</t>
  </si>
  <si>
    <t>Количество курсантов</t>
  </si>
  <si>
    <t>Судовые энергетические установки и их эксплуатация (включая тренажер вахтенного механика)</t>
  </si>
  <si>
    <t>МДК.03.01</t>
  </si>
  <si>
    <t xml:space="preserve">Организация работы структурного подразделения </t>
  </si>
  <si>
    <t>1 курс</t>
  </si>
  <si>
    <t>2 курс</t>
  </si>
  <si>
    <t>Основы безопасности жизнедеятельности</t>
  </si>
  <si>
    <t>64-1</t>
  </si>
  <si>
    <t>64-2</t>
  </si>
  <si>
    <t>64-3</t>
  </si>
  <si>
    <t>64-6</t>
  </si>
  <si>
    <t>64-4</t>
  </si>
  <si>
    <t>64-5</t>
  </si>
  <si>
    <t>64 - 1</t>
  </si>
  <si>
    <t>64 - 2</t>
  </si>
  <si>
    <t>64 - 3</t>
  </si>
  <si>
    <t>64 - 4</t>
  </si>
  <si>
    <t>64 - 5</t>
  </si>
  <si>
    <t>64 - 6</t>
  </si>
  <si>
    <t>64 - 7</t>
  </si>
  <si>
    <t>Кафедра физического воспитания и спорта</t>
  </si>
  <si>
    <t>Практика по БЖС и ОСПС</t>
  </si>
  <si>
    <t>Управление конвенционной подготовки и повышения квалификации</t>
  </si>
  <si>
    <t>Междисциплинарный курс</t>
  </si>
  <si>
    <t xml:space="preserve">Безопасность жизнедеятельности на судне и транспортная безопасность </t>
  </si>
  <si>
    <t>Эксплуатация судна на вспомогательном уровне</t>
  </si>
  <si>
    <t>Предотвращение загрязнения морской окружающей среды</t>
  </si>
  <si>
    <t>Моторист (машинист)</t>
  </si>
  <si>
    <t>Планирование и руководство работы структурного подразделения</t>
  </si>
  <si>
    <t>Анализ деятельности структурного подразделения</t>
  </si>
  <si>
    <t>Общеобразовательные учебные дисциплины</t>
  </si>
  <si>
    <t>ВЧ.02</t>
  </si>
  <si>
    <t>2,4</t>
  </si>
  <si>
    <t>6,8</t>
  </si>
  <si>
    <t>Электромеханическое отделение</t>
  </si>
  <si>
    <t>Общеобразовательных учебных дисциплин</t>
  </si>
  <si>
    <t>Охрана труда и техника безопасности на судах</t>
  </si>
  <si>
    <t>5,7</t>
  </si>
  <si>
    <t>СЭУ</t>
  </si>
  <si>
    <t>СВМ</t>
  </si>
  <si>
    <t>ТОиРСО</t>
  </si>
  <si>
    <t>ТЭСА</t>
  </si>
  <si>
    <t>5,6,7</t>
  </si>
  <si>
    <t>Наименование циклов, разделов,
дисциплин, профессиональных модулей, МДК, практик</t>
  </si>
  <si>
    <t>Астрономия</t>
  </si>
  <si>
    <t>Формы промежуточной аттестации</t>
  </si>
  <si>
    <t>дифференцированные зачеты</t>
  </si>
  <si>
    <t>другие формы</t>
  </si>
  <si>
    <t>ВЧ.03</t>
  </si>
  <si>
    <t>курсовые проекты (работы)</t>
  </si>
  <si>
    <t>Количество курсовых проектов (работ)</t>
  </si>
  <si>
    <t>Государственная итоговая аттестация</t>
  </si>
  <si>
    <t>Количество других форм контроля</t>
  </si>
  <si>
    <t>Всего часов на государственную итоговую аттестацию</t>
  </si>
  <si>
    <t>ЕН. 00 Математический и общий естественнонаучный цикл</t>
  </si>
  <si>
    <t>Дата утверждения ФГОС СПО</t>
  </si>
  <si>
    <t>Всего часов обучения по циклам</t>
  </si>
  <si>
    <t>Количество учебных занятий (часов) в неделю</t>
  </si>
  <si>
    <t>Базовые дисциплины</t>
  </si>
  <si>
    <t>Профильные дисциплины</t>
  </si>
  <si>
    <t>4,8</t>
  </si>
  <si>
    <t>Государственная итоговая аттестация, недель</t>
  </si>
  <si>
    <t>ТУС</t>
  </si>
  <si>
    <t>Метрология</t>
  </si>
  <si>
    <t>Электроника</t>
  </si>
  <si>
    <t>Основы эксплуатации, технического обслуживания и ремонта судового энергетического оборудования</t>
  </si>
  <si>
    <t>МДК.01.01</t>
  </si>
  <si>
    <t xml:space="preserve">ПМ.02 </t>
  </si>
  <si>
    <t>МДК.02.01</t>
  </si>
  <si>
    <t>Основы управления структурным подразделением</t>
  </si>
  <si>
    <t>Моторист</t>
  </si>
  <si>
    <t>1,3</t>
  </si>
  <si>
    <t>Общий гуманитарный и социально-экономический цикл</t>
  </si>
  <si>
    <t>Профессиональный учебный цикл</t>
  </si>
  <si>
    <t>ОК 1-10;ПК 1.1-1.5; 2.1-2.3; 3.1-3.3</t>
  </si>
  <si>
    <t>ОК 1-10, ПК 1.1-1.5, 2.1- 2.7,  3.1-3.3</t>
  </si>
  <si>
    <t>производственная практика (преддипломная)</t>
  </si>
  <si>
    <t>производственная практика (по профилю специальности)</t>
  </si>
  <si>
    <t>Пояснения:</t>
  </si>
  <si>
    <t>1.</t>
  </si>
  <si>
    <t>2.</t>
  </si>
  <si>
    <t>3.</t>
  </si>
  <si>
    <t>Общеобразовательный цикл. Общеобразовательный цикл сформирован в соответствии с Рекомендациями по организации получения среднего общего образования в пределах освоения образовательных программ СПО на базе основного общего образования с учетом требований ФГОС и получаемой профессии или специальности среднего профессионального образования (письмо Департамента государственной политики в сфере подготовки рабочих кадров и ДПО от 17.03.2015 № 06-259 и примерных программ общеобразовательных учебных дисциплин для профессиональных образовательных организаций - 2015 г.  и уточнений Научно-методического совета Центра профессионального образования и систем квалификации ФГАУ "ФИРО" Протокол № 3 от 25 мая 2017 г.. Экзамены проводятся по дисциплинам: математика (письменно), русский язык (письменно) и физика (письменно).                                                                                                                                                                                                                  Индивидуальные проекты выполняются каждым обучающимся в течение года по одной  дисциплин общеобразовательного цикла по выбору, под руководством преподавателя.</t>
  </si>
  <si>
    <t>4.</t>
  </si>
  <si>
    <t>5.</t>
  </si>
  <si>
    <t>6.</t>
  </si>
  <si>
    <t>При реализации ППССЗ предусмотрена практика в количестве 42 недель, которая включает в себя учебную и производственную. Производственная практика состоит и производственной практики (по профилю специальности) и преддипломной практики.</t>
  </si>
  <si>
    <t xml:space="preserve">Настоящий учебный план программы подготовки специалистов среднего звена (ППССЗ) специальности 26.02.05 Эксплуатация судовых энергетических установок очной формы разработан в соответствии с ФГОС СПО по специальности 26.02.05  Эксплуатация судовых энергетических установок, утвержденного приказом Министерства образования и науки Российской Федерации № 443 от 07.05.2014 г. , с учетом требований Положения о дипломировании членов экипажей морских судов (утв.приказом Минтранса РФ  от 15.03.2012 г. № 62), МК ПДМНВ 78 с поправками, Разъяснений ФГУ "ФИРО" по формированию учебного плана СПО, Положения о практике обучающихся, осваивающих основные профессиональные образовательные программы СПО, утвержденное приказом Министерства образования и науки РФ от 18.04.2013г. № 291 и в соответствии с приказом Министерства образования и науки Российской Федерации № 464 от 14.06.2013 г. "Об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образования".  </t>
  </si>
  <si>
    <t xml:space="preserve">Организация учебного процесса. Учебный процесс организован по шестидневной учебной неделе. Продолжительность академического часа - 45 минут. Консультации проводятся из расчета 4 часа на одного обучающегося ежегодно, в том числе перед экзаменами промежуточной аттестации, квалификационными экзаменами и государственной итоговой аттестацией.                                                                                                                                                                               
Согласно ФГОС СПО специальности 26.02.05 Эксплуатация судовых энергетических установок (пункт 7.13), Приказу Минобороны РФ и Министерства образования и науки РФ от 24.02.2010 г. № 96/134 "Об утверждении Инструкции об организации обучения граждан Российской Федерации начальным знаниям в области обороны и их подготовки по основам военной службы в образовательных учреждениях среднего (полного) общего образования, образовательных учреждениях начального профессионального и среднего профессионального образования и учебных пунктах" в период обучения с юношами проводятся учебные сборы.    </t>
  </si>
  <si>
    <t>Учебная практика - 2 курс - 6 недель</t>
  </si>
  <si>
    <t>Учебная практика - 2 курс - 5 недель</t>
  </si>
  <si>
    <t>Производственная практика (по профилю специальности) - 3 курс - 2 недели</t>
  </si>
  <si>
    <t>Производственная практика (по профилю специальности) - 3 курс - 16 недель</t>
  </si>
  <si>
    <t>Производственная практика (по профилю специальности) - 4 курс - 2 недели</t>
  </si>
  <si>
    <t>Производственная практика (по профилю специальности) - 4 курс - 5 недель</t>
  </si>
  <si>
    <t>Производственная практика (преддипломная) - 4 курс - 4 недель</t>
  </si>
  <si>
    <t>Промежуточная аттестация проводится по окончании каждого семестра, форма промежуточной аттестации отражена в учебном плане, рабочих программах дисциплин и профессиональных модулей.</t>
  </si>
  <si>
    <t>ОГСЭ.00 Общий гуманитарный и социально-экономический цикл</t>
  </si>
  <si>
    <t>7.</t>
  </si>
  <si>
    <t>Распределение часов из вариативной части указаны в таблице "Перенос часов по блокам".</t>
  </si>
  <si>
    <t>Эксплуатация, техническое обслуживание и ремонт судового энергетического оборудования</t>
  </si>
  <si>
    <t>Эксплуатация судовых энергетических установок</t>
  </si>
  <si>
    <t>Срок обучения:</t>
  </si>
  <si>
    <t>Протокол №8</t>
  </si>
  <si>
    <t>Наименование учебных циклов, разделов, дисциплин,                                                                                                   профессиональных модулей, МДК, практик</t>
  </si>
  <si>
    <t>экзамен</t>
  </si>
  <si>
    <t>дифференцированный зачет</t>
  </si>
  <si>
    <t>курсовая работа</t>
  </si>
  <si>
    <t>другая форма</t>
  </si>
  <si>
    <t>зачет</t>
  </si>
  <si>
    <t>курсовой проект</t>
  </si>
  <si>
    <t>Объем часов по учебному плану</t>
  </si>
  <si>
    <t>ВСЕГО ЧАСОВ</t>
  </si>
  <si>
    <t>самостоятельная работа</t>
  </si>
  <si>
    <t>урок, практическое занятие, лекция, семинар</t>
  </si>
  <si>
    <t>лабораторное занятие</t>
  </si>
  <si>
    <t>выполнение курсового проекта (работы)</t>
  </si>
  <si>
    <t>консультация</t>
  </si>
  <si>
    <t>практика</t>
  </si>
  <si>
    <t>Код предметной цикловой комиссии (кафедры)</t>
  </si>
  <si>
    <t>Коды формируемых компетенций</t>
  </si>
  <si>
    <t>Русский язык</t>
  </si>
  <si>
    <t>Литература</t>
  </si>
  <si>
    <t>Общеобразовательные дисциплины</t>
  </si>
  <si>
    <t>Химия</t>
  </si>
  <si>
    <t>на базе среднего общего образования</t>
  </si>
  <si>
    <t>Календарный учебный график</t>
  </si>
  <si>
    <t>осенняя лабораторно-экзаменационная сессия</t>
  </si>
  <si>
    <t>весенняя лабораторно-экзаменационная сессия</t>
  </si>
  <si>
    <t>Перечень предметных цикловых комиссий (или кафедр)</t>
  </si>
  <si>
    <t xml:space="preserve">Предметная цикловая комиссия общего гуманитарного и социально-экономического цикла </t>
  </si>
  <si>
    <t>Предметная цикловая комиссия математического и общего естественнонаучного цикла</t>
  </si>
  <si>
    <t>Предметная цикловая комиссия профессионального  цикла специальности «Судовождение»</t>
  </si>
  <si>
    <t>Предметная цикловая комиссия профессионального  цикла специальности «Эксплуатация судовых энергетических установок»</t>
  </si>
  <si>
    <t>Предметная цикловая комиссия профессионального  цикла специальности «Эксплуатация судового электрооборудования и средств автоматики»</t>
  </si>
  <si>
    <t xml:space="preserve">Предметная цикловая комиссия профессионального  цикла гидротехнических и  общепрофессиональных дисциплин </t>
  </si>
  <si>
    <t>Предметная цикловая комиссия профессионального  цикла специальности «Организация перевозок и управление на транспорте (по видам)»</t>
  </si>
  <si>
    <t>30 ч занятий</t>
  </si>
  <si>
    <t>170 ч занятий из ВЧ</t>
  </si>
  <si>
    <t>Государственная  итоговая аттестация выпускников проводится в соответствии с программой государственной итоговой аттестации, ФГОС СПО и учебным планом специальности 26.02.05  Эксплуатация судовых энергетических установок в виде подготовки и защиты выпускной квалификационной работы продолжительностью 4 недели.   Формой проведения выпускной квалификационной работы является дипломная работа.</t>
  </si>
  <si>
    <t>Производственная практика (преддипломная)</t>
  </si>
  <si>
    <t>Подготовка и защита выпускной квалификационной работы</t>
  </si>
  <si>
    <t>3,4,6,7</t>
  </si>
  <si>
    <t>1,2,3</t>
  </si>
  <si>
    <t>2,3</t>
  </si>
  <si>
    <t>а/2</t>
  </si>
  <si>
    <t>ОК 1-10,ПК 2.5,2.7</t>
  </si>
  <si>
    <t>ОК 1 - 10, ПК 2.7</t>
  </si>
  <si>
    <t>ОК 1-10;ПК 1.1-1.5; ПК 2.1-2.7; ПК 3.1-3.3</t>
  </si>
  <si>
    <t>125 ч из ВЧ</t>
  </si>
  <si>
    <t>698 ч занятий из ВЧ</t>
  </si>
  <si>
    <t>1,5</t>
  </si>
  <si>
    <t>8,5</t>
  </si>
  <si>
    <t>0,5</t>
  </si>
  <si>
    <t>промежуточная аттестация (половина недели)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</si>
  <si>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</si>
  <si>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</si>
  <si>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</si>
  <si>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</si>
  <si>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</si>
  <si>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</si>
  <si>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</si>
  <si>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</si>
  <si>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</si>
  <si>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Обществознание</t>
  </si>
  <si>
    <t>ОДб.10</t>
  </si>
  <si>
    <t>Биология</t>
  </si>
  <si>
    <t>ОДб.11</t>
  </si>
  <si>
    <t>География</t>
  </si>
  <si>
    <t>ОДп.01</t>
  </si>
  <si>
    <t>ОДп.02</t>
  </si>
  <si>
    <t>ОДп.03</t>
  </si>
  <si>
    <t>1 курс 2019-2020</t>
  </si>
  <si>
    <t>2 курс 2020-2021</t>
  </si>
  <si>
    <t>3 курс 2021-2022</t>
  </si>
  <si>
    <t>4 курс 2022-2023</t>
  </si>
  <si>
    <t>__________________ И.К. Кузьмичев</t>
  </si>
  <si>
    <t>13</t>
  </si>
  <si>
    <t>20</t>
  </si>
  <si>
    <t>УТС "Академик"</t>
  </si>
  <si>
    <t>14,5</t>
  </si>
  <si>
    <t>3,7</t>
  </si>
  <si>
    <t>396</t>
  </si>
  <si>
    <t>1116</t>
  </si>
  <si>
    <t>Производственная практика (по профилю специальности)</t>
  </si>
  <si>
    <t>в ред.30.03.2021 Протокол №7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</si>
</sst>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20"/>
      <color indexed="12"/>
      <name val="Times New Roman"/>
      <family val="1"/>
    </font>
    <font>
      <sz val="5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sz val="10"/>
      <color indexed="18"/>
      <name val="Times New Roman"/>
      <family val="1"/>
    </font>
    <font>
      <sz val="7.5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/>
      <bottom style="thin"/>
    </border>
    <border>
      <left style="thick"/>
      <right/>
      <top/>
      <bottom style="thin"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thin"/>
      <right style="thick"/>
      <top style="thin"/>
      <bottom/>
    </border>
    <border>
      <left style="thick"/>
      <right/>
      <top style="thin"/>
      <bottom/>
    </border>
    <border>
      <left style="medium"/>
      <right style="medium"/>
      <top/>
      <bottom style="thin"/>
    </border>
    <border>
      <left style="thick"/>
      <right style="thick"/>
      <top style="thin"/>
      <bottom/>
    </border>
    <border>
      <left style="thick"/>
      <right style="thick"/>
      <top/>
      <bottom style="thin"/>
    </border>
    <border>
      <left style="thick"/>
      <right style="thin"/>
      <top style="thin"/>
      <bottom/>
    </border>
    <border>
      <left style="thin"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ck"/>
      <top style="thin"/>
      <bottom style="thin"/>
    </border>
    <border>
      <left style="thick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/>
    </border>
  </borders>
  <cellStyleXfs count="63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53">
    <xf numFmtId="0" fontId="0" fillId="0" borderId="0" xfId="0" applyAlignment="1">
      <alignment vertical="top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4" fillId="7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" fillId="7" borderId="11" xfId="0" applyFont="1" applyFill="1" applyBorder="1" applyAlignment="1">
      <alignment horizontal="center" vertical="top" wrapText="1"/>
    </xf>
    <xf numFmtId="0" fontId="9" fillId="5" borderId="10" xfId="0" applyFont="1" applyFill="1" applyBorder="1" applyAlignment="1">
      <alignment horizontal="center" vertical="top" wrapText="1"/>
    </xf>
    <xf numFmtId="0" fontId="4" fillId="7" borderId="12" xfId="0" applyFont="1" applyFill="1" applyBorder="1" applyAlignment="1">
      <alignment horizontal="center" vertical="top" wrapText="1"/>
    </xf>
    <xf numFmtId="0" fontId="9" fillId="7" borderId="10" xfId="0" applyFont="1" applyFill="1" applyBorder="1" applyAlignment="1">
      <alignment horizontal="center" vertical="top" wrapText="1"/>
    </xf>
    <xf numFmtId="0" fontId="10" fillId="7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" fontId="4" fillId="20" borderId="1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22" borderId="14" xfId="53" applyFont="1" applyFill="1" applyBorder="1" applyAlignment="1" applyProtection="1">
      <alignment horizontal="center" vertical="top" wrapText="1"/>
      <protection/>
    </xf>
    <xf numFmtId="0" fontId="0" fillId="22" borderId="15" xfId="53" applyFont="1" applyFill="1" applyBorder="1" applyAlignment="1" applyProtection="1">
      <alignment horizontal="center" vertical="top" wrapText="1"/>
      <protection/>
    </xf>
    <xf numFmtId="0" fontId="0" fillId="22" borderId="16" xfId="53" applyFont="1" applyFill="1" applyBorder="1" applyAlignment="1" applyProtection="1">
      <alignment horizontal="center" vertical="top" wrapText="1"/>
      <protection/>
    </xf>
    <xf numFmtId="0" fontId="0" fillId="7" borderId="13" xfId="53" applyFont="1" applyFill="1" applyBorder="1" applyAlignment="1" applyProtection="1">
      <alignment horizontal="center" vertical="top" wrapText="1"/>
      <protection/>
    </xf>
    <xf numFmtId="49" fontId="0" fillId="22" borderId="16" xfId="53" applyNumberFormat="1" applyFont="1" applyFill="1" applyBorder="1" applyAlignment="1" applyProtection="1">
      <alignment horizontal="center" vertical="top" wrapText="1" shrinkToFit="1"/>
      <protection/>
    </xf>
    <xf numFmtId="49" fontId="0" fillId="22" borderId="10" xfId="53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53" applyFont="1" applyAlignment="1" applyProtection="1">
      <alignment vertical="top" wrapText="1"/>
      <protection/>
    </xf>
    <xf numFmtId="0" fontId="3" fillId="20" borderId="13" xfId="53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24" borderId="13" xfId="0" applyFont="1" applyFill="1" applyBorder="1" applyAlignment="1">
      <alignment horizontal="center" vertical="top" wrapText="1"/>
    </xf>
    <xf numFmtId="0" fontId="9" fillId="10" borderId="13" xfId="0" applyFont="1" applyFill="1" applyBorder="1" applyAlignment="1">
      <alignment horizontal="center" vertical="top" wrapText="1"/>
    </xf>
    <xf numFmtId="0" fontId="9" fillId="25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1" fontId="9" fillId="20" borderId="10" xfId="0" applyNumberFormat="1" applyFont="1" applyFill="1" applyBorder="1" applyAlignment="1">
      <alignment horizontal="center" vertical="top" wrapText="1"/>
    </xf>
    <xf numFmtId="1" fontId="4" fillId="20" borderId="10" xfId="0" applyNumberFormat="1" applyFont="1" applyFill="1" applyBorder="1" applyAlignment="1">
      <alignment horizontal="center" vertical="top" wrapText="1"/>
    </xf>
    <xf numFmtId="2" fontId="0" fillId="26" borderId="13" xfId="53" applyNumberFormat="1" applyFont="1" applyFill="1" applyBorder="1" applyAlignment="1" applyProtection="1">
      <alignment horizontal="center" vertical="top" wrapText="1"/>
      <protection/>
    </xf>
    <xf numFmtId="180" fontId="0" fillId="26" borderId="13" xfId="53" applyNumberFormat="1" applyFont="1" applyFill="1" applyBorder="1" applyAlignment="1" applyProtection="1">
      <alignment horizontal="center" vertical="top" wrapText="1"/>
      <protection/>
    </xf>
    <xf numFmtId="2" fontId="0" fillId="20" borderId="13" xfId="53" applyNumberFormat="1" applyFont="1" applyFill="1" applyBorder="1" applyAlignment="1" applyProtection="1">
      <alignment horizontal="center" vertical="top" wrapText="1"/>
      <protection/>
    </xf>
    <xf numFmtId="180" fontId="3" fillId="20" borderId="13" xfId="57" applyNumberFormat="1" applyFont="1" applyFill="1" applyBorder="1" applyAlignment="1" applyProtection="1">
      <alignment horizontal="center" vertical="top" wrapText="1"/>
      <protection/>
    </xf>
    <xf numFmtId="1" fontId="0" fillId="26" borderId="13" xfId="53" applyNumberFormat="1" applyFont="1" applyFill="1" applyBorder="1" applyAlignment="1" applyProtection="1">
      <alignment horizontal="center" vertical="top" wrapText="1"/>
      <protection/>
    </xf>
    <xf numFmtId="0" fontId="0" fillId="26" borderId="0" xfId="0" applyFont="1" applyFill="1" applyAlignment="1">
      <alignment vertical="top" wrapText="1"/>
    </xf>
    <xf numFmtId="180" fontId="0" fillId="0" borderId="13" xfId="53" applyNumberFormat="1" applyFont="1" applyBorder="1" applyAlignment="1" applyProtection="1">
      <alignment horizontal="center" vertical="top" wrapText="1"/>
      <protection locked="0"/>
    </xf>
    <xf numFmtId="0" fontId="3" fillId="26" borderId="0" xfId="0" applyFont="1" applyFill="1" applyAlignment="1">
      <alignment horizontal="center" vertical="top" wrapText="1"/>
    </xf>
    <xf numFmtId="0" fontId="29" fillId="0" borderId="10" xfId="0" applyFont="1" applyFill="1" applyBorder="1" applyAlignment="1" applyProtection="1">
      <alignment horizontal="center" vertical="top" wrapText="1"/>
      <protection locked="0"/>
    </xf>
    <xf numFmtId="0" fontId="4" fillId="26" borderId="0" xfId="0" applyFont="1" applyFill="1" applyAlignment="1">
      <alignment vertical="top" wrapText="1"/>
    </xf>
    <xf numFmtId="0" fontId="4" fillId="26" borderId="0" xfId="0" applyFont="1" applyFill="1" applyAlignment="1">
      <alignment horizontal="center" vertical="top" wrapText="1"/>
    </xf>
    <xf numFmtId="0" fontId="4" fillId="26" borderId="0" xfId="0" applyFont="1" applyFill="1" applyAlignment="1">
      <alignment horizontal="justify" vertical="top" wrapText="1"/>
    </xf>
    <xf numFmtId="2" fontId="28" fillId="0" borderId="13" xfId="53" applyNumberFormat="1" applyFont="1" applyFill="1" applyBorder="1" applyAlignment="1" applyProtection="1">
      <alignment horizontal="center" vertical="top" wrapText="1"/>
      <protection locked="0"/>
    </xf>
    <xf numFmtId="180" fontId="28" fillId="0" borderId="13" xfId="53" applyNumberFormat="1" applyFont="1" applyFill="1" applyBorder="1" applyAlignment="1" applyProtection="1">
      <alignment horizontal="center" vertical="top" wrapText="1"/>
      <protection locked="0"/>
    </xf>
    <xf numFmtId="1" fontId="28" fillId="0" borderId="13" xfId="53" applyNumberFormat="1" applyFont="1" applyFill="1" applyBorder="1" applyAlignment="1" applyProtection="1">
      <alignment horizontal="center" vertical="top" wrapText="1"/>
      <protection locked="0"/>
    </xf>
    <xf numFmtId="0" fontId="3" fillId="22" borderId="17" xfId="53" applyNumberFormat="1" applyFont="1" applyFill="1" applyBorder="1" applyAlignment="1" applyProtection="1">
      <alignment horizontal="justify" vertical="top" wrapText="1"/>
      <protection/>
    </xf>
    <xf numFmtId="2" fontId="0" fillId="24" borderId="13" xfId="53" applyNumberFormat="1" applyFont="1" applyFill="1" applyBorder="1" applyAlignment="1" applyProtection="1">
      <alignment horizontal="center" vertical="top" wrapText="1"/>
      <protection/>
    </xf>
    <xf numFmtId="2" fontId="0" fillId="24" borderId="13" xfId="53" applyNumberFormat="1" applyFont="1" applyFill="1" applyBorder="1" applyAlignment="1" applyProtection="1">
      <alignment horizontal="center" vertical="top" wrapText="1"/>
      <protection/>
    </xf>
    <xf numFmtId="0" fontId="3" fillId="24" borderId="13" xfId="53" applyFont="1" applyFill="1" applyBorder="1" applyAlignment="1" applyProtection="1">
      <alignment horizontal="center" vertical="top" wrapText="1"/>
      <protection/>
    </xf>
    <xf numFmtId="2" fontId="3" fillId="20" borderId="13" xfId="53" applyNumberFormat="1" applyFont="1" applyFill="1" applyBorder="1" applyAlignment="1" applyProtection="1">
      <alignment horizontal="center" vertical="top" wrapText="1"/>
      <protection/>
    </xf>
    <xf numFmtId="1" fontId="3" fillId="3" borderId="18" xfId="0" applyNumberFormat="1" applyFont="1" applyFill="1" applyBorder="1" applyAlignment="1" applyProtection="1">
      <alignment horizontal="center" textRotation="90" wrapText="1"/>
      <protection/>
    </xf>
    <xf numFmtId="1" fontId="3" fillId="3" borderId="19" xfId="0" applyNumberFormat="1" applyFont="1" applyFill="1" applyBorder="1" applyAlignment="1" applyProtection="1">
      <alignment horizontal="center" textRotation="90" wrapText="1"/>
      <protection/>
    </xf>
    <xf numFmtId="0" fontId="0" fillId="0" borderId="0" xfId="0" applyFont="1" applyAlignment="1" applyProtection="1">
      <alignment vertical="top" wrapText="1"/>
      <protection/>
    </xf>
    <xf numFmtId="180" fontId="0" fillId="20" borderId="13" xfId="53" applyNumberFormat="1" applyFont="1" applyFill="1" applyBorder="1" applyAlignment="1" applyProtection="1">
      <alignment horizontal="center" vertical="top" wrapText="1"/>
      <protection/>
    </xf>
    <xf numFmtId="2" fontId="28" fillId="24" borderId="13" xfId="53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vertical="top" wrapText="1"/>
      <protection/>
    </xf>
    <xf numFmtId="18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vertical="top" wrapText="1"/>
      <protection/>
    </xf>
    <xf numFmtId="2" fontId="4" fillId="25" borderId="13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Alignment="1" applyProtection="1">
      <alignment vertical="top" wrapText="1"/>
      <protection/>
    </xf>
    <xf numFmtId="0" fontId="31" fillId="25" borderId="13" xfId="0" applyFont="1" applyFill="1" applyBorder="1" applyAlignment="1" applyProtection="1">
      <alignment horizontal="center" vertical="top" wrapText="1"/>
      <protection/>
    </xf>
    <xf numFmtId="0" fontId="4" fillId="25" borderId="13" xfId="0" applyFont="1" applyFill="1" applyBorder="1" applyAlignment="1" applyProtection="1">
      <alignment vertical="top" wrapText="1"/>
      <protection/>
    </xf>
    <xf numFmtId="0" fontId="4" fillId="27" borderId="13" xfId="0" applyFont="1" applyFill="1" applyBorder="1" applyAlignment="1" applyProtection="1">
      <alignment vertical="top" wrapText="1"/>
      <protection/>
    </xf>
    <xf numFmtId="180" fontId="4" fillId="25" borderId="13" xfId="0" applyNumberFormat="1" applyFont="1" applyFill="1" applyBorder="1" applyAlignment="1" applyProtection="1">
      <alignment horizontal="center" vertical="top" wrapText="1"/>
      <protection/>
    </xf>
    <xf numFmtId="2" fontId="4" fillId="0" borderId="0" xfId="0" applyNumberFormat="1" applyFont="1" applyAlignment="1" applyProtection="1">
      <alignment horizontal="center" vertical="top" wrapText="1"/>
      <protection/>
    </xf>
    <xf numFmtId="0" fontId="4" fillId="25" borderId="13" xfId="0" applyFont="1" applyFill="1" applyBorder="1" applyAlignment="1" applyProtection="1">
      <alignment horizontal="left" vertical="top" wrapText="1"/>
      <protection/>
    </xf>
    <xf numFmtId="0" fontId="4" fillId="27" borderId="13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justify" vertical="top" wrapText="1"/>
      <protection locked="0"/>
    </xf>
    <xf numFmtId="0" fontId="27" fillId="0" borderId="0" xfId="0" applyFont="1" applyBorder="1" applyAlignment="1" applyProtection="1">
      <alignment horizontal="justify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32" fillId="0" borderId="0" xfId="0" applyFont="1" applyAlignment="1">
      <alignment horizontal="justify" vertical="top"/>
    </xf>
    <xf numFmtId="0" fontId="32" fillId="0" borderId="0" xfId="0" applyFont="1" applyAlignment="1">
      <alignment vertical="top"/>
    </xf>
    <xf numFmtId="0" fontId="0" fillId="28" borderId="0" xfId="0" applyFont="1" applyFill="1" applyAlignment="1">
      <alignment vertical="top" wrapText="1"/>
    </xf>
    <xf numFmtId="0" fontId="3" fillId="28" borderId="0" xfId="0" applyFont="1" applyFill="1" applyBorder="1" applyAlignment="1">
      <alignment horizontal="justify" vertical="top" wrapText="1"/>
    </xf>
    <xf numFmtId="0" fontId="0" fillId="28" borderId="0" xfId="0" applyFont="1" applyFill="1" applyBorder="1" applyAlignment="1">
      <alignment vertical="top" wrapText="1"/>
    </xf>
    <xf numFmtId="0" fontId="0" fillId="28" borderId="0" xfId="0" applyFont="1" applyFill="1" applyBorder="1" applyAlignment="1">
      <alignment horizontal="center" vertical="top" wrapText="1"/>
    </xf>
    <xf numFmtId="1" fontId="0" fillId="26" borderId="13" xfId="53" applyNumberFormat="1" applyFont="1" applyFill="1" applyBorder="1" applyAlignment="1" applyProtection="1">
      <alignment horizontal="center" vertical="top" wrapText="1"/>
      <protection/>
    </xf>
    <xf numFmtId="0" fontId="0" fillId="7" borderId="13" xfId="53" applyFont="1" applyFill="1" applyBorder="1" applyAlignment="1" applyProtection="1">
      <alignment horizontal="center" vertical="top" wrapText="1"/>
      <protection/>
    </xf>
    <xf numFmtId="0" fontId="3" fillId="7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7" borderId="13" xfId="0" applyFont="1" applyFill="1" applyBorder="1" applyAlignment="1" applyProtection="1">
      <alignment horizontal="center" vertical="center" wrapText="1"/>
      <protection locked="0"/>
    </xf>
    <xf numFmtId="0" fontId="0" fillId="28" borderId="13" xfId="0" applyFont="1" applyFill="1" applyBorder="1" applyAlignment="1" applyProtection="1">
      <alignment horizontal="left" vertical="center" wrapText="1"/>
      <protection locked="0"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3" fillId="24" borderId="13" xfId="0" applyNumberFormat="1" applyFont="1" applyFill="1" applyBorder="1" applyAlignment="1" applyProtection="1">
      <alignment horizontal="center" vertical="center" wrapText="1"/>
      <protection/>
    </xf>
    <xf numFmtId="1" fontId="3" fillId="24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horizontal="justify" vertical="center" wrapText="1"/>
      <protection locked="0"/>
    </xf>
    <xf numFmtId="0" fontId="0" fillId="26" borderId="0" xfId="0" applyFont="1" applyFill="1" applyBorder="1" applyAlignment="1">
      <alignment horizontal="center" vertical="top" wrapText="1"/>
    </xf>
    <xf numFmtId="0" fontId="3" fillId="26" borderId="0" xfId="0" applyFont="1" applyFill="1" applyBorder="1" applyAlignment="1">
      <alignment horizontal="center" vertical="top" wrapText="1"/>
    </xf>
    <xf numFmtId="0" fontId="0" fillId="26" borderId="0" xfId="0" applyFont="1" applyFill="1" applyBorder="1" applyAlignment="1">
      <alignment horizontal="justify" vertical="top" wrapText="1"/>
    </xf>
    <xf numFmtId="0" fontId="0" fillId="26" borderId="0" xfId="0" applyFont="1" applyFill="1" applyAlignment="1">
      <alignment vertical="top" wrapText="1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0" fillId="26" borderId="0" xfId="0" applyNumberFormat="1" applyFont="1" applyFill="1" applyBorder="1" applyAlignment="1">
      <alignment horizontal="justify" vertical="top" wrapText="1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1" fontId="3" fillId="24" borderId="21" xfId="0" applyNumberFormat="1" applyFont="1" applyFill="1" applyBorder="1" applyAlignment="1" applyProtection="1">
      <alignment horizontal="center" vertical="center" wrapText="1"/>
      <protection/>
    </xf>
    <xf numFmtId="0" fontId="0" fillId="28" borderId="13" xfId="0" applyFont="1" applyFill="1" applyBorder="1" applyAlignment="1" applyProtection="1">
      <alignment horizontal="left" vertical="center" wrapText="1"/>
      <protection locked="0"/>
    </xf>
    <xf numFmtId="49" fontId="0" fillId="29" borderId="14" xfId="0" applyNumberFormat="1" applyFont="1" applyFill="1" applyBorder="1" applyAlignment="1" applyProtection="1">
      <alignment horizontal="center" vertical="center" wrapText="1"/>
      <protection/>
    </xf>
    <xf numFmtId="1" fontId="30" fillId="29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1" fontId="0" fillId="8" borderId="23" xfId="0" applyNumberFormat="1" applyFont="1" applyFill="1" applyBorder="1" applyAlignment="1" applyProtection="1">
      <alignment horizontal="center" vertical="center" wrapText="1"/>
      <protection/>
    </xf>
    <xf numFmtId="1" fontId="0" fillId="29" borderId="20" xfId="0" applyNumberFormat="1" applyFont="1" applyFill="1" applyBorder="1" applyAlignment="1" applyProtection="1">
      <alignment horizontal="center" vertical="center" wrapText="1"/>
      <protection/>
    </xf>
    <xf numFmtId="1" fontId="0" fillId="29" borderId="24" xfId="0" applyNumberFormat="1" applyFont="1" applyFill="1" applyBorder="1" applyAlignment="1" applyProtection="1">
      <alignment horizontal="center" vertical="center" wrapText="1"/>
      <protection/>
    </xf>
    <xf numFmtId="1" fontId="0" fillId="29" borderId="25" xfId="0" applyNumberFormat="1" applyFont="1" applyFill="1" applyBorder="1" applyAlignment="1" applyProtection="1">
      <alignment horizontal="center" vertical="center" wrapText="1"/>
      <protection locked="0"/>
    </xf>
    <xf numFmtId="1" fontId="0" fillId="29" borderId="26" xfId="0" applyNumberFormat="1" applyFont="1" applyFill="1" applyBorder="1" applyAlignment="1" applyProtection="1">
      <alignment horizontal="center" vertical="center" wrapText="1"/>
      <protection/>
    </xf>
    <xf numFmtId="1" fontId="0" fillId="29" borderId="27" xfId="0" applyNumberFormat="1" applyFont="1" applyFill="1" applyBorder="1" applyAlignment="1" applyProtection="1">
      <alignment horizontal="center" vertical="center" wrapText="1"/>
      <protection/>
    </xf>
    <xf numFmtId="1" fontId="30" fillId="29" borderId="17" xfId="0" applyNumberFormat="1" applyFont="1" applyFill="1" applyBorder="1" applyAlignment="1" applyProtection="1">
      <alignment horizontal="center" vertical="center" wrapText="1"/>
      <protection/>
    </xf>
    <xf numFmtId="1" fontId="0" fillId="8" borderId="23" xfId="0" applyNumberFormat="1" applyFont="1" applyFill="1" applyBorder="1" applyAlignment="1" applyProtection="1">
      <alignment horizontal="center" vertical="center" wrapText="1"/>
      <protection/>
    </xf>
    <xf numFmtId="1" fontId="0" fillId="8" borderId="13" xfId="0" applyNumberFormat="1" applyFont="1" applyFill="1" applyBorder="1" applyAlignment="1" applyProtection="1">
      <alignment horizontal="center" vertical="center" wrapText="1"/>
      <protection/>
    </xf>
    <xf numFmtId="1" fontId="0" fillId="28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28" borderId="21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21" xfId="0" applyNumberFormat="1" applyFont="1" applyFill="1" applyBorder="1" applyAlignment="1" applyProtection="1">
      <alignment horizontal="center" vertical="center" wrapText="1"/>
      <protection/>
    </xf>
    <xf numFmtId="1" fontId="0" fillId="8" borderId="21" xfId="0" applyNumberFormat="1" applyFont="1" applyFill="1" applyBorder="1" applyAlignment="1" applyProtection="1">
      <alignment horizontal="center" vertical="center" wrapText="1"/>
      <protection/>
    </xf>
    <xf numFmtId="1" fontId="0" fillId="8" borderId="12" xfId="0" applyNumberFormat="1" applyFont="1" applyFill="1" applyBorder="1" applyAlignment="1" applyProtection="1">
      <alignment horizontal="center" vertical="center" wrapText="1"/>
      <protection/>
    </xf>
    <xf numFmtId="1" fontId="0" fillId="8" borderId="12" xfId="0" applyNumberFormat="1" applyFont="1" applyFill="1" applyBorder="1" applyAlignment="1" applyProtection="1">
      <alignment horizontal="center" vertical="center" wrapText="1"/>
      <protection/>
    </xf>
    <xf numFmtId="1" fontId="0" fillId="8" borderId="28" xfId="0" applyNumberFormat="1" applyFont="1" applyFill="1" applyBorder="1" applyAlignment="1" applyProtection="1">
      <alignment horizontal="center" vertical="center" wrapText="1"/>
      <protection/>
    </xf>
    <xf numFmtId="1" fontId="0" fillId="8" borderId="17" xfId="0" applyNumberFormat="1" applyFont="1" applyFill="1" applyBorder="1" applyAlignment="1" applyProtection="1">
      <alignment horizontal="center" vertical="center" wrapText="1"/>
      <protection/>
    </xf>
    <xf numFmtId="1" fontId="0" fillId="30" borderId="22" xfId="0" applyNumberFormat="1" applyFont="1" applyFill="1" applyBorder="1" applyAlignment="1" applyProtection="1">
      <alignment horizontal="center" vertical="center" wrapText="1"/>
      <protection/>
    </xf>
    <xf numFmtId="1" fontId="0" fillId="30" borderId="29" xfId="0" applyNumberFormat="1" applyFont="1" applyFill="1" applyBorder="1" applyAlignment="1" applyProtection="1">
      <alignment horizontal="center" vertical="center" wrapText="1"/>
      <protection/>
    </xf>
    <xf numFmtId="1" fontId="3" fillId="10" borderId="25" xfId="0" applyNumberFormat="1" applyFont="1" applyFill="1" applyBorder="1" applyAlignment="1" applyProtection="1">
      <alignment horizontal="center" vertical="center" wrapText="1"/>
      <protection/>
    </xf>
    <xf numFmtId="1" fontId="3" fillId="10" borderId="26" xfId="0" applyNumberFormat="1" applyFont="1" applyFill="1" applyBorder="1" applyAlignment="1" applyProtection="1">
      <alignment horizontal="center" vertical="center" wrapText="1"/>
      <protection/>
    </xf>
    <xf numFmtId="1" fontId="3" fillId="10" borderId="27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3" fillId="10" borderId="30" xfId="0" applyNumberFormat="1" applyFont="1" applyFill="1" applyBorder="1" applyAlignment="1" applyProtection="1">
      <alignment horizontal="center" vertical="center" wrapText="1"/>
      <protection/>
    </xf>
    <xf numFmtId="49" fontId="0" fillId="10" borderId="30" xfId="0" applyNumberFormat="1" applyFont="1" applyFill="1" applyBorder="1" applyAlignment="1" applyProtection="1">
      <alignment horizontal="center" vertical="center" wrapText="1"/>
      <protection/>
    </xf>
    <xf numFmtId="1" fontId="0" fillId="8" borderId="21" xfId="0" applyNumberFormat="1" applyFont="1" applyFill="1" applyBorder="1" applyAlignment="1" applyProtection="1">
      <alignment horizontal="center" vertical="center" wrapText="1"/>
      <protection/>
    </xf>
    <xf numFmtId="1" fontId="0" fillId="8" borderId="28" xfId="0" applyNumberFormat="1" applyFont="1" applyFill="1" applyBorder="1" applyAlignment="1" applyProtection="1">
      <alignment horizontal="center" vertical="center" wrapText="1"/>
      <protection/>
    </xf>
    <xf numFmtId="1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0" fillId="30" borderId="15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13" xfId="53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13" xfId="0" applyFont="1" applyFill="1" applyBorder="1" applyAlignment="1">
      <alignment horizontal="center" vertical="top" wrapText="1"/>
    </xf>
    <xf numFmtId="49" fontId="0" fillId="30" borderId="33" xfId="0" applyNumberForma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7" borderId="13" xfId="0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3" fillId="26" borderId="0" xfId="0" applyFont="1" applyFill="1" applyBorder="1" applyAlignment="1">
      <alignment horizontal="justify" vertical="top" wrapText="1"/>
    </xf>
    <xf numFmtId="0" fontId="0" fillId="26" borderId="0" xfId="0" applyFont="1" applyFill="1" applyBorder="1" applyAlignment="1">
      <alignment horizontal="left" vertical="top" wrapText="1"/>
    </xf>
    <xf numFmtId="0" fontId="0" fillId="26" borderId="0" xfId="0" applyFont="1" applyFill="1" applyBorder="1" applyAlignment="1">
      <alignment vertical="top" wrapText="1"/>
    </xf>
    <xf numFmtId="0" fontId="0" fillId="26" borderId="0" xfId="0" applyFont="1" applyFill="1" applyBorder="1" applyAlignment="1">
      <alignment horizontal="center" vertical="top" wrapText="1"/>
    </xf>
    <xf numFmtId="0" fontId="0" fillId="26" borderId="0" xfId="0" applyFill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top" wrapText="1"/>
      <protection/>
    </xf>
    <xf numFmtId="1" fontId="3" fillId="15" borderId="22" xfId="0" applyNumberFormat="1" applyFont="1" applyFill="1" applyBorder="1" applyAlignment="1" applyProtection="1">
      <alignment horizontal="center" vertical="top" wrapText="1"/>
      <protection/>
    </xf>
    <xf numFmtId="3" fontId="3" fillId="5" borderId="22" xfId="0" applyNumberFormat="1" applyFont="1" applyFill="1" applyBorder="1" applyAlignment="1" applyProtection="1">
      <alignment horizontal="center" vertical="top" wrapText="1"/>
      <protection/>
    </xf>
    <xf numFmtId="1" fontId="3" fillId="15" borderId="13" xfId="0" applyNumberFormat="1" applyFont="1" applyFill="1" applyBorder="1" applyAlignment="1" applyProtection="1">
      <alignment horizontal="center" vertical="top" wrapText="1"/>
      <protection/>
    </xf>
    <xf numFmtId="3" fontId="3" fillId="5" borderId="13" xfId="0" applyNumberFormat="1" applyFont="1" applyFill="1" applyBorder="1" applyAlignment="1" applyProtection="1">
      <alignment horizontal="center" vertical="top" wrapText="1"/>
      <protection/>
    </xf>
    <xf numFmtId="1" fontId="0" fillId="29" borderId="34" xfId="0" applyNumberFormat="1" applyFont="1" applyFill="1" applyBorder="1" applyAlignment="1" applyProtection="1">
      <alignment horizontal="center" vertical="center" wrapText="1"/>
      <protection locked="0"/>
    </xf>
    <xf numFmtId="1" fontId="0" fillId="29" borderId="35" xfId="0" applyNumberFormat="1" applyFont="1" applyFill="1" applyBorder="1" applyAlignment="1" applyProtection="1">
      <alignment horizontal="center" vertical="center" wrapText="1"/>
      <protection/>
    </xf>
    <xf numFmtId="1" fontId="0" fillId="29" borderId="31" xfId="0" applyNumberFormat="1" applyFont="1" applyFill="1" applyBorder="1" applyAlignment="1" applyProtection="1">
      <alignment horizontal="center" vertical="center" wrapText="1"/>
      <protection/>
    </xf>
    <xf numFmtId="1" fontId="0" fillId="26" borderId="13" xfId="0" applyNumberFormat="1" applyFont="1" applyFill="1" applyBorder="1" applyAlignment="1" applyProtection="1">
      <alignment horizontal="center" vertical="center" wrapText="1"/>
      <protection/>
    </xf>
    <xf numFmtId="1" fontId="0" fillId="29" borderId="29" xfId="0" applyNumberFormat="1" applyFont="1" applyFill="1" applyBorder="1" applyAlignment="1" applyProtection="1">
      <alignment horizontal="center" vertical="center" wrapText="1"/>
      <protection/>
    </xf>
    <xf numFmtId="1" fontId="0" fillId="29" borderId="14" xfId="0" applyNumberFormat="1" applyFont="1" applyFill="1" applyBorder="1" applyAlignment="1" applyProtection="1">
      <alignment horizontal="center" vertical="center" wrapText="1"/>
      <protection/>
    </xf>
    <xf numFmtId="1" fontId="0" fillId="29" borderId="27" xfId="0" applyNumberFormat="1" applyFont="1" applyFill="1" applyBorder="1" applyAlignment="1" applyProtection="1">
      <alignment horizontal="center" vertical="center" wrapText="1"/>
      <protection locked="0"/>
    </xf>
    <xf numFmtId="1" fontId="0" fillId="29" borderId="31" xfId="0" applyNumberFormat="1" applyFont="1" applyFill="1" applyBorder="1" applyAlignment="1" applyProtection="1">
      <alignment horizontal="center" vertical="center" wrapText="1"/>
      <protection locked="0"/>
    </xf>
    <xf numFmtId="1" fontId="0" fillId="30" borderId="14" xfId="0" applyNumberFormat="1" applyFont="1" applyFill="1" applyBorder="1" applyAlignment="1" applyProtection="1">
      <alignment horizontal="center" vertical="center" wrapText="1"/>
      <protection locked="0"/>
    </xf>
    <xf numFmtId="1" fontId="3" fillId="29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>
      <alignment vertical="top"/>
    </xf>
    <xf numFmtId="49" fontId="3" fillId="29" borderId="16" xfId="0" applyNumberFormat="1" applyFont="1" applyFill="1" applyBorder="1" applyAlignment="1" applyProtection="1">
      <alignment horizontal="center" vertical="center" wrapText="1"/>
      <protection/>
    </xf>
    <xf numFmtId="1" fontId="3" fillId="29" borderId="18" xfId="0" applyNumberFormat="1" applyFont="1" applyFill="1" applyBorder="1" applyAlignment="1" applyProtection="1">
      <alignment horizontal="center" vertical="center" wrapText="1"/>
      <protection/>
    </xf>
    <xf numFmtId="1" fontId="3" fillId="29" borderId="28" xfId="0" applyNumberFormat="1" applyFont="1" applyFill="1" applyBorder="1" applyAlignment="1" applyProtection="1">
      <alignment horizontal="center" vertical="center" wrapText="1"/>
      <protection/>
    </xf>
    <xf numFmtId="1" fontId="3" fillId="29" borderId="12" xfId="0" applyNumberFormat="1" applyFont="1" applyFill="1" applyBorder="1" applyAlignment="1" applyProtection="1">
      <alignment horizontal="center" vertical="center" wrapText="1"/>
      <protection/>
    </xf>
    <xf numFmtId="49" fontId="0" fillId="29" borderId="13" xfId="0" applyNumberFormat="1" applyFill="1" applyBorder="1" applyAlignment="1">
      <alignment vertical="top"/>
    </xf>
    <xf numFmtId="1" fontId="3" fillId="29" borderId="20" xfId="0" applyNumberFormat="1" applyFont="1" applyFill="1" applyBorder="1" applyAlignment="1" applyProtection="1">
      <alignment horizontal="center" vertical="center" wrapText="1"/>
      <protection/>
    </xf>
    <xf numFmtId="1" fontId="3" fillId="29" borderId="29" xfId="0" applyNumberFormat="1" applyFont="1" applyFill="1" applyBorder="1" applyAlignment="1" applyProtection="1">
      <alignment horizontal="center" vertical="center" wrapText="1"/>
      <protection/>
    </xf>
    <xf numFmtId="1" fontId="3" fillId="29" borderId="21" xfId="0" applyNumberFormat="1" applyFont="1" applyFill="1" applyBorder="1" applyAlignment="1" applyProtection="1">
      <alignment horizontal="center" vertical="center" wrapText="1"/>
      <protection/>
    </xf>
    <xf numFmtId="1" fontId="3" fillId="29" borderId="24" xfId="0" applyNumberFormat="1" applyFont="1" applyFill="1" applyBorder="1" applyAlignment="1" applyProtection="1">
      <alignment horizontal="center" vertical="center" wrapText="1"/>
      <protection/>
    </xf>
    <xf numFmtId="1" fontId="3" fillId="29" borderId="14" xfId="0" applyNumberFormat="1" applyFont="1" applyFill="1" applyBorder="1" applyAlignment="1" applyProtection="1">
      <alignment horizontal="center" vertical="center" wrapText="1"/>
      <protection/>
    </xf>
    <xf numFmtId="1" fontId="3" fillId="29" borderId="23" xfId="0" applyNumberFormat="1" applyFont="1" applyFill="1" applyBorder="1" applyAlignment="1" applyProtection="1">
      <alignment horizontal="center" vertical="center" wrapText="1"/>
      <protection/>
    </xf>
    <xf numFmtId="1" fontId="3" fillId="29" borderId="17" xfId="0" applyNumberFormat="1" applyFont="1" applyFill="1" applyBorder="1" applyAlignment="1" applyProtection="1">
      <alignment horizontal="center" vertical="center" wrapText="1"/>
      <protection/>
    </xf>
    <xf numFmtId="49" fontId="0" fillId="29" borderId="29" xfId="0" applyNumberFormat="1" applyFont="1" applyFill="1" applyBorder="1" applyAlignment="1" applyProtection="1">
      <alignment horizontal="center" vertical="center" wrapText="1"/>
      <protection/>
    </xf>
    <xf numFmtId="1" fontId="30" fillId="29" borderId="13" xfId="0" applyNumberFormat="1" applyFont="1" applyFill="1" applyBorder="1" applyAlignment="1" applyProtection="1">
      <alignment horizontal="center" vertical="center" wrapText="1"/>
      <protection/>
    </xf>
    <xf numFmtId="1" fontId="30" fillId="29" borderId="21" xfId="0" applyNumberFormat="1" applyFont="1" applyFill="1" applyBorder="1" applyAlignment="1" applyProtection="1">
      <alignment horizontal="center" vertical="center" wrapText="1"/>
      <protection/>
    </xf>
    <xf numFmtId="0" fontId="0" fillId="29" borderId="30" xfId="0" applyFill="1" applyBorder="1" applyAlignment="1">
      <alignment vertical="center"/>
    </xf>
    <xf numFmtId="49" fontId="3" fillId="29" borderId="30" xfId="0" applyNumberFormat="1" applyFont="1" applyFill="1" applyBorder="1" applyAlignment="1" applyProtection="1">
      <alignment horizontal="center" vertical="center" wrapText="1"/>
      <protection/>
    </xf>
    <xf numFmtId="1" fontId="3" fillId="29" borderId="25" xfId="0" applyNumberFormat="1" applyFont="1" applyFill="1" applyBorder="1" applyAlignment="1" applyProtection="1">
      <alignment horizontal="center" vertical="center" wrapText="1"/>
      <protection/>
    </xf>
    <xf numFmtId="1" fontId="3" fillId="29" borderId="30" xfId="0" applyNumberFormat="1" applyFont="1" applyFill="1" applyBorder="1" applyAlignment="1" applyProtection="1">
      <alignment horizontal="center" vertical="center" wrapText="1"/>
      <protection/>
    </xf>
    <xf numFmtId="1" fontId="3" fillId="29" borderId="36" xfId="0" applyNumberFormat="1" applyFont="1" applyFill="1" applyBorder="1" applyAlignment="1" applyProtection="1">
      <alignment horizontal="center" vertical="center" wrapText="1"/>
      <protection/>
    </xf>
    <xf numFmtId="49" fontId="3" fillId="29" borderId="35" xfId="0" applyNumberFormat="1" applyFont="1" applyFill="1" applyBorder="1" applyAlignment="1" applyProtection="1">
      <alignment horizontal="center" vertical="center" wrapText="1"/>
      <protection/>
    </xf>
    <xf numFmtId="49" fontId="3" fillId="29" borderId="37" xfId="0" applyNumberFormat="1" applyFont="1" applyFill="1" applyBorder="1" applyAlignment="1" applyProtection="1">
      <alignment horizontal="center" vertical="center" wrapText="1"/>
      <protection/>
    </xf>
    <xf numFmtId="1" fontId="3" fillId="29" borderId="32" xfId="0" applyNumberFormat="1" applyFont="1" applyFill="1" applyBorder="1" applyAlignment="1" applyProtection="1">
      <alignment horizontal="center" vertical="center" wrapText="1"/>
      <protection/>
    </xf>
    <xf numFmtId="1" fontId="3" fillId="29" borderId="38" xfId="0" applyNumberFormat="1" applyFont="1" applyFill="1" applyBorder="1" applyAlignment="1" applyProtection="1">
      <alignment horizontal="center" vertical="center" wrapText="1"/>
      <protection/>
    </xf>
    <xf numFmtId="1" fontId="3" fillId="29" borderId="35" xfId="0" applyNumberFormat="1" applyFont="1" applyFill="1" applyBorder="1" applyAlignment="1" applyProtection="1">
      <alignment horizontal="center" vertical="center" wrapText="1"/>
      <protection/>
    </xf>
    <xf numFmtId="1" fontId="3" fillId="29" borderId="31" xfId="0" applyNumberFormat="1" applyFont="1" applyFill="1" applyBorder="1" applyAlignment="1" applyProtection="1">
      <alignment horizontal="center" vertical="center" wrapText="1"/>
      <protection/>
    </xf>
    <xf numFmtId="1" fontId="3" fillId="29" borderId="26" xfId="0" applyNumberFormat="1" applyFont="1" applyFill="1" applyBorder="1" applyAlignment="1" applyProtection="1">
      <alignment horizontal="center" vertical="center" wrapText="1"/>
      <protection/>
    </xf>
    <xf numFmtId="1" fontId="3" fillId="29" borderId="27" xfId="0" applyNumberFormat="1" applyFont="1" applyFill="1" applyBorder="1" applyAlignment="1" applyProtection="1">
      <alignment horizontal="center" vertical="center" wrapText="1"/>
      <protection/>
    </xf>
    <xf numFmtId="49" fontId="3" fillId="10" borderId="39" xfId="0" applyNumberFormat="1" applyFont="1" applyFill="1" applyBorder="1" applyAlignment="1" applyProtection="1">
      <alignment horizontal="left" vertical="top" wrapText="1"/>
      <protection/>
    </xf>
    <xf numFmtId="0" fontId="3" fillId="28" borderId="23" xfId="0" applyFont="1" applyFill="1" applyBorder="1" applyAlignment="1" applyProtection="1">
      <alignment horizontal="left" vertical="top" wrapText="1"/>
      <protection/>
    </xf>
    <xf numFmtId="49" fontId="3" fillId="28" borderId="23" xfId="0" applyNumberFormat="1" applyFont="1" applyFill="1" applyBorder="1" applyAlignment="1" applyProtection="1">
      <alignment horizontal="center" vertical="top" wrapText="1"/>
      <protection/>
    </xf>
    <xf numFmtId="49" fontId="3" fillId="28" borderId="40" xfId="0" applyNumberFormat="1" applyFont="1" applyFill="1" applyBorder="1" applyAlignment="1" applyProtection="1">
      <alignment horizontal="center" vertical="top" wrapText="1"/>
      <protection/>
    </xf>
    <xf numFmtId="0" fontId="3" fillId="10" borderId="25" xfId="0" applyFont="1" applyFill="1" applyBorder="1" applyAlignment="1" applyProtection="1">
      <alignment horizontal="left" vertical="top" wrapText="1"/>
      <protection/>
    </xf>
    <xf numFmtId="0" fontId="3" fillId="10" borderId="26" xfId="0" applyFont="1" applyFill="1" applyBorder="1" applyAlignment="1" applyProtection="1">
      <alignment horizontal="left" vertical="top" wrapText="1"/>
      <protection/>
    </xf>
    <xf numFmtId="49" fontId="3" fillId="10" borderId="26" xfId="0" applyNumberFormat="1" applyFont="1" applyFill="1" applyBorder="1" applyAlignment="1" applyProtection="1">
      <alignment horizontal="center" vertical="top" wrapText="1"/>
      <protection/>
    </xf>
    <xf numFmtId="49" fontId="3" fillId="10" borderId="41" xfId="0" applyNumberFormat="1" applyFont="1" applyFill="1" applyBorder="1" applyAlignment="1" applyProtection="1">
      <alignment horizontal="center" vertical="top" wrapText="1"/>
      <protection/>
    </xf>
    <xf numFmtId="1" fontId="3" fillId="10" borderId="25" xfId="0" applyNumberFormat="1" applyFont="1" applyFill="1" applyBorder="1" applyAlignment="1" applyProtection="1">
      <alignment horizontal="center" vertical="top" wrapText="1"/>
      <protection/>
    </xf>
    <xf numFmtId="1" fontId="3" fillId="10" borderId="41" xfId="0" applyNumberFormat="1" applyFont="1" applyFill="1" applyBorder="1" applyAlignment="1" applyProtection="1">
      <alignment horizontal="center" vertical="top" wrapText="1"/>
      <protection/>
    </xf>
    <xf numFmtId="1" fontId="3" fillId="10" borderId="26" xfId="0" applyNumberFormat="1" applyFont="1" applyFill="1" applyBorder="1" applyAlignment="1" applyProtection="1">
      <alignment horizontal="center" vertical="top" wrapText="1"/>
      <protection/>
    </xf>
    <xf numFmtId="1" fontId="3" fillId="31" borderId="41" xfId="0" applyNumberFormat="1" applyFont="1" applyFill="1" applyBorder="1" applyAlignment="1" applyProtection="1">
      <alignment horizontal="center" vertical="top" wrapText="1"/>
      <protection/>
    </xf>
    <xf numFmtId="1" fontId="3" fillId="31" borderId="26" xfId="0" applyNumberFormat="1" applyFont="1" applyFill="1" applyBorder="1" applyAlignment="1" applyProtection="1">
      <alignment horizontal="center" vertical="top" wrapText="1"/>
      <protection/>
    </xf>
    <xf numFmtId="1" fontId="3" fillId="31" borderId="27" xfId="0" applyNumberFormat="1" applyFont="1" applyFill="1" applyBorder="1" applyAlignment="1" applyProtection="1">
      <alignment horizontal="center" vertical="top" wrapText="1"/>
      <protection/>
    </xf>
    <xf numFmtId="1" fontId="3" fillId="10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" fontId="0" fillId="29" borderId="13" xfId="0" applyNumberFormat="1" applyFont="1" applyFill="1" applyBorder="1" applyAlignment="1" applyProtection="1">
      <alignment horizontal="center" vertical="center" wrapText="1"/>
      <protection/>
    </xf>
    <xf numFmtId="1" fontId="3" fillId="10" borderId="22" xfId="0" applyNumberFormat="1" applyFont="1" applyFill="1" applyBorder="1" applyAlignment="1" applyProtection="1">
      <alignment horizontal="center" vertical="center" wrapText="1"/>
      <protection/>
    </xf>
    <xf numFmtId="1" fontId="30" fillId="29" borderId="22" xfId="0" applyNumberFormat="1" applyFont="1" applyFill="1" applyBorder="1" applyAlignment="1" applyProtection="1">
      <alignment horizontal="center" vertical="center" wrapText="1"/>
      <protection/>
    </xf>
    <xf numFmtId="1" fontId="3" fillId="10" borderId="21" xfId="0" applyNumberFormat="1" applyFont="1" applyFill="1" applyBorder="1" applyAlignment="1" applyProtection="1">
      <alignment horizontal="center" vertical="center" wrapText="1"/>
      <protection/>
    </xf>
    <xf numFmtId="1" fontId="3" fillId="28" borderId="23" xfId="0" applyNumberFormat="1" applyFont="1" applyFill="1" applyBorder="1" applyAlignment="1" applyProtection="1">
      <alignment horizontal="center" vertical="top" wrapText="1"/>
      <protection locked="0"/>
    </xf>
    <xf numFmtId="1" fontId="3" fillId="28" borderId="17" xfId="0" applyNumberFormat="1" applyFont="1" applyFill="1" applyBorder="1" applyAlignment="1" applyProtection="1">
      <alignment horizontal="center" vertical="top" wrapText="1"/>
      <protection locked="0"/>
    </xf>
    <xf numFmtId="1" fontId="3" fillId="28" borderId="40" xfId="0" applyNumberFormat="1" applyFont="1" applyFill="1" applyBorder="1" applyAlignment="1" applyProtection="1">
      <alignment horizontal="center" vertical="top" wrapText="1"/>
      <protection locked="0"/>
    </xf>
    <xf numFmtId="0" fontId="30" fillId="29" borderId="17" xfId="0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1" fontId="3" fillId="15" borderId="21" xfId="0" applyNumberFormat="1" applyFont="1" applyFill="1" applyBorder="1" applyAlignment="1" applyProtection="1">
      <alignment horizontal="center" vertical="top" wrapText="1"/>
      <protection/>
    </xf>
    <xf numFmtId="0" fontId="3" fillId="3" borderId="16" xfId="0" applyFont="1" applyFill="1" applyBorder="1" applyAlignment="1" applyProtection="1">
      <alignment vertical="top" wrapText="1"/>
      <protection/>
    </xf>
    <xf numFmtId="0" fontId="3" fillId="10" borderId="42" xfId="0" applyFont="1" applyFill="1" applyBorder="1" applyAlignment="1" applyProtection="1">
      <alignment horizontal="left" vertical="center" wrapText="1"/>
      <protection/>
    </xf>
    <xf numFmtId="0" fontId="3" fillId="24" borderId="28" xfId="0" applyFont="1" applyFill="1" applyBorder="1" applyAlignment="1" applyProtection="1">
      <alignment horizontal="left" vertical="center" wrapText="1"/>
      <protection/>
    </xf>
    <xf numFmtId="49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21" xfId="0" applyFont="1" applyFill="1" applyBorder="1" applyAlignment="1" applyProtection="1">
      <alignment horizontal="left" vertical="center" wrapText="1"/>
      <protection/>
    </xf>
    <xf numFmtId="0" fontId="3" fillId="24" borderId="17" xfId="0" applyFont="1" applyFill="1" applyBorder="1" applyAlignment="1" applyProtection="1">
      <alignment horizontal="left" vertical="center" wrapText="1"/>
      <protection/>
    </xf>
    <xf numFmtId="0" fontId="30" fillId="24" borderId="21" xfId="0" applyFont="1" applyFill="1" applyBorder="1" applyAlignment="1" applyProtection="1">
      <alignment horizontal="left" vertical="center" wrapText="1"/>
      <protection/>
    </xf>
    <xf numFmtId="49" fontId="0" fillId="0" borderId="21" xfId="0" applyNumberFormat="1" applyFill="1" applyBorder="1" applyAlignment="1" applyProtection="1">
      <alignment horizontal="left" vertical="center" wrapText="1"/>
      <protection locked="0"/>
    </xf>
    <xf numFmtId="49" fontId="0" fillId="29" borderId="42" xfId="0" applyNumberFormat="1" applyFill="1" applyBorder="1" applyAlignment="1" applyProtection="1">
      <alignment horizontal="left" vertical="center" wrapText="1"/>
      <protection locked="0"/>
    </xf>
    <xf numFmtId="49" fontId="0" fillId="0" borderId="17" xfId="0" applyNumberFormat="1" applyFill="1" applyBorder="1" applyAlignment="1" applyProtection="1">
      <alignment horizontal="left" vertical="center" wrapText="1"/>
      <protection locked="0"/>
    </xf>
    <xf numFmtId="49" fontId="0" fillId="29" borderId="4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43" xfId="0" applyNumberFormat="1" applyFill="1" applyBorder="1" applyAlignment="1" applyProtection="1">
      <alignment horizontal="left" vertical="center" wrapText="1"/>
      <protection locked="0"/>
    </xf>
    <xf numFmtId="49" fontId="0" fillId="29" borderId="44" xfId="0" applyNumberFormat="1" applyFont="1" applyFill="1" applyBorder="1" applyAlignment="1" applyProtection="1">
      <alignment horizontal="left" vertical="center" wrapText="1"/>
      <protection locked="0"/>
    </xf>
    <xf numFmtId="49" fontId="0" fillId="28" borderId="21" xfId="0" applyNumberFormat="1" applyFill="1" applyBorder="1" applyAlignment="1" applyProtection="1">
      <alignment horizontal="left" vertical="center" wrapText="1"/>
      <protection locked="0"/>
    </xf>
    <xf numFmtId="49" fontId="0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45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3" fillId="10" borderId="44" xfId="0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" fontId="3" fillId="10" borderId="36" xfId="0" applyNumberFormat="1" applyFont="1" applyFill="1" applyBorder="1" applyAlignment="1" applyProtection="1">
      <alignment horizontal="center" vertical="center" wrapText="1"/>
      <protection/>
    </xf>
    <xf numFmtId="1" fontId="3" fillId="29" borderId="10" xfId="0" applyNumberFormat="1" applyFont="1" applyFill="1" applyBorder="1" applyAlignment="1" applyProtection="1">
      <alignment horizontal="center" vertical="center" wrapText="1"/>
      <protection/>
    </xf>
    <xf numFmtId="1" fontId="0" fillId="8" borderId="22" xfId="0" applyNumberFormat="1" applyFont="1" applyFill="1" applyBorder="1" applyAlignment="1" applyProtection="1">
      <alignment horizontal="center" vertical="center" wrapText="1"/>
      <protection/>
    </xf>
    <xf numFmtId="1" fontId="3" fillId="29" borderId="22" xfId="0" applyNumberFormat="1" applyFont="1" applyFill="1" applyBorder="1" applyAlignment="1" applyProtection="1">
      <alignment horizontal="center" vertical="center" wrapText="1"/>
      <protection/>
    </xf>
    <xf numFmtId="1" fontId="3" fillId="29" borderId="15" xfId="0" applyNumberFormat="1" applyFont="1" applyFill="1" applyBorder="1" applyAlignment="1" applyProtection="1">
      <alignment horizontal="center" vertical="center" wrapText="1"/>
      <protection/>
    </xf>
    <xf numFmtId="1" fontId="30" fillId="29" borderId="15" xfId="0" applyNumberFormat="1" applyFont="1" applyFill="1" applyBorder="1" applyAlignment="1" applyProtection="1">
      <alignment horizontal="center" vertical="center" wrapText="1"/>
      <protection/>
    </xf>
    <xf numFmtId="1" fontId="0" fillId="29" borderId="36" xfId="0" applyNumberFormat="1" applyFont="1" applyFill="1" applyBorder="1" applyAlignment="1" applyProtection="1">
      <alignment horizontal="center" vertical="center" wrapText="1"/>
      <protection/>
    </xf>
    <xf numFmtId="1" fontId="0" fillId="8" borderId="10" xfId="0" applyNumberFormat="1" applyFont="1" applyFill="1" applyBorder="1" applyAlignment="1" applyProtection="1">
      <alignment horizontal="center" vertical="center" wrapText="1"/>
      <protection/>
    </xf>
    <xf numFmtId="1" fontId="0" fillId="8" borderId="22" xfId="0" applyNumberFormat="1" applyFont="1" applyFill="1" applyBorder="1" applyAlignment="1" applyProtection="1">
      <alignment horizontal="center" vertical="center" wrapText="1"/>
      <protection/>
    </xf>
    <xf numFmtId="1" fontId="0" fillId="29" borderId="32" xfId="0" applyNumberFormat="1" applyFont="1" applyFill="1" applyBorder="1" applyAlignment="1" applyProtection="1">
      <alignment horizontal="center" vertical="center" wrapText="1"/>
      <protection/>
    </xf>
    <xf numFmtId="1" fontId="0" fillId="8" borderId="10" xfId="0" applyNumberFormat="1" applyFont="1" applyFill="1" applyBorder="1" applyAlignment="1" applyProtection="1">
      <alignment horizontal="center" vertical="center" wrapText="1"/>
      <protection/>
    </xf>
    <xf numFmtId="1" fontId="0" fillId="8" borderId="15" xfId="0" applyNumberFormat="1" applyFont="1" applyFill="1" applyBorder="1" applyAlignment="1" applyProtection="1">
      <alignment horizontal="center" vertical="center" wrapText="1"/>
      <protection/>
    </xf>
    <xf numFmtId="0" fontId="3" fillId="3" borderId="46" xfId="0" applyFont="1" applyFill="1" applyBorder="1" applyAlignment="1" applyProtection="1">
      <alignment vertical="top" wrapText="1"/>
      <protection/>
    </xf>
    <xf numFmtId="1" fontId="3" fillId="32" borderId="47" xfId="0" applyNumberFormat="1" applyFont="1" applyFill="1" applyBorder="1" applyAlignment="1" applyProtection="1">
      <alignment horizontal="center" vertical="center" wrapText="1"/>
      <protection/>
    </xf>
    <xf numFmtId="1" fontId="3" fillId="29" borderId="47" xfId="0" applyNumberFormat="1" applyFont="1" applyFill="1" applyBorder="1" applyAlignment="1" applyProtection="1">
      <alignment horizontal="center" vertical="center" wrapText="1"/>
      <protection/>
    </xf>
    <xf numFmtId="0" fontId="0" fillId="28" borderId="20" xfId="0" applyFont="1" applyFill="1" applyBorder="1" applyAlignment="1" applyProtection="1">
      <alignment horizontal="left" vertical="center" wrapText="1"/>
      <protection locked="0"/>
    </xf>
    <xf numFmtId="0" fontId="3" fillId="29" borderId="42" xfId="0" applyFont="1" applyFill="1" applyBorder="1" applyAlignment="1" applyProtection="1">
      <alignment vertical="center"/>
      <protection/>
    </xf>
    <xf numFmtId="0" fontId="0" fillId="28" borderId="48" xfId="0" applyFont="1" applyFill="1" applyBorder="1" applyAlignment="1" applyProtection="1">
      <alignment horizontal="left" vertical="center" wrapText="1"/>
      <protection locked="0"/>
    </xf>
    <xf numFmtId="0" fontId="0" fillId="28" borderId="49" xfId="0" applyFont="1" applyFill="1" applyBorder="1" applyAlignment="1" applyProtection="1">
      <alignment horizontal="left" vertical="center" wrapText="1"/>
      <protection locked="0"/>
    </xf>
    <xf numFmtId="1" fontId="0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51" xfId="0" applyNumberFormat="1" applyFont="1" applyFill="1" applyBorder="1" applyAlignment="1" applyProtection="1">
      <alignment horizontal="center" vertical="center" wrapText="1"/>
      <protection/>
    </xf>
    <xf numFmtId="0" fontId="3" fillId="3" borderId="52" xfId="0" applyFont="1" applyFill="1" applyBorder="1" applyAlignment="1" applyProtection="1">
      <alignment vertical="top" wrapText="1"/>
      <protection/>
    </xf>
    <xf numFmtId="1" fontId="0" fillId="32" borderId="20" xfId="0" applyNumberFormat="1" applyFill="1" applyBorder="1" applyAlignment="1">
      <alignment vertical="top"/>
    </xf>
    <xf numFmtId="0" fontId="0" fillId="0" borderId="47" xfId="0" applyBorder="1" applyAlignment="1">
      <alignment vertical="top"/>
    </xf>
    <xf numFmtId="1" fontId="0" fillId="29" borderId="20" xfId="0" applyNumberFormat="1" applyFill="1" applyBorder="1" applyAlignment="1">
      <alignment vertical="top"/>
    </xf>
    <xf numFmtId="0" fontId="0" fillId="29" borderId="47" xfId="0" applyFill="1" applyBorder="1" applyAlignment="1">
      <alignment vertical="top"/>
    </xf>
    <xf numFmtId="0" fontId="0" fillId="29" borderId="47" xfId="0" applyFill="1" applyBorder="1" applyAlignment="1">
      <alignment horizontal="center" vertical="top" wrapText="1"/>
    </xf>
    <xf numFmtId="0" fontId="0" fillId="0" borderId="47" xfId="0" applyBorder="1" applyAlignment="1">
      <alignment vertical="top" wrapText="1"/>
    </xf>
    <xf numFmtId="0" fontId="0" fillId="29" borderId="47" xfId="0" applyFill="1" applyBorder="1" applyAlignment="1">
      <alignment vertical="top" wrapText="1"/>
    </xf>
    <xf numFmtId="1" fontId="0" fillId="32" borderId="48" xfId="0" applyNumberFormat="1" applyFill="1" applyBorder="1" applyAlignment="1">
      <alignment vertical="top"/>
    </xf>
    <xf numFmtId="0" fontId="0" fillId="0" borderId="51" xfId="0" applyBorder="1" applyAlignment="1">
      <alignment vertical="top"/>
    </xf>
    <xf numFmtId="0" fontId="5" fillId="31" borderId="0" xfId="0" applyFont="1" applyFill="1" applyBorder="1" applyAlignment="1" applyProtection="1">
      <alignment horizontal="left" vertical="top" wrapText="1"/>
      <protection/>
    </xf>
    <xf numFmtId="0" fontId="3" fillId="31" borderId="0" xfId="0" applyFont="1" applyFill="1" applyBorder="1" applyAlignment="1" applyProtection="1">
      <alignment horizontal="left" vertical="top" wrapText="1"/>
      <protection/>
    </xf>
    <xf numFmtId="0" fontId="3" fillId="15" borderId="29" xfId="0" applyFont="1" applyFill="1" applyBorder="1" applyAlignment="1" applyProtection="1">
      <alignment horizontal="left" vertical="top" wrapText="1"/>
      <protection/>
    </xf>
    <xf numFmtId="0" fontId="3" fillId="15" borderId="22" xfId="0" applyFont="1" applyFill="1" applyBorder="1" applyAlignment="1" applyProtection="1">
      <alignment horizontal="left" vertical="top" wrapText="1"/>
      <protection/>
    </xf>
    <xf numFmtId="0" fontId="29" fillId="28" borderId="10" xfId="0" applyFont="1" applyFill="1" applyBorder="1" applyAlignment="1" applyProtection="1">
      <alignment horizontal="center" vertical="top" wrapText="1"/>
      <protection locked="0"/>
    </xf>
    <xf numFmtId="49" fontId="3" fillId="28" borderId="14" xfId="0" applyNumberFormat="1" applyFont="1" applyFill="1" applyBorder="1" applyAlignment="1" applyProtection="1">
      <alignment horizontal="center" vertical="top" wrapText="1"/>
      <protection/>
    </xf>
    <xf numFmtId="49" fontId="3" fillId="10" borderId="30" xfId="0" applyNumberFormat="1" applyFont="1" applyFill="1" applyBorder="1" applyAlignment="1" applyProtection="1">
      <alignment horizontal="center" vertical="top" wrapText="1"/>
      <protection/>
    </xf>
    <xf numFmtId="0" fontId="9" fillId="28" borderId="13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 applyProtection="1">
      <alignment horizontal="justify" vertical="center" wrapText="1"/>
      <protection locked="0"/>
    </xf>
    <xf numFmtId="49" fontId="4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3" xfId="0" applyFont="1" applyFill="1" applyBorder="1" applyAlignment="1">
      <alignment horizontal="justify" vertical="top" wrapText="1"/>
    </xf>
    <xf numFmtId="0" fontId="4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1" fontId="0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horizontal="center" vertical="top" wrapText="1"/>
      <protection/>
    </xf>
    <xf numFmtId="0" fontId="3" fillId="3" borderId="13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1" fontId="0" fillId="3" borderId="14" xfId="0" applyNumberFormat="1" applyFont="1" applyFill="1" applyBorder="1" applyAlignment="1" applyProtection="1">
      <alignment horizontal="left" vertical="top" wrapText="1"/>
      <protection/>
    </xf>
    <xf numFmtId="180" fontId="0" fillId="3" borderId="14" xfId="0" applyNumberFormat="1" applyFont="1" applyFill="1" applyBorder="1" applyAlignment="1" applyProtection="1">
      <alignment horizontal="center" vertical="top" wrapText="1"/>
      <protection/>
    </xf>
    <xf numFmtId="49" fontId="0" fillId="3" borderId="14" xfId="0" applyNumberFormat="1" applyFont="1" applyFill="1" applyBorder="1" applyAlignment="1" applyProtection="1">
      <alignment vertical="top" wrapText="1"/>
      <protection/>
    </xf>
    <xf numFmtId="180" fontId="0" fillId="3" borderId="16" xfId="0" applyNumberFormat="1" applyFont="1" applyFill="1" applyBorder="1" applyAlignment="1" applyProtection="1">
      <alignment horizontal="center" vertical="top" wrapText="1"/>
      <protection/>
    </xf>
    <xf numFmtId="49" fontId="0" fillId="3" borderId="16" xfId="0" applyNumberFormat="1" applyFont="1" applyFill="1" applyBorder="1" applyAlignment="1" applyProtection="1">
      <alignment horizontal="center" vertical="top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1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25" borderId="13" xfId="0" applyFont="1" applyFill="1" applyBorder="1" applyAlignment="1" applyProtection="1">
      <alignment horizontal="left" vertical="top" wrapText="1"/>
      <protection/>
    </xf>
    <xf numFmtId="0" fontId="0" fillId="25" borderId="13" xfId="0" applyFont="1" applyFill="1" applyBorder="1" applyAlignment="1" applyProtection="1">
      <alignment horizontal="center" vertical="top" wrapText="1"/>
      <protection/>
    </xf>
    <xf numFmtId="49" fontId="0" fillId="25" borderId="13" xfId="0" applyNumberFormat="1" applyFont="1" applyFill="1" applyBorder="1" applyAlignment="1" applyProtection="1">
      <alignment horizontal="center" vertical="top" wrapText="1"/>
      <protection/>
    </xf>
    <xf numFmtId="49" fontId="0" fillId="25" borderId="13" xfId="0" applyNumberFormat="1" applyFont="1" applyFill="1" applyBorder="1" applyAlignment="1" applyProtection="1">
      <alignment horizontal="left" vertical="top" wrapText="1"/>
      <protection/>
    </xf>
    <xf numFmtId="0" fontId="0" fillId="31" borderId="0" xfId="0" applyFont="1" applyFill="1" applyBorder="1" applyAlignment="1" applyProtection="1">
      <alignment horizontal="left" vertical="top" wrapText="1"/>
      <protection/>
    </xf>
    <xf numFmtId="1" fontId="0" fillId="31" borderId="0" xfId="0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Fill="1" applyBorder="1" applyAlignment="1" applyProtection="1">
      <alignment horizontal="left" vertical="top" wrapText="1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0" fontId="0" fillId="31" borderId="0" xfId="0" applyNumberFormat="1" applyFont="1" applyFill="1" applyBorder="1" applyAlignment="1" applyProtection="1">
      <alignment horizontal="left" vertical="top" wrapText="1"/>
      <protection/>
    </xf>
    <xf numFmtId="49" fontId="0" fillId="31" borderId="0" xfId="0" applyNumberFormat="1" applyFont="1" applyFill="1" applyBorder="1" applyAlignment="1" applyProtection="1">
      <alignment horizontal="left" vertical="top" wrapText="1"/>
      <protection/>
    </xf>
    <xf numFmtId="2" fontId="0" fillId="31" borderId="0" xfId="0" applyNumberFormat="1" applyFont="1" applyFill="1" applyBorder="1" applyAlignment="1" applyProtection="1">
      <alignment horizontal="left" vertical="top" wrapText="1"/>
      <protection/>
    </xf>
    <xf numFmtId="0" fontId="0" fillId="28" borderId="23" xfId="0" applyFont="1" applyFill="1" applyBorder="1" applyAlignment="1" applyProtection="1">
      <alignment horizontal="left" vertical="top" wrapText="1"/>
      <protection/>
    </xf>
    <xf numFmtId="1" fontId="0" fillId="29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28" borderId="13" xfId="0" applyNumberFormat="1" applyFont="1" applyFill="1" applyBorder="1" applyAlignment="1" applyProtection="1">
      <alignment horizontal="center" vertical="center" wrapText="1"/>
      <protection/>
    </xf>
    <xf numFmtId="1" fontId="3" fillId="28" borderId="21" xfId="0" applyNumberFormat="1" applyFont="1" applyFill="1" applyBorder="1" applyAlignment="1" applyProtection="1">
      <alignment horizontal="center" vertical="center" wrapText="1"/>
      <protection/>
    </xf>
    <xf numFmtId="49" fontId="3" fillId="3" borderId="23" xfId="0" applyNumberFormat="1" applyFont="1" applyFill="1" applyBorder="1" applyAlignment="1" applyProtection="1">
      <alignment horizontal="center" textRotation="90" wrapText="1"/>
      <protection/>
    </xf>
    <xf numFmtId="49" fontId="3" fillId="3" borderId="53" xfId="0" applyNumberFormat="1" applyFont="1" applyFill="1" applyBorder="1" applyAlignment="1" applyProtection="1">
      <alignment horizontal="center" textRotation="90" wrapText="1"/>
      <protection/>
    </xf>
    <xf numFmtId="49" fontId="3" fillId="3" borderId="14" xfId="0" applyNumberFormat="1" applyFont="1" applyFill="1" applyBorder="1" applyAlignment="1" applyProtection="1">
      <alignment horizontal="center" vertical="top" wrapText="1"/>
      <protection/>
    </xf>
    <xf numFmtId="1" fontId="3" fillId="3" borderId="14" xfId="0" applyNumberFormat="1" applyFont="1" applyFill="1" applyBorder="1" applyAlignment="1" applyProtection="1">
      <alignment horizontal="center" vertical="top" wrapText="1"/>
      <protection/>
    </xf>
    <xf numFmtId="49" fontId="3" fillId="3" borderId="16" xfId="0" applyNumberFormat="1" applyFont="1" applyFill="1" applyBorder="1" applyAlignment="1" applyProtection="1">
      <alignment horizontal="center" vertical="top" wrapText="1"/>
      <protection/>
    </xf>
    <xf numFmtId="0" fontId="3" fillId="3" borderId="21" xfId="0" applyFont="1" applyFill="1" applyBorder="1" applyAlignment="1" applyProtection="1">
      <alignment horizontal="center" vertical="top" wrapText="1"/>
      <protection/>
    </xf>
    <xf numFmtId="49" fontId="0" fillId="3" borderId="14" xfId="0" applyNumberFormat="1" applyFont="1" applyFill="1" applyBorder="1" applyAlignment="1" applyProtection="1">
      <alignment horizontal="left" vertical="top" wrapText="1"/>
      <protection/>
    </xf>
    <xf numFmtId="1" fontId="0" fillId="28" borderId="22" xfId="0" applyNumberFormat="1" applyFont="1" applyFill="1" applyBorder="1" applyAlignment="1" applyProtection="1">
      <alignment horizontal="center" vertical="center" wrapText="1"/>
      <protection locked="0"/>
    </xf>
    <xf numFmtId="1" fontId="3" fillId="28" borderId="22" xfId="0" applyNumberFormat="1" applyFont="1" applyFill="1" applyBorder="1" applyAlignment="1" applyProtection="1">
      <alignment horizontal="center" vertical="center" wrapText="1"/>
      <protection/>
    </xf>
    <xf numFmtId="0" fontId="3" fillId="3" borderId="13" xfId="0" applyFont="1" applyFill="1" applyBorder="1" applyAlignment="1" applyProtection="1">
      <alignment horizontal="center" textRotation="90" wrapText="1"/>
      <protection/>
    </xf>
    <xf numFmtId="0" fontId="0" fillId="3" borderId="13" xfId="0" applyFont="1" applyFill="1" applyBorder="1" applyAlignment="1" applyProtection="1">
      <alignment horizontal="center" textRotation="90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29" borderId="13" xfId="0" applyFont="1" applyFill="1" applyBorder="1" applyAlignment="1" applyProtection="1">
      <alignment horizontal="center" vertical="center" wrapText="1"/>
      <protection locked="0"/>
    </xf>
    <xf numFmtId="1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15" xfId="0" applyNumberFormat="1" applyFont="1" applyFill="1" applyBorder="1" applyAlignment="1" applyProtection="1">
      <alignment horizontal="center" vertical="top" wrapText="1"/>
      <protection/>
    </xf>
    <xf numFmtId="49" fontId="3" fillId="3" borderId="10" xfId="0" applyNumberFormat="1" applyFont="1" applyFill="1" applyBorder="1" applyAlignment="1" applyProtection="1">
      <alignment horizontal="center" vertical="top" wrapText="1"/>
      <protection/>
    </xf>
    <xf numFmtId="49" fontId="0" fillId="3" borderId="17" xfId="0" applyNumberFormat="1" applyFont="1" applyFill="1" applyBorder="1" applyAlignment="1" applyProtection="1">
      <alignment horizontal="center" vertical="top" wrapText="1"/>
      <protection/>
    </xf>
    <xf numFmtId="49" fontId="0" fillId="3" borderId="15" xfId="0" applyNumberFormat="1" applyFont="1" applyFill="1" applyBorder="1" applyAlignment="1" applyProtection="1">
      <alignment vertical="top" wrapText="1"/>
      <protection/>
    </xf>
    <xf numFmtId="1" fontId="0" fillId="3" borderId="28" xfId="0" applyNumberFormat="1" applyFont="1" applyFill="1" applyBorder="1" applyAlignment="1" applyProtection="1">
      <alignment horizontal="center" vertical="top" wrapText="1"/>
      <protection/>
    </xf>
    <xf numFmtId="49" fontId="0" fillId="3" borderId="10" xfId="0" applyNumberFormat="1" applyFont="1" applyFill="1" applyBorder="1" applyAlignment="1" applyProtection="1">
      <alignment horizontal="center" vertical="top" wrapText="1"/>
      <protection/>
    </xf>
    <xf numFmtId="0" fontId="0" fillId="3" borderId="21" xfId="0" applyFont="1" applyFill="1" applyBorder="1" applyAlignment="1" applyProtection="1">
      <alignment horizontal="center" textRotation="90" wrapText="1"/>
      <protection/>
    </xf>
    <xf numFmtId="1" fontId="0" fillId="3" borderId="17" xfId="0" applyNumberFormat="1" applyFont="1" applyFill="1" applyBorder="1" applyAlignment="1" applyProtection="1">
      <alignment horizontal="center" vertical="top" wrapText="1"/>
      <protection/>
    </xf>
    <xf numFmtId="1" fontId="0" fillId="3" borderId="16" xfId="0" applyNumberFormat="1" applyFont="1" applyFill="1" applyBorder="1" applyAlignment="1" applyProtection="1">
      <alignment vertical="top" wrapText="1"/>
      <protection/>
    </xf>
    <xf numFmtId="49" fontId="0" fillId="3" borderId="15" xfId="0" applyNumberFormat="1" applyFont="1" applyFill="1" applyBorder="1" applyAlignment="1" applyProtection="1">
      <alignment horizontal="center" vertical="top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" xfId="0" applyFont="1" applyFill="1" applyBorder="1" applyAlignment="1" applyProtection="1">
      <alignment horizontal="center" vertical="top" wrapText="1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/>
    </xf>
    <xf numFmtId="0" fontId="0" fillId="29" borderId="13" xfId="0" applyFont="1" applyFill="1" applyBorder="1" applyAlignment="1" applyProtection="1">
      <alignment horizontal="left" vertical="center" wrapText="1"/>
      <protection locked="0"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Font="1" applyFill="1" applyBorder="1" applyAlignment="1" applyProtection="1">
      <alignment horizontal="left" vertical="center" wrapText="1"/>
      <protection/>
    </xf>
    <xf numFmtId="0" fontId="0" fillId="24" borderId="13" xfId="0" applyFont="1" applyFill="1" applyBorder="1" applyAlignment="1" applyProtection="1">
      <alignment vertical="center" wrapText="1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0" fontId="0" fillId="28" borderId="13" xfId="0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 applyProtection="1">
      <alignment vertical="center"/>
      <protection locked="0"/>
    </xf>
    <xf numFmtId="1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1" fontId="0" fillId="31" borderId="13" xfId="0" applyNumberFormat="1" applyFont="1" applyFill="1" applyBorder="1" applyAlignment="1" applyProtection="1">
      <alignment horizontal="center" vertical="center" wrapText="1"/>
      <protection/>
    </xf>
    <xf numFmtId="0" fontId="0" fillId="31" borderId="13" xfId="0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49" fontId="0" fillId="31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0" fillId="31" borderId="13" xfId="0" applyFont="1" applyFill="1" applyBorder="1" applyAlignment="1" applyProtection="1">
      <alignment vertical="center" wrapText="1"/>
      <protection/>
    </xf>
    <xf numFmtId="0" fontId="0" fillId="31" borderId="13" xfId="0" applyFont="1" applyFill="1" applyBorder="1" applyAlignment="1" applyProtection="1">
      <alignment horizontal="justify" vertical="center" wrapText="1"/>
      <protection/>
    </xf>
    <xf numFmtId="49" fontId="0" fillId="31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justify" vertical="center" wrapText="1"/>
      <protection locked="0"/>
    </xf>
    <xf numFmtId="0" fontId="0" fillId="26" borderId="0" xfId="0" applyFont="1" applyFill="1" applyAlignment="1">
      <alignment horizontal="center" vertical="center" wrapText="1"/>
    </xf>
    <xf numFmtId="0" fontId="0" fillId="28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top"/>
    </xf>
    <xf numFmtId="0" fontId="0" fillId="28" borderId="0" xfId="0" applyFont="1" applyFill="1" applyBorder="1" applyAlignment="1">
      <alignment horizontal="left" vertical="top" wrapText="1"/>
    </xf>
    <xf numFmtId="49" fontId="3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4" fillId="28" borderId="13" xfId="0" applyFont="1" applyFill="1" applyBorder="1" applyAlignment="1" applyProtection="1">
      <alignment horizontal="left" vertical="center" wrapText="1"/>
      <protection locked="0"/>
    </xf>
    <xf numFmtId="0" fontId="34" fillId="0" borderId="13" xfId="0" applyFont="1" applyFill="1" applyBorder="1" applyAlignment="1" applyProtection="1">
      <alignment horizontal="left" vertical="center" wrapText="1"/>
      <protection locked="0"/>
    </xf>
    <xf numFmtId="49" fontId="3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4" fillId="28" borderId="13" xfId="0" applyNumberFormat="1" applyFont="1" applyFill="1" applyBorder="1" applyAlignment="1" applyProtection="1">
      <alignment horizontal="center" vertical="center" wrapText="1"/>
      <protection locked="0"/>
    </xf>
    <xf numFmtId="1" fontId="34" fillId="8" borderId="13" xfId="0" applyNumberFormat="1" applyFont="1" applyFill="1" applyBorder="1" applyAlignment="1" applyProtection="1">
      <alignment horizontal="center" vertical="center" wrapText="1"/>
      <protection/>
    </xf>
    <xf numFmtId="1" fontId="34" fillId="26" borderId="13" xfId="0" applyNumberFormat="1" applyFont="1" applyFill="1" applyBorder="1" applyAlignment="1" applyProtection="1">
      <alignment horizontal="center" vertical="center" wrapText="1"/>
      <protection/>
    </xf>
    <xf numFmtId="1" fontId="3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3" xfId="0" applyNumberFormat="1" applyFont="1" applyFill="1" applyBorder="1" applyAlignment="1" applyProtection="1">
      <alignment vertical="center" wrapText="1"/>
      <protection locked="0"/>
    </xf>
    <xf numFmtId="0" fontId="5" fillId="24" borderId="13" xfId="0" applyFont="1" applyFill="1" applyBorder="1" applyAlignment="1" applyProtection="1">
      <alignment horizontal="center" vertical="center" wrapText="1"/>
      <protection/>
    </xf>
    <xf numFmtId="1" fontId="5" fillId="24" borderId="13" xfId="0" applyNumberFormat="1" applyFont="1" applyFill="1" applyBorder="1" applyAlignment="1" applyProtection="1">
      <alignment horizontal="center" vertical="center" wrapText="1"/>
      <protection/>
    </xf>
    <xf numFmtId="1" fontId="34" fillId="28" borderId="13" xfId="0" applyNumberFormat="1" applyFont="1" applyFill="1" applyBorder="1" applyAlignment="1" applyProtection="1">
      <alignment horizontal="center" vertical="center" wrapText="1"/>
      <protection/>
    </xf>
    <xf numFmtId="0" fontId="5" fillId="10" borderId="13" xfId="0" applyFont="1" applyFill="1" applyBorder="1" applyAlignment="1" applyProtection="1">
      <alignment horizontal="center" vertical="center" wrapText="1"/>
      <protection/>
    </xf>
    <xf numFmtId="1" fontId="5" fillId="1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Font="1" applyBorder="1" applyAlignment="1">
      <alignment horizontal="center" vertical="center"/>
    </xf>
    <xf numFmtId="1" fontId="5" fillId="29" borderId="13" xfId="0" applyNumberFormat="1" applyFont="1" applyFill="1" applyBorder="1" applyAlignment="1" applyProtection="1">
      <alignment horizontal="center" vertical="center" wrapText="1"/>
      <protection/>
    </xf>
    <xf numFmtId="0" fontId="5" fillId="10" borderId="13" xfId="0" applyFont="1" applyFill="1" applyBorder="1" applyAlignment="1" applyProtection="1">
      <alignment horizontal="left" vertical="center" wrapText="1"/>
      <protection/>
    </xf>
    <xf numFmtId="49" fontId="34" fillId="10" borderId="13" xfId="0" applyNumberFormat="1" applyFont="1" applyFill="1" applyBorder="1" applyAlignment="1" applyProtection="1">
      <alignment horizontal="center" vertical="center" wrapText="1"/>
      <protection/>
    </xf>
    <xf numFmtId="0" fontId="5" fillId="24" borderId="13" xfId="0" applyFont="1" applyFill="1" applyBorder="1" applyAlignment="1" applyProtection="1">
      <alignment horizontal="left" vertical="center" wrapText="1"/>
      <protection/>
    </xf>
    <xf numFmtId="49" fontId="5" fillId="24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49" fontId="34" fillId="28" borderId="13" xfId="0" applyNumberFormat="1" applyFont="1" applyFill="1" applyBorder="1" applyAlignment="1" applyProtection="1">
      <alignment horizontal="center" vertical="center" wrapText="1"/>
      <protection locked="0"/>
    </xf>
    <xf numFmtId="1" fontId="4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4" fillId="34" borderId="13" xfId="0" applyNumberFormat="1" applyFont="1" applyFill="1" applyBorder="1" applyAlignment="1" applyProtection="1">
      <alignment horizontal="left" vertical="center" wrapText="1"/>
      <protection locked="0"/>
    </xf>
    <xf numFmtId="1" fontId="34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34" fillId="34" borderId="13" xfId="0" applyNumberFormat="1" applyFont="1" applyFill="1" applyBorder="1" applyAlignment="1" applyProtection="1">
      <alignment horizontal="center" vertical="center" wrapText="1"/>
      <protection/>
    </xf>
    <xf numFmtId="49" fontId="34" fillId="34" borderId="13" xfId="0" applyNumberFormat="1" applyFont="1" applyFill="1" applyBorder="1" applyAlignment="1" applyProtection="1">
      <alignment horizontal="center" vertical="center" wrapText="1"/>
      <protection/>
    </xf>
    <xf numFmtId="0" fontId="34" fillId="34" borderId="13" xfId="0" applyFont="1" applyFill="1" applyBorder="1" applyAlignment="1" applyProtection="1">
      <alignment horizontal="center" vertical="center" wrapText="1"/>
      <protection locked="0"/>
    </xf>
    <xf numFmtId="49" fontId="34" fillId="35" borderId="13" xfId="0" applyNumberFormat="1" applyFont="1" applyFill="1" applyBorder="1" applyAlignment="1" applyProtection="1">
      <alignment horizontal="left" vertical="center" wrapText="1"/>
      <protection locked="0"/>
    </xf>
    <xf numFmtId="1" fontId="34" fillId="35" borderId="13" xfId="0" applyNumberFormat="1" applyFont="1" applyFill="1" applyBorder="1" applyAlignment="1" applyProtection="1">
      <alignment horizontal="center" vertical="center" wrapText="1"/>
      <protection locked="0"/>
    </xf>
    <xf numFmtId="1" fontId="34" fillId="35" borderId="13" xfId="0" applyNumberFormat="1" applyFont="1" applyFill="1" applyBorder="1" applyAlignment="1" applyProtection="1">
      <alignment horizontal="center" vertical="center" wrapText="1"/>
      <protection/>
    </xf>
    <xf numFmtId="49" fontId="34" fillId="35" borderId="13" xfId="0" applyNumberFormat="1" applyFont="1" applyFill="1" applyBorder="1" applyAlignment="1" applyProtection="1">
      <alignment horizontal="center" vertical="center" wrapText="1"/>
      <protection/>
    </xf>
    <xf numFmtId="0" fontId="34" fillId="35" borderId="13" xfId="0" applyFont="1" applyFill="1" applyBorder="1" applyAlignment="1" applyProtection="1">
      <alignment horizontal="center" vertical="center" wrapText="1"/>
      <protection locked="0"/>
    </xf>
    <xf numFmtId="49" fontId="38" fillId="36" borderId="13" xfId="0" applyNumberFormat="1" applyFont="1" applyFill="1" applyBorder="1" applyAlignment="1" applyProtection="1">
      <alignment vertical="center"/>
      <protection locked="0"/>
    </xf>
    <xf numFmtId="0" fontId="34" fillId="33" borderId="13" xfId="0" applyFont="1" applyFill="1" applyBorder="1" applyAlignment="1">
      <alignment vertical="top"/>
    </xf>
    <xf numFmtId="49" fontId="3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34" fillId="33" borderId="13" xfId="0" applyFont="1" applyFill="1" applyBorder="1" applyAlignment="1" applyProtection="1">
      <alignment vertical="top"/>
      <protection locked="0"/>
    </xf>
    <xf numFmtId="1" fontId="34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34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34" fillId="36" borderId="13" xfId="0" applyNumberFormat="1" applyFont="1" applyFill="1" applyBorder="1" applyAlignment="1" applyProtection="1">
      <alignment horizontal="center" vertical="center" wrapText="1"/>
      <protection/>
    </xf>
    <xf numFmtId="49" fontId="34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34" fillId="36" borderId="13" xfId="0" applyNumberFormat="1" applyFont="1" applyFill="1" applyBorder="1" applyAlignment="1" applyProtection="1">
      <alignment horizontal="center" vertical="center"/>
      <protection locked="0"/>
    </xf>
    <xf numFmtId="0" fontId="34" fillId="34" borderId="13" xfId="0" applyFont="1" applyFill="1" applyBorder="1" applyAlignment="1" applyProtection="1">
      <alignment vertical="center" wrapText="1"/>
      <protection locked="0"/>
    </xf>
    <xf numFmtId="49" fontId="34" fillId="28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10" borderId="13" xfId="0" applyFont="1" applyFill="1" applyBorder="1" applyAlignment="1" applyProtection="1">
      <alignment vertical="center"/>
      <protection/>
    </xf>
    <xf numFmtId="0" fontId="34" fillId="31" borderId="13" xfId="0" applyFont="1" applyFill="1" applyBorder="1" applyAlignment="1">
      <alignment vertical="center"/>
    </xf>
    <xf numFmtId="49" fontId="5" fillId="31" borderId="13" xfId="0" applyNumberFormat="1" applyFont="1" applyFill="1" applyBorder="1" applyAlignment="1" applyProtection="1">
      <alignment horizontal="center" vertical="center" wrapText="1"/>
      <protection/>
    </xf>
    <xf numFmtId="0" fontId="34" fillId="28" borderId="13" xfId="0" applyFont="1" applyFill="1" applyBorder="1" applyAlignment="1" applyProtection="1">
      <alignment horizontal="justify" vertical="center" wrapText="1"/>
      <protection locked="0"/>
    </xf>
    <xf numFmtId="0" fontId="34" fillId="28" borderId="13" xfId="0" applyFont="1" applyFill="1" applyBorder="1" applyAlignment="1" applyProtection="1">
      <alignment vertical="center" wrapText="1"/>
      <protection locked="0"/>
    </xf>
    <xf numFmtId="0" fontId="34" fillId="32" borderId="13" xfId="0" applyFont="1" applyFill="1" applyBorder="1" applyAlignment="1" applyProtection="1">
      <alignment horizontal="center" vertical="center" wrapText="1"/>
      <protection locked="0"/>
    </xf>
    <xf numFmtId="49" fontId="34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34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34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34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34" fillId="8" borderId="20" xfId="0" applyNumberFormat="1" applyFont="1" applyFill="1" applyBorder="1" applyAlignment="1" applyProtection="1">
      <alignment horizontal="center" vertical="center" wrapText="1"/>
      <protection/>
    </xf>
    <xf numFmtId="1" fontId="34" fillId="8" borderId="47" xfId="0" applyNumberFormat="1" applyFont="1" applyFill="1" applyBorder="1" applyAlignment="1" applyProtection="1">
      <alignment horizontal="center" vertical="center" wrapText="1"/>
      <protection/>
    </xf>
    <xf numFmtId="1" fontId="34" fillId="26" borderId="20" xfId="0" applyNumberFormat="1" applyFont="1" applyFill="1" applyBorder="1" applyAlignment="1" applyProtection="1">
      <alignment horizontal="center" vertical="center" wrapText="1"/>
      <protection/>
    </xf>
    <xf numFmtId="1" fontId="34" fillId="26" borderId="22" xfId="0" applyNumberFormat="1" applyFont="1" applyFill="1" applyBorder="1" applyAlignment="1" applyProtection="1">
      <alignment horizontal="center" vertical="center" wrapText="1"/>
      <protection/>
    </xf>
    <xf numFmtId="1" fontId="34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10" borderId="20" xfId="0" applyNumberFormat="1" applyFont="1" applyFill="1" applyBorder="1" applyAlignment="1" applyProtection="1">
      <alignment horizontal="left" vertical="center" wrapText="1"/>
      <protection/>
    </xf>
    <xf numFmtId="49" fontId="5" fillId="10" borderId="47" xfId="0" applyNumberFormat="1" applyFont="1" applyFill="1" applyBorder="1" applyAlignment="1" applyProtection="1">
      <alignment horizontal="center" vertical="center" wrapText="1"/>
      <protection/>
    </xf>
    <xf numFmtId="1" fontId="5" fillId="10" borderId="20" xfId="0" applyNumberFormat="1" applyFont="1" applyFill="1" applyBorder="1" applyAlignment="1" applyProtection="1">
      <alignment horizontal="center" vertical="center" wrapText="1"/>
      <protection/>
    </xf>
    <xf numFmtId="1" fontId="5" fillId="10" borderId="47" xfId="0" applyNumberFormat="1" applyFont="1" applyFill="1" applyBorder="1" applyAlignment="1" applyProtection="1">
      <alignment horizontal="center" vertical="center" wrapText="1"/>
      <protection/>
    </xf>
    <xf numFmtId="1" fontId="5" fillId="10" borderId="22" xfId="0" applyNumberFormat="1" applyFont="1" applyFill="1" applyBorder="1" applyAlignment="1" applyProtection="1">
      <alignment horizontal="center" vertical="center" wrapText="1"/>
      <protection/>
    </xf>
    <xf numFmtId="1" fontId="5" fillId="10" borderId="21" xfId="0" applyNumberFormat="1" applyFont="1" applyFill="1" applyBorder="1" applyAlignment="1" applyProtection="1">
      <alignment horizontal="center" vertical="center" wrapText="1"/>
      <protection/>
    </xf>
    <xf numFmtId="49" fontId="5" fillId="10" borderId="20" xfId="0" applyNumberFormat="1" applyFont="1" applyFill="1" applyBorder="1" applyAlignment="1" applyProtection="1">
      <alignment horizontal="center" vertical="center" wrapText="1"/>
      <protection/>
    </xf>
    <xf numFmtId="49" fontId="34" fillId="0" borderId="28" xfId="0" applyNumberFormat="1" applyFont="1" applyFill="1" applyBorder="1" applyAlignment="1" applyProtection="1">
      <alignment horizontal="left" vertical="center" wrapText="1"/>
      <protection/>
    </xf>
    <xf numFmtId="0" fontId="34" fillId="0" borderId="16" xfId="0" applyFont="1" applyFill="1" applyBorder="1" applyAlignment="1" applyProtection="1">
      <alignment horizontal="justify" vertical="center" wrapText="1"/>
      <protection/>
    </xf>
    <xf numFmtId="49" fontId="34" fillId="0" borderId="16" xfId="0" applyNumberFormat="1" applyFont="1" applyFill="1" applyBorder="1" applyAlignment="1" applyProtection="1">
      <alignment horizontal="center" vertical="center" wrapText="1"/>
      <protection/>
    </xf>
    <xf numFmtId="1" fontId="34" fillId="0" borderId="16" xfId="0" applyNumberFormat="1" applyFont="1" applyFill="1" applyBorder="1" applyAlignment="1" applyProtection="1">
      <alignment horizontal="center" vertical="center" wrapText="1"/>
      <protection/>
    </xf>
    <xf numFmtId="49" fontId="34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15" borderId="14" xfId="0" applyNumberFormat="1" applyFont="1" applyFill="1" applyBorder="1" applyAlignment="1" applyProtection="1">
      <alignment horizontal="left" vertical="center" wrapText="1"/>
      <protection/>
    </xf>
    <xf numFmtId="1" fontId="5" fillId="15" borderId="14" xfId="0" applyNumberFormat="1" applyFont="1" applyFill="1" applyBorder="1" applyAlignment="1" applyProtection="1">
      <alignment horizontal="left" vertical="center" wrapText="1"/>
      <protection/>
    </xf>
    <xf numFmtId="0" fontId="34" fillId="15" borderId="14" xfId="0" applyFont="1" applyFill="1" applyBorder="1" applyAlignment="1" applyProtection="1">
      <alignment horizontal="center" vertical="center" wrapText="1"/>
      <protection/>
    </xf>
    <xf numFmtId="49" fontId="5" fillId="15" borderId="16" xfId="0" applyNumberFormat="1" applyFont="1" applyFill="1" applyBorder="1" applyAlignment="1" applyProtection="1">
      <alignment horizontal="left" vertical="center" wrapText="1"/>
      <protection/>
    </xf>
    <xf numFmtId="1" fontId="5" fillId="15" borderId="16" xfId="0" applyNumberFormat="1" applyFont="1" applyFill="1" applyBorder="1" applyAlignment="1" applyProtection="1">
      <alignment horizontal="left" vertical="center" wrapText="1"/>
      <protection/>
    </xf>
    <xf numFmtId="1" fontId="5" fillId="15" borderId="0" xfId="0" applyNumberFormat="1" applyFont="1" applyFill="1" applyBorder="1" applyAlignment="1" applyProtection="1">
      <alignment horizontal="left" vertical="center" wrapText="1"/>
      <protection/>
    </xf>
    <xf numFmtId="0" fontId="34" fillId="15" borderId="0" xfId="0" applyFont="1" applyFill="1" applyBorder="1" applyAlignment="1" applyProtection="1">
      <alignment horizontal="center" vertical="center" wrapText="1"/>
      <protection/>
    </xf>
    <xf numFmtId="0" fontId="34" fillId="15" borderId="16" xfId="0" applyFont="1" applyFill="1" applyBorder="1" applyAlignment="1" applyProtection="1">
      <alignment horizontal="center" vertical="center" wrapText="1"/>
      <protection/>
    </xf>
    <xf numFmtId="0" fontId="5" fillId="15" borderId="54" xfId="0" applyNumberFormat="1" applyFont="1" applyFill="1" applyBorder="1" applyAlignment="1" applyProtection="1">
      <alignment horizontal="left" vertical="center" wrapText="1"/>
      <protection/>
    </xf>
    <xf numFmtId="1" fontId="5" fillId="15" borderId="22" xfId="0" applyNumberFormat="1" applyFont="1" applyFill="1" applyBorder="1" applyAlignment="1" applyProtection="1">
      <alignment horizontal="center" vertical="center" wrapText="1"/>
      <protection/>
    </xf>
    <xf numFmtId="3" fontId="5" fillId="5" borderId="22" xfId="0" applyNumberFormat="1" applyFont="1" applyFill="1" applyBorder="1" applyAlignment="1" applyProtection="1">
      <alignment horizontal="center" vertical="center" wrapText="1"/>
      <protection/>
    </xf>
    <xf numFmtId="3" fontId="5" fillId="5" borderId="29" xfId="0" applyNumberFormat="1" applyFont="1" applyFill="1" applyBorder="1" applyAlignment="1" applyProtection="1">
      <alignment horizontal="center" vertical="center" wrapText="1"/>
      <protection/>
    </xf>
    <xf numFmtId="1" fontId="5" fillId="5" borderId="13" xfId="0" applyNumberFormat="1" applyFont="1" applyFill="1" applyBorder="1" applyAlignment="1" applyProtection="1">
      <alignment horizontal="center" vertical="center" wrapText="1"/>
      <protection/>
    </xf>
    <xf numFmtId="3" fontId="34" fillId="5" borderId="13" xfId="0" applyNumberFormat="1" applyFont="1" applyFill="1" applyBorder="1" applyAlignment="1" applyProtection="1">
      <alignment horizontal="center" vertical="center" wrapText="1"/>
      <protection/>
    </xf>
    <xf numFmtId="3" fontId="34" fillId="5" borderId="21" xfId="0" applyNumberFormat="1" applyFont="1" applyFill="1" applyBorder="1" applyAlignment="1" applyProtection="1">
      <alignment horizontal="center" vertical="center" wrapText="1"/>
      <protection/>
    </xf>
    <xf numFmtId="49" fontId="34" fillId="0" borderId="54" xfId="0" applyNumberFormat="1" applyFont="1" applyFill="1" applyBorder="1" applyAlignment="1" applyProtection="1">
      <alignment horizontal="center" vertical="center" wrapText="1"/>
      <protection/>
    </xf>
    <xf numFmtId="3" fontId="5" fillId="5" borderId="21" xfId="0" applyNumberFormat="1" applyFont="1" applyFill="1" applyBorder="1" applyAlignment="1" applyProtection="1">
      <alignment horizontal="center" vertical="center" wrapText="1"/>
      <protection/>
    </xf>
    <xf numFmtId="3" fontId="34" fillId="5" borderId="29" xfId="0" applyNumberFormat="1" applyFont="1" applyFill="1" applyBorder="1" applyAlignment="1" applyProtection="1">
      <alignment horizontal="center" vertical="center" wrapText="1"/>
      <protection/>
    </xf>
    <xf numFmtId="3" fontId="34" fillId="5" borderId="22" xfId="0" applyNumberFormat="1" applyFont="1" applyFill="1" applyBorder="1" applyAlignment="1" applyProtection="1">
      <alignment horizontal="center" vertical="center" wrapText="1"/>
      <protection/>
    </xf>
    <xf numFmtId="0" fontId="34" fillId="15" borderId="54" xfId="0" applyNumberFormat="1" applyFont="1" applyFill="1" applyBorder="1" applyAlignment="1" applyProtection="1">
      <alignment horizontal="left" vertical="center" wrapText="1"/>
      <protection/>
    </xf>
    <xf numFmtId="1" fontId="34" fillId="15" borderId="22" xfId="0" applyNumberFormat="1" applyFont="1" applyFill="1" applyBorder="1" applyAlignment="1" applyProtection="1">
      <alignment horizontal="center" vertical="center" wrapText="1"/>
      <protection/>
    </xf>
    <xf numFmtId="1" fontId="34" fillId="5" borderId="13" xfId="0" applyNumberFormat="1" applyFont="1" applyFill="1" applyBorder="1" applyAlignment="1" applyProtection="1">
      <alignment horizontal="center" vertical="center" wrapText="1"/>
      <protection/>
    </xf>
    <xf numFmtId="49" fontId="34" fillId="15" borderId="53" xfId="0" applyNumberFormat="1" applyFont="1" applyFill="1" applyBorder="1" applyAlignment="1" applyProtection="1">
      <alignment horizontal="center" vertical="center" wrapText="1"/>
      <protection/>
    </xf>
    <xf numFmtId="1" fontId="5" fillId="15" borderId="13" xfId="0" applyNumberFormat="1" applyFont="1" applyFill="1" applyBorder="1" applyAlignment="1" applyProtection="1">
      <alignment horizontal="center" vertical="center" wrapText="1"/>
      <protection/>
    </xf>
    <xf numFmtId="3" fontId="5" fillId="5" borderId="13" xfId="0" applyNumberFormat="1" applyFont="1" applyFill="1" applyBorder="1" applyAlignment="1" applyProtection="1">
      <alignment horizontal="center" vertical="center" wrapText="1"/>
      <protection/>
    </xf>
    <xf numFmtId="1" fontId="5" fillId="5" borderId="23" xfId="0" applyNumberFormat="1" applyFont="1" applyFill="1" applyBorder="1" applyAlignment="1" applyProtection="1">
      <alignment horizontal="center" vertical="center" wrapText="1"/>
      <protection/>
    </xf>
    <xf numFmtId="3" fontId="34" fillId="5" borderId="23" xfId="0" applyNumberFormat="1" applyFont="1" applyFill="1" applyBorder="1" applyAlignment="1" applyProtection="1">
      <alignment horizontal="center" vertical="center" wrapText="1"/>
      <protection/>
    </xf>
    <xf numFmtId="3" fontId="34" fillId="5" borderId="17" xfId="0" applyNumberFormat="1" applyFont="1" applyFill="1" applyBorder="1" applyAlignment="1" applyProtection="1">
      <alignment horizontal="center" vertical="center" wrapText="1"/>
      <protection/>
    </xf>
    <xf numFmtId="49" fontId="5" fillId="15" borderId="53" xfId="0" applyNumberFormat="1" applyFont="1" applyFill="1" applyBorder="1" applyAlignment="1" applyProtection="1">
      <alignment horizontal="left" vertical="center" wrapText="1"/>
      <protection/>
    </xf>
    <xf numFmtId="49" fontId="34" fillId="15" borderId="53" xfId="0" applyNumberFormat="1" applyFont="1" applyFill="1" applyBorder="1" applyAlignment="1" applyProtection="1">
      <alignment horizontal="left" vertical="center" wrapText="1"/>
      <protection/>
    </xf>
    <xf numFmtId="1" fontId="5" fillId="5" borderId="29" xfId="0" applyNumberFormat="1" applyFont="1" applyFill="1" applyBorder="1" applyAlignment="1" applyProtection="1">
      <alignment horizontal="center" vertical="center" wrapText="1"/>
      <protection/>
    </xf>
    <xf numFmtId="1" fontId="34" fillId="5" borderId="29" xfId="0" applyNumberFormat="1" applyFont="1" applyFill="1" applyBorder="1" applyAlignment="1" applyProtection="1">
      <alignment horizontal="center" vertical="center" wrapText="1"/>
      <protection/>
    </xf>
    <xf numFmtId="49" fontId="34" fillId="15" borderId="12" xfId="0" applyNumberFormat="1" applyFont="1" applyFill="1" applyBorder="1" applyAlignment="1" applyProtection="1">
      <alignment horizontal="center" vertical="center" wrapText="1"/>
      <protection/>
    </xf>
    <xf numFmtId="49" fontId="39" fillId="36" borderId="13" xfId="0" applyNumberFormat="1" applyFont="1" applyFill="1" applyBorder="1" applyAlignment="1" applyProtection="1">
      <alignment vertical="center"/>
      <protection locked="0"/>
    </xf>
    <xf numFmtId="49" fontId="5" fillId="36" borderId="13" xfId="0" applyNumberFormat="1" applyFont="1" applyFill="1" applyBorder="1" applyAlignment="1" applyProtection="1">
      <alignment horizontal="center" vertical="center"/>
      <protection locked="0"/>
    </xf>
    <xf numFmtId="1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36" borderId="13" xfId="0" applyNumberFormat="1" applyFont="1" applyFill="1" applyBorder="1" applyAlignment="1" applyProtection="1">
      <alignment horizontal="center" vertical="center" wrapText="1"/>
      <protection/>
    </xf>
    <xf numFmtId="49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39" fillId="33" borderId="13" xfId="0" applyNumberFormat="1" applyFont="1" applyFill="1" applyBorder="1" applyAlignment="1" applyProtection="1">
      <alignment vertical="center"/>
      <protection locked="0"/>
    </xf>
    <xf numFmtId="1" fontId="39" fillId="29" borderId="13" xfId="0" applyNumberFormat="1" applyFont="1" applyFill="1" applyBorder="1" applyAlignment="1" applyProtection="1">
      <alignment horizontal="center" vertical="center" wrapText="1"/>
      <protection/>
    </xf>
    <xf numFmtId="49" fontId="5" fillId="29" borderId="13" xfId="0" applyNumberFormat="1" applyFont="1" applyFill="1" applyBorder="1" applyAlignment="1" applyProtection="1">
      <alignment horizontal="center" vertical="center" wrapText="1"/>
      <protection/>
    </xf>
    <xf numFmtId="1" fontId="3" fillId="5" borderId="29" xfId="0" applyNumberFormat="1" applyFont="1" applyFill="1" applyBorder="1" applyAlignment="1" applyProtection="1">
      <alignment horizontal="center" vertical="top" wrapText="1"/>
      <protection/>
    </xf>
    <xf numFmtId="1" fontId="3" fillId="5" borderId="16" xfId="0" applyNumberFormat="1" applyFont="1" applyFill="1" applyBorder="1" applyAlignment="1" applyProtection="1">
      <alignment horizontal="center" vertical="top" wrapText="1"/>
      <protection/>
    </xf>
    <xf numFmtId="1" fontId="3" fillId="5" borderId="29" xfId="0" applyNumberFormat="1" applyFont="1" applyFill="1" applyBorder="1" applyAlignment="1" applyProtection="1">
      <alignment vertical="top" wrapText="1"/>
      <protection/>
    </xf>
    <xf numFmtId="1" fontId="3" fillId="5" borderId="22" xfId="0" applyNumberFormat="1" applyFont="1" applyFill="1" applyBorder="1" applyAlignment="1" applyProtection="1">
      <alignment vertical="top" wrapText="1"/>
      <protection/>
    </xf>
    <xf numFmtId="0" fontId="34" fillId="29" borderId="13" xfId="0" applyFont="1" applyFill="1" applyBorder="1" applyAlignment="1">
      <alignment horizontal="center" vertical="top"/>
    </xf>
    <xf numFmtId="0" fontId="34" fillId="29" borderId="13" xfId="0" applyFont="1" applyFill="1" applyBorder="1" applyAlignment="1">
      <alignment horizontal="center"/>
    </xf>
    <xf numFmtId="0" fontId="4" fillId="26" borderId="14" xfId="0" applyFont="1" applyFill="1" applyBorder="1" applyAlignment="1">
      <alignment vertical="top" wrapText="1"/>
    </xf>
    <xf numFmtId="0" fontId="4" fillId="26" borderId="0" xfId="0" applyFont="1" applyFill="1" applyBorder="1" applyAlignment="1">
      <alignment vertical="top" wrapText="1"/>
    </xf>
    <xf numFmtId="0" fontId="9" fillId="24" borderId="13" xfId="0" applyFont="1" applyFill="1" applyBorder="1" applyAlignment="1">
      <alignment horizontal="center" vertical="center" wrapText="1"/>
    </xf>
    <xf numFmtId="1" fontId="34" fillId="37" borderId="13" xfId="0" applyNumberFormat="1" applyFont="1" applyFill="1" applyBorder="1" applyAlignment="1" applyProtection="1">
      <alignment horizontal="center" vertical="center" wrapText="1"/>
      <protection/>
    </xf>
    <xf numFmtId="0" fontId="34" fillId="29" borderId="13" xfId="0" applyFont="1" applyFill="1" applyBorder="1" applyAlignment="1" applyProtection="1">
      <alignment horizontal="left" vertical="center" wrapText="1"/>
      <protection locked="0"/>
    </xf>
    <xf numFmtId="0" fontId="34" fillId="28" borderId="13" xfId="0" applyFont="1" applyFill="1" applyBorder="1" applyAlignment="1">
      <alignment horizontal="center" vertical="center"/>
    </xf>
    <xf numFmtId="0" fontId="0" fillId="28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34" fillId="28" borderId="13" xfId="0" applyFont="1" applyFill="1" applyBorder="1" applyAlignment="1">
      <alignment horizontal="center" vertical="top"/>
    </xf>
    <xf numFmtId="0" fontId="34" fillId="28" borderId="13" xfId="0" applyFont="1" applyFill="1" applyBorder="1" applyAlignment="1">
      <alignment horizontal="center"/>
    </xf>
    <xf numFmtId="0" fontId="0" fillId="28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40" fillId="0" borderId="13" xfId="0" applyFont="1" applyBorder="1" applyAlignment="1">
      <alignment horizontal="center" vertical="top" wrapText="1"/>
    </xf>
    <xf numFmtId="0" fontId="41" fillId="38" borderId="10" xfId="0" applyFont="1" applyFill="1" applyBorder="1" applyAlignment="1" applyProtection="1">
      <alignment horizontal="center" vertical="top" wrapText="1"/>
      <protection locked="0"/>
    </xf>
    <xf numFmtId="180" fontId="9" fillId="20" borderId="10" xfId="0" applyNumberFormat="1" applyFont="1" applyFill="1" applyBorder="1" applyAlignment="1">
      <alignment horizontal="center" vertical="top" wrapText="1"/>
    </xf>
    <xf numFmtId="180" fontId="4" fillId="20" borderId="10" xfId="0" applyNumberFormat="1" applyFont="1" applyFill="1" applyBorder="1" applyAlignment="1">
      <alignment horizontal="center" vertical="top" wrapText="1"/>
    </xf>
    <xf numFmtId="1" fontId="0" fillId="37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49" fontId="0" fillId="0" borderId="13" xfId="0" applyNumberFormat="1" applyFont="1" applyFill="1" applyBorder="1" applyAlignment="1" applyProtection="1">
      <alignment vertical="center" wrapText="1"/>
      <protection locked="0"/>
    </xf>
    <xf numFmtId="1" fontId="4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ont="1" applyFill="1" applyBorder="1" applyAlignment="1" applyProtection="1">
      <alignment vertical="top" wrapText="1"/>
      <protection locked="0"/>
    </xf>
    <xf numFmtId="0" fontId="4" fillId="28" borderId="0" xfId="0" applyFont="1" applyFill="1" applyAlignment="1">
      <alignment vertical="top" wrapText="1"/>
    </xf>
    <xf numFmtId="1" fontId="5" fillId="28" borderId="13" xfId="0" applyNumberFormat="1" applyFont="1" applyFill="1" applyBorder="1" applyAlignment="1" applyProtection="1">
      <alignment horizontal="center" vertical="center" wrapText="1"/>
      <protection/>
    </xf>
    <xf numFmtId="1" fontId="0" fillId="28" borderId="13" xfId="0" applyNumberFormat="1" applyFont="1" applyFill="1" applyBorder="1" applyAlignment="1" applyProtection="1">
      <alignment horizontal="center" vertical="center" wrapText="1"/>
      <protection/>
    </xf>
    <xf numFmtId="0" fontId="3" fillId="10" borderId="13" xfId="0" applyFont="1" applyFill="1" applyBorder="1" applyAlignment="1" applyProtection="1">
      <alignment horizontal="left" vertical="center" wrapText="1"/>
      <protection/>
    </xf>
    <xf numFmtId="49" fontId="3" fillId="10" borderId="13" xfId="0" applyNumberFormat="1" applyFont="1" applyFill="1" applyBorder="1" applyAlignment="1" applyProtection="1">
      <alignment horizontal="center" vertical="center" wrapText="1"/>
      <protection/>
    </xf>
    <xf numFmtId="0" fontId="3" fillId="29" borderId="13" xfId="0" applyFont="1" applyFill="1" applyBorder="1" applyAlignment="1" applyProtection="1">
      <alignment horizontal="left" vertical="center" wrapText="1"/>
      <protection locked="0"/>
    </xf>
    <xf numFmtId="49" fontId="3" fillId="24" borderId="13" xfId="0" applyNumberFormat="1" applyFont="1" applyFill="1" applyBorder="1" applyAlignment="1" applyProtection="1">
      <alignment horizontal="center" vertical="center" wrapText="1"/>
      <protection/>
    </xf>
    <xf numFmtId="0" fontId="3" fillId="29" borderId="13" xfId="0" applyFont="1" applyFill="1" applyBorder="1" applyAlignment="1" applyProtection="1">
      <alignment horizontal="center" vertical="center" wrapText="1"/>
      <protection locked="0"/>
    </xf>
    <xf numFmtId="49" fontId="3" fillId="31" borderId="13" xfId="0" applyNumberFormat="1" applyFont="1" applyFill="1" applyBorder="1" applyAlignment="1" applyProtection="1">
      <alignment horizontal="center" vertical="center" wrapText="1"/>
      <protection/>
    </xf>
    <xf numFmtId="0" fontId="3" fillId="28" borderId="12" xfId="0" applyFont="1" applyFill="1" applyBorder="1" applyAlignment="1" applyProtection="1">
      <alignment horizontal="left" vertical="center" wrapText="1"/>
      <protection/>
    </xf>
    <xf numFmtId="49" fontId="3" fillId="28" borderId="12" xfId="0" applyNumberFormat="1" applyFont="1" applyFill="1" applyBorder="1" applyAlignment="1" applyProtection="1">
      <alignment horizontal="center" vertical="center" wrapText="1"/>
      <protection/>
    </xf>
    <xf numFmtId="49" fontId="3" fillId="28" borderId="28" xfId="0" applyNumberFormat="1" applyFont="1" applyFill="1" applyBorder="1" applyAlignment="1" applyProtection="1">
      <alignment horizontal="center" vertical="center" wrapText="1"/>
      <protection/>
    </xf>
    <xf numFmtId="49" fontId="3" fillId="28" borderId="13" xfId="0" applyNumberFormat="1" applyFont="1" applyFill="1" applyBorder="1" applyAlignment="1" applyProtection="1">
      <alignment horizontal="center" vertical="center" wrapText="1"/>
      <protection/>
    </xf>
    <xf numFmtId="49" fontId="3" fillId="28" borderId="16" xfId="0" applyNumberFormat="1" applyFont="1" applyFill="1" applyBorder="1" applyAlignment="1" applyProtection="1">
      <alignment horizontal="center" vertical="center" wrapText="1"/>
      <protection/>
    </xf>
    <xf numFmtId="1" fontId="3" fillId="28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28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28" borderId="28" xfId="0" applyNumberFormat="1" applyFont="1" applyFill="1" applyBorder="1" applyAlignment="1" applyProtection="1">
      <alignment horizontal="center" vertical="center" wrapText="1"/>
      <protection locked="0"/>
    </xf>
    <xf numFmtId="49" fontId="0" fillId="39" borderId="13" xfId="0" applyNumberFormat="1" applyFont="1" applyFill="1" applyBorder="1" applyAlignment="1" applyProtection="1">
      <alignment horizontal="left" vertical="center" wrapText="1"/>
      <protection locked="0"/>
    </xf>
    <xf numFmtId="1" fontId="0" fillId="39" borderId="13" xfId="0" applyNumberFormat="1" applyFont="1" applyFill="1" applyBorder="1" applyAlignment="1" applyProtection="1">
      <alignment horizontal="center" vertical="center" wrapText="1"/>
      <protection/>
    </xf>
    <xf numFmtId="1" fontId="0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9" borderId="13" xfId="0" applyFont="1" applyFill="1" applyBorder="1" applyAlignment="1" applyProtection="1">
      <alignment horizontal="center" vertical="center" wrapText="1"/>
      <protection locked="0"/>
    </xf>
    <xf numFmtId="0" fontId="37" fillId="39" borderId="13" xfId="0" applyFont="1" applyFill="1" applyBorder="1" applyAlignment="1" applyProtection="1">
      <alignment horizontal="left" vertical="center" wrapText="1"/>
      <protection locked="0"/>
    </xf>
    <xf numFmtId="49" fontId="0" fillId="39" borderId="13" xfId="0" applyNumberFormat="1" applyFont="1" applyFill="1" applyBorder="1" applyAlignment="1" applyProtection="1">
      <alignment horizontal="center" vertical="center" wrapText="1"/>
      <protection/>
    </xf>
    <xf numFmtId="49" fontId="0" fillId="40" borderId="13" xfId="0" applyNumberFormat="1" applyFont="1" applyFill="1" applyBorder="1" applyAlignment="1" applyProtection="1">
      <alignment horizontal="center" vertical="center" wrapText="1"/>
      <protection/>
    </xf>
    <xf numFmtId="1" fontId="0" fillId="40" borderId="13" xfId="0" applyNumberFormat="1" applyFont="1" applyFill="1" applyBorder="1" applyAlignment="1" applyProtection="1">
      <alignment horizontal="center" vertical="center" wrapText="1"/>
      <protection/>
    </xf>
    <xf numFmtId="1" fontId="0" fillId="4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0" borderId="13" xfId="0" applyFont="1" applyFill="1" applyBorder="1" applyAlignment="1" applyProtection="1">
      <alignment horizontal="center" vertical="center" wrapText="1"/>
      <protection locked="0"/>
    </xf>
    <xf numFmtId="49" fontId="0" fillId="4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8" borderId="0" xfId="0" applyFont="1" applyFill="1" applyAlignment="1" applyProtection="1">
      <alignment vertical="top" wrapText="1"/>
      <protection locked="0"/>
    </xf>
    <xf numFmtId="0" fontId="0" fillId="28" borderId="21" xfId="0" applyFont="1" applyFill="1" applyBorder="1" applyAlignment="1" applyProtection="1">
      <alignment vertical="top" wrapText="1"/>
      <protection/>
    </xf>
    <xf numFmtId="0" fontId="0" fillId="28" borderId="13" xfId="0" applyFont="1" applyFill="1" applyBorder="1" applyAlignment="1" applyProtection="1">
      <alignment horizontal="justify" vertical="top" wrapText="1"/>
      <protection locked="0"/>
    </xf>
    <xf numFmtId="0" fontId="0" fillId="28" borderId="13" xfId="0" applyFill="1" applyBorder="1" applyAlignment="1" applyProtection="1">
      <alignment vertical="top" wrapText="1"/>
      <protection/>
    </xf>
    <xf numFmtId="0" fontId="0" fillId="28" borderId="13" xfId="0" applyFill="1" applyBorder="1" applyAlignment="1" applyProtection="1">
      <alignment horizontal="justify" vertical="top" wrapText="1"/>
      <protection locked="0"/>
    </xf>
    <xf numFmtId="0" fontId="0" fillId="28" borderId="23" xfId="0" applyFont="1" applyFill="1" applyBorder="1" applyAlignment="1" applyProtection="1">
      <alignment vertical="top" wrapText="1"/>
      <protection/>
    </xf>
    <xf numFmtId="0" fontId="0" fillId="28" borderId="23" xfId="0" applyFont="1" applyFill="1" applyBorder="1" applyAlignment="1" applyProtection="1">
      <alignment horizontal="justify" vertical="top" wrapText="1"/>
      <protection locked="0"/>
    </xf>
    <xf numFmtId="0" fontId="0" fillId="28" borderId="14" xfId="0" applyFont="1" applyFill="1" applyBorder="1" applyAlignment="1" applyProtection="1">
      <alignment vertical="top" wrapText="1"/>
      <protection/>
    </xf>
    <xf numFmtId="0" fontId="0" fillId="28" borderId="14" xfId="0" applyFont="1" applyFill="1" applyBorder="1" applyAlignment="1" applyProtection="1">
      <alignment horizontal="justify" vertical="top" wrapText="1"/>
      <protection locked="0"/>
    </xf>
    <xf numFmtId="0" fontId="0" fillId="28" borderId="0" xfId="0" applyFont="1" applyFill="1" applyBorder="1" applyAlignment="1" applyProtection="1">
      <alignment vertical="top" wrapText="1"/>
      <protection/>
    </xf>
    <xf numFmtId="0" fontId="0" fillId="28" borderId="0" xfId="0" applyFont="1" applyFill="1" applyBorder="1" applyAlignment="1" applyProtection="1">
      <alignment horizontal="justify" vertical="top" wrapText="1"/>
      <protection locked="0"/>
    </xf>
    <xf numFmtId="0" fontId="0" fillId="28" borderId="13" xfId="0" applyFont="1" applyFill="1" applyBorder="1" applyAlignment="1" applyProtection="1">
      <alignment horizontal="center" vertical="top" wrapText="1"/>
      <protection/>
    </xf>
    <xf numFmtId="0" fontId="0" fillId="28" borderId="13" xfId="0" applyFont="1" applyFill="1" applyBorder="1" applyAlignment="1" applyProtection="1">
      <alignment horizontal="center" vertical="center" wrapText="1"/>
      <protection/>
    </xf>
    <xf numFmtId="0" fontId="0" fillId="28" borderId="13" xfId="0" applyFont="1" applyFill="1" applyBorder="1" applyAlignment="1" applyProtection="1">
      <alignment horizontal="justify" vertical="center" wrapText="1"/>
      <protection locked="0"/>
    </xf>
    <xf numFmtId="0" fontId="0" fillId="28" borderId="13" xfId="0" applyFill="1" applyBorder="1" applyAlignment="1" applyProtection="1">
      <alignment horizontal="justify" vertical="center" wrapText="1"/>
      <protection locked="0"/>
    </xf>
    <xf numFmtId="49" fontId="46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46" fillId="28" borderId="13" xfId="0" applyFont="1" applyFill="1" applyBorder="1" applyAlignment="1" applyProtection="1">
      <alignment horizontal="left" vertical="center" wrapText="1"/>
      <protection locked="0"/>
    </xf>
    <xf numFmtId="0" fontId="46" fillId="0" borderId="13" xfId="0" applyFont="1" applyFill="1" applyBorder="1" applyAlignment="1" applyProtection="1">
      <alignment horizontal="left" vertical="center" wrapText="1"/>
      <protection locked="0"/>
    </xf>
    <xf numFmtId="49" fontId="46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6" fillId="8" borderId="13" xfId="0" applyNumberFormat="1" applyFont="1" applyFill="1" applyBorder="1" applyAlignment="1" applyProtection="1">
      <alignment horizontal="center" vertical="center" wrapText="1"/>
      <protection/>
    </xf>
    <xf numFmtId="1" fontId="46" fillId="26" borderId="13" xfId="0" applyNumberFormat="1" applyFont="1" applyFill="1" applyBorder="1" applyAlignment="1" applyProtection="1">
      <alignment horizontal="center" vertical="center" wrapText="1"/>
      <protection/>
    </xf>
    <xf numFmtId="1" fontId="46" fillId="28" borderId="13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3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vertical="center" wrapText="1"/>
      <protection locked="0"/>
    </xf>
    <xf numFmtId="49" fontId="46" fillId="28" borderId="13" xfId="0" applyNumberFormat="1" applyFont="1" applyFill="1" applyBorder="1" applyAlignment="1" applyProtection="1">
      <alignment horizontal="center" vertical="center" wrapText="1"/>
      <protection locked="0"/>
    </xf>
    <xf numFmtId="1" fontId="46" fillId="41" borderId="13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3" xfId="0" applyFont="1" applyFill="1" applyBorder="1" applyAlignment="1" applyProtection="1">
      <alignment horizontal="left" vertical="center" wrapText="1"/>
      <protection/>
    </xf>
    <xf numFmtId="49" fontId="4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7" fillId="0" borderId="13" xfId="0" applyNumberFormat="1" applyFont="1" applyFill="1" applyBorder="1" applyAlignment="1" applyProtection="1">
      <alignment horizontal="center" vertical="center" wrapText="1"/>
      <protection/>
    </xf>
    <xf numFmtId="1" fontId="47" fillId="37" borderId="13" xfId="0" applyNumberFormat="1" applyFont="1" applyFill="1" applyBorder="1" applyAlignment="1" applyProtection="1">
      <alignment horizontal="center" vertical="center" wrapText="1"/>
      <protection/>
    </xf>
    <xf numFmtId="1" fontId="47" fillId="8" borderId="13" xfId="0" applyNumberFormat="1" applyFont="1" applyFill="1" applyBorder="1" applyAlignment="1" applyProtection="1">
      <alignment horizontal="center" vertical="center" wrapText="1"/>
      <protection/>
    </xf>
    <xf numFmtId="1" fontId="47" fillId="26" borderId="13" xfId="0" applyNumberFormat="1" applyFont="1" applyFill="1" applyBorder="1" applyAlignment="1" applyProtection="1">
      <alignment horizontal="center" vertical="center" wrapText="1"/>
      <protection/>
    </xf>
    <xf numFmtId="1" fontId="47" fillId="28" borderId="13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3" xfId="0" applyFont="1" applyFill="1" applyBorder="1" applyAlignment="1" applyProtection="1">
      <alignment horizontal="center" vertical="center" wrapText="1"/>
      <protection locked="0"/>
    </xf>
    <xf numFmtId="0" fontId="47" fillId="28" borderId="13" xfId="0" applyFont="1" applyFill="1" applyBorder="1" applyAlignment="1" applyProtection="1">
      <alignment horizontal="left" vertical="center" wrapText="1"/>
      <protection/>
    </xf>
    <xf numFmtId="49" fontId="47" fillId="28" borderId="13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1" borderId="13" xfId="0" applyFont="1" applyFill="1" applyBorder="1" applyAlignment="1" applyProtection="1">
      <alignment horizontal="left" vertical="center" wrapText="1"/>
      <protection/>
    </xf>
    <xf numFmtId="1" fontId="0" fillId="3" borderId="16" xfId="0" applyNumberFormat="1" applyFont="1" applyFill="1" applyBorder="1" applyAlignment="1" applyProtection="1">
      <alignment horizontal="left" vertical="top" wrapText="1"/>
      <protection/>
    </xf>
    <xf numFmtId="0" fontId="39" fillId="29" borderId="13" xfId="0" applyFont="1" applyFill="1" applyBorder="1" applyAlignment="1" applyProtection="1">
      <alignment horizontal="left" vertical="center" wrapText="1"/>
      <protection/>
    </xf>
    <xf numFmtId="0" fontId="34" fillId="28" borderId="13" xfId="0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Border="1" applyAlignment="1" applyProtection="1">
      <alignment horizontal="left" vertical="top" wrapText="1"/>
      <protection/>
    </xf>
    <xf numFmtId="0" fontId="0" fillId="40" borderId="13" xfId="0" applyFont="1" applyFill="1" applyBorder="1" applyAlignment="1" applyProtection="1">
      <alignment horizontal="left" vertical="center" wrapText="1"/>
      <protection locked="0"/>
    </xf>
    <xf numFmtId="1" fontId="3" fillId="5" borderId="22" xfId="0" applyNumberFormat="1" applyFont="1" applyFill="1" applyBorder="1" applyAlignment="1" applyProtection="1">
      <alignment horizontal="center" vertical="top" wrapText="1"/>
      <protection/>
    </xf>
    <xf numFmtId="0" fontId="0" fillId="39" borderId="13" xfId="0" applyFont="1" applyFill="1" applyBorder="1" applyAlignment="1" applyProtection="1">
      <alignment horizontal="left" vertical="center" wrapText="1"/>
      <protection locked="0"/>
    </xf>
    <xf numFmtId="0" fontId="0" fillId="31" borderId="13" xfId="0" applyFont="1" applyFill="1" applyBorder="1" applyAlignment="1" applyProtection="1">
      <alignment horizontal="left" vertical="center" wrapText="1"/>
      <protection/>
    </xf>
    <xf numFmtId="14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26" borderId="0" xfId="0" applyFont="1" applyFill="1" applyAlignment="1">
      <alignment horizontal="left" vertical="top" wrapText="1"/>
    </xf>
    <xf numFmtId="0" fontId="9" fillId="7" borderId="23" xfId="0" applyFont="1" applyFill="1" applyBorder="1" applyAlignment="1">
      <alignment horizontal="center" textRotation="90" wrapText="1"/>
    </xf>
    <xf numFmtId="0" fontId="9" fillId="7" borderId="53" xfId="0" applyFont="1" applyFill="1" applyBorder="1" applyAlignment="1">
      <alignment horizontal="center" textRotation="90" wrapText="1"/>
    </xf>
    <xf numFmtId="0" fontId="9" fillId="7" borderId="12" xfId="0" applyFont="1" applyFill="1" applyBorder="1" applyAlignment="1">
      <alignment horizontal="center" textRotation="90" wrapText="1"/>
    </xf>
    <xf numFmtId="0" fontId="9" fillId="7" borderId="17" xfId="0" applyFont="1" applyFill="1" applyBorder="1" applyAlignment="1">
      <alignment horizontal="center" vertical="center" textRotation="90" wrapText="1"/>
    </xf>
    <xf numFmtId="0" fontId="9" fillId="7" borderId="14" xfId="0" applyFont="1" applyFill="1" applyBorder="1" applyAlignment="1">
      <alignment horizontal="center" vertical="center" textRotation="90" wrapText="1"/>
    </xf>
    <xf numFmtId="0" fontId="9" fillId="7" borderId="15" xfId="0" applyFont="1" applyFill="1" applyBorder="1" applyAlignment="1">
      <alignment horizontal="center" vertical="center" textRotation="90" wrapText="1"/>
    </xf>
    <xf numFmtId="0" fontId="9" fillId="7" borderId="54" xfId="0" applyFont="1" applyFill="1" applyBorder="1" applyAlignment="1">
      <alignment horizontal="center" vertical="center" textRotation="90" wrapText="1"/>
    </xf>
    <xf numFmtId="0" fontId="9" fillId="7" borderId="0" xfId="0" applyFont="1" applyFill="1" applyBorder="1" applyAlignment="1">
      <alignment horizontal="center" vertical="center" textRotation="90" wrapText="1"/>
    </xf>
    <xf numFmtId="0" fontId="9" fillId="7" borderId="11" xfId="0" applyFont="1" applyFill="1" applyBorder="1" applyAlignment="1">
      <alignment horizontal="center" vertical="center" textRotation="90" wrapText="1"/>
    </xf>
    <xf numFmtId="0" fontId="9" fillId="7" borderId="28" xfId="0" applyFont="1" applyFill="1" applyBorder="1" applyAlignment="1">
      <alignment horizontal="center" vertical="center" textRotation="90" wrapText="1"/>
    </xf>
    <xf numFmtId="0" fontId="9" fillId="7" borderId="16" xfId="0" applyFont="1" applyFill="1" applyBorder="1" applyAlignment="1">
      <alignment horizontal="center" vertical="center" textRotation="90" wrapText="1"/>
    </xf>
    <xf numFmtId="0" fontId="9" fillId="7" borderId="10" xfId="0" applyFont="1" applyFill="1" applyBorder="1" applyAlignment="1">
      <alignment horizontal="center" vertical="center" textRotation="90" wrapText="1"/>
    </xf>
    <xf numFmtId="0" fontId="0" fillId="26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7" borderId="23" xfId="0" applyFont="1" applyFill="1" applyBorder="1" applyAlignment="1">
      <alignment horizontal="center" vertical="center" wrapText="1"/>
    </xf>
    <xf numFmtId="0" fontId="4" fillId="7" borderId="53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top" wrapText="1"/>
    </xf>
    <xf numFmtId="0" fontId="4" fillId="7" borderId="14" xfId="0" applyFont="1" applyFill="1" applyBorder="1" applyAlignment="1">
      <alignment horizontal="center" vertical="top" wrapText="1"/>
    </xf>
    <xf numFmtId="0" fontId="4" fillId="7" borderId="15" xfId="0" applyFont="1" applyFill="1" applyBorder="1" applyAlignment="1">
      <alignment horizontal="center" vertical="top" wrapText="1"/>
    </xf>
    <xf numFmtId="0" fontId="4" fillId="7" borderId="28" xfId="0" applyFont="1" applyFill="1" applyBorder="1" applyAlignment="1">
      <alignment horizontal="center" vertical="top" wrapText="1"/>
    </xf>
    <xf numFmtId="0" fontId="4" fillId="7" borderId="16" xfId="0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horizontal="center" vertical="top" wrapText="1"/>
    </xf>
    <xf numFmtId="0" fontId="4" fillId="26" borderId="0" xfId="0" applyFont="1" applyFill="1" applyAlignment="1">
      <alignment horizontal="justify" vertical="top" wrapText="1"/>
    </xf>
    <xf numFmtId="0" fontId="4" fillId="20" borderId="13" xfId="0" applyFont="1" applyFill="1" applyBorder="1" applyAlignment="1">
      <alignment vertical="top" wrapText="1"/>
    </xf>
    <xf numFmtId="0" fontId="4" fillId="7" borderId="53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top" wrapText="1"/>
    </xf>
    <xf numFmtId="0" fontId="4" fillId="7" borderId="29" xfId="0" applyFont="1" applyFill="1" applyBorder="1" applyAlignment="1">
      <alignment horizontal="center" vertical="top" wrapText="1"/>
    </xf>
    <xf numFmtId="0" fontId="4" fillId="7" borderId="22" xfId="0" applyFont="1" applyFill="1" applyBorder="1" applyAlignment="1">
      <alignment horizontal="center" vertical="top" wrapText="1"/>
    </xf>
    <xf numFmtId="0" fontId="0" fillId="26" borderId="0" xfId="0" applyFont="1" applyFill="1" applyBorder="1" applyAlignment="1">
      <alignment horizontal="center" vertical="top" wrapText="1"/>
    </xf>
    <xf numFmtId="0" fontId="3" fillId="26" borderId="0" xfId="0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 applyProtection="1">
      <alignment horizontal="center" vertical="top" wrapText="1"/>
      <protection locked="0"/>
    </xf>
    <xf numFmtId="2" fontId="0" fillId="26" borderId="0" xfId="0" applyNumberFormat="1" applyFont="1" applyFill="1" applyBorder="1" applyAlignment="1" applyProtection="1">
      <alignment horizontal="justify" vertical="top" wrapText="1"/>
      <protection locked="0"/>
    </xf>
    <xf numFmtId="0" fontId="0" fillId="26" borderId="0" xfId="0" applyFont="1" applyFill="1" applyAlignment="1">
      <alignment vertical="top" wrapText="1"/>
    </xf>
    <xf numFmtId="0" fontId="0" fillId="26" borderId="0" xfId="0" applyFill="1" applyBorder="1" applyAlignment="1">
      <alignment horizontal="justify" vertical="top" wrapText="1"/>
    </xf>
    <xf numFmtId="0" fontId="0" fillId="26" borderId="0" xfId="0" applyFont="1" applyFill="1" applyBorder="1" applyAlignment="1">
      <alignment horizontal="justify" vertical="top" wrapText="1"/>
    </xf>
    <xf numFmtId="0" fontId="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0" fillId="0" borderId="0" xfId="0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0" fillId="26" borderId="0" xfId="0" applyFont="1" applyFill="1" applyAlignment="1">
      <alignment vertical="top" wrapText="1"/>
    </xf>
    <xf numFmtId="0" fontId="0" fillId="0" borderId="0" xfId="0" applyFont="1" applyFill="1" applyAlignment="1" applyProtection="1">
      <alignment vertical="top" wrapText="1"/>
      <protection locked="0"/>
    </xf>
    <xf numFmtId="0" fontId="7" fillId="26" borderId="0" xfId="0" applyFont="1" applyFill="1" applyBorder="1" applyAlignment="1">
      <alignment horizontal="center" vertical="top" wrapText="1"/>
    </xf>
    <xf numFmtId="0" fontId="0" fillId="28" borderId="0" xfId="0" applyFont="1" applyFill="1" applyBorder="1" applyAlignment="1">
      <alignment horizontal="left" vertical="top" wrapText="1"/>
    </xf>
    <xf numFmtId="0" fontId="0" fillId="28" borderId="0" xfId="0" applyFont="1" applyFill="1" applyBorder="1" applyAlignment="1">
      <alignment horizontal="left" vertical="top" wrapText="1"/>
    </xf>
    <xf numFmtId="14" fontId="0" fillId="0" borderId="0" xfId="0" applyNumberFormat="1" applyFont="1" applyFill="1" applyAlignment="1" applyProtection="1">
      <alignment horizontal="justify" vertical="top" wrapText="1"/>
      <protection locked="0"/>
    </xf>
    <xf numFmtId="14" fontId="0" fillId="28" borderId="0" xfId="0" applyNumberFormat="1" applyFont="1" applyFill="1" applyAlignment="1" applyProtection="1">
      <alignment horizontal="justify" vertical="top" wrapText="1"/>
      <protection locked="0"/>
    </xf>
    <xf numFmtId="0" fontId="0" fillId="28" borderId="0" xfId="0" applyFont="1" applyFill="1" applyBorder="1" applyAlignment="1">
      <alignment horizontal="justify" vertical="top" wrapText="1"/>
    </xf>
    <xf numFmtId="0" fontId="0" fillId="26" borderId="0" xfId="0" applyFill="1" applyAlignment="1">
      <alignment horizontal="center" vertical="top" wrapText="1"/>
    </xf>
    <xf numFmtId="0" fontId="0" fillId="26" borderId="0" xfId="0" applyFont="1" applyFill="1" applyAlignment="1">
      <alignment horizontal="center" vertical="top" wrapText="1"/>
    </xf>
    <xf numFmtId="0" fontId="0" fillId="26" borderId="0" xfId="0" applyNumberFormat="1" applyFont="1" applyFill="1" applyBorder="1" applyAlignment="1">
      <alignment horizontal="justify" vertical="top" wrapText="1"/>
    </xf>
    <xf numFmtId="0" fontId="0" fillId="26" borderId="0" xfId="0" applyFill="1" applyBorder="1" applyAlignment="1">
      <alignment horizontal="left" vertical="top" wrapText="1"/>
    </xf>
    <xf numFmtId="0" fontId="0" fillId="26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4" fillId="26" borderId="0" xfId="0" applyFont="1" applyFill="1" applyAlignment="1">
      <alignment vertical="top" wrapText="1"/>
    </xf>
    <xf numFmtId="0" fontId="4" fillId="7" borderId="23" xfId="0" applyFont="1" applyFill="1" applyBorder="1" applyAlignment="1">
      <alignment vertical="center" textRotation="90" wrapText="1"/>
    </xf>
    <xf numFmtId="0" fontId="6" fillId="0" borderId="5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4" fillId="26" borderId="0" xfId="0" applyFont="1" applyFill="1" applyBorder="1" applyAlignment="1">
      <alignment horizontal="center" vertical="top" wrapText="1"/>
    </xf>
    <xf numFmtId="0" fontId="5" fillId="29" borderId="13" xfId="0" applyFont="1" applyFill="1" applyBorder="1" applyAlignment="1" applyProtection="1">
      <alignment horizontal="left" vertical="center" wrapText="1"/>
      <protection/>
    </xf>
    <xf numFmtId="0" fontId="3" fillId="3" borderId="23" xfId="0" applyFont="1" applyFill="1" applyBorder="1" applyAlignment="1" applyProtection="1">
      <alignment horizontal="center" textRotation="90" wrapText="1"/>
      <protection/>
    </xf>
    <xf numFmtId="0" fontId="3" fillId="3" borderId="53" xfId="0" applyFont="1" applyFill="1" applyBorder="1" applyAlignment="1" applyProtection="1">
      <alignment horizontal="center" textRotation="90" wrapText="1"/>
      <protection/>
    </xf>
    <xf numFmtId="0" fontId="3" fillId="3" borderId="12" xfId="0" applyFont="1" applyFill="1" applyBorder="1" applyAlignment="1" applyProtection="1">
      <alignment horizontal="center" textRotation="90" wrapText="1"/>
      <protection/>
    </xf>
    <xf numFmtId="1" fontId="34" fillId="5" borderId="21" xfId="0" applyNumberFormat="1" applyFont="1" applyFill="1" applyBorder="1" applyAlignment="1" applyProtection="1">
      <alignment horizontal="center" vertical="center" wrapText="1"/>
      <protection/>
    </xf>
    <xf numFmtId="1" fontId="34" fillId="5" borderId="29" xfId="0" applyNumberFormat="1" applyFont="1" applyFill="1" applyBorder="1" applyAlignment="1" applyProtection="1">
      <alignment horizontal="center" vertical="center" wrapText="1"/>
      <protection/>
    </xf>
    <xf numFmtId="2" fontId="34" fillId="5" borderId="55" xfId="0" applyNumberFormat="1" applyFont="1" applyFill="1" applyBorder="1" applyAlignment="1" applyProtection="1">
      <alignment horizontal="center" vertical="center" wrapText="1"/>
      <protection/>
    </xf>
    <xf numFmtId="2" fontId="34" fillId="5" borderId="56" xfId="0" applyNumberFormat="1" applyFont="1" applyFill="1" applyBorder="1" applyAlignment="1" applyProtection="1">
      <alignment horizontal="center" vertical="center" wrapText="1"/>
      <protection/>
    </xf>
    <xf numFmtId="2" fontId="34" fillId="5" borderId="57" xfId="0" applyNumberFormat="1" applyFont="1" applyFill="1" applyBorder="1" applyAlignment="1" applyProtection="1">
      <alignment horizontal="center" vertical="center" wrapText="1"/>
      <protection/>
    </xf>
    <xf numFmtId="180" fontId="34" fillId="5" borderId="55" xfId="0" applyNumberFormat="1" applyFont="1" applyFill="1" applyBorder="1" applyAlignment="1" applyProtection="1">
      <alignment horizontal="center" vertical="center" wrapText="1"/>
      <protection/>
    </xf>
    <xf numFmtId="180" fontId="34" fillId="5" borderId="56" xfId="0" applyNumberFormat="1" applyFont="1" applyFill="1" applyBorder="1" applyAlignment="1" applyProtection="1">
      <alignment horizontal="center" vertical="center" wrapText="1"/>
      <protection/>
    </xf>
    <xf numFmtId="180" fontId="34" fillId="5" borderId="57" xfId="0" applyNumberFormat="1" applyFont="1" applyFill="1" applyBorder="1" applyAlignment="1" applyProtection="1">
      <alignment horizontal="center" vertical="center" wrapText="1"/>
      <protection/>
    </xf>
    <xf numFmtId="0" fontId="34" fillId="15" borderId="21" xfId="0" applyFont="1" applyFill="1" applyBorder="1" applyAlignment="1" applyProtection="1">
      <alignment horizontal="left" vertical="center" wrapText="1"/>
      <protection/>
    </xf>
    <xf numFmtId="0" fontId="34" fillId="15" borderId="29" xfId="0" applyFont="1" applyFill="1" applyBorder="1" applyAlignment="1" applyProtection="1">
      <alignment horizontal="left" vertical="center" wrapText="1"/>
      <protection/>
    </xf>
    <xf numFmtId="1" fontId="34" fillId="36" borderId="29" xfId="0" applyNumberFormat="1" applyFont="1" applyFill="1" applyBorder="1" applyAlignment="1" applyProtection="1">
      <alignment horizontal="center" vertical="center" wrapText="1"/>
      <protection/>
    </xf>
    <xf numFmtId="1" fontId="5" fillId="5" borderId="21" xfId="0" applyNumberFormat="1" applyFont="1" applyFill="1" applyBorder="1" applyAlignment="1" applyProtection="1">
      <alignment horizontal="center" vertical="center" wrapText="1"/>
      <protection/>
    </xf>
    <xf numFmtId="1" fontId="5" fillId="5" borderId="29" xfId="0" applyNumberFormat="1" applyFont="1" applyFill="1" applyBorder="1" applyAlignment="1" applyProtection="1">
      <alignment horizontal="center" vertical="center" wrapText="1"/>
      <protection/>
    </xf>
    <xf numFmtId="0" fontId="0" fillId="25" borderId="16" xfId="0" applyFont="1" applyFill="1" applyBorder="1" applyAlignment="1" applyProtection="1">
      <alignment horizontal="left" vertical="top" wrapText="1"/>
      <protection/>
    </xf>
    <xf numFmtId="0" fontId="0" fillId="25" borderId="0" xfId="0" applyFont="1" applyFill="1" applyBorder="1" applyAlignment="1" applyProtection="1">
      <alignment horizontal="left" vertical="top" wrapText="1"/>
      <protection/>
    </xf>
    <xf numFmtId="1" fontId="5" fillId="5" borderId="21" xfId="0" applyNumberFormat="1" applyFont="1" applyFill="1" applyBorder="1" applyAlignment="1" applyProtection="1">
      <alignment horizontal="center" wrapText="1"/>
      <protection/>
    </xf>
    <xf numFmtId="1" fontId="5" fillId="5" borderId="29" xfId="0" applyNumberFormat="1" applyFont="1" applyFill="1" applyBorder="1" applyAlignment="1" applyProtection="1">
      <alignment horizontal="center" wrapText="1"/>
      <protection/>
    </xf>
    <xf numFmtId="1" fontId="34" fillId="5" borderId="22" xfId="0" applyNumberFormat="1" applyFont="1" applyFill="1" applyBorder="1" applyAlignment="1" applyProtection="1">
      <alignment horizontal="center" vertical="center" wrapText="1"/>
      <protection/>
    </xf>
    <xf numFmtId="180" fontId="34" fillId="5" borderId="58" xfId="0" applyNumberFormat="1" applyFont="1" applyFill="1" applyBorder="1" applyAlignment="1" applyProtection="1">
      <alignment horizontal="center" vertical="center" wrapText="1"/>
      <protection/>
    </xf>
    <xf numFmtId="180" fontId="5" fillId="5" borderId="55" xfId="0" applyNumberFormat="1" applyFont="1" applyFill="1" applyBorder="1" applyAlignment="1" applyProtection="1">
      <alignment horizontal="center" vertical="center" wrapText="1"/>
      <protection/>
    </xf>
    <xf numFmtId="180" fontId="5" fillId="5" borderId="56" xfId="0" applyNumberFormat="1" applyFont="1" applyFill="1" applyBorder="1" applyAlignment="1" applyProtection="1">
      <alignment horizontal="center" vertical="center" wrapText="1"/>
      <protection/>
    </xf>
    <xf numFmtId="180" fontId="5" fillId="5" borderId="57" xfId="0" applyNumberFormat="1" applyFont="1" applyFill="1" applyBorder="1" applyAlignment="1" applyProtection="1">
      <alignment horizontal="center" vertical="center" wrapText="1"/>
      <protection/>
    </xf>
    <xf numFmtId="1" fontId="34" fillId="5" borderId="55" xfId="0" applyNumberFormat="1" applyFont="1" applyFill="1" applyBorder="1" applyAlignment="1" applyProtection="1">
      <alignment horizontal="center" vertical="center" wrapText="1"/>
      <protection/>
    </xf>
    <xf numFmtId="1" fontId="34" fillId="5" borderId="56" xfId="0" applyNumberFormat="1" applyFont="1" applyFill="1" applyBorder="1" applyAlignment="1" applyProtection="1">
      <alignment horizontal="center" vertical="center" wrapText="1"/>
      <protection/>
    </xf>
    <xf numFmtId="1" fontId="34" fillId="5" borderId="58" xfId="0" applyNumberFormat="1" applyFont="1" applyFill="1" applyBorder="1" applyAlignment="1" applyProtection="1">
      <alignment horizontal="center" vertical="center" wrapText="1"/>
      <protection/>
    </xf>
    <xf numFmtId="1" fontId="34" fillId="5" borderId="57" xfId="0" applyNumberFormat="1" applyFont="1" applyFill="1" applyBorder="1" applyAlignment="1" applyProtection="1">
      <alignment horizontal="center" vertical="center" wrapText="1"/>
      <protection/>
    </xf>
    <xf numFmtId="0" fontId="5" fillId="31" borderId="13" xfId="0" applyFont="1" applyFill="1" applyBorder="1" applyAlignment="1" applyProtection="1">
      <alignment horizontal="left" vertical="center" wrapText="1"/>
      <protection/>
    </xf>
    <xf numFmtId="0" fontId="3" fillId="3" borderId="23" xfId="0" applyFont="1" applyFill="1" applyBorder="1" applyAlignment="1" applyProtection="1">
      <alignment horizontal="center" textRotation="90" wrapText="1"/>
      <protection/>
    </xf>
    <xf numFmtId="0" fontId="3" fillId="3" borderId="53" xfId="0" applyFont="1" applyFill="1" applyBorder="1" applyAlignment="1" applyProtection="1">
      <alignment horizontal="center" textRotation="90" wrapText="1"/>
      <protection/>
    </xf>
    <xf numFmtId="0" fontId="3" fillId="3" borderId="12" xfId="0" applyFont="1" applyFill="1" applyBorder="1" applyAlignment="1" applyProtection="1">
      <alignment horizontal="center" textRotation="90" wrapText="1"/>
      <protection/>
    </xf>
    <xf numFmtId="0" fontId="3" fillId="3" borderId="13" xfId="0" applyFont="1" applyFill="1" applyBorder="1" applyAlignment="1" applyProtection="1">
      <alignment horizontal="center" vertical="top" wrapText="1"/>
      <protection/>
    </xf>
    <xf numFmtId="0" fontId="3" fillId="3" borderId="21" xfId="0" applyFont="1" applyFill="1" applyBorder="1" applyAlignment="1" applyProtection="1">
      <alignment horizontal="center" vertical="top" wrapText="1"/>
      <protection/>
    </xf>
    <xf numFmtId="0" fontId="5" fillId="15" borderId="21" xfId="0" applyFont="1" applyFill="1" applyBorder="1" applyAlignment="1" applyProtection="1">
      <alignment horizontal="left" vertical="center" wrapText="1"/>
      <protection/>
    </xf>
    <xf numFmtId="0" fontId="5" fillId="15" borderId="29" xfId="0" applyFont="1" applyFill="1" applyBorder="1" applyAlignment="1" applyProtection="1">
      <alignment horizontal="left" vertical="center" wrapText="1"/>
      <protection/>
    </xf>
    <xf numFmtId="0" fontId="5" fillId="15" borderId="22" xfId="0" applyFont="1" applyFill="1" applyBorder="1" applyAlignment="1" applyProtection="1">
      <alignment horizontal="left" vertical="center" wrapText="1"/>
      <protection/>
    </xf>
    <xf numFmtId="1" fontId="5" fillId="5" borderId="55" xfId="0" applyNumberFormat="1" applyFont="1" applyFill="1" applyBorder="1" applyAlignment="1" applyProtection="1">
      <alignment horizontal="center" vertical="center" wrapText="1"/>
      <protection/>
    </xf>
    <xf numFmtId="1" fontId="5" fillId="5" borderId="56" xfId="0" applyNumberFormat="1" applyFont="1" applyFill="1" applyBorder="1" applyAlignment="1" applyProtection="1">
      <alignment horizontal="center" vertical="center" wrapText="1"/>
      <protection/>
    </xf>
    <xf numFmtId="1" fontId="5" fillId="5" borderId="57" xfId="0" applyNumberFormat="1" applyFont="1" applyFill="1" applyBorder="1" applyAlignment="1" applyProtection="1">
      <alignment horizontal="center" vertical="center" wrapText="1"/>
      <protection/>
    </xf>
    <xf numFmtId="0" fontId="34" fillId="28" borderId="13" xfId="0" applyFont="1" applyFill="1" applyBorder="1" applyAlignment="1" applyProtection="1">
      <alignment horizontal="center" vertical="center" wrapText="1"/>
      <protection locked="0"/>
    </xf>
    <xf numFmtId="49" fontId="3" fillId="3" borderId="17" xfId="0" applyNumberFormat="1" applyFont="1" applyFill="1" applyBorder="1" applyAlignment="1" applyProtection="1">
      <alignment horizontal="center" vertical="top" wrapText="1"/>
      <protection/>
    </xf>
    <xf numFmtId="49" fontId="3" fillId="3" borderId="14" xfId="0" applyNumberFormat="1" applyFont="1" applyFill="1" applyBorder="1" applyAlignment="1" applyProtection="1">
      <alignment horizontal="center" vertical="top" wrapText="1"/>
      <protection/>
    </xf>
    <xf numFmtId="49" fontId="3" fillId="3" borderId="59" xfId="0" applyNumberFormat="1" applyFont="1" applyFill="1" applyBorder="1" applyAlignment="1" applyProtection="1">
      <alignment horizontal="center" vertical="top" wrapText="1"/>
      <protection/>
    </xf>
    <xf numFmtId="49" fontId="3" fillId="3" borderId="60" xfId="0" applyNumberFormat="1" applyFont="1" applyFill="1" applyBorder="1" applyAlignment="1" applyProtection="1">
      <alignment horizontal="center" vertical="top" wrapText="1"/>
      <protection/>
    </xf>
    <xf numFmtId="1" fontId="0" fillId="3" borderId="28" xfId="0" applyNumberFormat="1" applyFont="1" applyFill="1" applyBorder="1" applyAlignment="1" applyProtection="1">
      <alignment horizontal="left" vertical="top" wrapText="1"/>
      <protection/>
    </xf>
    <xf numFmtId="1" fontId="0" fillId="3" borderId="16" xfId="0" applyNumberFormat="1" applyFont="1" applyFill="1" applyBorder="1" applyAlignment="1" applyProtection="1">
      <alignment horizontal="left" vertical="top" wrapText="1"/>
      <protection/>
    </xf>
    <xf numFmtId="0" fontId="5" fillId="24" borderId="21" xfId="0" applyFont="1" applyFill="1" applyBorder="1" applyAlignment="1" applyProtection="1">
      <alignment horizontal="left" vertical="center" wrapText="1"/>
      <protection/>
    </xf>
    <xf numFmtId="0" fontId="5" fillId="24" borderId="29" xfId="0" applyFont="1" applyFill="1" applyBorder="1" applyAlignment="1" applyProtection="1">
      <alignment horizontal="left" vertical="center" wrapText="1"/>
      <protection/>
    </xf>
    <xf numFmtId="0" fontId="5" fillId="24" borderId="22" xfId="0" applyFont="1" applyFill="1" applyBorder="1" applyAlignment="1" applyProtection="1">
      <alignment horizontal="left" vertical="center" wrapText="1"/>
      <protection/>
    </xf>
    <xf numFmtId="49" fontId="0" fillId="3" borderId="17" xfId="0" applyNumberFormat="1" applyFont="1" applyFill="1" applyBorder="1" applyAlignment="1" applyProtection="1">
      <alignment horizontal="left" vertical="top" wrapText="1"/>
      <protection/>
    </xf>
    <xf numFmtId="49" fontId="0" fillId="3" borderId="14" xfId="0" applyNumberFormat="1" applyFont="1" applyFill="1" applyBorder="1" applyAlignment="1" applyProtection="1">
      <alignment horizontal="left" vertical="top" wrapText="1"/>
      <protection/>
    </xf>
    <xf numFmtId="0" fontId="39" fillId="29" borderId="13" xfId="0" applyFont="1" applyFill="1" applyBorder="1" applyAlignment="1" applyProtection="1">
      <alignment horizontal="left" vertical="center" wrapText="1"/>
      <protection/>
    </xf>
    <xf numFmtId="0" fontId="5" fillId="15" borderId="17" xfId="0" applyNumberFormat="1" applyFont="1" applyFill="1" applyBorder="1" applyAlignment="1" applyProtection="1">
      <alignment horizontal="left" vertical="center" wrapText="1"/>
      <protection/>
    </xf>
    <xf numFmtId="0" fontId="5" fillId="15" borderId="14" xfId="0" applyNumberFormat="1" applyFont="1" applyFill="1" applyBorder="1" applyAlignment="1" applyProtection="1">
      <alignment horizontal="left" vertical="center" wrapText="1"/>
      <protection/>
    </xf>
    <xf numFmtId="0" fontId="5" fillId="15" borderId="28" xfId="0" applyNumberFormat="1" applyFont="1" applyFill="1" applyBorder="1" applyAlignment="1" applyProtection="1">
      <alignment horizontal="left" vertical="center" wrapText="1"/>
      <protection/>
    </xf>
    <xf numFmtId="0" fontId="5" fillId="15" borderId="16" xfId="0" applyNumberFormat="1" applyFont="1" applyFill="1" applyBorder="1" applyAlignment="1" applyProtection="1">
      <alignment horizontal="left" vertical="center" wrapText="1"/>
      <protection/>
    </xf>
    <xf numFmtId="0" fontId="34" fillId="35" borderId="21" xfId="0" applyFont="1" applyFill="1" applyBorder="1" applyAlignment="1" applyProtection="1">
      <alignment horizontal="left" vertical="center" wrapText="1"/>
      <protection locked="0"/>
    </xf>
    <xf numFmtId="0" fontId="34" fillId="35" borderId="29" xfId="0" applyFont="1" applyFill="1" applyBorder="1" applyAlignment="1" applyProtection="1">
      <alignment horizontal="left" vertical="center" wrapText="1"/>
      <protection locked="0"/>
    </xf>
    <xf numFmtId="0" fontId="34" fillId="35" borderId="22" xfId="0" applyFont="1" applyFill="1" applyBorder="1" applyAlignment="1" applyProtection="1">
      <alignment horizontal="left" vertical="center" wrapText="1"/>
      <protection locked="0"/>
    </xf>
    <xf numFmtId="0" fontId="39" fillId="29" borderId="21" xfId="0" applyFont="1" applyFill="1" applyBorder="1" applyAlignment="1" applyProtection="1">
      <alignment horizontal="left" vertical="center" wrapText="1"/>
      <protection/>
    </xf>
    <xf numFmtId="0" fontId="39" fillId="29" borderId="29" xfId="0" applyFont="1" applyFill="1" applyBorder="1" applyAlignment="1" applyProtection="1">
      <alignment horizontal="left" vertical="center" wrapText="1"/>
      <protection/>
    </xf>
    <xf numFmtId="0" fontId="39" fillId="29" borderId="22" xfId="0" applyFont="1" applyFill="1" applyBorder="1" applyAlignment="1" applyProtection="1">
      <alignment horizontal="left" vertical="center" wrapText="1"/>
      <protection/>
    </xf>
    <xf numFmtId="0" fontId="34" fillId="34" borderId="21" xfId="0" applyFont="1" applyFill="1" applyBorder="1" applyAlignment="1" applyProtection="1">
      <alignment horizontal="left" vertical="center" wrapText="1"/>
      <protection locked="0"/>
    </xf>
    <xf numFmtId="0" fontId="34" fillId="34" borderId="29" xfId="0" applyFont="1" applyFill="1" applyBorder="1" applyAlignment="1" applyProtection="1">
      <alignment horizontal="left" vertical="center" wrapText="1"/>
      <protection locked="0"/>
    </xf>
    <xf numFmtId="0" fontId="34" fillId="34" borderId="22" xfId="0" applyFont="1" applyFill="1" applyBorder="1" applyAlignment="1" applyProtection="1">
      <alignment horizontal="left" vertical="center" wrapText="1"/>
      <protection locked="0"/>
    </xf>
    <xf numFmtId="0" fontId="3" fillId="38" borderId="23" xfId="0" applyFont="1" applyFill="1" applyBorder="1" applyAlignment="1" applyProtection="1">
      <alignment horizontal="center" vertical="center" wrapText="1"/>
      <protection/>
    </xf>
    <xf numFmtId="0" fontId="3" fillId="38" borderId="53" xfId="0" applyFont="1" applyFill="1" applyBorder="1" applyAlignment="1" applyProtection="1">
      <alignment horizontal="center" vertical="center" wrapText="1"/>
      <protection/>
    </xf>
    <xf numFmtId="0" fontId="3" fillId="3" borderId="29" xfId="0" applyFont="1" applyFill="1" applyBorder="1" applyAlignment="1" applyProtection="1">
      <alignment horizontal="center" vertical="top" wrapText="1"/>
      <protection/>
    </xf>
    <xf numFmtId="1" fontId="34" fillId="5" borderId="17" xfId="0" applyNumberFormat="1" applyFont="1" applyFill="1" applyBorder="1" applyAlignment="1" applyProtection="1">
      <alignment horizontal="center" vertical="center" wrapText="1"/>
      <protection/>
    </xf>
    <xf numFmtId="1" fontId="34" fillId="5" borderId="14" xfId="0" applyNumberFormat="1" applyFont="1" applyFill="1" applyBorder="1" applyAlignment="1" applyProtection="1">
      <alignment horizontal="center" vertical="center" wrapText="1"/>
      <protection/>
    </xf>
    <xf numFmtId="0" fontId="34" fillId="15" borderId="22" xfId="0" applyFont="1" applyFill="1" applyBorder="1" applyAlignment="1" applyProtection="1">
      <alignment horizontal="left" vertical="center" wrapText="1"/>
      <protection/>
    </xf>
    <xf numFmtId="49" fontId="3" fillId="3" borderId="28" xfId="0" applyNumberFormat="1" applyFont="1" applyFill="1" applyBorder="1" applyAlignment="1" applyProtection="1">
      <alignment horizontal="center" vertical="top" wrapText="1"/>
      <protection/>
    </xf>
    <xf numFmtId="49" fontId="3" fillId="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53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49" fontId="3" fillId="3" borderId="40" xfId="0" applyNumberFormat="1" applyFont="1" applyFill="1" applyBorder="1" applyAlignment="1" applyProtection="1">
      <alignment horizontal="center" vertical="top" wrapText="1"/>
      <protection/>
    </xf>
    <xf numFmtId="49" fontId="3" fillId="3" borderId="33" xfId="0" applyNumberFormat="1" applyFont="1" applyFill="1" applyBorder="1" applyAlignment="1" applyProtection="1">
      <alignment horizontal="center" vertical="top" wrapText="1"/>
      <protection/>
    </xf>
    <xf numFmtId="1" fontId="3" fillId="3" borderId="14" xfId="0" applyNumberFormat="1" applyFont="1" applyFill="1" applyBorder="1" applyAlignment="1" applyProtection="1">
      <alignment horizontal="center" vertical="top" wrapText="1"/>
      <protection/>
    </xf>
    <xf numFmtId="49" fontId="3" fillId="3" borderId="61" xfId="0" applyNumberFormat="1" applyFont="1" applyFill="1" applyBorder="1" applyAlignment="1" applyProtection="1">
      <alignment horizontal="center" vertical="top" wrapText="1"/>
      <protection/>
    </xf>
    <xf numFmtId="49" fontId="3" fillId="3" borderId="19" xfId="0" applyNumberFormat="1" applyFont="1" applyFill="1" applyBorder="1" applyAlignment="1" applyProtection="1">
      <alignment horizontal="center" vertical="top" wrapText="1"/>
      <protection/>
    </xf>
    <xf numFmtId="49" fontId="3" fillId="3" borderId="62" xfId="0" applyNumberFormat="1" applyFont="1" applyFill="1" applyBorder="1" applyAlignment="1" applyProtection="1">
      <alignment horizontal="center" vertical="top" wrapText="1"/>
      <protection/>
    </xf>
    <xf numFmtId="49" fontId="3" fillId="3" borderId="63" xfId="0" applyNumberFormat="1" applyFont="1" applyFill="1" applyBorder="1" applyAlignment="1" applyProtection="1">
      <alignment horizontal="center" vertical="top" wrapText="1"/>
      <protection/>
    </xf>
    <xf numFmtId="49" fontId="3" fillId="3" borderId="64" xfId="0" applyNumberFormat="1" applyFont="1" applyFill="1" applyBorder="1" applyAlignment="1" applyProtection="1">
      <alignment horizontal="center" vertical="top" wrapText="1"/>
      <protection/>
    </xf>
    <xf numFmtId="49" fontId="3" fillId="3" borderId="65" xfId="0" applyNumberFormat="1" applyFont="1" applyFill="1" applyBorder="1" applyAlignment="1" applyProtection="1">
      <alignment horizontal="center" vertical="top" wrapText="1"/>
      <protection/>
    </xf>
    <xf numFmtId="0" fontId="3" fillId="3" borderId="29" xfId="0" applyFont="1" applyFill="1" applyBorder="1" applyAlignment="1" applyProtection="1">
      <alignment horizontal="center" vertical="top" wrapText="1"/>
      <protection/>
    </xf>
    <xf numFmtId="49" fontId="3" fillId="3" borderId="66" xfId="0" applyNumberFormat="1" applyFont="1" applyFill="1" applyBorder="1" applyAlignment="1" applyProtection="1">
      <alignment horizontal="center" vertical="top" wrapText="1"/>
      <protection/>
    </xf>
    <xf numFmtId="49" fontId="3" fillId="3" borderId="67" xfId="0" applyNumberFormat="1" applyFont="1" applyFill="1" applyBorder="1" applyAlignment="1" applyProtection="1">
      <alignment horizontal="center" vertical="top" wrapText="1"/>
      <protection/>
    </xf>
    <xf numFmtId="0" fontId="3" fillId="3" borderId="22" xfId="0" applyFont="1" applyFill="1" applyBorder="1" applyAlignment="1" applyProtection="1">
      <alignment horizontal="center" vertical="top" wrapText="1"/>
      <protection/>
    </xf>
    <xf numFmtId="49" fontId="3" fillId="3" borderId="23" xfId="0" applyNumberFormat="1" applyFont="1" applyFill="1" applyBorder="1" applyAlignment="1" applyProtection="1">
      <alignment horizontal="center" textRotation="90" wrapText="1"/>
      <protection/>
    </xf>
    <xf numFmtId="49" fontId="3" fillId="3" borderId="53" xfId="0" applyNumberFormat="1" applyFont="1" applyFill="1" applyBorder="1" applyAlignment="1" applyProtection="1">
      <alignment horizontal="center" textRotation="90" wrapText="1"/>
      <protection/>
    </xf>
    <xf numFmtId="49" fontId="3" fillId="38" borderId="17" xfId="0" applyNumberFormat="1" applyFont="1" applyFill="1" applyBorder="1" applyAlignment="1" applyProtection="1">
      <alignment horizontal="center" textRotation="90" wrapText="1"/>
      <protection/>
    </xf>
    <xf numFmtId="49" fontId="3" fillId="38" borderId="54" xfId="0" applyNumberFormat="1" applyFont="1" applyFill="1" applyBorder="1" applyAlignment="1" applyProtection="1">
      <alignment horizontal="center" textRotation="90" wrapText="1"/>
      <protection/>
    </xf>
    <xf numFmtId="0" fontId="3" fillId="3" borderId="13" xfId="0" applyFont="1" applyFill="1" applyBorder="1" applyAlignment="1" applyProtection="1">
      <alignment horizontal="center" textRotation="90" wrapText="1"/>
      <protection/>
    </xf>
    <xf numFmtId="0" fontId="37" fillId="26" borderId="0" xfId="0" applyFont="1" applyFill="1" applyAlignment="1">
      <alignment vertical="top" wrapText="1"/>
    </xf>
    <xf numFmtId="0" fontId="37" fillId="26" borderId="11" xfId="0" applyFont="1" applyFill="1" applyBorder="1" applyAlignment="1">
      <alignment vertical="top" wrapText="1"/>
    </xf>
    <xf numFmtId="0" fontId="4" fillId="26" borderId="0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justify" vertical="top" wrapText="1"/>
      <protection locked="0"/>
    </xf>
    <xf numFmtId="0" fontId="0" fillId="26" borderId="0" xfId="0" applyFont="1" applyFill="1" applyBorder="1" applyAlignment="1">
      <alignment horizontal="justify" vertical="top" wrapText="1"/>
    </xf>
    <xf numFmtId="0" fontId="0" fillId="26" borderId="0" xfId="0" applyFill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26" borderId="0" xfId="0" applyFont="1" applyFill="1" applyBorder="1" applyAlignment="1">
      <alignment horizontal="left" vertical="top" wrapText="1"/>
    </xf>
    <xf numFmtId="49" fontId="3" fillId="3" borderId="28" xfId="0" applyNumberFormat="1" applyFont="1" applyFill="1" applyBorder="1" applyAlignment="1" applyProtection="1">
      <alignment horizontal="center" vertical="top" wrapText="1"/>
      <protection/>
    </xf>
    <xf numFmtId="49" fontId="3" fillId="3" borderId="16" xfId="0" applyNumberFormat="1" applyFont="1" applyFill="1" applyBorder="1" applyAlignment="1" applyProtection="1">
      <alignment horizontal="center" vertical="top" wrapText="1"/>
      <protection/>
    </xf>
    <xf numFmtId="0" fontId="3" fillId="3" borderId="21" xfId="0" applyFont="1" applyFill="1" applyBorder="1" applyAlignment="1" applyProtection="1">
      <alignment horizontal="center" vertical="top" wrapText="1"/>
      <protection/>
    </xf>
    <xf numFmtId="0" fontId="3" fillId="3" borderId="22" xfId="0" applyFont="1" applyFill="1" applyBorder="1" applyAlignment="1" applyProtection="1">
      <alignment horizontal="center" vertical="top" wrapText="1"/>
      <protection/>
    </xf>
    <xf numFmtId="0" fontId="3" fillId="3" borderId="13" xfId="0" applyFont="1" applyFill="1" applyBorder="1" applyAlignment="1" applyProtection="1">
      <alignment horizontal="center" vertical="top" wrapText="1"/>
      <protection/>
    </xf>
    <xf numFmtId="0" fontId="3" fillId="15" borderId="21" xfId="0" applyFont="1" applyFill="1" applyBorder="1" applyAlignment="1" applyProtection="1">
      <alignment horizontal="left" vertical="top" wrapText="1"/>
      <protection/>
    </xf>
    <xf numFmtId="0" fontId="3" fillId="15" borderId="29" xfId="0" applyFont="1" applyFill="1" applyBorder="1" applyAlignment="1" applyProtection="1">
      <alignment horizontal="left" vertical="top" wrapText="1"/>
      <protection/>
    </xf>
    <xf numFmtId="0" fontId="3" fillId="15" borderId="22" xfId="0" applyFont="1" applyFill="1" applyBorder="1" applyAlignment="1" applyProtection="1">
      <alignment horizontal="left" vertical="top" wrapText="1"/>
      <protection/>
    </xf>
    <xf numFmtId="0" fontId="0" fillId="39" borderId="13" xfId="0" applyFont="1" applyFill="1" applyBorder="1" applyAlignment="1" applyProtection="1">
      <alignment horizontal="left" vertical="center" wrapText="1"/>
      <protection locked="0"/>
    </xf>
    <xf numFmtId="0" fontId="0" fillId="24" borderId="13" xfId="0" applyFont="1" applyFill="1" applyBorder="1" applyAlignment="1" applyProtection="1">
      <alignment horizontal="left" vertical="center" wrapText="1"/>
      <protection/>
    </xf>
    <xf numFmtId="0" fontId="0" fillId="31" borderId="13" xfId="0" applyFont="1" applyFill="1" applyBorder="1" applyAlignment="1" applyProtection="1">
      <alignment horizontal="left" vertical="center" wrapText="1"/>
      <protection/>
    </xf>
    <xf numFmtId="0" fontId="3" fillId="31" borderId="13" xfId="0" applyFont="1" applyFill="1" applyBorder="1" applyAlignment="1" applyProtection="1">
      <alignment horizontal="left" vertical="center" wrapText="1"/>
      <protection/>
    </xf>
    <xf numFmtId="0" fontId="3" fillId="24" borderId="13" xfId="0" applyFont="1" applyFill="1" applyBorder="1" applyAlignment="1" applyProtection="1">
      <alignment horizontal="left" vertical="center" wrapText="1"/>
      <protection/>
    </xf>
    <xf numFmtId="1" fontId="3" fillId="5" borderId="55" xfId="0" applyNumberFormat="1" applyFont="1" applyFill="1" applyBorder="1" applyAlignment="1" applyProtection="1">
      <alignment horizontal="center" vertical="top" wrapText="1"/>
      <protection/>
    </xf>
    <xf numFmtId="1" fontId="3" fillId="5" borderId="56" xfId="0" applyNumberFormat="1" applyFont="1" applyFill="1" applyBorder="1" applyAlignment="1" applyProtection="1">
      <alignment horizontal="center" vertical="top" wrapText="1"/>
      <protection/>
    </xf>
    <xf numFmtId="1" fontId="3" fillId="5" borderId="58" xfId="0" applyNumberFormat="1" applyFont="1" applyFill="1" applyBorder="1" applyAlignment="1" applyProtection="1">
      <alignment horizontal="center" vertical="top" wrapText="1"/>
      <protection/>
    </xf>
    <xf numFmtId="1" fontId="3" fillId="5" borderId="21" xfId="0" applyNumberFormat="1" applyFont="1" applyFill="1" applyBorder="1" applyAlignment="1" applyProtection="1">
      <alignment horizontal="center" vertical="top" wrapText="1"/>
      <protection/>
    </xf>
    <xf numFmtId="1" fontId="3" fillId="5" borderId="29" xfId="0" applyNumberFormat="1" applyFont="1" applyFill="1" applyBorder="1" applyAlignment="1" applyProtection="1">
      <alignment horizontal="center" vertical="top" wrapText="1"/>
      <protection/>
    </xf>
    <xf numFmtId="1" fontId="3" fillId="5" borderId="22" xfId="0" applyNumberFormat="1" applyFont="1" applyFill="1" applyBorder="1" applyAlignment="1" applyProtection="1">
      <alignment horizontal="center" vertical="top" wrapText="1"/>
      <protection/>
    </xf>
    <xf numFmtId="180" fontId="3" fillId="5" borderId="55" xfId="0" applyNumberFormat="1" applyFont="1" applyFill="1" applyBorder="1" applyAlignment="1" applyProtection="1">
      <alignment horizontal="center" vertical="top" wrapText="1"/>
      <protection/>
    </xf>
    <xf numFmtId="180" fontId="3" fillId="5" borderId="56" xfId="0" applyNumberFormat="1" applyFont="1" applyFill="1" applyBorder="1" applyAlignment="1" applyProtection="1">
      <alignment horizontal="center" vertical="top" wrapText="1"/>
      <protection/>
    </xf>
    <xf numFmtId="180" fontId="3" fillId="5" borderId="58" xfId="0" applyNumberFormat="1" applyFont="1" applyFill="1" applyBorder="1" applyAlignment="1" applyProtection="1">
      <alignment horizontal="center" vertical="top" wrapText="1"/>
      <protection/>
    </xf>
    <xf numFmtId="180" fontId="3" fillId="5" borderId="63" xfId="0" applyNumberFormat="1" applyFont="1" applyFill="1" applyBorder="1" applyAlignment="1" applyProtection="1">
      <alignment horizontal="center" vertical="top" wrapText="1"/>
      <protection/>
    </xf>
    <xf numFmtId="180" fontId="3" fillId="5" borderId="66" xfId="0" applyNumberFormat="1" applyFont="1" applyFill="1" applyBorder="1" applyAlignment="1" applyProtection="1">
      <alignment horizontal="center" vertical="top" wrapText="1"/>
      <protection/>
    </xf>
    <xf numFmtId="180" fontId="3" fillId="5" borderId="68" xfId="0" applyNumberFormat="1" applyFont="1" applyFill="1" applyBorder="1" applyAlignment="1" applyProtection="1">
      <alignment horizontal="center" vertical="top" wrapText="1"/>
      <protection/>
    </xf>
    <xf numFmtId="1" fontId="3" fillId="5" borderId="28" xfId="0" applyNumberFormat="1" applyFont="1" applyFill="1" applyBorder="1" applyAlignment="1" applyProtection="1">
      <alignment horizontal="center" vertical="top" wrapText="1"/>
      <protection/>
    </xf>
    <xf numFmtId="1" fontId="3" fillId="5" borderId="16" xfId="0" applyNumberFormat="1" applyFont="1" applyFill="1" applyBorder="1" applyAlignment="1" applyProtection="1">
      <alignment horizontal="center" vertical="top" wrapText="1"/>
      <protection/>
    </xf>
    <xf numFmtId="0" fontId="0" fillId="40" borderId="13" xfId="0" applyFont="1" applyFill="1" applyBorder="1" applyAlignment="1" applyProtection="1">
      <alignment horizontal="left" vertical="center" wrapText="1"/>
      <protection locked="0"/>
    </xf>
    <xf numFmtId="0" fontId="3" fillId="3" borderId="37" xfId="0" applyFont="1" applyFill="1" applyBorder="1" applyAlignment="1" applyProtection="1">
      <alignment horizontal="center" vertical="center" wrapText="1"/>
      <protection/>
    </xf>
    <xf numFmtId="0" fontId="3" fillId="3" borderId="69" xfId="0" applyFont="1" applyFill="1" applyBorder="1" applyAlignment="1" applyProtection="1">
      <alignment horizontal="center" vertical="center" wrapText="1"/>
      <protection/>
    </xf>
    <xf numFmtId="0" fontId="3" fillId="3" borderId="19" xfId="0" applyFont="1" applyFill="1" applyBorder="1" applyAlignment="1" applyProtection="1">
      <alignment horizontal="center" vertical="center" wrapText="1"/>
      <protection/>
    </xf>
    <xf numFmtId="49" fontId="3" fillId="3" borderId="31" xfId="0" applyNumberFormat="1" applyFont="1" applyFill="1" applyBorder="1" applyAlignment="1" applyProtection="1">
      <alignment horizontal="center" vertical="top" wrapText="1"/>
      <protection/>
    </xf>
    <xf numFmtId="49" fontId="3" fillId="3" borderId="38" xfId="0" applyNumberFormat="1" applyFont="1" applyFill="1" applyBorder="1" applyAlignment="1" applyProtection="1">
      <alignment horizontal="center" vertical="top" wrapText="1"/>
      <protection/>
    </xf>
    <xf numFmtId="49" fontId="3" fillId="3" borderId="28" xfId="0" applyNumberFormat="1" applyFont="1" applyFill="1" applyBorder="1" applyAlignment="1" applyProtection="1">
      <alignment horizontal="center" textRotation="90" wrapText="1"/>
      <protection/>
    </xf>
    <xf numFmtId="0" fontId="3" fillId="29" borderId="43" xfId="0" applyFont="1" applyFill="1" applyBorder="1" applyAlignment="1" applyProtection="1">
      <alignment horizontal="left" vertical="center" wrapText="1"/>
      <protection/>
    </xf>
    <xf numFmtId="0" fontId="3" fillId="29" borderId="29" xfId="0" applyFont="1" applyFill="1" applyBorder="1" applyAlignment="1" applyProtection="1">
      <alignment horizontal="left" vertical="center" wrapText="1"/>
      <protection/>
    </xf>
    <xf numFmtId="0" fontId="3" fillId="29" borderId="70" xfId="0" applyFont="1" applyFill="1" applyBorder="1" applyAlignment="1" applyProtection="1">
      <alignment horizontal="left" vertical="center" wrapText="1"/>
      <protection/>
    </xf>
    <xf numFmtId="0" fontId="30" fillId="29" borderId="43" xfId="0" applyFont="1" applyFill="1" applyBorder="1" applyAlignment="1" applyProtection="1">
      <alignment horizontal="left" vertical="center" wrapText="1"/>
      <protection/>
    </xf>
    <xf numFmtId="0" fontId="30" fillId="29" borderId="29" xfId="0" applyFont="1" applyFill="1" applyBorder="1" applyAlignment="1" applyProtection="1">
      <alignment horizontal="left" vertical="center" wrapText="1"/>
      <protection/>
    </xf>
    <xf numFmtId="0" fontId="30" fillId="29" borderId="33" xfId="0" applyFont="1" applyFill="1" applyBorder="1" applyAlignment="1" applyProtection="1">
      <alignment horizontal="left" vertical="center" wrapText="1"/>
      <protection/>
    </xf>
    <xf numFmtId="0" fontId="30" fillId="29" borderId="14" xfId="0" applyFont="1" applyFill="1" applyBorder="1" applyAlignment="1" applyProtection="1">
      <alignment horizontal="left" vertical="center" wrapText="1"/>
      <protection/>
    </xf>
    <xf numFmtId="0" fontId="3" fillId="3" borderId="21" xfId="0" applyFont="1" applyFill="1" applyBorder="1" applyAlignment="1" applyProtection="1">
      <alignment horizontal="center" textRotation="90" wrapText="1"/>
      <protection/>
    </xf>
    <xf numFmtId="0" fontId="3" fillId="3" borderId="15" xfId="0" applyFont="1" applyFill="1" applyBorder="1" applyAlignment="1" applyProtection="1">
      <alignment horizontal="center" textRotation="90" wrapText="1"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3" borderId="71" xfId="0" applyFont="1" applyFill="1" applyBorder="1" applyAlignment="1" applyProtection="1">
      <alignment horizontal="center" vertical="top" wrapText="1"/>
      <protection/>
    </xf>
    <xf numFmtId="0" fontId="3" fillId="3" borderId="72" xfId="0" applyFont="1" applyFill="1" applyBorder="1" applyAlignment="1" applyProtection="1">
      <alignment horizontal="center" vertical="top" wrapText="1"/>
      <protection/>
    </xf>
    <xf numFmtId="0" fontId="3" fillId="29" borderId="34" xfId="0" applyFont="1" applyFill="1" applyBorder="1" applyAlignment="1" applyProtection="1">
      <alignment horizontal="left" vertical="center" wrapText="1"/>
      <protection/>
    </xf>
    <xf numFmtId="0" fontId="3" fillId="29" borderId="35" xfId="0" applyFont="1" applyFill="1" applyBorder="1" applyAlignment="1" applyProtection="1">
      <alignment horizontal="left" vertical="center" wrapText="1"/>
      <protection/>
    </xf>
    <xf numFmtId="0" fontId="3" fillId="29" borderId="42" xfId="0" applyFont="1" applyFill="1" applyBorder="1" applyAlignment="1" applyProtection="1">
      <alignment horizontal="left" vertical="center" wrapText="1"/>
      <protection/>
    </xf>
    <xf numFmtId="0" fontId="3" fillId="29" borderId="30" xfId="0" applyFont="1" applyFill="1" applyBorder="1" applyAlignment="1" applyProtection="1">
      <alignment horizontal="left" vertical="center" wrapText="1"/>
      <protection/>
    </xf>
    <xf numFmtId="0" fontId="3" fillId="3" borderId="24" xfId="0" applyFont="1" applyFill="1" applyBorder="1" applyAlignment="1" applyProtection="1">
      <alignment horizontal="center" vertical="top" wrapText="1"/>
      <protection/>
    </xf>
    <xf numFmtId="0" fontId="3" fillId="3" borderId="73" xfId="0" applyFont="1" applyFill="1" applyBorder="1" applyAlignment="1" applyProtection="1">
      <alignment horizontal="center" vertical="top" wrapText="1"/>
      <protection/>
    </xf>
    <xf numFmtId="0" fontId="0" fillId="29" borderId="42" xfId="0" applyFill="1" applyBorder="1" applyAlignment="1" applyProtection="1">
      <alignment horizontal="left" vertical="center" wrapText="1"/>
      <protection locked="0"/>
    </xf>
    <xf numFmtId="0" fontId="0" fillId="29" borderId="30" xfId="0" applyFill="1" applyBorder="1" applyAlignment="1" applyProtection="1">
      <alignment horizontal="left" vertical="center" wrapText="1"/>
      <protection locked="0"/>
    </xf>
    <xf numFmtId="0" fontId="0" fillId="29" borderId="74" xfId="0" applyFill="1" applyBorder="1" applyAlignment="1" applyProtection="1">
      <alignment horizontal="left" vertical="center" wrapText="1"/>
      <protection locked="0"/>
    </xf>
    <xf numFmtId="0" fontId="0" fillId="29" borderId="42" xfId="0" applyFont="1" applyFill="1" applyBorder="1" applyAlignment="1" applyProtection="1">
      <alignment horizontal="left" vertical="center" wrapText="1"/>
      <protection locked="0"/>
    </xf>
    <xf numFmtId="0" fontId="0" fillId="29" borderId="30" xfId="0" applyFont="1" applyFill="1" applyBorder="1" applyAlignment="1" applyProtection="1">
      <alignment horizontal="left" vertical="center" wrapText="1"/>
      <protection locked="0"/>
    </xf>
    <xf numFmtId="0" fontId="0" fillId="29" borderId="74" xfId="0" applyFont="1" applyFill="1" applyBorder="1" applyAlignment="1" applyProtection="1">
      <alignment horizontal="left" vertical="center" wrapText="1"/>
      <protection locked="0"/>
    </xf>
    <xf numFmtId="0" fontId="0" fillId="29" borderId="44" xfId="0" applyFill="1" applyBorder="1" applyAlignment="1" applyProtection="1">
      <alignment horizontal="left" vertical="center" wrapText="1"/>
      <protection locked="0"/>
    </xf>
    <xf numFmtId="0" fontId="0" fillId="29" borderId="38" xfId="0" applyFill="1" applyBorder="1" applyAlignment="1" applyProtection="1">
      <alignment horizontal="left" vertical="center" wrapText="1"/>
      <protection locked="0"/>
    </xf>
    <xf numFmtId="0" fontId="0" fillId="29" borderId="75" xfId="0" applyFill="1" applyBorder="1" applyAlignment="1" applyProtection="1">
      <alignment horizontal="left" vertical="center" wrapText="1"/>
      <protection locked="0"/>
    </xf>
    <xf numFmtId="0" fontId="3" fillId="10" borderId="42" xfId="0" applyFont="1" applyFill="1" applyBorder="1" applyAlignment="1" applyProtection="1">
      <alignment horizontal="left" vertical="center" wrapText="1"/>
      <protection/>
    </xf>
    <xf numFmtId="0" fontId="3" fillId="10" borderId="30" xfId="0" applyFont="1" applyFill="1" applyBorder="1" applyAlignment="1" applyProtection="1">
      <alignment horizontal="left" vertical="center" wrapText="1"/>
      <protection/>
    </xf>
    <xf numFmtId="0" fontId="3" fillId="29" borderId="62" xfId="0" applyFont="1" applyFill="1" applyBorder="1" applyAlignment="1" applyProtection="1">
      <alignment horizontal="left" vertical="center" wrapText="1"/>
      <protection/>
    </xf>
    <xf numFmtId="0" fontId="3" fillId="29" borderId="16" xfId="0" applyFont="1" applyFill="1" applyBorder="1" applyAlignment="1" applyProtection="1">
      <alignment horizontal="left" vertical="center" wrapText="1"/>
      <protection/>
    </xf>
    <xf numFmtId="0" fontId="3" fillId="3" borderId="17" xfId="0" applyFont="1" applyFill="1" applyBorder="1" applyAlignment="1" applyProtection="1">
      <alignment horizontal="center" vertical="top" wrapText="1"/>
      <protection/>
    </xf>
    <xf numFmtId="0" fontId="3" fillId="3" borderId="54" xfId="0" applyFont="1" applyFill="1" applyBorder="1" applyAlignment="1" applyProtection="1">
      <alignment horizontal="center" vertical="top" wrapText="1"/>
      <protection/>
    </xf>
    <xf numFmtId="0" fontId="3" fillId="3" borderId="28" xfId="0" applyFont="1" applyFill="1" applyBorder="1" applyAlignment="1" applyProtection="1">
      <alignment horizontal="center" vertical="top" wrapText="1"/>
      <protection/>
    </xf>
    <xf numFmtId="49" fontId="3" fillId="3" borderId="17" xfId="0" applyNumberFormat="1" applyFont="1" applyFill="1" applyBorder="1" applyAlignment="1" applyProtection="1">
      <alignment horizontal="center" vertical="center" wrapText="1"/>
      <protection/>
    </xf>
    <xf numFmtId="49" fontId="3" fillId="3" borderId="14" xfId="0" applyNumberFormat="1" applyFont="1" applyFill="1" applyBorder="1" applyAlignment="1" applyProtection="1">
      <alignment horizontal="center" vertical="center" wrapText="1"/>
      <protection/>
    </xf>
    <xf numFmtId="49" fontId="3" fillId="3" borderId="28" xfId="0" applyNumberFormat="1" applyFont="1" applyFill="1" applyBorder="1" applyAlignment="1" applyProtection="1">
      <alignment horizontal="center" vertical="center" wrapText="1"/>
      <protection/>
    </xf>
    <xf numFmtId="49" fontId="3" fillId="3" borderId="16" xfId="0" applyNumberFormat="1" applyFont="1" applyFill="1" applyBorder="1" applyAlignment="1" applyProtection="1">
      <alignment horizontal="center" vertical="center" wrapText="1"/>
      <protection/>
    </xf>
    <xf numFmtId="1" fontId="3" fillId="3" borderId="44" xfId="0" applyNumberFormat="1" applyFont="1" applyFill="1" applyBorder="1" applyAlignment="1" applyProtection="1">
      <alignment horizontal="center" vertical="top" wrapText="1"/>
      <protection/>
    </xf>
    <xf numFmtId="1" fontId="3" fillId="3" borderId="75" xfId="0" applyNumberFormat="1" applyFont="1" applyFill="1" applyBorder="1" applyAlignment="1" applyProtection="1">
      <alignment horizontal="center" vertical="top" wrapText="1"/>
      <protection/>
    </xf>
    <xf numFmtId="1" fontId="3" fillId="3" borderId="76" xfId="0" applyNumberFormat="1" applyFont="1" applyFill="1" applyBorder="1" applyAlignment="1" applyProtection="1">
      <alignment horizontal="center" vertical="top" wrapText="1"/>
      <protection/>
    </xf>
    <xf numFmtId="1" fontId="3" fillId="3" borderId="72" xfId="0" applyNumberFormat="1" applyFont="1" applyFill="1" applyBorder="1" applyAlignment="1" applyProtection="1">
      <alignment horizontal="center" vertical="top" wrapText="1"/>
      <protection/>
    </xf>
    <xf numFmtId="1" fontId="3" fillId="3" borderId="62" xfId="0" applyNumberFormat="1" applyFont="1" applyFill="1" applyBorder="1" applyAlignment="1" applyProtection="1">
      <alignment horizontal="center" vertical="top" wrapText="1"/>
      <protection/>
    </xf>
    <xf numFmtId="1" fontId="3" fillId="3" borderId="77" xfId="0" applyNumberFormat="1" applyFont="1" applyFill="1" applyBorder="1" applyAlignment="1" applyProtection="1">
      <alignment horizontal="center" vertical="top" wrapText="1"/>
      <protection/>
    </xf>
    <xf numFmtId="14" fontId="0" fillId="26" borderId="21" xfId="53" applyNumberFormat="1" applyFont="1" applyFill="1" applyBorder="1" applyAlignment="1" applyProtection="1">
      <alignment horizontal="center" vertical="top" wrapText="1"/>
      <protection/>
    </xf>
    <xf numFmtId="14" fontId="0" fillId="26" borderId="29" xfId="53" applyNumberFormat="1" applyFont="1" applyFill="1" applyBorder="1" applyAlignment="1" applyProtection="1">
      <alignment horizontal="center" vertical="top" wrapText="1"/>
      <protection/>
    </xf>
    <xf numFmtId="14" fontId="0" fillId="26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21" xfId="53" applyFont="1" applyFill="1" applyBorder="1" applyAlignment="1" applyProtection="1">
      <alignment horizontal="center" vertical="top" wrapText="1" shrinkToFit="1"/>
      <protection/>
    </xf>
    <xf numFmtId="0" fontId="0" fillId="0" borderId="29" xfId="53" applyFont="1" applyFill="1" applyBorder="1" applyAlignment="1" applyProtection="1">
      <alignment horizontal="center" vertical="top" wrapText="1" shrinkToFit="1"/>
      <protection/>
    </xf>
    <xf numFmtId="0" fontId="0" fillId="0" borderId="22" xfId="53" applyFont="1" applyFill="1" applyBorder="1" applyAlignment="1" applyProtection="1">
      <alignment horizontal="center" vertical="top" wrapText="1" shrinkToFit="1"/>
      <protection/>
    </xf>
    <xf numFmtId="49" fontId="0" fillId="22" borderId="17" xfId="53" applyNumberFormat="1" applyFont="1" applyFill="1" applyBorder="1" applyAlignment="1" applyProtection="1">
      <alignment horizontal="left" vertical="top" wrapText="1" shrinkToFit="1"/>
      <protection/>
    </xf>
    <xf numFmtId="49" fontId="0" fillId="22" borderId="14" xfId="53" applyNumberFormat="1" applyFont="1" applyFill="1" applyBorder="1" applyAlignment="1" applyProtection="1">
      <alignment horizontal="left" vertical="top" wrapText="1" shrinkToFit="1"/>
      <protection/>
    </xf>
    <xf numFmtId="0" fontId="0" fillId="22" borderId="21" xfId="53" applyFont="1" applyFill="1" applyBorder="1" applyAlignment="1" applyProtection="1">
      <alignment horizontal="left" vertical="top" wrapText="1" shrinkToFit="1"/>
      <protection/>
    </xf>
    <xf numFmtId="0" fontId="0" fillId="22" borderId="29" xfId="53" applyFont="1" applyFill="1" applyBorder="1" applyAlignment="1" applyProtection="1">
      <alignment horizontal="left" vertical="top" wrapText="1" shrinkToFit="1"/>
      <protection/>
    </xf>
    <xf numFmtId="0" fontId="0" fillId="22" borderId="22" xfId="53" applyFont="1" applyFill="1" applyBorder="1" applyAlignment="1" applyProtection="1">
      <alignment horizontal="left" vertical="top" wrapText="1" shrinkToFit="1"/>
      <protection/>
    </xf>
    <xf numFmtId="0" fontId="0" fillId="22" borderId="21" xfId="53" applyFont="1" applyFill="1" applyBorder="1" applyAlignment="1" applyProtection="1">
      <alignment horizontal="left" vertical="top" wrapText="1" shrinkToFit="1"/>
      <protection/>
    </xf>
    <xf numFmtId="0" fontId="0" fillId="22" borderId="21" xfId="53" applyFont="1" applyFill="1" applyBorder="1" applyAlignment="1" applyProtection="1">
      <alignment vertical="top" wrapText="1"/>
      <protection/>
    </xf>
    <xf numFmtId="0" fontId="0" fillId="22" borderId="29" xfId="53" applyFont="1" applyFill="1" applyBorder="1" applyAlignment="1" applyProtection="1">
      <alignment vertical="top" wrapText="1"/>
      <protection/>
    </xf>
    <xf numFmtId="0" fontId="0" fillId="22" borderId="22" xfId="53" applyFont="1" applyFill="1" applyBorder="1" applyAlignment="1" applyProtection="1">
      <alignment vertical="top" wrapText="1"/>
      <protection/>
    </xf>
    <xf numFmtId="0" fontId="3" fillId="7" borderId="13" xfId="53" applyFont="1" applyFill="1" applyBorder="1" applyAlignment="1" applyProtection="1">
      <alignment horizontal="center" vertical="top" wrapText="1"/>
      <protection/>
    </xf>
    <xf numFmtId="0" fontId="0" fillId="0" borderId="13" xfId="53" applyFont="1" applyFill="1" applyBorder="1" applyAlignment="1" applyProtection="1">
      <alignment horizontal="left" vertical="top" wrapText="1" shrinkToFit="1"/>
      <protection locked="0"/>
    </xf>
    <xf numFmtId="0" fontId="0" fillId="7" borderId="17" xfId="53" applyFont="1" applyFill="1" applyBorder="1" applyAlignment="1" applyProtection="1">
      <alignment horizontal="center" vertical="top" wrapText="1"/>
      <protection/>
    </xf>
    <xf numFmtId="0" fontId="0" fillId="7" borderId="14" xfId="53" applyFont="1" applyFill="1" applyBorder="1" applyAlignment="1" applyProtection="1">
      <alignment horizontal="center" vertical="top" wrapText="1"/>
      <protection/>
    </xf>
    <xf numFmtId="0" fontId="0" fillId="7" borderId="15" xfId="53" applyFont="1" applyFill="1" applyBorder="1" applyAlignment="1" applyProtection="1">
      <alignment horizontal="center" vertical="top" wrapText="1"/>
      <protection/>
    </xf>
    <xf numFmtId="0" fontId="0" fillId="7" borderId="28" xfId="53" applyFont="1" applyFill="1" applyBorder="1" applyAlignment="1" applyProtection="1">
      <alignment horizontal="center" vertical="top" wrapText="1"/>
      <protection/>
    </xf>
    <xf numFmtId="0" fontId="0" fillId="7" borderId="16" xfId="53" applyFont="1" applyFill="1" applyBorder="1" applyAlignment="1" applyProtection="1">
      <alignment horizontal="center" vertical="top" wrapText="1"/>
      <protection/>
    </xf>
    <xf numFmtId="0" fontId="0" fillId="7" borderId="10" xfId="53" applyFont="1" applyFill="1" applyBorder="1" applyAlignment="1" applyProtection="1">
      <alignment horizontal="center" vertical="top" wrapText="1"/>
      <protection/>
    </xf>
    <xf numFmtId="49" fontId="0" fillId="22" borderId="21" xfId="53" applyNumberFormat="1" applyFont="1" applyFill="1" applyBorder="1" applyAlignment="1" applyProtection="1">
      <alignment horizontal="left" vertical="top" wrapText="1"/>
      <protection/>
    </xf>
    <xf numFmtId="49" fontId="0" fillId="22" borderId="29" xfId="53" applyNumberFormat="1" applyFont="1" applyFill="1" applyBorder="1" applyAlignment="1" applyProtection="1">
      <alignment horizontal="left" vertical="top" wrapText="1"/>
      <protection/>
    </xf>
    <xf numFmtId="49" fontId="0" fillId="22" borderId="22" xfId="53" applyNumberFormat="1" applyFont="1" applyFill="1" applyBorder="1" applyAlignment="1" applyProtection="1">
      <alignment horizontal="left" vertical="top" wrapText="1"/>
      <protection/>
    </xf>
    <xf numFmtId="0" fontId="5" fillId="22" borderId="28" xfId="53" applyNumberFormat="1" applyFont="1" applyFill="1" applyBorder="1" applyAlignment="1" applyProtection="1">
      <alignment horizontal="left" vertical="center"/>
      <protection/>
    </xf>
    <xf numFmtId="0" fontId="5" fillId="22" borderId="16" xfId="53" applyNumberFormat="1" applyFont="1" applyFill="1" applyBorder="1" applyAlignment="1" applyProtection="1">
      <alignment horizontal="left" vertical="center"/>
      <protection/>
    </xf>
    <xf numFmtId="0" fontId="0" fillId="26" borderId="21" xfId="53" applyNumberFormat="1" applyFont="1" applyFill="1" applyBorder="1" applyAlignment="1" applyProtection="1">
      <alignment horizontal="center" vertical="top" wrapText="1"/>
      <protection/>
    </xf>
    <xf numFmtId="0" fontId="0" fillId="26" borderId="29" xfId="53" applyNumberFormat="1" applyFont="1" applyFill="1" applyBorder="1" applyAlignment="1" applyProtection="1">
      <alignment horizontal="center" vertical="top" wrapText="1"/>
      <protection/>
    </xf>
    <xf numFmtId="0" fontId="0" fillId="26" borderId="22" xfId="53" applyNumberFormat="1" applyFont="1" applyFill="1" applyBorder="1" applyAlignment="1" applyProtection="1">
      <alignment horizontal="center" vertical="top" wrapText="1"/>
      <protection/>
    </xf>
    <xf numFmtId="49" fontId="0" fillId="22" borderId="21" xfId="53" applyNumberFormat="1" applyFont="1" applyFill="1" applyBorder="1" applyAlignment="1" applyProtection="1">
      <alignment horizontal="left" vertical="top" wrapText="1"/>
      <protection/>
    </xf>
    <xf numFmtId="0" fontId="0" fillId="22" borderId="21" xfId="53" applyFont="1" applyFill="1" applyBorder="1" applyAlignment="1" applyProtection="1">
      <alignment vertical="top" wrapText="1"/>
      <protection/>
    </xf>
    <xf numFmtId="0" fontId="0" fillId="7" borderId="21" xfId="53" applyFont="1" applyFill="1" applyBorder="1" applyAlignment="1" applyProtection="1">
      <alignment horizontal="center" vertical="top" wrapText="1"/>
      <protection/>
    </xf>
    <xf numFmtId="0" fontId="0" fillId="7" borderId="29" xfId="53" applyFont="1" applyFill="1" applyBorder="1" applyAlignment="1" applyProtection="1">
      <alignment horizontal="center" vertical="top" wrapText="1"/>
      <protection/>
    </xf>
    <xf numFmtId="0" fontId="0" fillId="7" borderId="22" xfId="53" applyFont="1" applyFill="1" applyBorder="1" applyAlignment="1" applyProtection="1">
      <alignment horizontal="center" vertical="top" wrapText="1"/>
      <protection/>
    </xf>
    <xf numFmtId="0" fontId="3" fillId="0" borderId="0" xfId="53" applyFont="1" applyBorder="1" applyAlignment="1" applyProtection="1">
      <alignment horizontal="center" vertical="top" wrapText="1"/>
      <protection/>
    </xf>
    <xf numFmtId="0" fontId="0" fillId="7" borderId="13" xfId="53" applyFont="1" applyFill="1" applyBorder="1" applyAlignment="1" applyProtection="1">
      <alignment horizontal="center" vertical="top" wrapText="1"/>
      <protection/>
    </xf>
    <xf numFmtId="0" fontId="3" fillId="0" borderId="16" xfId="53" applyFont="1" applyFill="1" applyBorder="1" applyAlignment="1" applyProtection="1">
      <alignment horizontal="center" vertical="top" wrapText="1"/>
      <protection/>
    </xf>
    <xf numFmtId="49" fontId="0" fillId="7" borderId="21" xfId="53" applyNumberFormat="1" applyFont="1" applyFill="1" applyBorder="1" applyAlignment="1" applyProtection="1">
      <alignment horizontal="center" vertical="top" wrapText="1" shrinkToFit="1"/>
      <protection/>
    </xf>
    <xf numFmtId="49" fontId="0" fillId="7" borderId="22" xfId="53" applyNumberFormat="1" applyFont="1" applyFill="1" applyBorder="1" applyAlignment="1" applyProtection="1">
      <alignment horizontal="center" vertical="top" wrapText="1" shrinkToFit="1"/>
      <protection/>
    </xf>
    <xf numFmtId="0" fontId="0" fillId="24" borderId="21" xfId="53" applyFont="1" applyFill="1" applyBorder="1" applyAlignment="1" applyProtection="1">
      <alignment vertical="top" wrapText="1"/>
      <protection/>
    </xf>
    <xf numFmtId="0" fontId="0" fillId="24" borderId="29" xfId="53" applyFont="1" applyFill="1" applyBorder="1" applyAlignment="1" applyProtection="1">
      <alignment vertical="top" wrapText="1"/>
      <protection/>
    </xf>
    <xf numFmtId="0" fontId="0" fillId="24" borderId="22" xfId="53" applyFont="1" applyFill="1" applyBorder="1" applyAlignment="1" applyProtection="1">
      <alignment vertical="top" wrapText="1"/>
      <protection/>
    </xf>
    <xf numFmtId="0" fontId="31" fillId="25" borderId="21" xfId="0" applyFont="1" applyFill="1" applyBorder="1" applyAlignment="1" applyProtection="1">
      <alignment horizontal="center" vertical="top" wrapText="1"/>
      <protection/>
    </xf>
    <xf numFmtId="0" fontId="31" fillId="25" borderId="22" xfId="0" applyFont="1" applyFill="1" applyBorder="1" applyAlignment="1" applyProtection="1">
      <alignment horizontal="center" vertical="top" wrapText="1"/>
      <protection/>
    </xf>
    <xf numFmtId="49" fontId="0" fillId="22" borderId="13" xfId="53" applyNumberFormat="1" applyFont="1" applyFill="1" applyBorder="1" applyAlignment="1" applyProtection="1">
      <alignment horizontal="center" vertical="top" wrapText="1" shrinkToFit="1"/>
      <protection/>
    </xf>
    <xf numFmtId="49" fontId="0" fillId="22" borderId="28" xfId="53" applyNumberFormat="1" applyFont="1" applyFill="1" applyBorder="1" applyAlignment="1" applyProtection="1">
      <alignment horizontal="left" vertical="top" wrapText="1" shrinkToFit="1"/>
      <protection/>
    </xf>
    <xf numFmtId="49" fontId="0" fillId="22" borderId="16" xfId="53" applyNumberFormat="1" applyFont="1" applyFill="1" applyBorder="1" applyAlignment="1" applyProtection="1">
      <alignment horizontal="left" vertical="top" wrapText="1" shrinkToFit="1"/>
      <protection/>
    </xf>
    <xf numFmtId="0" fontId="4" fillId="25" borderId="21" xfId="0" applyFont="1" applyFill="1" applyBorder="1" applyAlignment="1" applyProtection="1">
      <alignment horizontal="center" vertical="top" wrapText="1"/>
      <protection/>
    </xf>
    <xf numFmtId="0" fontId="4" fillId="25" borderId="22" xfId="0" applyFont="1" applyFill="1" applyBorder="1" applyAlignment="1" applyProtection="1">
      <alignment horizontal="center" vertical="top" wrapText="1"/>
      <protection/>
    </xf>
    <xf numFmtId="180" fontId="4" fillId="25" borderId="21" xfId="0" applyNumberFormat="1" applyFont="1" applyFill="1" applyBorder="1" applyAlignment="1" applyProtection="1">
      <alignment horizontal="center" vertical="top" wrapText="1"/>
      <protection/>
    </xf>
    <xf numFmtId="180" fontId="4" fillId="25" borderId="22" xfId="0" applyNumberFormat="1" applyFont="1" applyFill="1" applyBorder="1" applyAlignment="1" applyProtection="1">
      <alignment horizontal="center" vertical="top" wrapText="1"/>
      <protection/>
    </xf>
    <xf numFmtId="49" fontId="0" fillId="20" borderId="21" xfId="53" applyNumberFormat="1" applyFont="1" applyFill="1" applyBorder="1" applyAlignment="1" applyProtection="1">
      <alignment horizontal="left" vertical="top" wrapText="1"/>
      <protection/>
    </xf>
    <xf numFmtId="49" fontId="0" fillId="20" borderId="29" xfId="53" applyNumberFormat="1" applyFont="1" applyFill="1" applyBorder="1" applyAlignment="1" applyProtection="1">
      <alignment horizontal="left" vertical="top" wrapText="1"/>
      <protection/>
    </xf>
    <xf numFmtId="49" fontId="0" fillId="20" borderId="22" xfId="53" applyNumberFormat="1" applyFont="1" applyFill="1" applyBorder="1" applyAlignment="1" applyProtection="1">
      <alignment horizontal="left" vertical="top" wrapText="1"/>
      <protection/>
    </xf>
    <xf numFmtId="0" fontId="3" fillId="28" borderId="13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justify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top" wrapText="1"/>
    </xf>
    <xf numFmtId="0" fontId="36" fillId="42" borderId="0" xfId="0" applyNumberFormat="1" applyFont="1" applyFill="1" applyBorder="1" applyAlignment="1" applyProtection="1">
      <alignment horizontal="left" vertical="top" wrapText="1"/>
      <protection locked="0"/>
    </xf>
    <xf numFmtId="1" fontId="3" fillId="3" borderId="17" xfId="0" applyNumberFormat="1" applyFont="1" applyFill="1" applyBorder="1" applyAlignment="1" applyProtection="1">
      <alignment horizontal="center" vertical="top" wrapText="1"/>
      <protection/>
    </xf>
    <xf numFmtId="1" fontId="3" fillId="3" borderId="15" xfId="0" applyNumberFormat="1" applyFont="1" applyFill="1" applyBorder="1" applyAlignment="1" applyProtection="1">
      <alignment horizontal="center" vertical="top" wrapText="1"/>
      <protection/>
    </xf>
    <xf numFmtId="49" fontId="3" fillId="3" borderId="23" xfId="0" applyNumberFormat="1" applyFont="1" applyFill="1" applyBorder="1" applyAlignment="1" applyProtection="1">
      <alignment horizontal="center" vertical="center" wrapText="1"/>
      <protection/>
    </xf>
    <xf numFmtId="1" fontId="3" fillId="3" borderId="54" xfId="0" applyNumberFormat="1" applyFont="1" applyFill="1" applyBorder="1" applyAlignment="1" applyProtection="1">
      <alignment horizontal="center" vertical="top" wrapText="1"/>
      <protection/>
    </xf>
    <xf numFmtId="1" fontId="3" fillId="3" borderId="11" xfId="0" applyNumberFormat="1" applyFont="1" applyFill="1" applyBorder="1" applyAlignment="1" applyProtection="1">
      <alignment horizontal="center" vertical="top" wrapText="1"/>
      <protection/>
    </xf>
    <xf numFmtId="49" fontId="3" fillId="3" borderId="53" xfId="0" applyNumberFormat="1" applyFont="1" applyFill="1" applyBorder="1" applyAlignment="1" applyProtection="1">
      <alignment horizontal="center" vertical="center" wrapText="1"/>
      <protection/>
    </xf>
    <xf numFmtId="1" fontId="3" fillId="3" borderId="28" xfId="0" applyNumberFormat="1" applyFont="1" applyFill="1" applyBorder="1" applyAlignment="1" applyProtection="1">
      <alignment horizontal="center" vertical="top" wrapText="1"/>
      <protection/>
    </xf>
    <xf numFmtId="1" fontId="3" fillId="3" borderId="10" xfId="0" applyNumberFormat="1" applyFont="1" applyFill="1" applyBorder="1" applyAlignment="1" applyProtection="1">
      <alignment horizontal="center" vertical="top" wrapText="1"/>
      <protection/>
    </xf>
    <xf numFmtId="1" fontId="3" fillId="3" borderId="12" xfId="0" applyNumberFormat="1" applyFont="1" applyFill="1" applyBorder="1" applyAlignment="1" applyProtection="1">
      <alignment horizontal="center" textRotation="90" wrapText="1"/>
      <protection/>
    </xf>
    <xf numFmtId="49" fontId="3" fillId="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28" borderId="23" xfId="0" applyFont="1" applyFill="1" applyBorder="1" applyAlignment="1" applyProtection="1">
      <alignment horizontal="left" vertical="center" wrapText="1"/>
      <protection locked="0"/>
    </xf>
    <xf numFmtId="0" fontId="0" fillId="28" borderId="0" xfId="0" applyFont="1" applyFill="1" applyAlignment="1">
      <alignment/>
    </xf>
    <xf numFmtId="0" fontId="0" fillId="28" borderId="12" xfId="0" applyFont="1" applyFill="1" applyBorder="1" applyAlignment="1" applyProtection="1">
      <alignment horizontal="left" vertical="center" wrapText="1"/>
      <protection locked="0"/>
    </xf>
    <xf numFmtId="0" fontId="46" fillId="0" borderId="13" xfId="0" applyFont="1" applyFill="1" applyBorder="1" applyAlignment="1" applyProtection="1">
      <alignment vertical="top" wrapText="1"/>
      <protection locked="0"/>
    </xf>
    <xf numFmtId="49" fontId="46" fillId="41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3" xfId="0" applyFont="1" applyFill="1" applyBorder="1" applyAlignment="1" applyProtection="1">
      <alignment horizontal="center" vertical="top" wrapText="1"/>
      <protection/>
    </xf>
    <xf numFmtId="0" fontId="3" fillId="3" borderId="14" xfId="0" applyFont="1" applyFill="1" applyBorder="1" applyAlignment="1" applyProtection="1">
      <alignment horizontal="center" vertical="top" wrapText="1"/>
      <protection/>
    </xf>
    <xf numFmtId="1" fontId="3" fillId="3" borderId="14" xfId="0" applyNumberFormat="1" applyFont="1" applyFill="1" applyBorder="1" applyAlignment="1" applyProtection="1">
      <alignment vertical="top" wrapText="1"/>
      <protection/>
    </xf>
    <xf numFmtId="1" fontId="3" fillId="3" borderId="15" xfId="0" applyNumberFormat="1" applyFont="1" applyFill="1" applyBorder="1" applyAlignment="1" applyProtection="1">
      <alignment vertical="top" wrapText="1"/>
      <protection/>
    </xf>
    <xf numFmtId="49" fontId="3" fillId="3" borderId="75" xfId="0" applyNumberFormat="1" applyFont="1" applyFill="1" applyBorder="1" applyAlignment="1" applyProtection="1">
      <alignment horizontal="center" vertical="top" wrapText="1"/>
      <protection/>
    </xf>
    <xf numFmtId="49" fontId="3" fillId="3" borderId="78" xfId="0" applyNumberFormat="1" applyFont="1" applyFill="1" applyBorder="1" applyAlignment="1" applyProtection="1">
      <alignment horizontal="center" vertical="top" wrapText="1"/>
      <protection/>
    </xf>
    <xf numFmtId="49" fontId="3" fillId="3" borderId="44" xfId="0" applyNumberFormat="1" applyFont="1" applyFill="1" applyBorder="1" applyAlignment="1" applyProtection="1">
      <alignment horizontal="center" vertical="top" wrapText="1"/>
      <protection/>
    </xf>
    <xf numFmtId="49" fontId="3" fillId="3" borderId="38" xfId="0" applyNumberFormat="1" applyFont="1" applyFill="1" applyBorder="1" applyAlignment="1" applyProtection="1">
      <alignment horizontal="center" vertical="top" wrapText="1"/>
      <protection/>
    </xf>
    <xf numFmtId="1" fontId="3" fillId="3" borderId="38" xfId="0" applyNumberFormat="1" applyFont="1" applyFill="1" applyBorder="1" applyAlignment="1" applyProtection="1">
      <alignment vertical="top" wrapText="1"/>
      <protection/>
    </xf>
    <xf numFmtId="1" fontId="3" fillId="3" borderId="38" xfId="0" applyNumberFormat="1" applyFont="1" applyFill="1" applyBorder="1" applyAlignment="1" applyProtection="1">
      <alignment horizontal="center" vertical="top" wrapText="1"/>
      <protection/>
    </xf>
    <xf numFmtId="49" fontId="3" fillId="3" borderId="10" xfId="0" applyNumberFormat="1" applyFont="1" applyFill="1" applyBorder="1" applyAlignment="1" applyProtection="1">
      <alignment horizontal="center" vertical="top" wrapText="1"/>
      <protection/>
    </xf>
    <xf numFmtId="49" fontId="3" fillId="3" borderId="77" xfId="0" applyNumberFormat="1" applyFont="1" applyFill="1" applyBorder="1" applyAlignment="1" applyProtection="1">
      <alignment horizontal="center" vertical="top" wrapText="1"/>
      <protection/>
    </xf>
    <xf numFmtId="180" fontId="0" fillId="3" borderId="14" xfId="0" applyNumberFormat="1" applyFont="1" applyFill="1" applyBorder="1" applyAlignment="1" applyProtection="1">
      <alignment horizontal="center" vertical="top" wrapText="1"/>
      <protection/>
    </xf>
    <xf numFmtId="1" fontId="0" fillId="3" borderId="14" xfId="0" applyNumberFormat="1" applyFont="1" applyFill="1" applyBorder="1" applyAlignment="1" applyProtection="1">
      <alignment horizontal="center" vertical="top" wrapText="1"/>
      <protection/>
    </xf>
    <xf numFmtId="180" fontId="0" fillId="3" borderId="16" xfId="0" applyNumberFormat="1" applyFont="1" applyFill="1" applyBorder="1" applyAlignment="1" applyProtection="1">
      <alignment horizontal="center" vertical="top" wrapText="1"/>
      <protection/>
    </xf>
    <xf numFmtId="1" fontId="0" fillId="3" borderId="16" xfId="0" applyNumberFormat="1" applyFont="1" applyFill="1" applyBorder="1" applyAlignment="1" applyProtection="1">
      <alignment horizontal="center" vertical="top" wrapText="1"/>
      <protection/>
    </xf>
    <xf numFmtId="0" fontId="3" fillId="3" borderId="24" xfId="0" applyFont="1" applyFill="1" applyBorder="1" applyAlignment="1" applyProtection="1">
      <alignment horizontal="center" textRotation="90" wrapText="1"/>
      <protection/>
    </xf>
    <xf numFmtId="0" fontId="0" fillId="3" borderId="23" xfId="0" applyFont="1" applyFill="1" applyBorder="1" applyAlignment="1" applyProtection="1">
      <alignment horizontal="center" textRotation="90" wrapText="1"/>
      <protection/>
    </xf>
    <xf numFmtId="0" fontId="0" fillId="3" borderId="17" xfId="0" applyFont="1" applyFill="1" applyBorder="1" applyAlignment="1" applyProtection="1">
      <alignment horizontal="center" textRotation="90" wrapText="1"/>
      <protection/>
    </xf>
    <xf numFmtId="49" fontId="0" fillId="28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8" borderId="65" xfId="0" applyFont="1" applyFill="1" applyBorder="1" applyAlignment="1" applyProtection="1">
      <alignment horizontal="left" vertical="center" wrapText="1"/>
      <protection/>
    </xf>
    <xf numFmtId="0" fontId="0" fillId="28" borderId="18" xfId="0" applyFont="1" applyFill="1" applyBorder="1" applyAlignment="1" applyProtection="1">
      <alignment horizontal="left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8" borderId="18" xfId="0" applyNumberFormat="1" applyFont="1" applyFill="1" applyBorder="1" applyAlignment="1" applyProtection="1">
      <alignment horizontal="center" vertical="center" wrapText="1"/>
      <protection/>
    </xf>
    <xf numFmtId="1" fontId="0" fillId="8" borderId="19" xfId="0" applyNumberFormat="1" applyFont="1" applyFill="1" applyBorder="1" applyAlignment="1" applyProtection="1">
      <alignment horizontal="center" vertical="center" wrapText="1"/>
      <protection/>
    </xf>
    <xf numFmtId="1" fontId="0" fillId="26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65" xfId="0" applyFont="1" applyFill="1" applyBorder="1" applyAlignment="1" applyProtection="1">
      <alignment horizontal="center" vertical="center" wrapText="1"/>
      <protection locked="0"/>
    </xf>
    <xf numFmtId="0" fontId="0" fillId="28" borderId="61" xfId="0" applyFont="1" applyFill="1" applyBorder="1" applyAlignment="1" applyProtection="1">
      <alignment horizontal="left" vertical="top" wrapText="1"/>
      <protection/>
    </xf>
    <xf numFmtId="0" fontId="0" fillId="28" borderId="18" xfId="0" applyFont="1" applyFill="1" applyBorder="1" applyAlignment="1" applyProtection="1">
      <alignment horizontal="left" vertical="top" wrapText="1"/>
      <protection/>
    </xf>
    <xf numFmtId="1" fontId="0" fillId="0" borderId="20" xfId="0" applyNumberFormat="1" applyFont="1" applyFill="1" applyBorder="1" applyAlignment="1" applyProtection="1">
      <alignment horizontal="center" vertical="top" wrapText="1" readingOrder="1"/>
      <protection/>
    </xf>
    <xf numFmtId="1" fontId="0" fillId="0" borderId="47" xfId="0" applyNumberFormat="1" applyFont="1" applyFill="1" applyBorder="1" applyAlignment="1" applyProtection="1">
      <alignment horizontal="center" vertical="top" wrapText="1" readingOrder="1"/>
      <protection/>
    </xf>
    <xf numFmtId="1" fontId="3" fillId="8" borderId="24" xfId="0" applyNumberFormat="1" applyFont="1" applyFill="1" applyBorder="1" applyAlignment="1" applyProtection="1">
      <alignment horizontal="center" vertical="top" wrapText="1"/>
      <protection/>
    </xf>
    <xf numFmtId="1" fontId="0" fillId="8" borderId="23" xfId="0" applyNumberFormat="1" applyFont="1" applyFill="1" applyBorder="1" applyAlignment="1" applyProtection="1">
      <alignment horizontal="center" vertical="top" wrapText="1"/>
      <protection/>
    </xf>
    <xf numFmtId="1" fontId="0" fillId="8" borderId="40" xfId="0" applyNumberFormat="1" applyFont="1" applyFill="1" applyBorder="1" applyAlignment="1" applyProtection="1">
      <alignment horizontal="center" vertical="top" wrapText="1"/>
      <protection/>
    </xf>
    <xf numFmtId="1" fontId="0" fillId="26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65" xfId="0" applyFont="1" applyFill="1" applyBorder="1" applyAlignment="1" applyProtection="1">
      <alignment horizontal="center" vertical="top" wrapText="1"/>
      <protection locked="0"/>
    </xf>
    <xf numFmtId="1" fontId="0" fillId="31" borderId="25" xfId="0" applyNumberFormat="1" applyFont="1" applyFill="1" applyBorder="1" applyAlignment="1" applyProtection="1">
      <alignment horizontal="center" vertical="top" wrapText="1"/>
      <protection/>
    </xf>
    <xf numFmtId="0" fontId="0" fillId="31" borderId="65" xfId="0" applyFont="1" applyFill="1" applyBorder="1" applyAlignment="1" applyProtection="1">
      <alignment horizontal="center" vertical="top" wrapText="1"/>
      <protection locked="0"/>
    </xf>
    <xf numFmtId="49" fontId="0" fillId="0" borderId="28" xfId="0" applyNumberFormat="1" applyFont="1" applyFill="1" applyBorder="1" applyAlignment="1" applyProtection="1">
      <alignment horizontal="left" vertical="top" wrapText="1"/>
      <protection/>
    </xf>
    <xf numFmtId="0" fontId="0" fillId="0" borderId="16" xfId="0" applyFont="1" applyFill="1" applyBorder="1" applyAlignment="1" applyProtection="1">
      <alignment horizontal="justify" vertical="top" wrapText="1"/>
      <protection/>
    </xf>
    <xf numFmtId="49" fontId="0" fillId="0" borderId="16" xfId="0" applyNumberFormat="1" applyFont="1" applyFill="1" applyBorder="1" applyAlignment="1" applyProtection="1">
      <alignment horizontal="center" vertical="top" wrapText="1"/>
      <protection/>
    </xf>
    <xf numFmtId="1" fontId="0" fillId="0" borderId="16" xfId="0" applyNumberFormat="1" applyFont="1" applyFill="1" applyBorder="1" applyAlignment="1" applyProtection="1">
      <alignment horizontal="center" vertical="top" wrapText="1"/>
      <protection/>
    </xf>
    <xf numFmtId="0" fontId="3" fillId="15" borderId="17" xfId="0" applyNumberFormat="1" applyFont="1" applyFill="1" applyBorder="1" applyAlignment="1" applyProtection="1">
      <alignment horizontal="left" vertical="center" wrapText="1"/>
      <protection/>
    </xf>
    <xf numFmtId="0" fontId="3" fillId="15" borderId="14" xfId="0" applyNumberFormat="1" applyFont="1" applyFill="1" applyBorder="1" applyAlignment="1" applyProtection="1">
      <alignment horizontal="left" vertical="center" wrapText="1"/>
      <protection/>
    </xf>
    <xf numFmtId="49" fontId="3" fillId="15" borderId="14" xfId="0" applyNumberFormat="1" applyFont="1" applyFill="1" applyBorder="1" applyAlignment="1" applyProtection="1">
      <alignment horizontal="left" vertical="center" wrapText="1"/>
      <protection/>
    </xf>
    <xf numFmtId="49" fontId="3" fillId="15" borderId="14" xfId="0" applyNumberFormat="1" applyFont="1" applyFill="1" applyBorder="1" applyAlignment="1" applyProtection="1">
      <alignment horizontal="left" vertical="top" wrapText="1"/>
      <protection/>
    </xf>
    <xf numFmtId="1" fontId="3" fillId="15" borderId="14" xfId="0" applyNumberFormat="1" applyFont="1" applyFill="1" applyBorder="1" applyAlignment="1" applyProtection="1">
      <alignment horizontal="left" vertical="center" wrapText="1"/>
      <protection/>
    </xf>
    <xf numFmtId="0" fontId="0" fillId="15" borderId="14" xfId="0" applyFont="1" applyFill="1" applyBorder="1" applyAlignment="1" applyProtection="1">
      <alignment horizontal="center" vertical="top" wrapText="1"/>
      <protection/>
    </xf>
    <xf numFmtId="0" fontId="3" fillId="15" borderId="28" xfId="0" applyNumberFormat="1" applyFont="1" applyFill="1" applyBorder="1" applyAlignment="1" applyProtection="1">
      <alignment horizontal="left" vertical="center" wrapText="1"/>
      <protection/>
    </xf>
    <xf numFmtId="0" fontId="3" fillId="15" borderId="16" xfId="0" applyNumberFormat="1" applyFont="1" applyFill="1" applyBorder="1" applyAlignment="1" applyProtection="1">
      <alignment horizontal="left" vertical="center" wrapText="1"/>
      <protection/>
    </xf>
    <xf numFmtId="49" fontId="3" fillId="15" borderId="16" xfId="0" applyNumberFormat="1" applyFont="1" applyFill="1" applyBorder="1" applyAlignment="1" applyProtection="1">
      <alignment horizontal="left" vertical="center" wrapText="1"/>
      <protection/>
    </xf>
    <xf numFmtId="49" fontId="3" fillId="15" borderId="16" xfId="0" applyNumberFormat="1" applyFont="1" applyFill="1" applyBorder="1" applyAlignment="1" applyProtection="1">
      <alignment horizontal="left" vertical="top" wrapText="1"/>
      <protection/>
    </xf>
    <xf numFmtId="1" fontId="3" fillId="15" borderId="16" xfId="0" applyNumberFormat="1" applyFont="1" applyFill="1" applyBorder="1" applyAlignment="1" applyProtection="1">
      <alignment horizontal="left" vertical="center" wrapText="1"/>
      <protection/>
    </xf>
    <xf numFmtId="49" fontId="3" fillId="15" borderId="0" xfId="0" applyNumberFormat="1" applyFont="1" applyFill="1" applyBorder="1" applyAlignment="1" applyProtection="1">
      <alignment horizontal="left" vertical="center" wrapText="1"/>
      <protection/>
    </xf>
    <xf numFmtId="1" fontId="3" fillId="15" borderId="0" xfId="0" applyNumberFormat="1" applyFont="1" applyFill="1" applyBorder="1" applyAlignment="1" applyProtection="1">
      <alignment horizontal="left" vertical="center" wrapText="1"/>
      <protection/>
    </xf>
    <xf numFmtId="0" fontId="0" fillId="15" borderId="0" xfId="0" applyFont="1" applyFill="1" applyBorder="1" applyAlignment="1" applyProtection="1">
      <alignment horizontal="center" vertical="top" wrapText="1"/>
      <protection/>
    </xf>
    <xf numFmtId="0" fontId="3" fillId="15" borderId="54" xfId="0" applyNumberFormat="1" applyFont="1" applyFill="1" applyBorder="1" applyAlignment="1" applyProtection="1">
      <alignment horizontal="left" vertical="center" wrapText="1"/>
      <protection/>
    </xf>
    <xf numFmtId="1" fontId="3" fillId="5" borderId="13" xfId="0" applyNumberFormat="1" applyFont="1" applyFill="1" applyBorder="1" applyAlignment="1" applyProtection="1">
      <alignment horizontal="center" vertical="top" wrapText="1"/>
      <protection/>
    </xf>
    <xf numFmtId="3" fontId="0" fillId="5" borderId="13" xfId="0" applyNumberFormat="1" applyFont="1" applyFill="1" applyBorder="1" applyAlignment="1" applyProtection="1">
      <alignment horizontal="center" vertical="top" wrapText="1"/>
      <protection/>
    </xf>
    <xf numFmtId="1" fontId="3" fillId="5" borderId="79" xfId="0" applyNumberFormat="1" applyFont="1" applyFill="1" applyBorder="1" applyAlignment="1" applyProtection="1">
      <alignment horizontal="center" vertical="top" wrapText="1"/>
      <protection/>
    </xf>
    <xf numFmtId="3" fontId="0" fillId="5" borderId="80" xfId="0" applyNumberFormat="1" applyFont="1" applyFill="1" applyBorder="1" applyAlignment="1" applyProtection="1">
      <alignment horizontal="center" vertical="top" wrapText="1"/>
      <protection/>
    </xf>
    <xf numFmtId="3" fontId="0" fillId="5" borderId="81" xfId="0" applyNumberFormat="1" applyFont="1" applyFill="1" applyBorder="1" applyAlignment="1" applyProtection="1">
      <alignment horizontal="center" vertical="top" wrapText="1"/>
      <protection/>
    </xf>
    <xf numFmtId="3" fontId="0" fillId="5" borderId="22" xfId="0" applyNumberFormat="1" applyFont="1" applyFill="1" applyBorder="1" applyAlignment="1" applyProtection="1">
      <alignment horizontal="center" vertical="top" wrapText="1"/>
      <protection/>
    </xf>
    <xf numFmtId="3" fontId="0" fillId="5" borderId="29" xfId="0" applyNumberFormat="1" applyFont="1" applyFill="1" applyBorder="1" applyAlignment="1" applyProtection="1">
      <alignment horizontal="center" vertical="top" wrapText="1"/>
      <protection/>
    </xf>
    <xf numFmtId="3" fontId="0" fillId="5" borderId="70" xfId="0" applyNumberFormat="1" applyFont="1" applyFill="1" applyBorder="1" applyAlignment="1" applyProtection="1">
      <alignment horizontal="center" vertical="top" wrapText="1"/>
      <protection/>
    </xf>
    <xf numFmtId="0" fontId="0" fillId="15" borderId="54" xfId="0" applyNumberFormat="1" applyFont="1" applyFill="1" applyBorder="1" applyAlignment="1" applyProtection="1">
      <alignment horizontal="left" vertical="center" wrapText="1"/>
      <protection/>
    </xf>
    <xf numFmtId="0" fontId="0" fillId="15" borderId="21" xfId="0" applyFont="1" applyFill="1" applyBorder="1" applyAlignment="1" applyProtection="1">
      <alignment horizontal="left" vertical="top" wrapText="1"/>
      <protection/>
    </xf>
    <xf numFmtId="0" fontId="0" fillId="15" borderId="29" xfId="0" applyFont="1" applyFill="1" applyBorder="1" applyAlignment="1" applyProtection="1">
      <alignment horizontal="left" vertical="top" wrapText="1"/>
      <protection/>
    </xf>
    <xf numFmtId="0" fontId="0" fillId="15" borderId="22" xfId="0" applyFont="1" applyFill="1" applyBorder="1" applyAlignment="1" applyProtection="1">
      <alignment horizontal="left" vertical="top" wrapText="1"/>
      <protection/>
    </xf>
    <xf numFmtId="0" fontId="0" fillId="15" borderId="22" xfId="0" applyFont="1" applyFill="1" applyBorder="1" applyAlignment="1" applyProtection="1">
      <alignment horizontal="left" vertical="top" wrapText="1"/>
      <protection/>
    </xf>
    <xf numFmtId="1" fontId="0" fillId="15" borderId="22" xfId="0" applyNumberFormat="1" applyFont="1" applyFill="1" applyBorder="1" applyAlignment="1" applyProtection="1">
      <alignment horizontal="center" vertical="top" wrapText="1"/>
      <protection/>
    </xf>
    <xf numFmtId="1" fontId="0" fillId="15" borderId="21" xfId="0" applyNumberFormat="1" applyFont="1" applyFill="1" applyBorder="1" applyAlignment="1" applyProtection="1">
      <alignment horizontal="center" vertical="top" wrapText="1"/>
      <protection/>
    </xf>
    <xf numFmtId="1" fontId="0" fillId="5" borderId="13" xfId="0" applyNumberFormat="1" applyFont="1" applyFill="1" applyBorder="1" applyAlignment="1" applyProtection="1">
      <alignment horizontal="center" vertical="top" wrapText="1"/>
      <protection/>
    </xf>
    <xf numFmtId="1" fontId="0" fillId="5" borderId="22" xfId="0" applyNumberFormat="1" applyFont="1" applyFill="1" applyBorder="1" applyAlignment="1" applyProtection="1">
      <alignment horizontal="center" vertical="top" wrapText="1"/>
      <protection/>
    </xf>
    <xf numFmtId="49" fontId="0" fillId="15" borderId="53" xfId="0" applyNumberFormat="1" applyFont="1" applyFill="1" applyBorder="1" applyAlignment="1" applyProtection="1">
      <alignment horizontal="center" vertical="top" wrapText="1"/>
      <protection/>
    </xf>
    <xf numFmtId="3" fontId="0" fillId="5" borderId="47" xfId="0" applyNumberFormat="1" applyFont="1" applyFill="1" applyBorder="1" applyAlignment="1" applyProtection="1">
      <alignment horizontal="center" vertical="top" wrapText="1"/>
      <protection/>
    </xf>
    <xf numFmtId="1" fontId="0" fillId="5" borderId="21" xfId="0" applyNumberFormat="1" applyFont="1" applyFill="1" applyBorder="1" applyAlignment="1" applyProtection="1">
      <alignment horizontal="center" vertical="top" wrapText="1"/>
      <protection/>
    </xf>
    <xf numFmtId="1" fontId="0" fillId="5" borderId="29" xfId="0" applyNumberFormat="1" applyFont="1" applyFill="1" applyBorder="1" applyAlignment="1" applyProtection="1">
      <alignment horizontal="center" vertical="top" wrapText="1"/>
      <protection/>
    </xf>
    <xf numFmtId="1" fontId="0" fillId="5" borderId="22" xfId="0" applyNumberFormat="1" applyFont="1" applyFill="1" applyBorder="1" applyAlignment="1" applyProtection="1">
      <alignment horizontal="center" vertical="top" wrapText="1"/>
      <protection/>
    </xf>
    <xf numFmtId="1" fontId="0" fillId="5" borderId="70" xfId="0" applyNumberFormat="1" applyFont="1" applyFill="1" applyBorder="1" applyAlignment="1" applyProtection="1">
      <alignment horizontal="center" vertical="top" wrapText="1"/>
      <protection/>
    </xf>
    <xf numFmtId="1" fontId="0" fillId="5" borderId="55" xfId="0" applyNumberFormat="1" applyFont="1" applyFill="1" applyBorder="1" applyAlignment="1" applyProtection="1">
      <alignment horizontal="center" vertical="top" wrapText="1"/>
      <protection/>
    </xf>
    <xf numFmtId="1" fontId="0" fillId="5" borderId="56" xfId="0" applyNumberFormat="1" applyFont="1" applyFill="1" applyBorder="1" applyAlignment="1" applyProtection="1">
      <alignment horizontal="center" vertical="top" wrapText="1"/>
      <protection/>
    </xf>
    <xf numFmtId="1" fontId="0" fillId="5" borderId="58" xfId="0" applyNumberFormat="1" applyFont="1" applyFill="1" applyBorder="1" applyAlignment="1" applyProtection="1">
      <alignment horizontal="center" vertical="top" wrapText="1"/>
      <protection/>
    </xf>
    <xf numFmtId="1" fontId="0" fillId="5" borderId="82" xfId="0" applyNumberFormat="1" applyFont="1" applyFill="1" applyBorder="1" applyAlignment="1" applyProtection="1">
      <alignment horizontal="center" vertical="top" wrapText="1"/>
      <protection/>
    </xf>
    <xf numFmtId="1" fontId="0" fillId="5" borderId="57" xfId="0" applyNumberFormat="1" applyFont="1" applyFill="1" applyBorder="1" applyAlignment="1" applyProtection="1">
      <alignment horizontal="center" vertical="top" wrapText="1"/>
      <protection/>
    </xf>
    <xf numFmtId="49" fontId="3" fillId="15" borderId="53" xfId="0" applyNumberFormat="1" applyFont="1" applyFill="1" applyBorder="1" applyAlignment="1" applyProtection="1">
      <alignment horizontal="left" vertical="top" wrapText="1"/>
      <protection/>
    </xf>
    <xf numFmtId="180" fontId="0" fillId="5" borderId="21" xfId="0" applyNumberFormat="1" applyFont="1" applyFill="1" applyBorder="1" applyAlignment="1" applyProtection="1">
      <alignment horizontal="center" vertical="top" wrapText="1"/>
      <protection/>
    </xf>
    <xf numFmtId="180" fontId="0" fillId="5" borderId="29" xfId="0" applyNumberFormat="1" applyFont="1" applyFill="1" applyBorder="1" applyAlignment="1" applyProtection="1">
      <alignment horizontal="center" vertical="top" wrapText="1"/>
      <protection/>
    </xf>
    <xf numFmtId="180" fontId="0" fillId="5" borderId="22" xfId="0" applyNumberFormat="1" applyFont="1" applyFill="1" applyBorder="1" applyAlignment="1" applyProtection="1">
      <alignment horizontal="center" vertical="top" wrapText="1"/>
      <protection/>
    </xf>
    <xf numFmtId="180" fontId="0" fillId="5" borderId="55" xfId="0" applyNumberFormat="1" applyFont="1" applyFill="1" applyBorder="1" applyAlignment="1" applyProtection="1">
      <alignment horizontal="center" vertical="top" wrapText="1"/>
      <protection/>
    </xf>
    <xf numFmtId="180" fontId="0" fillId="5" borderId="56" xfId="0" applyNumberFormat="1" applyFont="1" applyFill="1" applyBorder="1" applyAlignment="1" applyProtection="1">
      <alignment horizontal="center" vertical="top" wrapText="1"/>
      <protection/>
    </xf>
    <xf numFmtId="180" fontId="0" fillId="5" borderId="58" xfId="0" applyNumberFormat="1" applyFont="1" applyFill="1" applyBorder="1" applyAlignment="1" applyProtection="1">
      <alignment horizontal="center" vertical="top" wrapText="1"/>
      <protection/>
    </xf>
    <xf numFmtId="180" fontId="0" fillId="5" borderId="82" xfId="0" applyNumberFormat="1" applyFont="1" applyFill="1" applyBorder="1" applyAlignment="1" applyProtection="1">
      <alignment horizontal="center" vertical="top" wrapText="1"/>
      <protection/>
    </xf>
    <xf numFmtId="180" fontId="0" fillId="5" borderId="83" xfId="0" applyNumberFormat="1" applyFont="1" applyFill="1" applyBorder="1" applyAlignment="1" applyProtection="1">
      <alignment horizontal="center" vertical="top" wrapText="1"/>
      <protection/>
    </xf>
    <xf numFmtId="9" fontId="0" fillId="15" borderId="53" xfId="57" applyFont="1" applyFill="1" applyBorder="1" applyAlignment="1" applyProtection="1">
      <alignment horizontal="left" vertical="top" wrapText="1"/>
      <protection/>
    </xf>
    <xf numFmtId="180" fontId="0" fillId="5" borderId="14" xfId="0" applyNumberFormat="1" applyFont="1" applyFill="1" applyBorder="1" applyAlignment="1" applyProtection="1">
      <alignment horizontal="center" vertical="top" wrapText="1"/>
      <protection/>
    </xf>
    <xf numFmtId="180" fontId="0" fillId="5" borderId="13" xfId="0" applyNumberFormat="1" applyFont="1" applyFill="1" applyBorder="1" applyAlignment="1" applyProtection="1">
      <alignment horizontal="center" vertical="top" wrapText="1"/>
      <protection/>
    </xf>
    <xf numFmtId="180" fontId="0" fillId="5" borderId="70" xfId="0" applyNumberFormat="1" applyFont="1" applyFill="1" applyBorder="1" applyAlignment="1" applyProtection="1">
      <alignment horizontal="center" vertical="top" wrapText="1"/>
      <protection/>
    </xf>
    <xf numFmtId="49" fontId="0" fillId="15" borderId="53" xfId="0" applyNumberFormat="1" applyFont="1" applyFill="1" applyBorder="1" applyAlignment="1" applyProtection="1">
      <alignment horizontal="left" vertical="top" wrapText="1"/>
      <protection/>
    </xf>
    <xf numFmtId="1" fontId="0" fillId="5" borderId="28" xfId="0" applyNumberFormat="1" applyFont="1" applyFill="1" applyBorder="1" applyAlignment="1" applyProtection="1">
      <alignment horizontal="center" vertical="center" wrapText="1"/>
      <protection/>
    </xf>
    <xf numFmtId="1" fontId="0" fillId="5" borderId="16" xfId="0" applyNumberFormat="1" applyFont="1" applyFill="1" applyBorder="1" applyAlignment="1" applyProtection="1">
      <alignment horizontal="center" vertical="center" wrapText="1"/>
      <protection/>
    </xf>
    <xf numFmtId="1" fontId="0" fillId="5" borderId="29" xfId="0" applyNumberFormat="1" applyFont="1" applyFill="1" applyBorder="1" applyAlignment="1" applyProtection="1">
      <alignment horizontal="center" vertical="top" wrapText="1"/>
      <protection/>
    </xf>
    <xf numFmtId="1" fontId="0" fillId="5" borderId="29" xfId="0" applyNumberFormat="1" applyFont="1" applyFill="1" applyBorder="1" applyAlignment="1" applyProtection="1">
      <alignment horizontal="center" vertical="center" wrapText="1"/>
      <protection/>
    </xf>
    <xf numFmtId="1" fontId="0" fillId="5" borderId="22" xfId="0" applyNumberFormat="1" applyFont="1" applyFill="1" applyBorder="1" applyAlignment="1" applyProtection="1">
      <alignment horizontal="center" vertical="center" wrapText="1"/>
      <protection/>
    </xf>
    <xf numFmtId="1" fontId="0" fillId="5" borderId="16" xfId="0" applyNumberFormat="1" applyFont="1" applyFill="1" applyBorder="1" applyAlignment="1" applyProtection="1">
      <alignment horizontal="center" vertical="top" wrapText="1"/>
      <protection/>
    </xf>
    <xf numFmtId="1" fontId="0" fillId="5" borderId="16" xfId="0" applyNumberFormat="1" applyFont="1" applyFill="1" applyBorder="1" applyAlignment="1" applyProtection="1">
      <alignment horizontal="center" vertical="top" wrapText="1"/>
      <protection/>
    </xf>
    <xf numFmtId="1" fontId="0" fillId="5" borderId="10" xfId="0" applyNumberFormat="1" applyFont="1" applyFill="1" applyBorder="1" applyAlignment="1" applyProtection="1">
      <alignment horizontal="center" vertical="center" wrapText="1"/>
      <protection/>
    </xf>
    <xf numFmtId="1" fontId="0" fillId="5" borderId="77" xfId="0" applyNumberFormat="1" applyFont="1" applyFill="1" applyBorder="1" applyAlignment="1" applyProtection="1">
      <alignment horizontal="center" vertical="center" wrapText="1"/>
      <protection/>
    </xf>
    <xf numFmtId="1" fontId="0" fillId="5" borderId="17" xfId="0" applyNumberFormat="1" applyFont="1" applyFill="1" applyBorder="1" applyAlignment="1" applyProtection="1">
      <alignment horizontal="center" vertical="center" wrapText="1"/>
      <protection/>
    </xf>
    <xf numFmtId="1" fontId="0" fillId="5" borderId="14" xfId="0" applyNumberFormat="1" applyFont="1" applyFill="1" applyBorder="1" applyAlignment="1" applyProtection="1">
      <alignment horizontal="center" vertical="center" wrapText="1"/>
      <protection/>
    </xf>
    <xf numFmtId="1" fontId="0" fillId="5" borderId="14" xfId="0" applyNumberFormat="1" applyFont="1" applyFill="1" applyBorder="1" applyAlignment="1" applyProtection="1">
      <alignment horizontal="center" vertical="top" wrapText="1"/>
      <protection/>
    </xf>
    <xf numFmtId="1" fontId="0" fillId="5" borderId="15" xfId="0" applyNumberFormat="1" applyFont="1" applyFill="1" applyBorder="1" applyAlignment="1" applyProtection="1">
      <alignment horizontal="center" vertical="center" wrapText="1"/>
      <protection/>
    </xf>
    <xf numFmtId="1" fontId="0" fillId="5" borderId="71" xfId="0" applyNumberFormat="1" applyFont="1" applyFill="1" applyBorder="1" applyAlignment="1" applyProtection="1">
      <alignment horizontal="center" vertical="center" wrapText="1"/>
      <protection/>
    </xf>
    <xf numFmtId="1" fontId="0" fillId="5" borderId="21" xfId="0" applyNumberFormat="1" applyFont="1" applyFill="1" applyBorder="1" applyAlignment="1" applyProtection="1">
      <alignment horizontal="center" vertical="center" wrapText="1"/>
      <protection/>
    </xf>
    <xf numFmtId="1" fontId="0" fillId="5" borderId="70" xfId="0" applyNumberFormat="1" applyFont="1" applyFill="1" applyBorder="1" applyAlignment="1" applyProtection="1">
      <alignment horizontal="center" vertical="center" wrapText="1"/>
      <protection/>
    </xf>
    <xf numFmtId="49" fontId="0" fillId="15" borderId="12" xfId="0" applyNumberFormat="1" applyFont="1" applyFill="1" applyBorder="1" applyAlignment="1" applyProtection="1">
      <alignment horizontal="center" vertical="top" wrapText="1"/>
      <protection/>
    </xf>
    <xf numFmtId="1" fontId="0" fillId="5" borderId="84" xfId="0" applyNumberFormat="1" applyFont="1" applyFill="1" applyBorder="1" applyAlignment="1" applyProtection="1">
      <alignment horizontal="center" vertical="center" wrapText="1"/>
      <protection/>
    </xf>
    <xf numFmtId="1" fontId="0" fillId="5" borderId="85" xfId="0" applyNumberFormat="1" applyFont="1" applyFill="1" applyBorder="1" applyAlignment="1" applyProtection="1">
      <alignment horizontal="center" vertical="center" wrapText="1"/>
      <protection/>
    </xf>
    <xf numFmtId="0" fontId="0" fillId="0" borderId="86" xfId="0" applyFont="1" applyFill="1" applyBorder="1" applyAlignment="1" applyProtection="1">
      <alignment horizontal="left" vertical="top" wrapText="1"/>
      <protection/>
    </xf>
    <xf numFmtId="49" fontId="0" fillId="25" borderId="0" xfId="0" applyNumberFormat="1" applyFont="1" applyFill="1" applyBorder="1" applyAlignment="1" applyProtection="1">
      <alignment horizontal="center" vertical="top" wrapText="1"/>
      <protection/>
    </xf>
    <xf numFmtId="49" fontId="0" fillId="25" borderId="0" xfId="0" applyNumberFormat="1" applyFont="1" applyFill="1" applyBorder="1" applyAlignment="1" applyProtection="1">
      <alignment horizontal="left" vertical="top" wrapText="1"/>
      <protection/>
    </xf>
    <xf numFmtId="49" fontId="47" fillId="28" borderId="13" xfId="0" applyNumberFormat="1" applyFont="1" applyFill="1" applyBorder="1" applyAlignment="1" applyProtection="1">
      <alignment horizontal="left" vertical="center" wrapText="1"/>
      <protection/>
    </xf>
    <xf numFmtId="1" fontId="47" fillId="40" borderId="1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_Лист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8">
    <dxf>
      <fill>
        <patternFill>
          <bgColor indexed="11"/>
        </patternFill>
      </fill>
    </dxf>
    <dxf>
      <font>
        <b val="0"/>
        <i val="0"/>
        <strike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</font>
      <fill>
        <patternFill>
          <bgColor indexed="45"/>
        </patternFill>
      </fill>
    </dxf>
    <dxf/>
    <dxf>
      <font>
        <b val="0"/>
        <i val="0"/>
        <strike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/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/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/>
    <dxf>
      <font>
        <b val="0"/>
        <i val="0"/>
        <strike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/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/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/>
    <dxf>
      <fill>
        <patternFill>
          <bgColor rgb="FFFF99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142875</xdr:colOff>
      <xdr:row>25</xdr:row>
      <xdr:rowOff>28575</xdr:rowOff>
    </xdr:from>
    <xdr:to>
      <xdr:col>35</xdr:col>
      <xdr:colOff>142875</xdr:colOff>
      <xdr:row>25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532447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142875</xdr:colOff>
      <xdr:row>34</xdr:row>
      <xdr:rowOff>0</xdr:rowOff>
    </xdr:from>
    <xdr:to>
      <xdr:col>7</xdr:col>
      <xdr:colOff>142875</xdr:colOff>
      <xdr:row>34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19200" y="6410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142875</xdr:colOff>
      <xdr:row>34</xdr:row>
      <xdr:rowOff>0</xdr:rowOff>
    </xdr:from>
    <xdr:to>
      <xdr:col>7</xdr:col>
      <xdr:colOff>142875</xdr:colOff>
      <xdr:row>34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19200" y="6410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5" name="Rectangle 119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6" name="Rectangle 123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25</xdr:row>
      <xdr:rowOff>47625</xdr:rowOff>
    </xdr:from>
    <xdr:to>
      <xdr:col>41</xdr:col>
      <xdr:colOff>142875</xdr:colOff>
      <xdr:row>25</xdr:row>
      <xdr:rowOff>142875</xdr:rowOff>
    </xdr:to>
    <xdr:sp>
      <xdr:nvSpPr>
        <xdr:cNvPr id="7" name="Rectangle 145"/>
        <xdr:cNvSpPr>
          <a:spLocks/>
        </xdr:cNvSpPr>
      </xdr:nvSpPr>
      <xdr:spPr>
        <a:xfrm>
          <a:off x="6229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25</xdr:row>
      <xdr:rowOff>47625</xdr:rowOff>
    </xdr:from>
    <xdr:to>
      <xdr:col>43</xdr:col>
      <xdr:colOff>142875</xdr:colOff>
      <xdr:row>25</xdr:row>
      <xdr:rowOff>142875</xdr:rowOff>
    </xdr:to>
    <xdr:sp>
      <xdr:nvSpPr>
        <xdr:cNvPr id="8" name="Rectangle 147"/>
        <xdr:cNvSpPr>
          <a:spLocks/>
        </xdr:cNvSpPr>
      </xdr:nvSpPr>
      <xdr:spPr>
        <a:xfrm>
          <a:off x="65151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9" name="Rectangle 161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10" name="Rectangle 163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1" name="Rectangle 187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2" name="Rectangle 188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" name="Rectangle 189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4" name="Rectangle 190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5" name="Rectangle 191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6" name="Rectangle 192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7" name="Rectangle 193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8" name="Rectangle 194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9" name="Rectangle 195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20" name="Rectangle 196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21" name="Rectangle 197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22" name="Rectangle 198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23" name="Rectangle 199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24" name="Rectangle 200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25" name="Rectangle 201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26" name="Rectangle 202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27" name="Rectangle 203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28" name="Rectangle 204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29" name="Rectangle 205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30" name="Rectangle 206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31" name="Rectangle 229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32" name="Rectangle 234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33" name="Rectangle 235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34" name="Rectangle 236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35" name="Rectangle 237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36" name="Rectangle 238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37" name="Rectangle 239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47625</xdr:rowOff>
    </xdr:from>
    <xdr:to>
      <xdr:col>32</xdr:col>
      <xdr:colOff>142875</xdr:colOff>
      <xdr:row>25</xdr:row>
      <xdr:rowOff>142875</xdr:rowOff>
    </xdr:to>
    <xdr:sp>
      <xdr:nvSpPr>
        <xdr:cNvPr id="38" name="Rectangle 249"/>
        <xdr:cNvSpPr>
          <a:spLocks/>
        </xdr:cNvSpPr>
      </xdr:nvSpPr>
      <xdr:spPr>
        <a:xfrm>
          <a:off x="48672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47625</xdr:rowOff>
    </xdr:from>
    <xdr:to>
      <xdr:col>32</xdr:col>
      <xdr:colOff>142875</xdr:colOff>
      <xdr:row>25</xdr:row>
      <xdr:rowOff>142875</xdr:rowOff>
    </xdr:to>
    <xdr:sp>
      <xdr:nvSpPr>
        <xdr:cNvPr id="39" name="Rectangle 250"/>
        <xdr:cNvSpPr>
          <a:spLocks/>
        </xdr:cNvSpPr>
      </xdr:nvSpPr>
      <xdr:spPr>
        <a:xfrm>
          <a:off x="48672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47625</xdr:rowOff>
    </xdr:from>
    <xdr:to>
      <xdr:col>32</xdr:col>
      <xdr:colOff>142875</xdr:colOff>
      <xdr:row>25</xdr:row>
      <xdr:rowOff>142875</xdr:rowOff>
    </xdr:to>
    <xdr:sp>
      <xdr:nvSpPr>
        <xdr:cNvPr id="40" name="Rectangle 251"/>
        <xdr:cNvSpPr>
          <a:spLocks/>
        </xdr:cNvSpPr>
      </xdr:nvSpPr>
      <xdr:spPr>
        <a:xfrm>
          <a:off x="48672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47625</xdr:rowOff>
    </xdr:from>
    <xdr:to>
      <xdr:col>32</xdr:col>
      <xdr:colOff>142875</xdr:colOff>
      <xdr:row>25</xdr:row>
      <xdr:rowOff>142875</xdr:rowOff>
    </xdr:to>
    <xdr:sp>
      <xdr:nvSpPr>
        <xdr:cNvPr id="41" name="Rectangle 252"/>
        <xdr:cNvSpPr>
          <a:spLocks/>
        </xdr:cNvSpPr>
      </xdr:nvSpPr>
      <xdr:spPr>
        <a:xfrm>
          <a:off x="48672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47625</xdr:rowOff>
    </xdr:from>
    <xdr:to>
      <xdr:col>32</xdr:col>
      <xdr:colOff>142875</xdr:colOff>
      <xdr:row>25</xdr:row>
      <xdr:rowOff>142875</xdr:rowOff>
    </xdr:to>
    <xdr:sp>
      <xdr:nvSpPr>
        <xdr:cNvPr id="42" name="Rectangle 253"/>
        <xdr:cNvSpPr>
          <a:spLocks/>
        </xdr:cNvSpPr>
      </xdr:nvSpPr>
      <xdr:spPr>
        <a:xfrm>
          <a:off x="48672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43" name="Rectangle 259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44" name="Rectangle 260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45" name="Rectangle 261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46" name="Rectangle 262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47" name="Rectangle 263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48" name="Rectangle 264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49" name="Rectangle 265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50" name="Rectangle 266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51" name="Rectangle 267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52" name="Rectangle 268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53" name="Rectangle 276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54" name="Rectangle 277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55" name="Rectangle 278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56" name="Rectangle 279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57" name="Rectangle 280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58" name="Rectangle 281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59" name="Rectangle 282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60" name="Rectangle 283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61" name="Rectangle 284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62" name="Rectangle 285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63" name="Rectangle 286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64" name="Rectangle 287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65" name="Rectangle 288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66" name="Rectangle 289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67" name="Rectangle 302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68" name="Rectangle 303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69" name="Rectangle 304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70" name="Rectangle 305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71" name="Rectangle 306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72" name="Rectangle 307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73" name="Rectangle 308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74" name="Rectangle 309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75" name="Rectangle 310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76" name="Rectangle 311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77" name="Rectangle 312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78" name="Rectangle 313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79" name="Rectangle 314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47625</xdr:rowOff>
    </xdr:from>
    <xdr:to>
      <xdr:col>32</xdr:col>
      <xdr:colOff>142875</xdr:colOff>
      <xdr:row>25</xdr:row>
      <xdr:rowOff>142875</xdr:rowOff>
    </xdr:to>
    <xdr:sp>
      <xdr:nvSpPr>
        <xdr:cNvPr id="80" name="Rectangle 315"/>
        <xdr:cNvSpPr>
          <a:spLocks/>
        </xdr:cNvSpPr>
      </xdr:nvSpPr>
      <xdr:spPr>
        <a:xfrm>
          <a:off x="48672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47625</xdr:rowOff>
    </xdr:from>
    <xdr:to>
      <xdr:col>32</xdr:col>
      <xdr:colOff>142875</xdr:colOff>
      <xdr:row>25</xdr:row>
      <xdr:rowOff>142875</xdr:rowOff>
    </xdr:to>
    <xdr:sp>
      <xdr:nvSpPr>
        <xdr:cNvPr id="81" name="Rectangle 316"/>
        <xdr:cNvSpPr>
          <a:spLocks/>
        </xdr:cNvSpPr>
      </xdr:nvSpPr>
      <xdr:spPr>
        <a:xfrm>
          <a:off x="48672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47625</xdr:rowOff>
    </xdr:from>
    <xdr:to>
      <xdr:col>32</xdr:col>
      <xdr:colOff>142875</xdr:colOff>
      <xdr:row>25</xdr:row>
      <xdr:rowOff>142875</xdr:rowOff>
    </xdr:to>
    <xdr:sp>
      <xdr:nvSpPr>
        <xdr:cNvPr id="82" name="Rectangle 317"/>
        <xdr:cNvSpPr>
          <a:spLocks/>
        </xdr:cNvSpPr>
      </xdr:nvSpPr>
      <xdr:spPr>
        <a:xfrm>
          <a:off x="48672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47625</xdr:rowOff>
    </xdr:from>
    <xdr:to>
      <xdr:col>32</xdr:col>
      <xdr:colOff>142875</xdr:colOff>
      <xdr:row>25</xdr:row>
      <xdr:rowOff>142875</xdr:rowOff>
    </xdr:to>
    <xdr:sp>
      <xdr:nvSpPr>
        <xdr:cNvPr id="83" name="Rectangle 318"/>
        <xdr:cNvSpPr>
          <a:spLocks/>
        </xdr:cNvSpPr>
      </xdr:nvSpPr>
      <xdr:spPr>
        <a:xfrm>
          <a:off x="48672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47625</xdr:rowOff>
    </xdr:from>
    <xdr:to>
      <xdr:col>32</xdr:col>
      <xdr:colOff>142875</xdr:colOff>
      <xdr:row>25</xdr:row>
      <xdr:rowOff>142875</xdr:rowOff>
    </xdr:to>
    <xdr:sp>
      <xdr:nvSpPr>
        <xdr:cNvPr id="84" name="Rectangle 319"/>
        <xdr:cNvSpPr>
          <a:spLocks/>
        </xdr:cNvSpPr>
      </xdr:nvSpPr>
      <xdr:spPr>
        <a:xfrm>
          <a:off x="48672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47625</xdr:rowOff>
    </xdr:from>
    <xdr:to>
      <xdr:col>32</xdr:col>
      <xdr:colOff>142875</xdr:colOff>
      <xdr:row>25</xdr:row>
      <xdr:rowOff>142875</xdr:rowOff>
    </xdr:to>
    <xdr:sp>
      <xdr:nvSpPr>
        <xdr:cNvPr id="85" name="Rectangle 320"/>
        <xdr:cNvSpPr>
          <a:spLocks/>
        </xdr:cNvSpPr>
      </xdr:nvSpPr>
      <xdr:spPr>
        <a:xfrm>
          <a:off x="48672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47625</xdr:rowOff>
    </xdr:from>
    <xdr:to>
      <xdr:col>32</xdr:col>
      <xdr:colOff>142875</xdr:colOff>
      <xdr:row>25</xdr:row>
      <xdr:rowOff>142875</xdr:rowOff>
    </xdr:to>
    <xdr:sp>
      <xdr:nvSpPr>
        <xdr:cNvPr id="86" name="Rectangle 321"/>
        <xdr:cNvSpPr>
          <a:spLocks/>
        </xdr:cNvSpPr>
      </xdr:nvSpPr>
      <xdr:spPr>
        <a:xfrm>
          <a:off x="48672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47625</xdr:rowOff>
    </xdr:from>
    <xdr:to>
      <xdr:col>32</xdr:col>
      <xdr:colOff>142875</xdr:colOff>
      <xdr:row>25</xdr:row>
      <xdr:rowOff>142875</xdr:rowOff>
    </xdr:to>
    <xdr:sp>
      <xdr:nvSpPr>
        <xdr:cNvPr id="87" name="Rectangle 322"/>
        <xdr:cNvSpPr>
          <a:spLocks/>
        </xdr:cNvSpPr>
      </xdr:nvSpPr>
      <xdr:spPr>
        <a:xfrm>
          <a:off x="48672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47625</xdr:rowOff>
    </xdr:from>
    <xdr:to>
      <xdr:col>32</xdr:col>
      <xdr:colOff>142875</xdr:colOff>
      <xdr:row>25</xdr:row>
      <xdr:rowOff>142875</xdr:rowOff>
    </xdr:to>
    <xdr:sp>
      <xdr:nvSpPr>
        <xdr:cNvPr id="88" name="Rectangle 323"/>
        <xdr:cNvSpPr>
          <a:spLocks/>
        </xdr:cNvSpPr>
      </xdr:nvSpPr>
      <xdr:spPr>
        <a:xfrm>
          <a:off x="48672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47625</xdr:rowOff>
    </xdr:from>
    <xdr:to>
      <xdr:col>32</xdr:col>
      <xdr:colOff>142875</xdr:colOff>
      <xdr:row>25</xdr:row>
      <xdr:rowOff>142875</xdr:rowOff>
    </xdr:to>
    <xdr:sp>
      <xdr:nvSpPr>
        <xdr:cNvPr id="89" name="Rectangle 324"/>
        <xdr:cNvSpPr>
          <a:spLocks/>
        </xdr:cNvSpPr>
      </xdr:nvSpPr>
      <xdr:spPr>
        <a:xfrm>
          <a:off x="48672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47625</xdr:rowOff>
    </xdr:from>
    <xdr:to>
      <xdr:col>32</xdr:col>
      <xdr:colOff>142875</xdr:colOff>
      <xdr:row>25</xdr:row>
      <xdr:rowOff>142875</xdr:rowOff>
    </xdr:to>
    <xdr:sp>
      <xdr:nvSpPr>
        <xdr:cNvPr id="90" name="Rectangle 325"/>
        <xdr:cNvSpPr>
          <a:spLocks/>
        </xdr:cNvSpPr>
      </xdr:nvSpPr>
      <xdr:spPr>
        <a:xfrm>
          <a:off x="48672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47625</xdr:rowOff>
    </xdr:from>
    <xdr:to>
      <xdr:col>32</xdr:col>
      <xdr:colOff>142875</xdr:colOff>
      <xdr:row>25</xdr:row>
      <xdr:rowOff>142875</xdr:rowOff>
    </xdr:to>
    <xdr:sp>
      <xdr:nvSpPr>
        <xdr:cNvPr id="91" name="Rectangle 326"/>
        <xdr:cNvSpPr>
          <a:spLocks/>
        </xdr:cNvSpPr>
      </xdr:nvSpPr>
      <xdr:spPr>
        <a:xfrm>
          <a:off x="48672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28575</xdr:rowOff>
    </xdr:from>
    <xdr:to>
      <xdr:col>35</xdr:col>
      <xdr:colOff>142875</xdr:colOff>
      <xdr:row>25</xdr:row>
      <xdr:rowOff>123825</xdr:rowOff>
    </xdr:to>
    <xdr:sp>
      <xdr:nvSpPr>
        <xdr:cNvPr id="92" name="Rectangle 1"/>
        <xdr:cNvSpPr>
          <a:spLocks/>
        </xdr:cNvSpPr>
      </xdr:nvSpPr>
      <xdr:spPr>
        <a:xfrm>
          <a:off x="532447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93" name="Rectangle 2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94" name="Rectangle 119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95" name="Rectangle 123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28575</xdr:rowOff>
    </xdr:from>
    <xdr:to>
      <xdr:col>35</xdr:col>
      <xdr:colOff>142875</xdr:colOff>
      <xdr:row>25</xdr:row>
      <xdr:rowOff>123825</xdr:rowOff>
    </xdr:to>
    <xdr:sp>
      <xdr:nvSpPr>
        <xdr:cNvPr id="96" name="Rectangle 1"/>
        <xdr:cNvSpPr>
          <a:spLocks/>
        </xdr:cNvSpPr>
      </xdr:nvSpPr>
      <xdr:spPr>
        <a:xfrm>
          <a:off x="532447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97" name="Rectangle 2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98" name="Rectangle 119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99" name="Rectangle 123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00" name="Rectangle 121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25</xdr:row>
      <xdr:rowOff>47625</xdr:rowOff>
    </xdr:from>
    <xdr:to>
      <xdr:col>41</xdr:col>
      <xdr:colOff>142875</xdr:colOff>
      <xdr:row>25</xdr:row>
      <xdr:rowOff>142875</xdr:rowOff>
    </xdr:to>
    <xdr:sp>
      <xdr:nvSpPr>
        <xdr:cNvPr id="101" name="Rectangle 121"/>
        <xdr:cNvSpPr>
          <a:spLocks/>
        </xdr:cNvSpPr>
      </xdr:nvSpPr>
      <xdr:spPr>
        <a:xfrm>
          <a:off x="6229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02" name="Rectangle 120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03" name="Rectangle 120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25</xdr:row>
      <xdr:rowOff>47625</xdr:rowOff>
    </xdr:from>
    <xdr:to>
      <xdr:col>41</xdr:col>
      <xdr:colOff>142875</xdr:colOff>
      <xdr:row>25</xdr:row>
      <xdr:rowOff>142875</xdr:rowOff>
    </xdr:to>
    <xdr:sp>
      <xdr:nvSpPr>
        <xdr:cNvPr id="104" name="Rectangle 121"/>
        <xdr:cNvSpPr>
          <a:spLocks/>
        </xdr:cNvSpPr>
      </xdr:nvSpPr>
      <xdr:spPr>
        <a:xfrm>
          <a:off x="6229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28575</xdr:rowOff>
    </xdr:from>
    <xdr:to>
      <xdr:col>34</xdr:col>
      <xdr:colOff>142875</xdr:colOff>
      <xdr:row>25</xdr:row>
      <xdr:rowOff>123825</xdr:rowOff>
    </xdr:to>
    <xdr:sp>
      <xdr:nvSpPr>
        <xdr:cNvPr id="105" name="Rectangle 1"/>
        <xdr:cNvSpPr>
          <a:spLocks/>
        </xdr:cNvSpPr>
      </xdr:nvSpPr>
      <xdr:spPr>
        <a:xfrm>
          <a:off x="518160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06" name="Rectangle 119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07" name="Rectangle 120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38100</xdr:rowOff>
    </xdr:from>
    <xdr:to>
      <xdr:col>35</xdr:col>
      <xdr:colOff>142875</xdr:colOff>
      <xdr:row>26</xdr:row>
      <xdr:rowOff>133350</xdr:rowOff>
    </xdr:to>
    <xdr:sp>
      <xdr:nvSpPr>
        <xdr:cNvPr id="108" name="Rectangle 1"/>
        <xdr:cNvSpPr>
          <a:spLocks/>
        </xdr:cNvSpPr>
      </xdr:nvSpPr>
      <xdr:spPr>
        <a:xfrm>
          <a:off x="5324475" y="52863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09" name="Rectangle 119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10" name="Rectangle 120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11" name="Rectangle 120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2" name="Rectangle 121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3" name="Rectangle 121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4" name="Rectangle 121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28575</xdr:rowOff>
    </xdr:from>
    <xdr:to>
      <xdr:col>35</xdr:col>
      <xdr:colOff>142875</xdr:colOff>
      <xdr:row>25</xdr:row>
      <xdr:rowOff>123825</xdr:rowOff>
    </xdr:to>
    <xdr:sp>
      <xdr:nvSpPr>
        <xdr:cNvPr id="115" name="Rectangle 1830"/>
        <xdr:cNvSpPr>
          <a:spLocks/>
        </xdr:cNvSpPr>
      </xdr:nvSpPr>
      <xdr:spPr>
        <a:xfrm>
          <a:off x="532447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116" name="Rectangle 1831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17" name="Rectangle 1836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8" name="Rectangle 1840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25</xdr:row>
      <xdr:rowOff>47625</xdr:rowOff>
    </xdr:from>
    <xdr:to>
      <xdr:col>41</xdr:col>
      <xdr:colOff>142875</xdr:colOff>
      <xdr:row>25</xdr:row>
      <xdr:rowOff>142875</xdr:rowOff>
    </xdr:to>
    <xdr:sp>
      <xdr:nvSpPr>
        <xdr:cNvPr id="119" name="Rectangle 1844"/>
        <xdr:cNvSpPr>
          <a:spLocks/>
        </xdr:cNvSpPr>
      </xdr:nvSpPr>
      <xdr:spPr>
        <a:xfrm>
          <a:off x="6229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120" name="Rectangle 1860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121" name="Rectangle 1862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122" name="Rectangle 115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123" name="Rectangle 2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124" name="Rectangle 1886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125" name="Rectangle 1887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126" name="Rectangle 1888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127" name="Rectangle 1889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128" name="Rectangle 1890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29" name="Rectangle 115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0" name="Rectangle 2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1" name="Rectangle 1900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2" name="Rectangle 1901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3" name="Rectangle 1902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4" name="Rectangle 1903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5" name="Rectangle 1904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136" name="Rectangle 115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137" name="Rectangle 2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138" name="Rectangle 1907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139" name="Rectangle 1908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140" name="Rectangle 1909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141" name="Rectangle 1910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142" name="Rectangle 1911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43" name="Rectangle 116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44" name="Rectangle 2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45" name="Rectangle 1926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46" name="Rectangle 1927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47" name="Rectangle 1928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48" name="Rectangle 1929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49" name="Rectangle 1930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50" name="Rectangle 1931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51" name="Rectangle 1932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52" name="Rectangle 1933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53" name="Rectangle 1934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54" name="Rectangle 1935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155" name="Rectangle 116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156" name="Rectangle 2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157" name="Rectangle 1938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158" name="Rectangle 1939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159" name="Rectangle 1940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160" name="Rectangle 1941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161" name="Rectangle 1942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162" name="Rectangle 1943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163" name="Rectangle 1944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164" name="Rectangle 1945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165" name="Rectangle 1946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166" name="Rectangle 1947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167" name="Rectangle 1962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50</xdr:col>
      <xdr:colOff>142875</xdr:colOff>
      <xdr:row>26</xdr:row>
      <xdr:rowOff>47625</xdr:rowOff>
    </xdr:from>
    <xdr:to>
      <xdr:col>50</xdr:col>
      <xdr:colOff>142875</xdr:colOff>
      <xdr:row>26</xdr:row>
      <xdr:rowOff>142875</xdr:rowOff>
    </xdr:to>
    <xdr:sp>
      <xdr:nvSpPr>
        <xdr:cNvPr id="168" name="Rectangle 117"/>
        <xdr:cNvSpPr>
          <a:spLocks/>
        </xdr:cNvSpPr>
      </xdr:nvSpPr>
      <xdr:spPr>
        <a:xfrm>
          <a:off x="7515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50</xdr:col>
      <xdr:colOff>142875</xdr:colOff>
      <xdr:row>26</xdr:row>
      <xdr:rowOff>47625</xdr:rowOff>
    </xdr:from>
    <xdr:to>
      <xdr:col>50</xdr:col>
      <xdr:colOff>142875</xdr:colOff>
      <xdr:row>26</xdr:row>
      <xdr:rowOff>142875</xdr:rowOff>
    </xdr:to>
    <xdr:sp>
      <xdr:nvSpPr>
        <xdr:cNvPr id="169" name="Rectangle 2"/>
        <xdr:cNvSpPr>
          <a:spLocks/>
        </xdr:cNvSpPr>
      </xdr:nvSpPr>
      <xdr:spPr>
        <a:xfrm>
          <a:off x="7515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50</xdr:col>
      <xdr:colOff>142875</xdr:colOff>
      <xdr:row>26</xdr:row>
      <xdr:rowOff>47625</xdr:rowOff>
    </xdr:from>
    <xdr:to>
      <xdr:col>50</xdr:col>
      <xdr:colOff>142875</xdr:colOff>
      <xdr:row>26</xdr:row>
      <xdr:rowOff>142875</xdr:rowOff>
    </xdr:to>
    <xdr:sp>
      <xdr:nvSpPr>
        <xdr:cNvPr id="170" name="Rectangle 1982"/>
        <xdr:cNvSpPr>
          <a:spLocks/>
        </xdr:cNvSpPr>
      </xdr:nvSpPr>
      <xdr:spPr>
        <a:xfrm>
          <a:off x="7515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50</xdr:col>
      <xdr:colOff>142875</xdr:colOff>
      <xdr:row>26</xdr:row>
      <xdr:rowOff>47625</xdr:rowOff>
    </xdr:from>
    <xdr:to>
      <xdr:col>50</xdr:col>
      <xdr:colOff>142875</xdr:colOff>
      <xdr:row>26</xdr:row>
      <xdr:rowOff>142875</xdr:rowOff>
    </xdr:to>
    <xdr:sp>
      <xdr:nvSpPr>
        <xdr:cNvPr id="171" name="Rectangle 1983"/>
        <xdr:cNvSpPr>
          <a:spLocks/>
        </xdr:cNvSpPr>
      </xdr:nvSpPr>
      <xdr:spPr>
        <a:xfrm>
          <a:off x="7515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50</xdr:col>
      <xdr:colOff>142875</xdr:colOff>
      <xdr:row>26</xdr:row>
      <xdr:rowOff>47625</xdr:rowOff>
    </xdr:from>
    <xdr:to>
      <xdr:col>50</xdr:col>
      <xdr:colOff>142875</xdr:colOff>
      <xdr:row>26</xdr:row>
      <xdr:rowOff>142875</xdr:rowOff>
    </xdr:to>
    <xdr:sp>
      <xdr:nvSpPr>
        <xdr:cNvPr id="172" name="Rectangle 1984"/>
        <xdr:cNvSpPr>
          <a:spLocks/>
        </xdr:cNvSpPr>
      </xdr:nvSpPr>
      <xdr:spPr>
        <a:xfrm>
          <a:off x="7515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50</xdr:col>
      <xdr:colOff>142875</xdr:colOff>
      <xdr:row>26</xdr:row>
      <xdr:rowOff>47625</xdr:rowOff>
    </xdr:from>
    <xdr:to>
      <xdr:col>50</xdr:col>
      <xdr:colOff>142875</xdr:colOff>
      <xdr:row>26</xdr:row>
      <xdr:rowOff>142875</xdr:rowOff>
    </xdr:to>
    <xdr:sp>
      <xdr:nvSpPr>
        <xdr:cNvPr id="173" name="Rectangle 1985"/>
        <xdr:cNvSpPr>
          <a:spLocks/>
        </xdr:cNvSpPr>
      </xdr:nvSpPr>
      <xdr:spPr>
        <a:xfrm>
          <a:off x="7515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50</xdr:col>
      <xdr:colOff>142875</xdr:colOff>
      <xdr:row>26</xdr:row>
      <xdr:rowOff>47625</xdr:rowOff>
    </xdr:from>
    <xdr:to>
      <xdr:col>50</xdr:col>
      <xdr:colOff>142875</xdr:colOff>
      <xdr:row>26</xdr:row>
      <xdr:rowOff>142875</xdr:rowOff>
    </xdr:to>
    <xdr:sp>
      <xdr:nvSpPr>
        <xdr:cNvPr id="174" name="Rectangle 1986"/>
        <xdr:cNvSpPr>
          <a:spLocks/>
        </xdr:cNvSpPr>
      </xdr:nvSpPr>
      <xdr:spPr>
        <a:xfrm>
          <a:off x="7515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50</xdr:col>
      <xdr:colOff>142875</xdr:colOff>
      <xdr:row>26</xdr:row>
      <xdr:rowOff>47625</xdr:rowOff>
    </xdr:from>
    <xdr:to>
      <xdr:col>50</xdr:col>
      <xdr:colOff>142875</xdr:colOff>
      <xdr:row>26</xdr:row>
      <xdr:rowOff>142875</xdr:rowOff>
    </xdr:to>
    <xdr:sp>
      <xdr:nvSpPr>
        <xdr:cNvPr id="175" name="Rectangle 1987"/>
        <xdr:cNvSpPr>
          <a:spLocks/>
        </xdr:cNvSpPr>
      </xdr:nvSpPr>
      <xdr:spPr>
        <a:xfrm>
          <a:off x="7515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47</xdr:col>
      <xdr:colOff>142875</xdr:colOff>
      <xdr:row>26</xdr:row>
      <xdr:rowOff>47625</xdr:rowOff>
    </xdr:from>
    <xdr:to>
      <xdr:col>47</xdr:col>
      <xdr:colOff>142875</xdr:colOff>
      <xdr:row>26</xdr:row>
      <xdr:rowOff>142875</xdr:rowOff>
    </xdr:to>
    <xdr:sp>
      <xdr:nvSpPr>
        <xdr:cNvPr id="176" name="Rectangle 117"/>
        <xdr:cNvSpPr>
          <a:spLocks/>
        </xdr:cNvSpPr>
      </xdr:nvSpPr>
      <xdr:spPr>
        <a:xfrm>
          <a:off x="7086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47</xdr:col>
      <xdr:colOff>142875</xdr:colOff>
      <xdr:row>26</xdr:row>
      <xdr:rowOff>47625</xdr:rowOff>
    </xdr:from>
    <xdr:to>
      <xdr:col>47</xdr:col>
      <xdr:colOff>142875</xdr:colOff>
      <xdr:row>26</xdr:row>
      <xdr:rowOff>142875</xdr:rowOff>
    </xdr:to>
    <xdr:sp>
      <xdr:nvSpPr>
        <xdr:cNvPr id="177" name="Rectangle 2"/>
        <xdr:cNvSpPr>
          <a:spLocks/>
        </xdr:cNvSpPr>
      </xdr:nvSpPr>
      <xdr:spPr>
        <a:xfrm>
          <a:off x="7086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47</xdr:col>
      <xdr:colOff>142875</xdr:colOff>
      <xdr:row>26</xdr:row>
      <xdr:rowOff>47625</xdr:rowOff>
    </xdr:from>
    <xdr:to>
      <xdr:col>47</xdr:col>
      <xdr:colOff>142875</xdr:colOff>
      <xdr:row>26</xdr:row>
      <xdr:rowOff>142875</xdr:rowOff>
    </xdr:to>
    <xdr:sp>
      <xdr:nvSpPr>
        <xdr:cNvPr id="178" name="Rectangle 2006"/>
        <xdr:cNvSpPr>
          <a:spLocks/>
        </xdr:cNvSpPr>
      </xdr:nvSpPr>
      <xdr:spPr>
        <a:xfrm>
          <a:off x="7086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47</xdr:col>
      <xdr:colOff>142875</xdr:colOff>
      <xdr:row>26</xdr:row>
      <xdr:rowOff>47625</xdr:rowOff>
    </xdr:from>
    <xdr:to>
      <xdr:col>47</xdr:col>
      <xdr:colOff>142875</xdr:colOff>
      <xdr:row>26</xdr:row>
      <xdr:rowOff>142875</xdr:rowOff>
    </xdr:to>
    <xdr:sp>
      <xdr:nvSpPr>
        <xdr:cNvPr id="179" name="Rectangle 2007"/>
        <xdr:cNvSpPr>
          <a:spLocks/>
        </xdr:cNvSpPr>
      </xdr:nvSpPr>
      <xdr:spPr>
        <a:xfrm>
          <a:off x="7086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47</xdr:col>
      <xdr:colOff>142875</xdr:colOff>
      <xdr:row>26</xdr:row>
      <xdr:rowOff>47625</xdr:rowOff>
    </xdr:from>
    <xdr:to>
      <xdr:col>47</xdr:col>
      <xdr:colOff>142875</xdr:colOff>
      <xdr:row>26</xdr:row>
      <xdr:rowOff>142875</xdr:rowOff>
    </xdr:to>
    <xdr:sp>
      <xdr:nvSpPr>
        <xdr:cNvPr id="180" name="Rectangle 2008"/>
        <xdr:cNvSpPr>
          <a:spLocks/>
        </xdr:cNvSpPr>
      </xdr:nvSpPr>
      <xdr:spPr>
        <a:xfrm>
          <a:off x="7086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47</xdr:col>
      <xdr:colOff>142875</xdr:colOff>
      <xdr:row>26</xdr:row>
      <xdr:rowOff>47625</xdr:rowOff>
    </xdr:from>
    <xdr:to>
      <xdr:col>47</xdr:col>
      <xdr:colOff>142875</xdr:colOff>
      <xdr:row>26</xdr:row>
      <xdr:rowOff>142875</xdr:rowOff>
    </xdr:to>
    <xdr:sp>
      <xdr:nvSpPr>
        <xdr:cNvPr id="181" name="Rectangle 2009"/>
        <xdr:cNvSpPr>
          <a:spLocks/>
        </xdr:cNvSpPr>
      </xdr:nvSpPr>
      <xdr:spPr>
        <a:xfrm>
          <a:off x="7086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47</xdr:col>
      <xdr:colOff>142875</xdr:colOff>
      <xdr:row>26</xdr:row>
      <xdr:rowOff>47625</xdr:rowOff>
    </xdr:from>
    <xdr:to>
      <xdr:col>47</xdr:col>
      <xdr:colOff>142875</xdr:colOff>
      <xdr:row>26</xdr:row>
      <xdr:rowOff>142875</xdr:rowOff>
    </xdr:to>
    <xdr:sp>
      <xdr:nvSpPr>
        <xdr:cNvPr id="182" name="Rectangle 2010"/>
        <xdr:cNvSpPr>
          <a:spLocks/>
        </xdr:cNvSpPr>
      </xdr:nvSpPr>
      <xdr:spPr>
        <a:xfrm>
          <a:off x="7086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47</xdr:col>
      <xdr:colOff>142875</xdr:colOff>
      <xdr:row>26</xdr:row>
      <xdr:rowOff>47625</xdr:rowOff>
    </xdr:from>
    <xdr:to>
      <xdr:col>47</xdr:col>
      <xdr:colOff>142875</xdr:colOff>
      <xdr:row>26</xdr:row>
      <xdr:rowOff>142875</xdr:rowOff>
    </xdr:to>
    <xdr:sp>
      <xdr:nvSpPr>
        <xdr:cNvPr id="183" name="Rectangle 2011"/>
        <xdr:cNvSpPr>
          <a:spLocks/>
        </xdr:cNvSpPr>
      </xdr:nvSpPr>
      <xdr:spPr>
        <a:xfrm>
          <a:off x="7086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84" name="Rectangle 118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85" name="Rectangle 2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86" name="Rectangle 2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87" name="Rectangle 2029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88" name="Rectangle 2030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89" name="Rectangle 2031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190" name="Rectangle 118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191" name="Rectangle 2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192" name="Rectangle 2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193" name="Rectangle 2035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194" name="Rectangle 2036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195" name="Rectangle 2037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47</xdr:col>
      <xdr:colOff>142875</xdr:colOff>
      <xdr:row>25</xdr:row>
      <xdr:rowOff>47625</xdr:rowOff>
    </xdr:from>
    <xdr:to>
      <xdr:col>47</xdr:col>
      <xdr:colOff>142875</xdr:colOff>
      <xdr:row>25</xdr:row>
      <xdr:rowOff>142875</xdr:rowOff>
    </xdr:to>
    <xdr:sp>
      <xdr:nvSpPr>
        <xdr:cNvPr id="196" name="Rectangle 117"/>
        <xdr:cNvSpPr>
          <a:spLocks/>
        </xdr:cNvSpPr>
      </xdr:nvSpPr>
      <xdr:spPr>
        <a:xfrm>
          <a:off x="7086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47</xdr:col>
      <xdr:colOff>142875</xdr:colOff>
      <xdr:row>25</xdr:row>
      <xdr:rowOff>47625</xdr:rowOff>
    </xdr:from>
    <xdr:to>
      <xdr:col>47</xdr:col>
      <xdr:colOff>142875</xdr:colOff>
      <xdr:row>25</xdr:row>
      <xdr:rowOff>142875</xdr:rowOff>
    </xdr:to>
    <xdr:sp>
      <xdr:nvSpPr>
        <xdr:cNvPr id="197" name="Rectangle 2"/>
        <xdr:cNvSpPr>
          <a:spLocks/>
        </xdr:cNvSpPr>
      </xdr:nvSpPr>
      <xdr:spPr>
        <a:xfrm>
          <a:off x="7086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47</xdr:col>
      <xdr:colOff>142875</xdr:colOff>
      <xdr:row>25</xdr:row>
      <xdr:rowOff>47625</xdr:rowOff>
    </xdr:from>
    <xdr:to>
      <xdr:col>47</xdr:col>
      <xdr:colOff>142875</xdr:colOff>
      <xdr:row>25</xdr:row>
      <xdr:rowOff>142875</xdr:rowOff>
    </xdr:to>
    <xdr:sp>
      <xdr:nvSpPr>
        <xdr:cNvPr id="198" name="Rectangle 2098"/>
        <xdr:cNvSpPr>
          <a:spLocks/>
        </xdr:cNvSpPr>
      </xdr:nvSpPr>
      <xdr:spPr>
        <a:xfrm>
          <a:off x="7086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47</xdr:col>
      <xdr:colOff>142875</xdr:colOff>
      <xdr:row>25</xdr:row>
      <xdr:rowOff>47625</xdr:rowOff>
    </xdr:from>
    <xdr:to>
      <xdr:col>47</xdr:col>
      <xdr:colOff>142875</xdr:colOff>
      <xdr:row>25</xdr:row>
      <xdr:rowOff>142875</xdr:rowOff>
    </xdr:to>
    <xdr:sp>
      <xdr:nvSpPr>
        <xdr:cNvPr id="199" name="Rectangle 2099"/>
        <xdr:cNvSpPr>
          <a:spLocks/>
        </xdr:cNvSpPr>
      </xdr:nvSpPr>
      <xdr:spPr>
        <a:xfrm>
          <a:off x="7086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47</xdr:col>
      <xdr:colOff>142875</xdr:colOff>
      <xdr:row>25</xdr:row>
      <xdr:rowOff>47625</xdr:rowOff>
    </xdr:from>
    <xdr:to>
      <xdr:col>47</xdr:col>
      <xdr:colOff>142875</xdr:colOff>
      <xdr:row>25</xdr:row>
      <xdr:rowOff>142875</xdr:rowOff>
    </xdr:to>
    <xdr:sp>
      <xdr:nvSpPr>
        <xdr:cNvPr id="200" name="Rectangle 2100"/>
        <xdr:cNvSpPr>
          <a:spLocks/>
        </xdr:cNvSpPr>
      </xdr:nvSpPr>
      <xdr:spPr>
        <a:xfrm>
          <a:off x="7086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47</xdr:col>
      <xdr:colOff>142875</xdr:colOff>
      <xdr:row>25</xdr:row>
      <xdr:rowOff>47625</xdr:rowOff>
    </xdr:from>
    <xdr:to>
      <xdr:col>47</xdr:col>
      <xdr:colOff>142875</xdr:colOff>
      <xdr:row>25</xdr:row>
      <xdr:rowOff>142875</xdr:rowOff>
    </xdr:to>
    <xdr:sp>
      <xdr:nvSpPr>
        <xdr:cNvPr id="201" name="Rectangle 2101"/>
        <xdr:cNvSpPr>
          <a:spLocks/>
        </xdr:cNvSpPr>
      </xdr:nvSpPr>
      <xdr:spPr>
        <a:xfrm>
          <a:off x="7086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47</xdr:col>
      <xdr:colOff>142875</xdr:colOff>
      <xdr:row>25</xdr:row>
      <xdr:rowOff>47625</xdr:rowOff>
    </xdr:from>
    <xdr:to>
      <xdr:col>47</xdr:col>
      <xdr:colOff>142875</xdr:colOff>
      <xdr:row>25</xdr:row>
      <xdr:rowOff>142875</xdr:rowOff>
    </xdr:to>
    <xdr:sp>
      <xdr:nvSpPr>
        <xdr:cNvPr id="202" name="Rectangle 2102"/>
        <xdr:cNvSpPr>
          <a:spLocks/>
        </xdr:cNvSpPr>
      </xdr:nvSpPr>
      <xdr:spPr>
        <a:xfrm>
          <a:off x="7086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47</xdr:col>
      <xdr:colOff>142875</xdr:colOff>
      <xdr:row>25</xdr:row>
      <xdr:rowOff>47625</xdr:rowOff>
    </xdr:from>
    <xdr:to>
      <xdr:col>47</xdr:col>
      <xdr:colOff>142875</xdr:colOff>
      <xdr:row>25</xdr:row>
      <xdr:rowOff>142875</xdr:rowOff>
    </xdr:to>
    <xdr:sp>
      <xdr:nvSpPr>
        <xdr:cNvPr id="203" name="Rectangle 2103"/>
        <xdr:cNvSpPr>
          <a:spLocks/>
        </xdr:cNvSpPr>
      </xdr:nvSpPr>
      <xdr:spPr>
        <a:xfrm>
          <a:off x="7086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204" name="Rectangle 121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205" name="Rectangle 2121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206" name="Rectangle 2122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207" name="Rectangle 2123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208" name="Rectangle 2124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209" name="Rectangle 2125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210" name="Rectangle 2126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211" name="Rectangle 2127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28575</xdr:rowOff>
    </xdr:from>
    <xdr:to>
      <xdr:col>32</xdr:col>
      <xdr:colOff>142875</xdr:colOff>
      <xdr:row>26</xdr:row>
      <xdr:rowOff>123825</xdr:rowOff>
    </xdr:to>
    <xdr:sp>
      <xdr:nvSpPr>
        <xdr:cNvPr id="212" name="Rectangle 1"/>
        <xdr:cNvSpPr>
          <a:spLocks/>
        </xdr:cNvSpPr>
      </xdr:nvSpPr>
      <xdr:spPr>
        <a:xfrm>
          <a:off x="4867275" y="52768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213" name="Rectangle 119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214" name="Rectangle 120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215" name="Rectangle 120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28575</xdr:rowOff>
    </xdr:from>
    <xdr:to>
      <xdr:col>32</xdr:col>
      <xdr:colOff>142875</xdr:colOff>
      <xdr:row>25</xdr:row>
      <xdr:rowOff>123825</xdr:rowOff>
    </xdr:to>
    <xdr:sp>
      <xdr:nvSpPr>
        <xdr:cNvPr id="216" name="Rectangle 1"/>
        <xdr:cNvSpPr>
          <a:spLocks/>
        </xdr:cNvSpPr>
      </xdr:nvSpPr>
      <xdr:spPr>
        <a:xfrm>
          <a:off x="486727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47625</xdr:rowOff>
    </xdr:from>
    <xdr:to>
      <xdr:col>32</xdr:col>
      <xdr:colOff>142875</xdr:colOff>
      <xdr:row>25</xdr:row>
      <xdr:rowOff>142875</xdr:rowOff>
    </xdr:to>
    <xdr:sp>
      <xdr:nvSpPr>
        <xdr:cNvPr id="217" name="Rectangle 119"/>
        <xdr:cNvSpPr>
          <a:spLocks/>
        </xdr:cNvSpPr>
      </xdr:nvSpPr>
      <xdr:spPr>
        <a:xfrm>
          <a:off x="48672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47625</xdr:rowOff>
    </xdr:from>
    <xdr:to>
      <xdr:col>32</xdr:col>
      <xdr:colOff>142875</xdr:colOff>
      <xdr:row>25</xdr:row>
      <xdr:rowOff>142875</xdr:rowOff>
    </xdr:to>
    <xdr:sp>
      <xdr:nvSpPr>
        <xdr:cNvPr id="218" name="Rectangle 120"/>
        <xdr:cNvSpPr>
          <a:spLocks/>
        </xdr:cNvSpPr>
      </xdr:nvSpPr>
      <xdr:spPr>
        <a:xfrm>
          <a:off x="48672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47625</xdr:rowOff>
    </xdr:from>
    <xdr:to>
      <xdr:col>32</xdr:col>
      <xdr:colOff>142875</xdr:colOff>
      <xdr:row>25</xdr:row>
      <xdr:rowOff>142875</xdr:rowOff>
    </xdr:to>
    <xdr:sp>
      <xdr:nvSpPr>
        <xdr:cNvPr id="219" name="Rectangle 120"/>
        <xdr:cNvSpPr>
          <a:spLocks/>
        </xdr:cNvSpPr>
      </xdr:nvSpPr>
      <xdr:spPr>
        <a:xfrm>
          <a:off x="48672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220" name="Rectangle 115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221" name="Rectangle 2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222" name="Rectangle 2153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223" name="Rectangle 2154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224" name="Rectangle 2155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225" name="Rectangle 2156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226" name="Rectangle 2157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227" name="Rectangle 116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228" name="Rectangle 2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229" name="Rectangle 2160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230" name="Rectangle 2161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231" name="Rectangle 2162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232" name="Rectangle 2163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233" name="Rectangle 2164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234" name="Rectangle 2165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235" name="Rectangle 2166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236" name="Rectangle 2167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237" name="Rectangle 2168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238" name="Rectangle 2169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239" name="Rectangle 118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240" name="Rectangle 2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241" name="Rectangle 2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242" name="Rectangle 2173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243" name="Rectangle 2174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244" name="Rectangle 2175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47625</xdr:rowOff>
    </xdr:from>
    <xdr:to>
      <xdr:col>32</xdr:col>
      <xdr:colOff>142875</xdr:colOff>
      <xdr:row>25</xdr:row>
      <xdr:rowOff>142875</xdr:rowOff>
    </xdr:to>
    <xdr:sp>
      <xdr:nvSpPr>
        <xdr:cNvPr id="245" name="Rectangle 121"/>
        <xdr:cNvSpPr>
          <a:spLocks/>
        </xdr:cNvSpPr>
      </xdr:nvSpPr>
      <xdr:spPr>
        <a:xfrm>
          <a:off x="48672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47625</xdr:rowOff>
    </xdr:from>
    <xdr:to>
      <xdr:col>32</xdr:col>
      <xdr:colOff>142875</xdr:colOff>
      <xdr:row>25</xdr:row>
      <xdr:rowOff>142875</xdr:rowOff>
    </xdr:to>
    <xdr:sp>
      <xdr:nvSpPr>
        <xdr:cNvPr id="246" name="Rectangle 2177"/>
        <xdr:cNvSpPr>
          <a:spLocks/>
        </xdr:cNvSpPr>
      </xdr:nvSpPr>
      <xdr:spPr>
        <a:xfrm>
          <a:off x="48672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47625</xdr:rowOff>
    </xdr:from>
    <xdr:to>
      <xdr:col>32</xdr:col>
      <xdr:colOff>142875</xdr:colOff>
      <xdr:row>25</xdr:row>
      <xdr:rowOff>142875</xdr:rowOff>
    </xdr:to>
    <xdr:sp>
      <xdr:nvSpPr>
        <xdr:cNvPr id="247" name="Rectangle 2178"/>
        <xdr:cNvSpPr>
          <a:spLocks/>
        </xdr:cNvSpPr>
      </xdr:nvSpPr>
      <xdr:spPr>
        <a:xfrm>
          <a:off x="48672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47625</xdr:rowOff>
    </xdr:from>
    <xdr:to>
      <xdr:col>32</xdr:col>
      <xdr:colOff>142875</xdr:colOff>
      <xdr:row>25</xdr:row>
      <xdr:rowOff>142875</xdr:rowOff>
    </xdr:to>
    <xdr:sp>
      <xdr:nvSpPr>
        <xdr:cNvPr id="248" name="Rectangle 2179"/>
        <xdr:cNvSpPr>
          <a:spLocks/>
        </xdr:cNvSpPr>
      </xdr:nvSpPr>
      <xdr:spPr>
        <a:xfrm>
          <a:off x="48672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47625</xdr:rowOff>
    </xdr:from>
    <xdr:to>
      <xdr:col>32</xdr:col>
      <xdr:colOff>142875</xdr:colOff>
      <xdr:row>25</xdr:row>
      <xdr:rowOff>142875</xdr:rowOff>
    </xdr:to>
    <xdr:sp>
      <xdr:nvSpPr>
        <xdr:cNvPr id="249" name="Rectangle 2180"/>
        <xdr:cNvSpPr>
          <a:spLocks/>
        </xdr:cNvSpPr>
      </xdr:nvSpPr>
      <xdr:spPr>
        <a:xfrm>
          <a:off x="48672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47625</xdr:rowOff>
    </xdr:from>
    <xdr:to>
      <xdr:col>32</xdr:col>
      <xdr:colOff>142875</xdr:colOff>
      <xdr:row>25</xdr:row>
      <xdr:rowOff>142875</xdr:rowOff>
    </xdr:to>
    <xdr:sp>
      <xdr:nvSpPr>
        <xdr:cNvPr id="250" name="Rectangle 2181"/>
        <xdr:cNvSpPr>
          <a:spLocks/>
        </xdr:cNvSpPr>
      </xdr:nvSpPr>
      <xdr:spPr>
        <a:xfrm>
          <a:off x="48672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25</xdr:row>
      <xdr:rowOff>47625</xdr:rowOff>
    </xdr:from>
    <xdr:to>
      <xdr:col>32</xdr:col>
      <xdr:colOff>142875</xdr:colOff>
      <xdr:row>25</xdr:row>
      <xdr:rowOff>142875</xdr:rowOff>
    </xdr:to>
    <xdr:sp>
      <xdr:nvSpPr>
        <xdr:cNvPr id="251" name="Rectangle 2182"/>
        <xdr:cNvSpPr>
          <a:spLocks/>
        </xdr:cNvSpPr>
      </xdr:nvSpPr>
      <xdr:spPr>
        <a:xfrm>
          <a:off x="48672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28575</xdr:rowOff>
    </xdr:from>
    <xdr:to>
      <xdr:col>35</xdr:col>
      <xdr:colOff>142875</xdr:colOff>
      <xdr:row>25</xdr:row>
      <xdr:rowOff>123825</xdr:rowOff>
    </xdr:to>
    <xdr:sp>
      <xdr:nvSpPr>
        <xdr:cNvPr id="252" name="Rectangle 1"/>
        <xdr:cNvSpPr>
          <a:spLocks/>
        </xdr:cNvSpPr>
      </xdr:nvSpPr>
      <xdr:spPr>
        <a:xfrm>
          <a:off x="532447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253" name="Rectangle 2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254" name="Rectangle 119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255" name="Rectangle 123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256" name="Rectangle 259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257" name="Rectangle 260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258" name="Rectangle 261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259" name="Rectangle 262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260" name="Rectangle 263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261" name="Rectangle 276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262" name="Rectangle 277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263" name="Rectangle 278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264" name="Rectangle 279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265" name="Rectangle 280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266" name="Rectangle 281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267" name="Rectangle 282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28575</xdr:rowOff>
    </xdr:from>
    <xdr:to>
      <xdr:col>35</xdr:col>
      <xdr:colOff>142875</xdr:colOff>
      <xdr:row>25</xdr:row>
      <xdr:rowOff>123825</xdr:rowOff>
    </xdr:to>
    <xdr:sp>
      <xdr:nvSpPr>
        <xdr:cNvPr id="268" name="Rectangle 1"/>
        <xdr:cNvSpPr>
          <a:spLocks/>
        </xdr:cNvSpPr>
      </xdr:nvSpPr>
      <xdr:spPr>
        <a:xfrm>
          <a:off x="532447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269" name="Rectangle 119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270" name="Rectangle 120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271" name="Rectangle 120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272" name="Rectangle 121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273" name="Rectangle 2113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274" name="Rectangle 2114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275" name="Rectangle 2115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276" name="Rectangle 2116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277" name="Rectangle 2117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278" name="Rectangle 2118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279" name="Rectangle 2119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280" name="Rectangle 2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281" name="Rectangle 123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282" name="Rectangle 178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283" name="Rectangle 179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284" name="Rectangle 180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285" name="Rectangle 181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286" name="Rectangle 182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287" name="Rectangle 183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288" name="Rectangle 184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289" name="Rectangle 185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290" name="Rectangle 186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291" name="Rectangle 187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292" name="Rectangle 188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293" name="Rectangle 189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294" name="Rectangle 190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295" name="Rectangle 191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296" name="Rectangle 192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297" name="Rectangle 193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298" name="Rectangle 194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299" name="Rectangle 195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300" name="Rectangle 196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301" name="Rectangle 197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302" name="Rectangle 198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303" name="Rectangle 201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304" name="Rectangle 202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305" name="Rectangle 203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306" name="Rectangle 204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307" name="Rectangle 205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308" name="Rectangle 206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309" name="Rectangle 207"/>
        <xdr:cNvSpPr>
          <a:spLocks/>
        </xdr:cNvSpPr>
      </xdr:nvSpPr>
      <xdr:spPr>
        <a:xfrm>
          <a:off x="5324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310" name="Rectangle 223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311" name="Rectangle 224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312" name="Rectangle 225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313" name="Rectangle 226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314" name="Rectangle 227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142875</xdr:colOff>
      <xdr:row>26</xdr:row>
      <xdr:rowOff>47625</xdr:rowOff>
    </xdr:from>
    <xdr:to>
      <xdr:col>32</xdr:col>
      <xdr:colOff>142875</xdr:colOff>
      <xdr:row>26</xdr:row>
      <xdr:rowOff>142875</xdr:rowOff>
    </xdr:to>
    <xdr:sp>
      <xdr:nvSpPr>
        <xdr:cNvPr id="315" name="Rectangle 228"/>
        <xdr:cNvSpPr>
          <a:spLocks/>
        </xdr:cNvSpPr>
      </xdr:nvSpPr>
      <xdr:spPr>
        <a:xfrm>
          <a:off x="48672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316" name="Rectangle 121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317" name="Rectangle 143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318" name="Rectangle 151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319" name="Rectangle 152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320" name="Rectangle 174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321" name="Rectangle 175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322" name="Rectangle 176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323" name="Rectangle 121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324" name="Rectangle 121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325" name="Rectangle 1838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326" name="Rectangle 1842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327" name="Rectangle 1850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328" name="Rectangle 1851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329" name="Rectangle 1872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330" name="Rectangle 1873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331" name="Rectangle 1874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332" name="Rectangle 121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333" name="Rectangle 121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334" name="Rectangle 147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335" name="Rectangle 148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336" name="Rectangle 162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37" name="Rectangle 2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38" name="Rectangle 197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39" name="Rectangle 198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40" name="Rectangle 199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41" name="Rectangle 200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42" name="Rectangle 201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43" name="Rectangle 202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44" name="Rectangle 203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45" name="Rectangle 204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46" name="Rectangle 205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47" name="Rectangle 206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48" name="Rectangle 237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49" name="Rectangle 238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50" name="Rectangle 239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51" name="Rectangle 2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52" name="Rectangle 2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53" name="Rectangle 1831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54" name="Rectangle 115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55" name="Rectangle 2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56" name="Rectangle 1907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57" name="Rectangle 1908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58" name="Rectangle 1909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59" name="Rectangle 1910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60" name="Rectangle 1911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61" name="Rectangle 116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62" name="Rectangle 2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63" name="Rectangle 1938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64" name="Rectangle 1939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65" name="Rectangle 1940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66" name="Rectangle 1941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67" name="Rectangle 1942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68" name="Rectangle 1943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69" name="Rectangle 1944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70" name="Rectangle 1945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71" name="Rectangle 1946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72" name="Rectangle 1947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73" name="Rectangle 118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74" name="Rectangle 2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75" name="Rectangle 2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76" name="Rectangle 2035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77" name="Rectangle 2036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78" name="Rectangle 2037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79" name="Rectangle 2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80" name="Rectangle 2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81" name="Rectangle 184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82" name="Rectangle 185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83" name="Rectangle 186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84" name="Rectangle 187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85" name="Rectangle 188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86" name="Rectangle 189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87" name="Rectangle 201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88" name="Rectangle 202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89" name="Rectangle 203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90" name="Rectangle 204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91" name="Rectangle 205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92" name="Rectangle 206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393" name="Rectangle 207"/>
        <xdr:cNvSpPr>
          <a:spLocks/>
        </xdr:cNvSpPr>
      </xdr:nvSpPr>
      <xdr:spPr>
        <a:xfrm>
          <a:off x="5467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394" name="Rectangle 2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395" name="Rectangle 197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396" name="Rectangle 198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397" name="Rectangle 199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398" name="Rectangle 200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399" name="Rectangle 201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00" name="Rectangle 202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01" name="Rectangle 203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02" name="Rectangle 204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03" name="Rectangle 205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04" name="Rectangle 206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05" name="Rectangle 237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06" name="Rectangle 238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07" name="Rectangle 239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08" name="Rectangle 2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09" name="Rectangle 2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10" name="Rectangle 1831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11" name="Rectangle 115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12" name="Rectangle 2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13" name="Rectangle 1907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14" name="Rectangle 1908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15" name="Rectangle 1909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16" name="Rectangle 1910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17" name="Rectangle 1911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18" name="Rectangle 116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19" name="Rectangle 2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20" name="Rectangle 1938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21" name="Rectangle 1939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22" name="Rectangle 1940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23" name="Rectangle 1941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24" name="Rectangle 1942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25" name="Rectangle 1943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26" name="Rectangle 1944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27" name="Rectangle 1945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28" name="Rectangle 1946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29" name="Rectangle 1947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30" name="Rectangle 118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31" name="Rectangle 2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32" name="Rectangle 2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33" name="Rectangle 2035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34" name="Rectangle 2036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35" name="Rectangle 2037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36" name="Rectangle 2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37" name="Rectangle 2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38" name="Rectangle 184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39" name="Rectangle 185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40" name="Rectangle 186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41" name="Rectangle 187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42" name="Rectangle 188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43" name="Rectangle 189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44" name="Rectangle 201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45" name="Rectangle 202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46" name="Rectangle 203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47" name="Rectangle 204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48" name="Rectangle 205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49" name="Rectangle 206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450" name="Rectangle 207"/>
        <xdr:cNvSpPr>
          <a:spLocks/>
        </xdr:cNvSpPr>
      </xdr:nvSpPr>
      <xdr:spPr>
        <a:xfrm>
          <a:off x="5610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51" name="Rectangle 2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52" name="Rectangle 197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53" name="Rectangle 198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54" name="Rectangle 199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55" name="Rectangle 200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56" name="Rectangle 201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57" name="Rectangle 202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58" name="Rectangle 203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59" name="Rectangle 204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60" name="Rectangle 205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61" name="Rectangle 206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62" name="Rectangle 237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63" name="Rectangle 238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64" name="Rectangle 239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65" name="Rectangle 2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66" name="Rectangle 2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67" name="Rectangle 1831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68" name="Rectangle 115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69" name="Rectangle 2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70" name="Rectangle 1907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71" name="Rectangle 1908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72" name="Rectangle 1909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73" name="Rectangle 1910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74" name="Rectangle 1911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75" name="Rectangle 116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76" name="Rectangle 2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77" name="Rectangle 1938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78" name="Rectangle 1939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79" name="Rectangle 1940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80" name="Rectangle 1941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81" name="Rectangle 1942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82" name="Rectangle 1943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83" name="Rectangle 1944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84" name="Rectangle 1945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85" name="Rectangle 1946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86" name="Rectangle 1947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87" name="Rectangle 118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88" name="Rectangle 2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89" name="Rectangle 2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90" name="Rectangle 2035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91" name="Rectangle 2036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92" name="Rectangle 2037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93" name="Rectangle 2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94" name="Rectangle 2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95" name="Rectangle 184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96" name="Rectangle 185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97" name="Rectangle 186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98" name="Rectangle 187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499" name="Rectangle 188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500" name="Rectangle 189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501" name="Rectangle 201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502" name="Rectangle 202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503" name="Rectangle 203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504" name="Rectangle 204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505" name="Rectangle 205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506" name="Rectangle 206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507" name="Rectangle 207"/>
        <xdr:cNvSpPr>
          <a:spLocks/>
        </xdr:cNvSpPr>
      </xdr:nvSpPr>
      <xdr:spPr>
        <a:xfrm>
          <a:off x="58007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08" name="Rectangle 2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09" name="Rectangle 197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10" name="Rectangle 198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11" name="Rectangle 199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12" name="Rectangle 200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13" name="Rectangle 201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14" name="Rectangle 202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15" name="Rectangle 203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16" name="Rectangle 204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17" name="Rectangle 205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18" name="Rectangle 206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19" name="Rectangle 237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20" name="Rectangle 238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21" name="Rectangle 239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22" name="Rectangle 2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23" name="Rectangle 2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24" name="Rectangle 1831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25" name="Rectangle 115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26" name="Rectangle 2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27" name="Rectangle 1907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28" name="Rectangle 1908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29" name="Rectangle 1909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30" name="Rectangle 1910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31" name="Rectangle 1911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32" name="Rectangle 116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33" name="Rectangle 2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34" name="Rectangle 1938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35" name="Rectangle 1939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36" name="Rectangle 1940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37" name="Rectangle 1941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38" name="Rectangle 1942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39" name="Rectangle 1943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40" name="Rectangle 1944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41" name="Rectangle 1945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42" name="Rectangle 1946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43" name="Rectangle 1947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44" name="Rectangle 118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45" name="Rectangle 2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46" name="Rectangle 2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47" name="Rectangle 2035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48" name="Rectangle 2036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49" name="Rectangle 2037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50" name="Rectangle 2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51" name="Rectangle 2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52" name="Rectangle 184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53" name="Rectangle 185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54" name="Rectangle 186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55" name="Rectangle 187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56" name="Rectangle 188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57" name="Rectangle 189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58" name="Rectangle 201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59" name="Rectangle 202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60" name="Rectangle 203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61" name="Rectangle 204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62" name="Rectangle 205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63" name="Rectangle 206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564" name="Rectangle 207"/>
        <xdr:cNvSpPr>
          <a:spLocks/>
        </xdr:cNvSpPr>
      </xdr:nvSpPr>
      <xdr:spPr>
        <a:xfrm>
          <a:off x="5943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65" name="Rectangle 2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66" name="Rectangle 197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67" name="Rectangle 198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68" name="Rectangle 199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69" name="Rectangle 200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70" name="Rectangle 201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71" name="Rectangle 202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72" name="Rectangle 203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73" name="Rectangle 204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74" name="Rectangle 205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75" name="Rectangle 206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76" name="Rectangle 237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77" name="Rectangle 238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78" name="Rectangle 239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79" name="Rectangle 2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80" name="Rectangle 2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81" name="Rectangle 1831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82" name="Rectangle 115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83" name="Rectangle 2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84" name="Rectangle 1907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85" name="Rectangle 1908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86" name="Rectangle 1909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87" name="Rectangle 1910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88" name="Rectangle 1911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89" name="Rectangle 116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90" name="Rectangle 2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91" name="Rectangle 1938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92" name="Rectangle 1939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93" name="Rectangle 1940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94" name="Rectangle 1941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95" name="Rectangle 1942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96" name="Rectangle 1943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97" name="Rectangle 1944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98" name="Rectangle 1945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599" name="Rectangle 1946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600" name="Rectangle 1947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601" name="Rectangle 118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602" name="Rectangle 2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603" name="Rectangle 2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604" name="Rectangle 2035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605" name="Rectangle 2036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606" name="Rectangle 2037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607" name="Rectangle 2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608" name="Rectangle 2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609" name="Rectangle 184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610" name="Rectangle 185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611" name="Rectangle 186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612" name="Rectangle 187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613" name="Rectangle 188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614" name="Rectangle 189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615" name="Rectangle 201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616" name="Rectangle 202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617" name="Rectangle 203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618" name="Rectangle 204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619" name="Rectangle 205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620" name="Rectangle 206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142875</xdr:colOff>
      <xdr:row>26</xdr:row>
      <xdr:rowOff>47625</xdr:rowOff>
    </xdr:from>
    <xdr:to>
      <xdr:col>40</xdr:col>
      <xdr:colOff>142875</xdr:colOff>
      <xdr:row>26</xdr:row>
      <xdr:rowOff>142875</xdr:rowOff>
    </xdr:to>
    <xdr:sp>
      <xdr:nvSpPr>
        <xdr:cNvPr id="621" name="Rectangle 207"/>
        <xdr:cNvSpPr>
          <a:spLocks/>
        </xdr:cNvSpPr>
      </xdr:nvSpPr>
      <xdr:spPr>
        <a:xfrm>
          <a:off x="608647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22" name="Rectangle 2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23" name="Rectangle 197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24" name="Rectangle 198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25" name="Rectangle 199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26" name="Rectangle 200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27" name="Rectangle 201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28" name="Rectangle 202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29" name="Rectangle 203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30" name="Rectangle 204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31" name="Rectangle 205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32" name="Rectangle 206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33" name="Rectangle 237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34" name="Rectangle 238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35" name="Rectangle 239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36" name="Rectangle 2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37" name="Rectangle 2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38" name="Rectangle 1831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39" name="Rectangle 115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40" name="Rectangle 2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41" name="Rectangle 1907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42" name="Rectangle 1908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43" name="Rectangle 1909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44" name="Rectangle 1910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45" name="Rectangle 1911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46" name="Rectangle 116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47" name="Rectangle 2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48" name="Rectangle 1938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49" name="Rectangle 1939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50" name="Rectangle 1940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51" name="Rectangle 1941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52" name="Rectangle 1942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53" name="Rectangle 1943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54" name="Rectangle 1944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55" name="Rectangle 1945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56" name="Rectangle 1946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57" name="Rectangle 1947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58" name="Rectangle 118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59" name="Rectangle 2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60" name="Rectangle 2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61" name="Rectangle 2035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62" name="Rectangle 2036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63" name="Rectangle 2037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64" name="Rectangle 2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65" name="Rectangle 2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66" name="Rectangle 184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67" name="Rectangle 185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68" name="Rectangle 186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69" name="Rectangle 187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70" name="Rectangle 188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71" name="Rectangle 189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72" name="Rectangle 201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73" name="Rectangle 202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74" name="Rectangle 203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75" name="Rectangle 204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76" name="Rectangle 205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77" name="Rectangle 206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142875</xdr:colOff>
      <xdr:row>26</xdr:row>
      <xdr:rowOff>47625</xdr:rowOff>
    </xdr:from>
    <xdr:to>
      <xdr:col>41</xdr:col>
      <xdr:colOff>142875</xdr:colOff>
      <xdr:row>26</xdr:row>
      <xdr:rowOff>142875</xdr:rowOff>
    </xdr:to>
    <xdr:sp>
      <xdr:nvSpPr>
        <xdr:cNvPr id="678" name="Rectangle 207"/>
        <xdr:cNvSpPr>
          <a:spLocks/>
        </xdr:cNvSpPr>
      </xdr:nvSpPr>
      <xdr:spPr>
        <a:xfrm>
          <a:off x="622935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679" name="Rectangle 2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680" name="Rectangle 197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681" name="Rectangle 198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682" name="Rectangle 199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683" name="Rectangle 200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684" name="Rectangle 201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685" name="Rectangle 202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686" name="Rectangle 203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687" name="Rectangle 204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688" name="Rectangle 205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689" name="Rectangle 206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690" name="Rectangle 237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691" name="Rectangle 238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692" name="Rectangle 239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693" name="Rectangle 2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694" name="Rectangle 2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695" name="Rectangle 1831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696" name="Rectangle 115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697" name="Rectangle 2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698" name="Rectangle 1907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699" name="Rectangle 1908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00" name="Rectangle 1909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01" name="Rectangle 1910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02" name="Rectangle 1911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03" name="Rectangle 116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04" name="Rectangle 2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05" name="Rectangle 1938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06" name="Rectangle 1939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07" name="Rectangle 1940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08" name="Rectangle 1941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09" name="Rectangle 1942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10" name="Rectangle 1943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11" name="Rectangle 1944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12" name="Rectangle 1945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13" name="Rectangle 1946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14" name="Rectangle 1947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15" name="Rectangle 118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16" name="Rectangle 2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17" name="Rectangle 2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18" name="Rectangle 2035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19" name="Rectangle 2036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20" name="Rectangle 2037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21" name="Rectangle 2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22" name="Rectangle 2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23" name="Rectangle 184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24" name="Rectangle 185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25" name="Rectangle 186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26" name="Rectangle 187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27" name="Rectangle 188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28" name="Rectangle 189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29" name="Rectangle 201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30" name="Rectangle 202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31" name="Rectangle 203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32" name="Rectangle 204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33" name="Rectangle 205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34" name="Rectangle 206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42</xdr:col>
      <xdr:colOff>142875</xdr:colOff>
      <xdr:row>26</xdr:row>
      <xdr:rowOff>47625</xdr:rowOff>
    </xdr:from>
    <xdr:to>
      <xdr:col>42</xdr:col>
      <xdr:colOff>142875</xdr:colOff>
      <xdr:row>26</xdr:row>
      <xdr:rowOff>142875</xdr:rowOff>
    </xdr:to>
    <xdr:sp>
      <xdr:nvSpPr>
        <xdr:cNvPr id="735" name="Rectangle 207"/>
        <xdr:cNvSpPr>
          <a:spLocks/>
        </xdr:cNvSpPr>
      </xdr:nvSpPr>
      <xdr:spPr>
        <a:xfrm>
          <a:off x="6372225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36" name="Rectangle 2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37" name="Rectangle 197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38" name="Rectangle 198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39" name="Rectangle 199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40" name="Rectangle 200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41" name="Rectangle 201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42" name="Rectangle 202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43" name="Rectangle 203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44" name="Rectangle 204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45" name="Rectangle 205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46" name="Rectangle 206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47" name="Rectangle 237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48" name="Rectangle 238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49" name="Rectangle 239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50" name="Rectangle 2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51" name="Rectangle 2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52" name="Rectangle 1831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53" name="Rectangle 115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54" name="Rectangle 2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55" name="Rectangle 1907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56" name="Rectangle 1908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57" name="Rectangle 1909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58" name="Rectangle 1910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59" name="Rectangle 1911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60" name="Rectangle 116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61" name="Rectangle 2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62" name="Rectangle 1938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63" name="Rectangle 1939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64" name="Rectangle 1940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65" name="Rectangle 1941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66" name="Rectangle 1942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67" name="Rectangle 1943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68" name="Rectangle 1944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69" name="Rectangle 1945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70" name="Rectangle 1946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71" name="Rectangle 1947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72" name="Rectangle 118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73" name="Rectangle 2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74" name="Rectangle 2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75" name="Rectangle 2035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76" name="Rectangle 2036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77" name="Rectangle 2037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78" name="Rectangle 2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79" name="Rectangle 2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80" name="Rectangle 184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81" name="Rectangle 185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82" name="Rectangle 186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83" name="Rectangle 187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84" name="Rectangle 188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85" name="Rectangle 189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86" name="Rectangle 201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87" name="Rectangle 202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88" name="Rectangle 203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89" name="Rectangle 204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90" name="Rectangle 205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91" name="Rectangle 206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142875</xdr:colOff>
      <xdr:row>26</xdr:row>
      <xdr:rowOff>47625</xdr:rowOff>
    </xdr:from>
    <xdr:to>
      <xdr:col>43</xdr:col>
      <xdr:colOff>142875</xdr:colOff>
      <xdr:row>26</xdr:row>
      <xdr:rowOff>142875</xdr:rowOff>
    </xdr:to>
    <xdr:sp>
      <xdr:nvSpPr>
        <xdr:cNvPr id="792" name="Rectangle 207"/>
        <xdr:cNvSpPr>
          <a:spLocks/>
        </xdr:cNvSpPr>
      </xdr:nvSpPr>
      <xdr:spPr>
        <a:xfrm>
          <a:off x="65151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44</xdr:col>
      <xdr:colOff>142875</xdr:colOff>
      <xdr:row>25</xdr:row>
      <xdr:rowOff>47625</xdr:rowOff>
    </xdr:from>
    <xdr:to>
      <xdr:col>44</xdr:col>
      <xdr:colOff>142875</xdr:colOff>
      <xdr:row>25</xdr:row>
      <xdr:rowOff>142875</xdr:rowOff>
    </xdr:to>
    <xdr:sp>
      <xdr:nvSpPr>
        <xdr:cNvPr id="793" name="Rectangle 117"/>
        <xdr:cNvSpPr>
          <a:spLocks/>
        </xdr:cNvSpPr>
      </xdr:nvSpPr>
      <xdr:spPr>
        <a:xfrm>
          <a:off x="66579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44</xdr:col>
      <xdr:colOff>142875</xdr:colOff>
      <xdr:row>25</xdr:row>
      <xdr:rowOff>47625</xdr:rowOff>
    </xdr:from>
    <xdr:to>
      <xdr:col>44</xdr:col>
      <xdr:colOff>142875</xdr:colOff>
      <xdr:row>25</xdr:row>
      <xdr:rowOff>142875</xdr:rowOff>
    </xdr:to>
    <xdr:sp>
      <xdr:nvSpPr>
        <xdr:cNvPr id="794" name="Rectangle 2"/>
        <xdr:cNvSpPr>
          <a:spLocks/>
        </xdr:cNvSpPr>
      </xdr:nvSpPr>
      <xdr:spPr>
        <a:xfrm>
          <a:off x="66579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44</xdr:col>
      <xdr:colOff>142875</xdr:colOff>
      <xdr:row>25</xdr:row>
      <xdr:rowOff>47625</xdr:rowOff>
    </xdr:from>
    <xdr:to>
      <xdr:col>44</xdr:col>
      <xdr:colOff>142875</xdr:colOff>
      <xdr:row>25</xdr:row>
      <xdr:rowOff>142875</xdr:rowOff>
    </xdr:to>
    <xdr:sp>
      <xdr:nvSpPr>
        <xdr:cNvPr id="795" name="Rectangle 2098"/>
        <xdr:cNvSpPr>
          <a:spLocks/>
        </xdr:cNvSpPr>
      </xdr:nvSpPr>
      <xdr:spPr>
        <a:xfrm>
          <a:off x="66579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44</xdr:col>
      <xdr:colOff>142875</xdr:colOff>
      <xdr:row>25</xdr:row>
      <xdr:rowOff>47625</xdr:rowOff>
    </xdr:from>
    <xdr:to>
      <xdr:col>44</xdr:col>
      <xdr:colOff>142875</xdr:colOff>
      <xdr:row>25</xdr:row>
      <xdr:rowOff>142875</xdr:rowOff>
    </xdr:to>
    <xdr:sp>
      <xdr:nvSpPr>
        <xdr:cNvPr id="796" name="Rectangle 2099"/>
        <xdr:cNvSpPr>
          <a:spLocks/>
        </xdr:cNvSpPr>
      </xdr:nvSpPr>
      <xdr:spPr>
        <a:xfrm>
          <a:off x="66579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44</xdr:col>
      <xdr:colOff>142875</xdr:colOff>
      <xdr:row>25</xdr:row>
      <xdr:rowOff>47625</xdr:rowOff>
    </xdr:from>
    <xdr:to>
      <xdr:col>44</xdr:col>
      <xdr:colOff>142875</xdr:colOff>
      <xdr:row>25</xdr:row>
      <xdr:rowOff>142875</xdr:rowOff>
    </xdr:to>
    <xdr:sp>
      <xdr:nvSpPr>
        <xdr:cNvPr id="797" name="Rectangle 2100"/>
        <xdr:cNvSpPr>
          <a:spLocks/>
        </xdr:cNvSpPr>
      </xdr:nvSpPr>
      <xdr:spPr>
        <a:xfrm>
          <a:off x="66579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44</xdr:col>
      <xdr:colOff>142875</xdr:colOff>
      <xdr:row>25</xdr:row>
      <xdr:rowOff>47625</xdr:rowOff>
    </xdr:from>
    <xdr:to>
      <xdr:col>44</xdr:col>
      <xdr:colOff>142875</xdr:colOff>
      <xdr:row>25</xdr:row>
      <xdr:rowOff>142875</xdr:rowOff>
    </xdr:to>
    <xdr:sp>
      <xdr:nvSpPr>
        <xdr:cNvPr id="798" name="Rectangle 2101"/>
        <xdr:cNvSpPr>
          <a:spLocks/>
        </xdr:cNvSpPr>
      </xdr:nvSpPr>
      <xdr:spPr>
        <a:xfrm>
          <a:off x="66579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44</xdr:col>
      <xdr:colOff>142875</xdr:colOff>
      <xdr:row>25</xdr:row>
      <xdr:rowOff>47625</xdr:rowOff>
    </xdr:from>
    <xdr:to>
      <xdr:col>44</xdr:col>
      <xdr:colOff>142875</xdr:colOff>
      <xdr:row>25</xdr:row>
      <xdr:rowOff>142875</xdr:rowOff>
    </xdr:to>
    <xdr:sp>
      <xdr:nvSpPr>
        <xdr:cNvPr id="799" name="Rectangle 2102"/>
        <xdr:cNvSpPr>
          <a:spLocks/>
        </xdr:cNvSpPr>
      </xdr:nvSpPr>
      <xdr:spPr>
        <a:xfrm>
          <a:off x="66579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44</xdr:col>
      <xdr:colOff>142875</xdr:colOff>
      <xdr:row>25</xdr:row>
      <xdr:rowOff>47625</xdr:rowOff>
    </xdr:from>
    <xdr:to>
      <xdr:col>44</xdr:col>
      <xdr:colOff>142875</xdr:colOff>
      <xdr:row>25</xdr:row>
      <xdr:rowOff>142875</xdr:rowOff>
    </xdr:to>
    <xdr:sp>
      <xdr:nvSpPr>
        <xdr:cNvPr id="800" name="Rectangle 2103"/>
        <xdr:cNvSpPr>
          <a:spLocks/>
        </xdr:cNvSpPr>
      </xdr:nvSpPr>
      <xdr:spPr>
        <a:xfrm>
          <a:off x="66579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45</xdr:col>
      <xdr:colOff>142875</xdr:colOff>
      <xdr:row>25</xdr:row>
      <xdr:rowOff>47625</xdr:rowOff>
    </xdr:from>
    <xdr:to>
      <xdr:col>45</xdr:col>
      <xdr:colOff>142875</xdr:colOff>
      <xdr:row>25</xdr:row>
      <xdr:rowOff>142875</xdr:rowOff>
    </xdr:to>
    <xdr:sp>
      <xdr:nvSpPr>
        <xdr:cNvPr id="801" name="Rectangle 117"/>
        <xdr:cNvSpPr>
          <a:spLocks/>
        </xdr:cNvSpPr>
      </xdr:nvSpPr>
      <xdr:spPr>
        <a:xfrm>
          <a:off x="68008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45</xdr:col>
      <xdr:colOff>142875</xdr:colOff>
      <xdr:row>25</xdr:row>
      <xdr:rowOff>47625</xdr:rowOff>
    </xdr:from>
    <xdr:to>
      <xdr:col>45</xdr:col>
      <xdr:colOff>142875</xdr:colOff>
      <xdr:row>25</xdr:row>
      <xdr:rowOff>142875</xdr:rowOff>
    </xdr:to>
    <xdr:sp>
      <xdr:nvSpPr>
        <xdr:cNvPr id="802" name="Rectangle 2"/>
        <xdr:cNvSpPr>
          <a:spLocks/>
        </xdr:cNvSpPr>
      </xdr:nvSpPr>
      <xdr:spPr>
        <a:xfrm>
          <a:off x="68008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45</xdr:col>
      <xdr:colOff>142875</xdr:colOff>
      <xdr:row>25</xdr:row>
      <xdr:rowOff>47625</xdr:rowOff>
    </xdr:from>
    <xdr:to>
      <xdr:col>45</xdr:col>
      <xdr:colOff>142875</xdr:colOff>
      <xdr:row>25</xdr:row>
      <xdr:rowOff>142875</xdr:rowOff>
    </xdr:to>
    <xdr:sp>
      <xdr:nvSpPr>
        <xdr:cNvPr id="803" name="Rectangle 2098"/>
        <xdr:cNvSpPr>
          <a:spLocks/>
        </xdr:cNvSpPr>
      </xdr:nvSpPr>
      <xdr:spPr>
        <a:xfrm>
          <a:off x="68008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45</xdr:col>
      <xdr:colOff>142875</xdr:colOff>
      <xdr:row>25</xdr:row>
      <xdr:rowOff>47625</xdr:rowOff>
    </xdr:from>
    <xdr:to>
      <xdr:col>45</xdr:col>
      <xdr:colOff>142875</xdr:colOff>
      <xdr:row>25</xdr:row>
      <xdr:rowOff>142875</xdr:rowOff>
    </xdr:to>
    <xdr:sp>
      <xdr:nvSpPr>
        <xdr:cNvPr id="804" name="Rectangle 2099"/>
        <xdr:cNvSpPr>
          <a:spLocks/>
        </xdr:cNvSpPr>
      </xdr:nvSpPr>
      <xdr:spPr>
        <a:xfrm>
          <a:off x="68008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45</xdr:col>
      <xdr:colOff>142875</xdr:colOff>
      <xdr:row>25</xdr:row>
      <xdr:rowOff>47625</xdr:rowOff>
    </xdr:from>
    <xdr:to>
      <xdr:col>45</xdr:col>
      <xdr:colOff>142875</xdr:colOff>
      <xdr:row>25</xdr:row>
      <xdr:rowOff>142875</xdr:rowOff>
    </xdr:to>
    <xdr:sp>
      <xdr:nvSpPr>
        <xdr:cNvPr id="805" name="Rectangle 2100"/>
        <xdr:cNvSpPr>
          <a:spLocks/>
        </xdr:cNvSpPr>
      </xdr:nvSpPr>
      <xdr:spPr>
        <a:xfrm>
          <a:off x="68008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45</xdr:col>
      <xdr:colOff>142875</xdr:colOff>
      <xdr:row>25</xdr:row>
      <xdr:rowOff>47625</xdr:rowOff>
    </xdr:from>
    <xdr:to>
      <xdr:col>45</xdr:col>
      <xdr:colOff>142875</xdr:colOff>
      <xdr:row>25</xdr:row>
      <xdr:rowOff>142875</xdr:rowOff>
    </xdr:to>
    <xdr:sp>
      <xdr:nvSpPr>
        <xdr:cNvPr id="806" name="Rectangle 2101"/>
        <xdr:cNvSpPr>
          <a:spLocks/>
        </xdr:cNvSpPr>
      </xdr:nvSpPr>
      <xdr:spPr>
        <a:xfrm>
          <a:off x="68008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45</xdr:col>
      <xdr:colOff>142875</xdr:colOff>
      <xdr:row>25</xdr:row>
      <xdr:rowOff>47625</xdr:rowOff>
    </xdr:from>
    <xdr:to>
      <xdr:col>45</xdr:col>
      <xdr:colOff>142875</xdr:colOff>
      <xdr:row>25</xdr:row>
      <xdr:rowOff>142875</xdr:rowOff>
    </xdr:to>
    <xdr:sp>
      <xdr:nvSpPr>
        <xdr:cNvPr id="807" name="Rectangle 2102"/>
        <xdr:cNvSpPr>
          <a:spLocks/>
        </xdr:cNvSpPr>
      </xdr:nvSpPr>
      <xdr:spPr>
        <a:xfrm>
          <a:off x="68008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45</xdr:col>
      <xdr:colOff>142875</xdr:colOff>
      <xdr:row>25</xdr:row>
      <xdr:rowOff>47625</xdr:rowOff>
    </xdr:from>
    <xdr:to>
      <xdr:col>45</xdr:col>
      <xdr:colOff>142875</xdr:colOff>
      <xdr:row>25</xdr:row>
      <xdr:rowOff>142875</xdr:rowOff>
    </xdr:to>
    <xdr:sp>
      <xdr:nvSpPr>
        <xdr:cNvPr id="808" name="Rectangle 2103"/>
        <xdr:cNvSpPr>
          <a:spLocks/>
        </xdr:cNvSpPr>
      </xdr:nvSpPr>
      <xdr:spPr>
        <a:xfrm>
          <a:off x="68008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46</xdr:col>
      <xdr:colOff>142875</xdr:colOff>
      <xdr:row>25</xdr:row>
      <xdr:rowOff>47625</xdr:rowOff>
    </xdr:from>
    <xdr:to>
      <xdr:col>46</xdr:col>
      <xdr:colOff>142875</xdr:colOff>
      <xdr:row>25</xdr:row>
      <xdr:rowOff>142875</xdr:rowOff>
    </xdr:to>
    <xdr:sp>
      <xdr:nvSpPr>
        <xdr:cNvPr id="809" name="Rectangle 117"/>
        <xdr:cNvSpPr>
          <a:spLocks/>
        </xdr:cNvSpPr>
      </xdr:nvSpPr>
      <xdr:spPr>
        <a:xfrm>
          <a:off x="6943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46</xdr:col>
      <xdr:colOff>142875</xdr:colOff>
      <xdr:row>25</xdr:row>
      <xdr:rowOff>47625</xdr:rowOff>
    </xdr:from>
    <xdr:to>
      <xdr:col>46</xdr:col>
      <xdr:colOff>142875</xdr:colOff>
      <xdr:row>25</xdr:row>
      <xdr:rowOff>142875</xdr:rowOff>
    </xdr:to>
    <xdr:sp>
      <xdr:nvSpPr>
        <xdr:cNvPr id="810" name="Rectangle 2"/>
        <xdr:cNvSpPr>
          <a:spLocks/>
        </xdr:cNvSpPr>
      </xdr:nvSpPr>
      <xdr:spPr>
        <a:xfrm>
          <a:off x="6943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46</xdr:col>
      <xdr:colOff>142875</xdr:colOff>
      <xdr:row>25</xdr:row>
      <xdr:rowOff>47625</xdr:rowOff>
    </xdr:from>
    <xdr:to>
      <xdr:col>46</xdr:col>
      <xdr:colOff>142875</xdr:colOff>
      <xdr:row>25</xdr:row>
      <xdr:rowOff>142875</xdr:rowOff>
    </xdr:to>
    <xdr:sp>
      <xdr:nvSpPr>
        <xdr:cNvPr id="811" name="Rectangle 2098"/>
        <xdr:cNvSpPr>
          <a:spLocks/>
        </xdr:cNvSpPr>
      </xdr:nvSpPr>
      <xdr:spPr>
        <a:xfrm>
          <a:off x="6943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46</xdr:col>
      <xdr:colOff>142875</xdr:colOff>
      <xdr:row>25</xdr:row>
      <xdr:rowOff>47625</xdr:rowOff>
    </xdr:from>
    <xdr:to>
      <xdr:col>46</xdr:col>
      <xdr:colOff>142875</xdr:colOff>
      <xdr:row>25</xdr:row>
      <xdr:rowOff>142875</xdr:rowOff>
    </xdr:to>
    <xdr:sp>
      <xdr:nvSpPr>
        <xdr:cNvPr id="812" name="Rectangle 2099"/>
        <xdr:cNvSpPr>
          <a:spLocks/>
        </xdr:cNvSpPr>
      </xdr:nvSpPr>
      <xdr:spPr>
        <a:xfrm>
          <a:off x="6943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46</xdr:col>
      <xdr:colOff>142875</xdr:colOff>
      <xdr:row>25</xdr:row>
      <xdr:rowOff>47625</xdr:rowOff>
    </xdr:from>
    <xdr:to>
      <xdr:col>46</xdr:col>
      <xdr:colOff>142875</xdr:colOff>
      <xdr:row>25</xdr:row>
      <xdr:rowOff>142875</xdr:rowOff>
    </xdr:to>
    <xdr:sp>
      <xdr:nvSpPr>
        <xdr:cNvPr id="813" name="Rectangle 2100"/>
        <xdr:cNvSpPr>
          <a:spLocks/>
        </xdr:cNvSpPr>
      </xdr:nvSpPr>
      <xdr:spPr>
        <a:xfrm>
          <a:off x="6943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46</xdr:col>
      <xdr:colOff>142875</xdr:colOff>
      <xdr:row>25</xdr:row>
      <xdr:rowOff>47625</xdr:rowOff>
    </xdr:from>
    <xdr:to>
      <xdr:col>46</xdr:col>
      <xdr:colOff>142875</xdr:colOff>
      <xdr:row>25</xdr:row>
      <xdr:rowOff>142875</xdr:rowOff>
    </xdr:to>
    <xdr:sp>
      <xdr:nvSpPr>
        <xdr:cNvPr id="814" name="Rectangle 2101"/>
        <xdr:cNvSpPr>
          <a:spLocks/>
        </xdr:cNvSpPr>
      </xdr:nvSpPr>
      <xdr:spPr>
        <a:xfrm>
          <a:off x="6943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46</xdr:col>
      <xdr:colOff>142875</xdr:colOff>
      <xdr:row>25</xdr:row>
      <xdr:rowOff>47625</xdr:rowOff>
    </xdr:from>
    <xdr:to>
      <xdr:col>46</xdr:col>
      <xdr:colOff>142875</xdr:colOff>
      <xdr:row>25</xdr:row>
      <xdr:rowOff>142875</xdr:rowOff>
    </xdr:to>
    <xdr:sp>
      <xdr:nvSpPr>
        <xdr:cNvPr id="815" name="Rectangle 2102"/>
        <xdr:cNvSpPr>
          <a:spLocks/>
        </xdr:cNvSpPr>
      </xdr:nvSpPr>
      <xdr:spPr>
        <a:xfrm>
          <a:off x="6943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46</xdr:col>
      <xdr:colOff>142875</xdr:colOff>
      <xdr:row>25</xdr:row>
      <xdr:rowOff>47625</xdr:rowOff>
    </xdr:from>
    <xdr:to>
      <xdr:col>46</xdr:col>
      <xdr:colOff>142875</xdr:colOff>
      <xdr:row>25</xdr:row>
      <xdr:rowOff>142875</xdr:rowOff>
    </xdr:to>
    <xdr:sp>
      <xdr:nvSpPr>
        <xdr:cNvPr id="816" name="Rectangle 2103"/>
        <xdr:cNvSpPr>
          <a:spLocks/>
        </xdr:cNvSpPr>
      </xdr:nvSpPr>
      <xdr:spPr>
        <a:xfrm>
          <a:off x="6943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44</xdr:col>
      <xdr:colOff>142875</xdr:colOff>
      <xdr:row>25</xdr:row>
      <xdr:rowOff>47625</xdr:rowOff>
    </xdr:from>
    <xdr:to>
      <xdr:col>44</xdr:col>
      <xdr:colOff>142875</xdr:colOff>
      <xdr:row>25</xdr:row>
      <xdr:rowOff>142875</xdr:rowOff>
    </xdr:to>
    <xdr:sp>
      <xdr:nvSpPr>
        <xdr:cNvPr id="817" name="Rectangle 147"/>
        <xdr:cNvSpPr>
          <a:spLocks/>
        </xdr:cNvSpPr>
      </xdr:nvSpPr>
      <xdr:spPr>
        <a:xfrm>
          <a:off x="66579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45</xdr:col>
      <xdr:colOff>142875</xdr:colOff>
      <xdr:row>25</xdr:row>
      <xdr:rowOff>47625</xdr:rowOff>
    </xdr:from>
    <xdr:to>
      <xdr:col>45</xdr:col>
      <xdr:colOff>142875</xdr:colOff>
      <xdr:row>25</xdr:row>
      <xdr:rowOff>142875</xdr:rowOff>
    </xdr:to>
    <xdr:sp>
      <xdr:nvSpPr>
        <xdr:cNvPr id="818" name="Rectangle 117"/>
        <xdr:cNvSpPr>
          <a:spLocks/>
        </xdr:cNvSpPr>
      </xdr:nvSpPr>
      <xdr:spPr>
        <a:xfrm>
          <a:off x="68008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45</xdr:col>
      <xdr:colOff>142875</xdr:colOff>
      <xdr:row>25</xdr:row>
      <xdr:rowOff>47625</xdr:rowOff>
    </xdr:from>
    <xdr:to>
      <xdr:col>45</xdr:col>
      <xdr:colOff>142875</xdr:colOff>
      <xdr:row>25</xdr:row>
      <xdr:rowOff>142875</xdr:rowOff>
    </xdr:to>
    <xdr:sp>
      <xdr:nvSpPr>
        <xdr:cNvPr id="819" name="Rectangle 2"/>
        <xdr:cNvSpPr>
          <a:spLocks/>
        </xdr:cNvSpPr>
      </xdr:nvSpPr>
      <xdr:spPr>
        <a:xfrm>
          <a:off x="68008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45</xdr:col>
      <xdr:colOff>142875</xdr:colOff>
      <xdr:row>25</xdr:row>
      <xdr:rowOff>47625</xdr:rowOff>
    </xdr:from>
    <xdr:to>
      <xdr:col>45</xdr:col>
      <xdr:colOff>142875</xdr:colOff>
      <xdr:row>25</xdr:row>
      <xdr:rowOff>142875</xdr:rowOff>
    </xdr:to>
    <xdr:sp>
      <xdr:nvSpPr>
        <xdr:cNvPr id="820" name="Rectangle 2098"/>
        <xdr:cNvSpPr>
          <a:spLocks/>
        </xdr:cNvSpPr>
      </xdr:nvSpPr>
      <xdr:spPr>
        <a:xfrm>
          <a:off x="68008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45</xdr:col>
      <xdr:colOff>142875</xdr:colOff>
      <xdr:row>25</xdr:row>
      <xdr:rowOff>47625</xdr:rowOff>
    </xdr:from>
    <xdr:to>
      <xdr:col>45</xdr:col>
      <xdr:colOff>142875</xdr:colOff>
      <xdr:row>25</xdr:row>
      <xdr:rowOff>142875</xdr:rowOff>
    </xdr:to>
    <xdr:sp>
      <xdr:nvSpPr>
        <xdr:cNvPr id="821" name="Rectangle 2099"/>
        <xdr:cNvSpPr>
          <a:spLocks/>
        </xdr:cNvSpPr>
      </xdr:nvSpPr>
      <xdr:spPr>
        <a:xfrm>
          <a:off x="68008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45</xdr:col>
      <xdr:colOff>142875</xdr:colOff>
      <xdr:row>25</xdr:row>
      <xdr:rowOff>47625</xdr:rowOff>
    </xdr:from>
    <xdr:to>
      <xdr:col>45</xdr:col>
      <xdr:colOff>142875</xdr:colOff>
      <xdr:row>25</xdr:row>
      <xdr:rowOff>142875</xdr:rowOff>
    </xdr:to>
    <xdr:sp>
      <xdr:nvSpPr>
        <xdr:cNvPr id="822" name="Rectangle 2100"/>
        <xdr:cNvSpPr>
          <a:spLocks/>
        </xdr:cNvSpPr>
      </xdr:nvSpPr>
      <xdr:spPr>
        <a:xfrm>
          <a:off x="68008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45</xdr:col>
      <xdr:colOff>142875</xdr:colOff>
      <xdr:row>25</xdr:row>
      <xdr:rowOff>47625</xdr:rowOff>
    </xdr:from>
    <xdr:to>
      <xdr:col>45</xdr:col>
      <xdr:colOff>142875</xdr:colOff>
      <xdr:row>25</xdr:row>
      <xdr:rowOff>142875</xdr:rowOff>
    </xdr:to>
    <xdr:sp>
      <xdr:nvSpPr>
        <xdr:cNvPr id="823" name="Rectangle 2101"/>
        <xdr:cNvSpPr>
          <a:spLocks/>
        </xdr:cNvSpPr>
      </xdr:nvSpPr>
      <xdr:spPr>
        <a:xfrm>
          <a:off x="68008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45</xdr:col>
      <xdr:colOff>142875</xdr:colOff>
      <xdr:row>25</xdr:row>
      <xdr:rowOff>47625</xdr:rowOff>
    </xdr:from>
    <xdr:to>
      <xdr:col>45</xdr:col>
      <xdr:colOff>142875</xdr:colOff>
      <xdr:row>25</xdr:row>
      <xdr:rowOff>142875</xdr:rowOff>
    </xdr:to>
    <xdr:sp>
      <xdr:nvSpPr>
        <xdr:cNvPr id="824" name="Rectangle 2102"/>
        <xdr:cNvSpPr>
          <a:spLocks/>
        </xdr:cNvSpPr>
      </xdr:nvSpPr>
      <xdr:spPr>
        <a:xfrm>
          <a:off x="68008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45</xdr:col>
      <xdr:colOff>142875</xdr:colOff>
      <xdr:row>25</xdr:row>
      <xdr:rowOff>47625</xdr:rowOff>
    </xdr:from>
    <xdr:to>
      <xdr:col>45</xdr:col>
      <xdr:colOff>142875</xdr:colOff>
      <xdr:row>25</xdr:row>
      <xdr:rowOff>142875</xdr:rowOff>
    </xdr:to>
    <xdr:sp>
      <xdr:nvSpPr>
        <xdr:cNvPr id="825" name="Rectangle 2103"/>
        <xdr:cNvSpPr>
          <a:spLocks/>
        </xdr:cNvSpPr>
      </xdr:nvSpPr>
      <xdr:spPr>
        <a:xfrm>
          <a:off x="68008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45</xdr:col>
      <xdr:colOff>142875</xdr:colOff>
      <xdr:row>25</xdr:row>
      <xdr:rowOff>47625</xdr:rowOff>
    </xdr:from>
    <xdr:to>
      <xdr:col>45</xdr:col>
      <xdr:colOff>142875</xdr:colOff>
      <xdr:row>25</xdr:row>
      <xdr:rowOff>142875</xdr:rowOff>
    </xdr:to>
    <xdr:sp>
      <xdr:nvSpPr>
        <xdr:cNvPr id="826" name="Rectangle 147"/>
        <xdr:cNvSpPr>
          <a:spLocks/>
        </xdr:cNvSpPr>
      </xdr:nvSpPr>
      <xdr:spPr>
        <a:xfrm>
          <a:off x="68008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46</xdr:col>
      <xdr:colOff>142875</xdr:colOff>
      <xdr:row>25</xdr:row>
      <xdr:rowOff>47625</xdr:rowOff>
    </xdr:from>
    <xdr:to>
      <xdr:col>46</xdr:col>
      <xdr:colOff>142875</xdr:colOff>
      <xdr:row>25</xdr:row>
      <xdr:rowOff>142875</xdr:rowOff>
    </xdr:to>
    <xdr:sp>
      <xdr:nvSpPr>
        <xdr:cNvPr id="827" name="Rectangle 117"/>
        <xdr:cNvSpPr>
          <a:spLocks/>
        </xdr:cNvSpPr>
      </xdr:nvSpPr>
      <xdr:spPr>
        <a:xfrm>
          <a:off x="6943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46</xdr:col>
      <xdr:colOff>142875</xdr:colOff>
      <xdr:row>25</xdr:row>
      <xdr:rowOff>47625</xdr:rowOff>
    </xdr:from>
    <xdr:to>
      <xdr:col>46</xdr:col>
      <xdr:colOff>142875</xdr:colOff>
      <xdr:row>25</xdr:row>
      <xdr:rowOff>142875</xdr:rowOff>
    </xdr:to>
    <xdr:sp>
      <xdr:nvSpPr>
        <xdr:cNvPr id="828" name="Rectangle 2"/>
        <xdr:cNvSpPr>
          <a:spLocks/>
        </xdr:cNvSpPr>
      </xdr:nvSpPr>
      <xdr:spPr>
        <a:xfrm>
          <a:off x="6943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46</xdr:col>
      <xdr:colOff>142875</xdr:colOff>
      <xdr:row>25</xdr:row>
      <xdr:rowOff>47625</xdr:rowOff>
    </xdr:from>
    <xdr:to>
      <xdr:col>46</xdr:col>
      <xdr:colOff>142875</xdr:colOff>
      <xdr:row>25</xdr:row>
      <xdr:rowOff>142875</xdr:rowOff>
    </xdr:to>
    <xdr:sp>
      <xdr:nvSpPr>
        <xdr:cNvPr id="829" name="Rectangle 2098"/>
        <xdr:cNvSpPr>
          <a:spLocks/>
        </xdr:cNvSpPr>
      </xdr:nvSpPr>
      <xdr:spPr>
        <a:xfrm>
          <a:off x="6943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46</xdr:col>
      <xdr:colOff>142875</xdr:colOff>
      <xdr:row>25</xdr:row>
      <xdr:rowOff>47625</xdr:rowOff>
    </xdr:from>
    <xdr:to>
      <xdr:col>46</xdr:col>
      <xdr:colOff>142875</xdr:colOff>
      <xdr:row>25</xdr:row>
      <xdr:rowOff>142875</xdr:rowOff>
    </xdr:to>
    <xdr:sp>
      <xdr:nvSpPr>
        <xdr:cNvPr id="830" name="Rectangle 2099"/>
        <xdr:cNvSpPr>
          <a:spLocks/>
        </xdr:cNvSpPr>
      </xdr:nvSpPr>
      <xdr:spPr>
        <a:xfrm>
          <a:off x="6943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46</xdr:col>
      <xdr:colOff>142875</xdr:colOff>
      <xdr:row>25</xdr:row>
      <xdr:rowOff>47625</xdr:rowOff>
    </xdr:from>
    <xdr:to>
      <xdr:col>46</xdr:col>
      <xdr:colOff>142875</xdr:colOff>
      <xdr:row>25</xdr:row>
      <xdr:rowOff>142875</xdr:rowOff>
    </xdr:to>
    <xdr:sp>
      <xdr:nvSpPr>
        <xdr:cNvPr id="831" name="Rectangle 2100"/>
        <xdr:cNvSpPr>
          <a:spLocks/>
        </xdr:cNvSpPr>
      </xdr:nvSpPr>
      <xdr:spPr>
        <a:xfrm>
          <a:off x="6943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46</xdr:col>
      <xdr:colOff>142875</xdr:colOff>
      <xdr:row>25</xdr:row>
      <xdr:rowOff>47625</xdr:rowOff>
    </xdr:from>
    <xdr:to>
      <xdr:col>46</xdr:col>
      <xdr:colOff>142875</xdr:colOff>
      <xdr:row>25</xdr:row>
      <xdr:rowOff>142875</xdr:rowOff>
    </xdr:to>
    <xdr:sp>
      <xdr:nvSpPr>
        <xdr:cNvPr id="832" name="Rectangle 2101"/>
        <xdr:cNvSpPr>
          <a:spLocks/>
        </xdr:cNvSpPr>
      </xdr:nvSpPr>
      <xdr:spPr>
        <a:xfrm>
          <a:off x="6943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46</xdr:col>
      <xdr:colOff>142875</xdr:colOff>
      <xdr:row>25</xdr:row>
      <xdr:rowOff>47625</xdr:rowOff>
    </xdr:from>
    <xdr:to>
      <xdr:col>46</xdr:col>
      <xdr:colOff>142875</xdr:colOff>
      <xdr:row>25</xdr:row>
      <xdr:rowOff>142875</xdr:rowOff>
    </xdr:to>
    <xdr:sp>
      <xdr:nvSpPr>
        <xdr:cNvPr id="833" name="Rectangle 2102"/>
        <xdr:cNvSpPr>
          <a:spLocks/>
        </xdr:cNvSpPr>
      </xdr:nvSpPr>
      <xdr:spPr>
        <a:xfrm>
          <a:off x="6943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46</xdr:col>
      <xdr:colOff>142875</xdr:colOff>
      <xdr:row>25</xdr:row>
      <xdr:rowOff>47625</xdr:rowOff>
    </xdr:from>
    <xdr:to>
      <xdr:col>46</xdr:col>
      <xdr:colOff>142875</xdr:colOff>
      <xdr:row>25</xdr:row>
      <xdr:rowOff>142875</xdr:rowOff>
    </xdr:to>
    <xdr:sp>
      <xdr:nvSpPr>
        <xdr:cNvPr id="834" name="Rectangle 2103"/>
        <xdr:cNvSpPr>
          <a:spLocks/>
        </xdr:cNvSpPr>
      </xdr:nvSpPr>
      <xdr:spPr>
        <a:xfrm>
          <a:off x="6943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46</xdr:col>
      <xdr:colOff>142875</xdr:colOff>
      <xdr:row>25</xdr:row>
      <xdr:rowOff>47625</xdr:rowOff>
    </xdr:from>
    <xdr:to>
      <xdr:col>46</xdr:col>
      <xdr:colOff>142875</xdr:colOff>
      <xdr:row>25</xdr:row>
      <xdr:rowOff>142875</xdr:rowOff>
    </xdr:to>
    <xdr:sp>
      <xdr:nvSpPr>
        <xdr:cNvPr id="835" name="Rectangle 147"/>
        <xdr:cNvSpPr>
          <a:spLocks/>
        </xdr:cNvSpPr>
      </xdr:nvSpPr>
      <xdr:spPr>
        <a:xfrm>
          <a:off x="6943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836" name="Rectangle 259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837" name="Rectangle 260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838" name="Rectangle 261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839" name="Rectangle 262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840" name="Rectangle 263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841" name="Rectangle 276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842" name="Rectangle 277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843" name="Rectangle 278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844" name="Rectangle 279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845" name="Rectangle 280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846" name="Rectangle 281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847" name="Rectangle 282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28575</xdr:rowOff>
    </xdr:from>
    <xdr:to>
      <xdr:col>35</xdr:col>
      <xdr:colOff>142875</xdr:colOff>
      <xdr:row>25</xdr:row>
      <xdr:rowOff>123825</xdr:rowOff>
    </xdr:to>
    <xdr:sp>
      <xdr:nvSpPr>
        <xdr:cNvPr id="848" name="Rectangle 1"/>
        <xdr:cNvSpPr>
          <a:spLocks/>
        </xdr:cNvSpPr>
      </xdr:nvSpPr>
      <xdr:spPr>
        <a:xfrm>
          <a:off x="532447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849" name="Rectangle 119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850" name="Rectangle 120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51" name="Rectangle 25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52" name="Rectangle 260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53" name="Rectangle 26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54" name="Rectangle 262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55" name="Rectangle 263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56" name="Rectangle 276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57" name="Rectangle 277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58" name="Rectangle 278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59" name="Rectangle 27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60" name="Rectangle 280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61" name="Rectangle 28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62" name="Rectangle 282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28575</xdr:rowOff>
    </xdr:from>
    <xdr:to>
      <xdr:col>36</xdr:col>
      <xdr:colOff>142875</xdr:colOff>
      <xdr:row>25</xdr:row>
      <xdr:rowOff>123825</xdr:rowOff>
    </xdr:to>
    <xdr:sp>
      <xdr:nvSpPr>
        <xdr:cNvPr id="863" name="Rectangle 1"/>
        <xdr:cNvSpPr>
          <a:spLocks/>
        </xdr:cNvSpPr>
      </xdr:nvSpPr>
      <xdr:spPr>
        <a:xfrm>
          <a:off x="546735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64" name="Rectangle 11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65" name="Rectangle 120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28575</xdr:rowOff>
    </xdr:from>
    <xdr:to>
      <xdr:col>36</xdr:col>
      <xdr:colOff>142875</xdr:colOff>
      <xdr:row>25</xdr:row>
      <xdr:rowOff>123825</xdr:rowOff>
    </xdr:to>
    <xdr:sp>
      <xdr:nvSpPr>
        <xdr:cNvPr id="866" name="Rectangle 1"/>
        <xdr:cNvSpPr>
          <a:spLocks/>
        </xdr:cNvSpPr>
      </xdr:nvSpPr>
      <xdr:spPr>
        <a:xfrm>
          <a:off x="546735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67" name="Rectangle 11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68" name="Rectangle 264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69" name="Rectangle 265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70" name="Rectangle 266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71" name="Rectangle 267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72" name="Rectangle 268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73" name="Rectangle 283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74" name="Rectangle 284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75" name="Rectangle 285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76" name="Rectangle 286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77" name="Rectangle 287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78" name="Rectangle 288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79" name="Rectangle 28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28575</xdr:rowOff>
    </xdr:from>
    <xdr:to>
      <xdr:col>36</xdr:col>
      <xdr:colOff>142875</xdr:colOff>
      <xdr:row>25</xdr:row>
      <xdr:rowOff>123825</xdr:rowOff>
    </xdr:to>
    <xdr:sp>
      <xdr:nvSpPr>
        <xdr:cNvPr id="880" name="Rectangle 1"/>
        <xdr:cNvSpPr>
          <a:spLocks/>
        </xdr:cNvSpPr>
      </xdr:nvSpPr>
      <xdr:spPr>
        <a:xfrm>
          <a:off x="546735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81" name="Rectangle 11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28575</xdr:rowOff>
    </xdr:from>
    <xdr:to>
      <xdr:col>36</xdr:col>
      <xdr:colOff>142875</xdr:colOff>
      <xdr:row>25</xdr:row>
      <xdr:rowOff>123825</xdr:rowOff>
    </xdr:to>
    <xdr:sp>
      <xdr:nvSpPr>
        <xdr:cNvPr id="882" name="Rectangle 1"/>
        <xdr:cNvSpPr>
          <a:spLocks/>
        </xdr:cNvSpPr>
      </xdr:nvSpPr>
      <xdr:spPr>
        <a:xfrm>
          <a:off x="546735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83" name="Rectangle 11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84" name="Rectangle 120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85" name="Rectangle 120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28575</xdr:rowOff>
    </xdr:from>
    <xdr:to>
      <xdr:col>36</xdr:col>
      <xdr:colOff>142875</xdr:colOff>
      <xdr:row>25</xdr:row>
      <xdr:rowOff>123825</xdr:rowOff>
    </xdr:to>
    <xdr:sp>
      <xdr:nvSpPr>
        <xdr:cNvPr id="886" name="Rectangle 1830"/>
        <xdr:cNvSpPr>
          <a:spLocks/>
        </xdr:cNvSpPr>
      </xdr:nvSpPr>
      <xdr:spPr>
        <a:xfrm>
          <a:off x="546735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87" name="Rectangle 1836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88" name="Rectangle 12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89" name="Rectangle 212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90" name="Rectangle 2122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91" name="Rectangle 2123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92" name="Rectangle 2124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93" name="Rectangle 2125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94" name="Rectangle 2126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95" name="Rectangle 2127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28575</xdr:rowOff>
    </xdr:from>
    <xdr:to>
      <xdr:col>36</xdr:col>
      <xdr:colOff>142875</xdr:colOff>
      <xdr:row>25</xdr:row>
      <xdr:rowOff>123825</xdr:rowOff>
    </xdr:to>
    <xdr:sp>
      <xdr:nvSpPr>
        <xdr:cNvPr id="896" name="Rectangle 1"/>
        <xdr:cNvSpPr>
          <a:spLocks/>
        </xdr:cNvSpPr>
      </xdr:nvSpPr>
      <xdr:spPr>
        <a:xfrm>
          <a:off x="546735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97" name="Rectangle 11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98" name="Rectangle 25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899" name="Rectangle 260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00" name="Rectangle 26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01" name="Rectangle 262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02" name="Rectangle 263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03" name="Rectangle 276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04" name="Rectangle 277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05" name="Rectangle 278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06" name="Rectangle 27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07" name="Rectangle 280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08" name="Rectangle 28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09" name="Rectangle 282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28575</xdr:rowOff>
    </xdr:from>
    <xdr:to>
      <xdr:col>36</xdr:col>
      <xdr:colOff>142875</xdr:colOff>
      <xdr:row>25</xdr:row>
      <xdr:rowOff>123825</xdr:rowOff>
    </xdr:to>
    <xdr:sp>
      <xdr:nvSpPr>
        <xdr:cNvPr id="910" name="Rectangle 1"/>
        <xdr:cNvSpPr>
          <a:spLocks/>
        </xdr:cNvSpPr>
      </xdr:nvSpPr>
      <xdr:spPr>
        <a:xfrm>
          <a:off x="546735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11" name="Rectangle 11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12" name="Rectangle 120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13" name="Rectangle 120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14" name="Rectangle 12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15" name="Rectangle 2113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16" name="Rectangle 2114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17" name="Rectangle 2115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18" name="Rectangle 2116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19" name="Rectangle 2117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20" name="Rectangle 2118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21" name="Rectangle 211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22" name="Rectangle 12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23" name="Rectangle 143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24" name="Rectangle 15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25" name="Rectangle 152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26" name="Rectangle 174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27" name="Rectangle 175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28" name="Rectangle 176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29" name="Rectangle 12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30" name="Rectangle 12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31" name="Rectangle 1838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32" name="Rectangle 1842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33" name="Rectangle 1850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34" name="Rectangle 185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35" name="Rectangle 1872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36" name="Rectangle 1873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37" name="Rectangle 1874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38" name="Rectangle 12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39" name="Rectangle 12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40" name="Rectangle 147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41" name="Rectangle 148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42" name="Rectangle 162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43" name="Rectangle 25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44" name="Rectangle 260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45" name="Rectangle 26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46" name="Rectangle 262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47" name="Rectangle 263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48" name="Rectangle 276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49" name="Rectangle 277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50" name="Rectangle 278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51" name="Rectangle 27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52" name="Rectangle 280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53" name="Rectangle 28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54" name="Rectangle 282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28575</xdr:rowOff>
    </xdr:from>
    <xdr:to>
      <xdr:col>36</xdr:col>
      <xdr:colOff>142875</xdr:colOff>
      <xdr:row>25</xdr:row>
      <xdr:rowOff>123825</xdr:rowOff>
    </xdr:to>
    <xdr:sp>
      <xdr:nvSpPr>
        <xdr:cNvPr id="955" name="Rectangle 1"/>
        <xdr:cNvSpPr>
          <a:spLocks/>
        </xdr:cNvSpPr>
      </xdr:nvSpPr>
      <xdr:spPr>
        <a:xfrm>
          <a:off x="546735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56" name="Rectangle 11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57" name="Rectangle 120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28575</xdr:rowOff>
    </xdr:from>
    <xdr:to>
      <xdr:col>37</xdr:col>
      <xdr:colOff>142875</xdr:colOff>
      <xdr:row>25</xdr:row>
      <xdr:rowOff>123825</xdr:rowOff>
    </xdr:to>
    <xdr:sp>
      <xdr:nvSpPr>
        <xdr:cNvPr id="958" name="Rectangle 1"/>
        <xdr:cNvSpPr>
          <a:spLocks/>
        </xdr:cNvSpPr>
      </xdr:nvSpPr>
      <xdr:spPr>
        <a:xfrm>
          <a:off x="561022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59" name="Rectangle 119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60" name="Rectangle 264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61" name="Rectangle 265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62" name="Rectangle 266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63" name="Rectangle 267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64" name="Rectangle 268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65" name="Rectangle 283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66" name="Rectangle 284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67" name="Rectangle 285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68" name="Rectangle 286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69" name="Rectangle 287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70" name="Rectangle 288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71" name="Rectangle 289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28575</xdr:rowOff>
    </xdr:from>
    <xdr:to>
      <xdr:col>37</xdr:col>
      <xdr:colOff>142875</xdr:colOff>
      <xdr:row>25</xdr:row>
      <xdr:rowOff>123825</xdr:rowOff>
    </xdr:to>
    <xdr:sp>
      <xdr:nvSpPr>
        <xdr:cNvPr id="972" name="Rectangle 1"/>
        <xdr:cNvSpPr>
          <a:spLocks/>
        </xdr:cNvSpPr>
      </xdr:nvSpPr>
      <xdr:spPr>
        <a:xfrm>
          <a:off x="561022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73" name="Rectangle 119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28575</xdr:rowOff>
    </xdr:from>
    <xdr:to>
      <xdr:col>37</xdr:col>
      <xdr:colOff>142875</xdr:colOff>
      <xdr:row>25</xdr:row>
      <xdr:rowOff>123825</xdr:rowOff>
    </xdr:to>
    <xdr:sp>
      <xdr:nvSpPr>
        <xdr:cNvPr id="974" name="Rectangle 1"/>
        <xdr:cNvSpPr>
          <a:spLocks/>
        </xdr:cNvSpPr>
      </xdr:nvSpPr>
      <xdr:spPr>
        <a:xfrm>
          <a:off x="561022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75" name="Rectangle 119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76" name="Rectangle 120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77" name="Rectangle 120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28575</xdr:rowOff>
    </xdr:from>
    <xdr:to>
      <xdr:col>37</xdr:col>
      <xdr:colOff>142875</xdr:colOff>
      <xdr:row>25</xdr:row>
      <xdr:rowOff>123825</xdr:rowOff>
    </xdr:to>
    <xdr:sp>
      <xdr:nvSpPr>
        <xdr:cNvPr id="978" name="Rectangle 1830"/>
        <xdr:cNvSpPr>
          <a:spLocks/>
        </xdr:cNvSpPr>
      </xdr:nvSpPr>
      <xdr:spPr>
        <a:xfrm>
          <a:off x="561022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79" name="Rectangle 1836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80" name="Rectangle 121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81" name="Rectangle 2121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82" name="Rectangle 2122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83" name="Rectangle 2123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84" name="Rectangle 2124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85" name="Rectangle 2125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86" name="Rectangle 2126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87" name="Rectangle 2127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28575</xdr:rowOff>
    </xdr:from>
    <xdr:to>
      <xdr:col>37</xdr:col>
      <xdr:colOff>142875</xdr:colOff>
      <xdr:row>25</xdr:row>
      <xdr:rowOff>123825</xdr:rowOff>
    </xdr:to>
    <xdr:sp>
      <xdr:nvSpPr>
        <xdr:cNvPr id="988" name="Rectangle 1"/>
        <xdr:cNvSpPr>
          <a:spLocks/>
        </xdr:cNvSpPr>
      </xdr:nvSpPr>
      <xdr:spPr>
        <a:xfrm>
          <a:off x="561022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89" name="Rectangle 119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90" name="Rectangle 259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91" name="Rectangle 260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92" name="Rectangle 261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93" name="Rectangle 262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94" name="Rectangle 263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95" name="Rectangle 276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96" name="Rectangle 277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97" name="Rectangle 278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98" name="Rectangle 279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999" name="Rectangle 280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00" name="Rectangle 281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01" name="Rectangle 282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28575</xdr:rowOff>
    </xdr:from>
    <xdr:to>
      <xdr:col>37</xdr:col>
      <xdr:colOff>142875</xdr:colOff>
      <xdr:row>25</xdr:row>
      <xdr:rowOff>123825</xdr:rowOff>
    </xdr:to>
    <xdr:sp>
      <xdr:nvSpPr>
        <xdr:cNvPr id="1002" name="Rectangle 1"/>
        <xdr:cNvSpPr>
          <a:spLocks/>
        </xdr:cNvSpPr>
      </xdr:nvSpPr>
      <xdr:spPr>
        <a:xfrm>
          <a:off x="561022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03" name="Rectangle 119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04" name="Rectangle 120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05" name="Rectangle 120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06" name="Rectangle 121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07" name="Rectangle 2113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08" name="Rectangle 2114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09" name="Rectangle 2115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10" name="Rectangle 2116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11" name="Rectangle 2117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12" name="Rectangle 2118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13" name="Rectangle 2119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14" name="Rectangle 121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15" name="Rectangle 143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16" name="Rectangle 151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17" name="Rectangle 152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18" name="Rectangle 174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19" name="Rectangle 175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20" name="Rectangle 176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21" name="Rectangle 121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22" name="Rectangle 121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23" name="Rectangle 1838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24" name="Rectangle 1842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25" name="Rectangle 1850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26" name="Rectangle 1851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27" name="Rectangle 1872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28" name="Rectangle 1873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29" name="Rectangle 1874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30" name="Rectangle 121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31" name="Rectangle 121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32" name="Rectangle 147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33" name="Rectangle 148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34" name="Rectangle 162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35" name="Rectangle 259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36" name="Rectangle 260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37" name="Rectangle 261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38" name="Rectangle 262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39" name="Rectangle 263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40" name="Rectangle 276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41" name="Rectangle 277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42" name="Rectangle 278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43" name="Rectangle 279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44" name="Rectangle 280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45" name="Rectangle 281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46" name="Rectangle 282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28575</xdr:rowOff>
    </xdr:from>
    <xdr:to>
      <xdr:col>37</xdr:col>
      <xdr:colOff>142875</xdr:colOff>
      <xdr:row>25</xdr:row>
      <xdr:rowOff>123825</xdr:rowOff>
    </xdr:to>
    <xdr:sp>
      <xdr:nvSpPr>
        <xdr:cNvPr id="1047" name="Rectangle 1"/>
        <xdr:cNvSpPr>
          <a:spLocks/>
        </xdr:cNvSpPr>
      </xdr:nvSpPr>
      <xdr:spPr>
        <a:xfrm>
          <a:off x="561022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48" name="Rectangle 119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49" name="Rectangle 120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28575</xdr:rowOff>
    </xdr:from>
    <xdr:to>
      <xdr:col>38</xdr:col>
      <xdr:colOff>142875</xdr:colOff>
      <xdr:row>25</xdr:row>
      <xdr:rowOff>123825</xdr:rowOff>
    </xdr:to>
    <xdr:sp>
      <xdr:nvSpPr>
        <xdr:cNvPr id="1050" name="Rectangle 1"/>
        <xdr:cNvSpPr>
          <a:spLocks/>
        </xdr:cNvSpPr>
      </xdr:nvSpPr>
      <xdr:spPr>
        <a:xfrm>
          <a:off x="580072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51" name="Rectangle 119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52" name="Rectangle 264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53" name="Rectangle 265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54" name="Rectangle 266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55" name="Rectangle 267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56" name="Rectangle 268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57" name="Rectangle 283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58" name="Rectangle 284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59" name="Rectangle 285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60" name="Rectangle 286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61" name="Rectangle 287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62" name="Rectangle 288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63" name="Rectangle 289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28575</xdr:rowOff>
    </xdr:from>
    <xdr:to>
      <xdr:col>38</xdr:col>
      <xdr:colOff>142875</xdr:colOff>
      <xdr:row>25</xdr:row>
      <xdr:rowOff>123825</xdr:rowOff>
    </xdr:to>
    <xdr:sp>
      <xdr:nvSpPr>
        <xdr:cNvPr id="1064" name="Rectangle 1"/>
        <xdr:cNvSpPr>
          <a:spLocks/>
        </xdr:cNvSpPr>
      </xdr:nvSpPr>
      <xdr:spPr>
        <a:xfrm>
          <a:off x="580072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65" name="Rectangle 119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28575</xdr:rowOff>
    </xdr:from>
    <xdr:to>
      <xdr:col>38</xdr:col>
      <xdr:colOff>142875</xdr:colOff>
      <xdr:row>25</xdr:row>
      <xdr:rowOff>123825</xdr:rowOff>
    </xdr:to>
    <xdr:sp>
      <xdr:nvSpPr>
        <xdr:cNvPr id="1066" name="Rectangle 1"/>
        <xdr:cNvSpPr>
          <a:spLocks/>
        </xdr:cNvSpPr>
      </xdr:nvSpPr>
      <xdr:spPr>
        <a:xfrm>
          <a:off x="580072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67" name="Rectangle 119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68" name="Rectangle 120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69" name="Rectangle 120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28575</xdr:rowOff>
    </xdr:from>
    <xdr:to>
      <xdr:col>38</xdr:col>
      <xdr:colOff>142875</xdr:colOff>
      <xdr:row>25</xdr:row>
      <xdr:rowOff>123825</xdr:rowOff>
    </xdr:to>
    <xdr:sp>
      <xdr:nvSpPr>
        <xdr:cNvPr id="1070" name="Rectangle 1830"/>
        <xdr:cNvSpPr>
          <a:spLocks/>
        </xdr:cNvSpPr>
      </xdr:nvSpPr>
      <xdr:spPr>
        <a:xfrm>
          <a:off x="580072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71" name="Rectangle 1836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72" name="Rectangle 121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73" name="Rectangle 2121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74" name="Rectangle 2122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75" name="Rectangle 2123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76" name="Rectangle 2124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77" name="Rectangle 2125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78" name="Rectangle 2126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79" name="Rectangle 2127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28575</xdr:rowOff>
    </xdr:from>
    <xdr:to>
      <xdr:col>38</xdr:col>
      <xdr:colOff>142875</xdr:colOff>
      <xdr:row>25</xdr:row>
      <xdr:rowOff>123825</xdr:rowOff>
    </xdr:to>
    <xdr:sp>
      <xdr:nvSpPr>
        <xdr:cNvPr id="1080" name="Rectangle 1"/>
        <xdr:cNvSpPr>
          <a:spLocks/>
        </xdr:cNvSpPr>
      </xdr:nvSpPr>
      <xdr:spPr>
        <a:xfrm>
          <a:off x="580072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81" name="Rectangle 119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82" name="Rectangle 259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83" name="Rectangle 260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84" name="Rectangle 261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85" name="Rectangle 262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86" name="Rectangle 263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87" name="Rectangle 276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88" name="Rectangle 277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89" name="Rectangle 278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90" name="Rectangle 279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91" name="Rectangle 280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92" name="Rectangle 281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93" name="Rectangle 282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28575</xdr:rowOff>
    </xdr:from>
    <xdr:to>
      <xdr:col>38</xdr:col>
      <xdr:colOff>142875</xdr:colOff>
      <xdr:row>25</xdr:row>
      <xdr:rowOff>123825</xdr:rowOff>
    </xdr:to>
    <xdr:sp>
      <xdr:nvSpPr>
        <xdr:cNvPr id="1094" name="Rectangle 1"/>
        <xdr:cNvSpPr>
          <a:spLocks/>
        </xdr:cNvSpPr>
      </xdr:nvSpPr>
      <xdr:spPr>
        <a:xfrm>
          <a:off x="580072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95" name="Rectangle 119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96" name="Rectangle 120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97" name="Rectangle 120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98" name="Rectangle 121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099" name="Rectangle 2113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00" name="Rectangle 2114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01" name="Rectangle 2115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02" name="Rectangle 2116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03" name="Rectangle 2117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04" name="Rectangle 2118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05" name="Rectangle 2119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06" name="Rectangle 121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07" name="Rectangle 143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08" name="Rectangle 151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09" name="Rectangle 152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10" name="Rectangle 174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11" name="Rectangle 175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12" name="Rectangle 176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13" name="Rectangle 121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14" name="Rectangle 121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15" name="Rectangle 1838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16" name="Rectangle 1842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17" name="Rectangle 1850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18" name="Rectangle 1851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19" name="Rectangle 1872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20" name="Rectangle 1873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21" name="Rectangle 1874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22" name="Rectangle 121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23" name="Rectangle 121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24" name="Rectangle 147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25" name="Rectangle 148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26" name="Rectangle 162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27" name="Rectangle 259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28" name="Rectangle 260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29" name="Rectangle 261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30" name="Rectangle 262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31" name="Rectangle 263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32" name="Rectangle 276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33" name="Rectangle 277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34" name="Rectangle 278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35" name="Rectangle 279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36" name="Rectangle 280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37" name="Rectangle 281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38" name="Rectangle 282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28575</xdr:rowOff>
    </xdr:from>
    <xdr:to>
      <xdr:col>38</xdr:col>
      <xdr:colOff>142875</xdr:colOff>
      <xdr:row>25</xdr:row>
      <xdr:rowOff>123825</xdr:rowOff>
    </xdr:to>
    <xdr:sp>
      <xdr:nvSpPr>
        <xdr:cNvPr id="1139" name="Rectangle 1"/>
        <xdr:cNvSpPr>
          <a:spLocks/>
        </xdr:cNvSpPr>
      </xdr:nvSpPr>
      <xdr:spPr>
        <a:xfrm>
          <a:off x="580072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40" name="Rectangle 119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41" name="Rectangle 120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28575</xdr:rowOff>
    </xdr:from>
    <xdr:to>
      <xdr:col>39</xdr:col>
      <xdr:colOff>142875</xdr:colOff>
      <xdr:row>25</xdr:row>
      <xdr:rowOff>123825</xdr:rowOff>
    </xdr:to>
    <xdr:sp>
      <xdr:nvSpPr>
        <xdr:cNvPr id="1142" name="Rectangle 1"/>
        <xdr:cNvSpPr>
          <a:spLocks/>
        </xdr:cNvSpPr>
      </xdr:nvSpPr>
      <xdr:spPr>
        <a:xfrm>
          <a:off x="594360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43" name="Rectangle 119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44" name="Rectangle 264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45" name="Rectangle 265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46" name="Rectangle 266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47" name="Rectangle 267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48" name="Rectangle 268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49" name="Rectangle 283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50" name="Rectangle 284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51" name="Rectangle 285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52" name="Rectangle 286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53" name="Rectangle 287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54" name="Rectangle 288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55" name="Rectangle 289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28575</xdr:rowOff>
    </xdr:from>
    <xdr:to>
      <xdr:col>39</xdr:col>
      <xdr:colOff>142875</xdr:colOff>
      <xdr:row>25</xdr:row>
      <xdr:rowOff>123825</xdr:rowOff>
    </xdr:to>
    <xdr:sp>
      <xdr:nvSpPr>
        <xdr:cNvPr id="1156" name="Rectangle 1"/>
        <xdr:cNvSpPr>
          <a:spLocks/>
        </xdr:cNvSpPr>
      </xdr:nvSpPr>
      <xdr:spPr>
        <a:xfrm>
          <a:off x="594360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57" name="Rectangle 119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28575</xdr:rowOff>
    </xdr:from>
    <xdr:to>
      <xdr:col>39</xdr:col>
      <xdr:colOff>142875</xdr:colOff>
      <xdr:row>25</xdr:row>
      <xdr:rowOff>123825</xdr:rowOff>
    </xdr:to>
    <xdr:sp>
      <xdr:nvSpPr>
        <xdr:cNvPr id="1158" name="Rectangle 1"/>
        <xdr:cNvSpPr>
          <a:spLocks/>
        </xdr:cNvSpPr>
      </xdr:nvSpPr>
      <xdr:spPr>
        <a:xfrm>
          <a:off x="594360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59" name="Rectangle 119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60" name="Rectangle 120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61" name="Rectangle 120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28575</xdr:rowOff>
    </xdr:from>
    <xdr:to>
      <xdr:col>39</xdr:col>
      <xdr:colOff>142875</xdr:colOff>
      <xdr:row>25</xdr:row>
      <xdr:rowOff>123825</xdr:rowOff>
    </xdr:to>
    <xdr:sp>
      <xdr:nvSpPr>
        <xdr:cNvPr id="1162" name="Rectangle 1830"/>
        <xdr:cNvSpPr>
          <a:spLocks/>
        </xdr:cNvSpPr>
      </xdr:nvSpPr>
      <xdr:spPr>
        <a:xfrm>
          <a:off x="594360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63" name="Rectangle 1836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64" name="Rectangle 121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65" name="Rectangle 2121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66" name="Rectangle 2122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67" name="Rectangle 2123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68" name="Rectangle 2124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69" name="Rectangle 2125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70" name="Rectangle 2126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71" name="Rectangle 2127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28575</xdr:rowOff>
    </xdr:from>
    <xdr:to>
      <xdr:col>39</xdr:col>
      <xdr:colOff>142875</xdr:colOff>
      <xdr:row>25</xdr:row>
      <xdr:rowOff>123825</xdr:rowOff>
    </xdr:to>
    <xdr:sp>
      <xdr:nvSpPr>
        <xdr:cNvPr id="1172" name="Rectangle 1"/>
        <xdr:cNvSpPr>
          <a:spLocks/>
        </xdr:cNvSpPr>
      </xdr:nvSpPr>
      <xdr:spPr>
        <a:xfrm>
          <a:off x="594360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73" name="Rectangle 119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74" name="Rectangle 259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75" name="Rectangle 260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76" name="Rectangle 261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77" name="Rectangle 262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78" name="Rectangle 263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79" name="Rectangle 276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80" name="Rectangle 277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81" name="Rectangle 278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82" name="Rectangle 279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83" name="Rectangle 280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84" name="Rectangle 281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85" name="Rectangle 282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28575</xdr:rowOff>
    </xdr:from>
    <xdr:to>
      <xdr:col>39</xdr:col>
      <xdr:colOff>142875</xdr:colOff>
      <xdr:row>25</xdr:row>
      <xdr:rowOff>123825</xdr:rowOff>
    </xdr:to>
    <xdr:sp>
      <xdr:nvSpPr>
        <xdr:cNvPr id="1186" name="Rectangle 1"/>
        <xdr:cNvSpPr>
          <a:spLocks/>
        </xdr:cNvSpPr>
      </xdr:nvSpPr>
      <xdr:spPr>
        <a:xfrm>
          <a:off x="594360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87" name="Rectangle 119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88" name="Rectangle 120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89" name="Rectangle 120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90" name="Rectangle 121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91" name="Rectangle 2113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92" name="Rectangle 2114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93" name="Rectangle 2115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94" name="Rectangle 2116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95" name="Rectangle 2117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96" name="Rectangle 2118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97" name="Rectangle 2119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98" name="Rectangle 121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199" name="Rectangle 143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00" name="Rectangle 151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01" name="Rectangle 152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02" name="Rectangle 174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03" name="Rectangle 175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04" name="Rectangle 176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05" name="Rectangle 121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06" name="Rectangle 121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07" name="Rectangle 1838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08" name="Rectangle 1842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09" name="Rectangle 1850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10" name="Rectangle 1851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11" name="Rectangle 1872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12" name="Rectangle 1873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13" name="Rectangle 1874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14" name="Rectangle 121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15" name="Rectangle 121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16" name="Rectangle 147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17" name="Rectangle 148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18" name="Rectangle 162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19" name="Rectangle 259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20" name="Rectangle 260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21" name="Rectangle 261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22" name="Rectangle 262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23" name="Rectangle 263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24" name="Rectangle 276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25" name="Rectangle 277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26" name="Rectangle 278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27" name="Rectangle 279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28" name="Rectangle 280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29" name="Rectangle 281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30" name="Rectangle 282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28575</xdr:rowOff>
    </xdr:from>
    <xdr:to>
      <xdr:col>39</xdr:col>
      <xdr:colOff>142875</xdr:colOff>
      <xdr:row>25</xdr:row>
      <xdr:rowOff>123825</xdr:rowOff>
    </xdr:to>
    <xdr:sp>
      <xdr:nvSpPr>
        <xdr:cNvPr id="1231" name="Rectangle 1"/>
        <xdr:cNvSpPr>
          <a:spLocks/>
        </xdr:cNvSpPr>
      </xdr:nvSpPr>
      <xdr:spPr>
        <a:xfrm>
          <a:off x="594360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32" name="Rectangle 119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142875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33" name="Rectangle 120"/>
        <xdr:cNvSpPr>
          <a:spLocks/>
        </xdr:cNvSpPr>
      </xdr:nvSpPr>
      <xdr:spPr>
        <a:xfrm>
          <a:off x="5943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234" name="Rectangle 259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235" name="Rectangle 260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236" name="Rectangle 261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237" name="Rectangle 262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238" name="Rectangle 263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239" name="Rectangle 276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240" name="Rectangle 277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241" name="Rectangle 278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242" name="Rectangle 279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243" name="Rectangle 280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244" name="Rectangle 281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245" name="Rectangle 282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28575</xdr:rowOff>
    </xdr:from>
    <xdr:to>
      <xdr:col>35</xdr:col>
      <xdr:colOff>142875</xdr:colOff>
      <xdr:row>25</xdr:row>
      <xdr:rowOff>123825</xdr:rowOff>
    </xdr:to>
    <xdr:sp>
      <xdr:nvSpPr>
        <xdr:cNvPr id="1246" name="Rectangle 1"/>
        <xdr:cNvSpPr>
          <a:spLocks/>
        </xdr:cNvSpPr>
      </xdr:nvSpPr>
      <xdr:spPr>
        <a:xfrm>
          <a:off x="532447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247" name="Rectangle 119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248" name="Rectangle 120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249" name="Rectangle 25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250" name="Rectangle 260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251" name="Rectangle 26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252" name="Rectangle 262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253" name="Rectangle 263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254" name="Rectangle 276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255" name="Rectangle 277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256" name="Rectangle 278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257" name="Rectangle 27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258" name="Rectangle 280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259" name="Rectangle 28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260" name="Rectangle 282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28575</xdr:rowOff>
    </xdr:from>
    <xdr:to>
      <xdr:col>36</xdr:col>
      <xdr:colOff>142875</xdr:colOff>
      <xdr:row>25</xdr:row>
      <xdr:rowOff>123825</xdr:rowOff>
    </xdr:to>
    <xdr:sp>
      <xdr:nvSpPr>
        <xdr:cNvPr id="1261" name="Rectangle 1"/>
        <xdr:cNvSpPr>
          <a:spLocks/>
        </xdr:cNvSpPr>
      </xdr:nvSpPr>
      <xdr:spPr>
        <a:xfrm>
          <a:off x="546735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262" name="Rectangle 11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263" name="Rectangle 120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264" name="Rectangle 259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265" name="Rectangle 260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266" name="Rectangle 261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267" name="Rectangle 262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268" name="Rectangle 263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269" name="Rectangle 276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270" name="Rectangle 277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271" name="Rectangle 278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272" name="Rectangle 279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273" name="Rectangle 280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274" name="Rectangle 281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275" name="Rectangle 282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28575</xdr:rowOff>
    </xdr:from>
    <xdr:to>
      <xdr:col>37</xdr:col>
      <xdr:colOff>142875</xdr:colOff>
      <xdr:row>25</xdr:row>
      <xdr:rowOff>123825</xdr:rowOff>
    </xdr:to>
    <xdr:sp>
      <xdr:nvSpPr>
        <xdr:cNvPr id="1276" name="Rectangle 1"/>
        <xdr:cNvSpPr>
          <a:spLocks/>
        </xdr:cNvSpPr>
      </xdr:nvSpPr>
      <xdr:spPr>
        <a:xfrm>
          <a:off x="561022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277" name="Rectangle 119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278" name="Rectangle 120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279" name="Rectangle 259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280" name="Rectangle 260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281" name="Rectangle 261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282" name="Rectangle 262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283" name="Rectangle 263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284" name="Rectangle 276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285" name="Rectangle 277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286" name="Rectangle 278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287" name="Rectangle 279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288" name="Rectangle 280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289" name="Rectangle 281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290" name="Rectangle 282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28575</xdr:rowOff>
    </xdr:from>
    <xdr:to>
      <xdr:col>38</xdr:col>
      <xdr:colOff>142875</xdr:colOff>
      <xdr:row>25</xdr:row>
      <xdr:rowOff>123825</xdr:rowOff>
    </xdr:to>
    <xdr:sp>
      <xdr:nvSpPr>
        <xdr:cNvPr id="1291" name="Rectangle 1"/>
        <xdr:cNvSpPr>
          <a:spLocks/>
        </xdr:cNvSpPr>
      </xdr:nvSpPr>
      <xdr:spPr>
        <a:xfrm>
          <a:off x="580072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292" name="Rectangle 119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293" name="Rectangle 120"/>
        <xdr:cNvSpPr>
          <a:spLocks/>
        </xdr:cNvSpPr>
      </xdr:nvSpPr>
      <xdr:spPr>
        <a:xfrm>
          <a:off x="58007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294" name="Rectangle 2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295" name="Rectangle 197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296" name="Rectangle 198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297" name="Rectangle 199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298" name="Rectangle 200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299" name="Rectangle 201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00" name="Rectangle 202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01" name="Rectangle 203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02" name="Rectangle 204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03" name="Rectangle 205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04" name="Rectangle 206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05" name="Rectangle 237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06" name="Rectangle 238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07" name="Rectangle 239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08" name="Rectangle 2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09" name="Rectangle 2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142875</xdr:colOff>
      <xdr:row>26</xdr:row>
      <xdr:rowOff>38100</xdr:rowOff>
    </xdr:from>
    <xdr:to>
      <xdr:col>34</xdr:col>
      <xdr:colOff>142875</xdr:colOff>
      <xdr:row>26</xdr:row>
      <xdr:rowOff>133350</xdr:rowOff>
    </xdr:to>
    <xdr:sp>
      <xdr:nvSpPr>
        <xdr:cNvPr id="1310" name="Rectangle 1"/>
        <xdr:cNvSpPr>
          <a:spLocks/>
        </xdr:cNvSpPr>
      </xdr:nvSpPr>
      <xdr:spPr>
        <a:xfrm>
          <a:off x="5153025" y="52863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11" name="Rectangle 1831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12" name="Rectangle 115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13" name="Rectangle 2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14" name="Rectangle 1907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15" name="Rectangle 1908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16" name="Rectangle 1909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17" name="Rectangle 1910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18" name="Rectangle 1911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19" name="Rectangle 116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20" name="Rectangle 2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21" name="Rectangle 1938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22" name="Rectangle 1939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23" name="Rectangle 1940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24" name="Rectangle 1941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25" name="Rectangle 1942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26" name="Rectangle 1943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27" name="Rectangle 1944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28" name="Rectangle 1945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29" name="Rectangle 1946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30" name="Rectangle 1947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31" name="Rectangle 118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32" name="Rectangle 2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33" name="Rectangle 2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34" name="Rectangle 2035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35" name="Rectangle 2036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36" name="Rectangle 2037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37" name="Rectangle 2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38" name="Rectangle 2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39" name="Rectangle 184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40" name="Rectangle 185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41" name="Rectangle 186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42" name="Rectangle 187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43" name="Rectangle 188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44" name="Rectangle 189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45" name="Rectangle 201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46" name="Rectangle 202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47" name="Rectangle 203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48" name="Rectangle 204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49" name="Rectangle 205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26</xdr:row>
      <xdr:rowOff>47625</xdr:rowOff>
    </xdr:from>
    <xdr:to>
      <xdr:col>34</xdr:col>
      <xdr:colOff>142875</xdr:colOff>
      <xdr:row>26</xdr:row>
      <xdr:rowOff>142875</xdr:rowOff>
    </xdr:to>
    <xdr:sp>
      <xdr:nvSpPr>
        <xdr:cNvPr id="1350" name="Rectangle 206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47625</xdr:rowOff>
    </xdr:from>
    <xdr:to>
      <xdr:col>35</xdr:col>
      <xdr:colOff>0</xdr:colOff>
      <xdr:row>26</xdr:row>
      <xdr:rowOff>142875</xdr:rowOff>
    </xdr:to>
    <xdr:sp>
      <xdr:nvSpPr>
        <xdr:cNvPr id="1351" name="Rectangle 207"/>
        <xdr:cNvSpPr>
          <a:spLocks/>
        </xdr:cNvSpPr>
      </xdr:nvSpPr>
      <xdr:spPr>
        <a:xfrm>
          <a:off x="5181600" y="5295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28575</xdr:rowOff>
    </xdr:from>
    <xdr:to>
      <xdr:col>34</xdr:col>
      <xdr:colOff>142875</xdr:colOff>
      <xdr:row>25</xdr:row>
      <xdr:rowOff>123825</xdr:rowOff>
    </xdr:to>
    <xdr:sp>
      <xdr:nvSpPr>
        <xdr:cNvPr id="1352" name="Rectangle 1"/>
        <xdr:cNvSpPr>
          <a:spLocks/>
        </xdr:cNvSpPr>
      </xdr:nvSpPr>
      <xdr:spPr>
        <a:xfrm>
          <a:off x="518160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53" name="Rectangle 119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54" name="Rectangle 264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55" name="Rectangle 265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56" name="Rectangle 266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57" name="Rectangle 267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58" name="Rectangle 268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59" name="Rectangle 283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60" name="Rectangle 284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61" name="Rectangle 285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62" name="Rectangle 286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63" name="Rectangle 287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64" name="Rectangle 288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65" name="Rectangle 289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28575</xdr:rowOff>
    </xdr:from>
    <xdr:to>
      <xdr:col>34</xdr:col>
      <xdr:colOff>142875</xdr:colOff>
      <xdr:row>25</xdr:row>
      <xdr:rowOff>123825</xdr:rowOff>
    </xdr:to>
    <xdr:sp>
      <xdr:nvSpPr>
        <xdr:cNvPr id="1366" name="Rectangle 1"/>
        <xdr:cNvSpPr>
          <a:spLocks/>
        </xdr:cNvSpPr>
      </xdr:nvSpPr>
      <xdr:spPr>
        <a:xfrm>
          <a:off x="518160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67" name="Rectangle 119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28575</xdr:rowOff>
    </xdr:from>
    <xdr:to>
      <xdr:col>34</xdr:col>
      <xdr:colOff>142875</xdr:colOff>
      <xdr:row>25</xdr:row>
      <xdr:rowOff>123825</xdr:rowOff>
    </xdr:to>
    <xdr:sp>
      <xdr:nvSpPr>
        <xdr:cNvPr id="1368" name="Rectangle 1"/>
        <xdr:cNvSpPr>
          <a:spLocks/>
        </xdr:cNvSpPr>
      </xdr:nvSpPr>
      <xdr:spPr>
        <a:xfrm>
          <a:off x="518160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69" name="Rectangle 119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70" name="Rectangle 120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71" name="Rectangle 120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28575</xdr:rowOff>
    </xdr:from>
    <xdr:to>
      <xdr:col>34</xdr:col>
      <xdr:colOff>142875</xdr:colOff>
      <xdr:row>25</xdr:row>
      <xdr:rowOff>123825</xdr:rowOff>
    </xdr:to>
    <xdr:sp>
      <xdr:nvSpPr>
        <xdr:cNvPr id="1372" name="Rectangle 1830"/>
        <xdr:cNvSpPr>
          <a:spLocks/>
        </xdr:cNvSpPr>
      </xdr:nvSpPr>
      <xdr:spPr>
        <a:xfrm>
          <a:off x="518160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73" name="Rectangle 1836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74" name="Rectangle 121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75" name="Rectangle 2121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76" name="Rectangle 2122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77" name="Rectangle 2123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78" name="Rectangle 2124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79" name="Rectangle 2125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80" name="Rectangle 2126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81" name="Rectangle 2127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28575</xdr:rowOff>
    </xdr:from>
    <xdr:to>
      <xdr:col>34</xdr:col>
      <xdr:colOff>142875</xdr:colOff>
      <xdr:row>25</xdr:row>
      <xdr:rowOff>123825</xdr:rowOff>
    </xdr:to>
    <xdr:sp>
      <xdr:nvSpPr>
        <xdr:cNvPr id="1382" name="Rectangle 1"/>
        <xdr:cNvSpPr>
          <a:spLocks/>
        </xdr:cNvSpPr>
      </xdr:nvSpPr>
      <xdr:spPr>
        <a:xfrm>
          <a:off x="518160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83" name="Rectangle 119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84" name="Rectangle 259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85" name="Rectangle 260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86" name="Rectangle 261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87" name="Rectangle 262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88" name="Rectangle 263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89" name="Rectangle 276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90" name="Rectangle 277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91" name="Rectangle 278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92" name="Rectangle 279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93" name="Rectangle 280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94" name="Rectangle 281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95" name="Rectangle 282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28575</xdr:rowOff>
    </xdr:from>
    <xdr:to>
      <xdr:col>34</xdr:col>
      <xdr:colOff>142875</xdr:colOff>
      <xdr:row>25</xdr:row>
      <xdr:rowOff>123825</xdr:rowOff>
    </xdr:to>
    <xdr:sp>
      <xdr:nvSpPr>
        <xdr:cNvPr id="1396" name="Rectangle 1"/>
        <xdr:cNvSpPr>
          <a:spLocks/>
        </xdr:cNvSpPr>
      </xdr:nvSpPr>
      <xdr:spPr>
        <a:xfrm>
          <a:off x="518160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97" name="Rectangle 119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98" name="Rectangle 120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399" name="Rectangle 120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00" name="Rectangle 121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01" name="Rectangle 2113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02" name="Rectangle 2114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03" name="Rectangle 2115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04" name="Rectangle 2116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05" name="Rectangle 2117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06" name="Rectangle 2118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07" name="Rectangle 2119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08" name="Rectangle 121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09" name="Rectangle 143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10" name="Rectangle 151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11" name="Rectangle 152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12" name="Rectangle 174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13" name="Rectangle 175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14" name="Rectangle 176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15" name="Rectangle 121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16" name="Rectangle 121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17" name="Rectangle 1838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18" name="Rectangle 1842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19" name="Rectangle 1850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20" name="Rectangle 1851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21" name="Rectangle 1872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22" name="Rectangle 1873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23" name="Rectangle 1874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24" name="Rectangle 121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25" name="Rectangle 121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26" name="Rectangle 147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27" name="Rectangle 148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28" name="Rectangle 162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29" name="Rectangle 259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30" name="Rectangle 260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31" name="Rectangle 261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32" name="Rectangle 262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33" name="Rectangle 263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34" name="Rectangle 276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35" name="Rectangle 277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36" name="Rectangle 278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37" name="Rectangle 279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38" name="Rectangle 280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39" name="Rectangle 281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40" name="Rectangle 282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28575</xdr:rowOff>
    </xdr:from>
    <xdr:to>
      <xdr:col>34</xdr:col>
      <xdr:colOff>142875</xdr:colOff>
      <xdr:row>25</xdr:row>
      <xdr:rowOff>123825</xdr:rowOff>
    </xdr:to>
    <xdr:sp>
      <xdr:nvSpPr>
        <xdr:cNvPr id="1441" name="Rectangle 1"/>
        <xdr:cNvSpPr>
          <a:spLocks/>
        </xdr:cNvSpPr>
      </xdr:nvSpPr>
      <xdr:spPr>
        <a:xfrm>
          <a:off x="518160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42" name="Rectangle 119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43" name="Rectangle 120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44" name="Rectangle 259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45" name="Rectangle 260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46" name="Rectangle 261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47" name="Rectangle 262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48" name="Rectangle 263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49" name="Rectangle 276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50" name="Rectangle 277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51" name="Rectangle 278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52" name="Rectangle 279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53" name="Rectangle 280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54" name="Rectangle 281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55" name="Rectangle 282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28575</xdr:rowOff>
    </xdr:from>
    <xdr:to>
      <xdr:col>34</xdr:col>
      <xdr:colOff>142875</xdr:colOff>
      <xdr:row>25</xdr:row>
      <xdr:rowOff>123825</xdr:rowOff>
    </xdr:to>
    <xdr:sp>
      <xdr:nvSpPr>
        <xdr:cNvPr id="1456" name="Rectangle 1"/>
        <xdr:cNvSpPr>
          <a:spLocks/>
        </xdr:cNvSpPr>
      </xdr:nvSpPr>
      <xdr:spPr>
        <a:xfrm>
          <a:off x="518160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57" name="Rectangle 119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47625</xdr:rowOff>
    </xdr:from>
    <xdr:to>
      <xdr:col>34</xdr:col>
      <xdr:colOff>142875</xdr:colOff>
      <xdr:row>25</xdr:row>
      <xdr:rowOff>142875</xdr:rowOff>
    </xdr:to>
    <xdr:sp>
      <xdr:nvSpPr>
        <xdr:cNvPr id="1458" name="Rectangle 120"/>
        <xdr:cNvSpPr>
          <a:spLocks/>
        </xdr:cNvSpPr>
      </xdr:nvSpPr>
      <xdr:spPr>
        <a:xfrm>
          <a:off x="518160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28575</xdr:rowOff>
    </xdr:from>
    <xdr:to>
      <xdr:col>35</xdr:col>
      <xdr:colOff>142875</xdr:colOff>
      <xdr:row>25</xdr:row>
      <xdr:rowOff>123825</xdr:rowOff>
    </xdr:to>
    <xdr:sp>
      <xdr:nvSpPr>
        <xdr:cNvPr id="1459" name="Rectangle 1"/>
        <xdr:cNvSpPr>
          <a:spLocks/>
        </xdr:cNvSpPr>
      </xdr:nvSpPr>
      <xdr:spPr>
        <a:xfrm>
          <a:off x="532447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60" name="Rectangle 119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61" name="Rectangle 264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62" name="Rectangle 265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63" name="Rectangle 266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64" name="Rectangle 267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65" name="Rectangle 268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66" name="Rectangle 283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67" name="Rectangle 284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68" name="Rectangle 285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69" name="Rectangle 286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70" name="Rectangle 287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71" name="Rectangle 288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72" name="Rectangle 289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28575</xdr:rowOff>
    </xdr:from>
    <xdr:to>
      <xdr:col>35</xdr:col>
      <xdr:colOff>142875</xdr:colOff>
      <xdr:row>25</xdr:row>
      <xdr:rowOff>123825</xdr:rowOff>
    </xdr:to>
    <xdr:sp>
      <xdr:nvSpPr>
        <xdr:cNvPr id="1473" name="Rectangle 1"/>
        <xdr:cNvSpPr>
          <a:spLocks/>
        </xdr:cNvSpPr>
      </xdr:nvSpPr>
      <xdr:spPr>
        <a:xfrm>
          <a:off x="532447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74" name="Rectangle 119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28575</xdr:rowOff>
    </xdr:from>
    <xdr:to>
      <xdr:col>35</xdr:col>
      <xdr:colOff>142875</xdr:colOff>
      <xdr:row>25</xdr:row>
      <xdr:rowOff>123825</xdr:rowOff>
    </xdr:to>
    <xdr:sp>
      <xdr:nvSpPr>
        <xdr:cNvPr id="1475" name="Rectangle 1"/>
        <xdr:cNvSpPr>
          <a:spLocks/>
        </xdr:cNvSpPr>
      </xdr:nvSpPr>
      <xdr:spPr>
        <a:xfrm>
          <a:off x="532447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76" name="Rectangle 119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77" name="Rectangle 120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78" name="Rectangle 120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28575</xdr:rowOff>
    </xdr:from>
    <xdr:to>
      <xdr:col>35</xdr:col>
      <xdr:colOff>142875</xdr:colOff>
      <xdr:row>25</xdr:row>
      <xdr:rowOff>123825</xdr:rowOff>
    </xdr:to>
    <xdr:sp>
      <xdr:nvSpPr>
        <xdr:cNvPr id="1479" name="Rectangle 1830"/>
        <xdr:cNvSpPr>
          <a:spLocks/>
        </xdr:cNvSpPr>
      </xdr:nvSpPr>
      <xdr:spPr>
        <a:xfrm>
          <a:off x="532447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80" name="Rectangle 1836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81" name="Rectangle 121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82" name="Rectangle 2121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83" name="Rectangle 2122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84" name="Rectangle 2123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85" name="Rectangle 2124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86" name="Rectangle 2125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87" name="Rectangle 2126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88" name="Rectangle 2127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28575</xdr:rowOff>
    </xdr:from>
    <xdr:to>
      <xdr:col>35</xdr:col>
      <xdr:colOff>142875</xdr:colOff>
      <xdr:row>25</xdr:row>
      <xdr:rowOff>123825</xdr:rowOff>
    </xdr:to>
    <xdr:sp>
      <xdr:nvSpPr>
        <xdr:cNvPr id="1489" name="Rectangle 1"/>
        <xdr:cNvSpPr>
          <a:spLocks/>
        </xdr:cNvSpPr>
      </xdr:nvSpPr>
      <xdr:spPr>
        <a:xfrm>
          <a:off x="532447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90" name="Rectangle 119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91" name="Rectangle 259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92" name="Rectangle 260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93" name="Rectangle 261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94" name="Rectangle 262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95" name="Rectangle 263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96" name="Rectangle 276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97" name="Rectangle 277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98" name="Rectangle 278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499" name="Rectangle 279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00" name="Rectangle 280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01" name="Rectangle 281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02" name="Rectangle 282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28575</xdr:rowOff>
    </xdr:from>
    <xdr:to>
      <xdr:col>35</xdr:col>
      <xdr:colOff>142875</xdr:colOff>
      <xdr:row>25</xdr:row>
      <xdr:rowOff>123825</xdr:rowOff>
    </xdr:to>
    <xdr:sp>
      <xdr:nvSpPr>
        <xdr:cNvPr id="1503" name="Rectangle 1"/>
        <xdr:cNvSpPr>
          <a:spLocks/>
        </xdr:cNvSpPr>
      </xdr:nvSpPr>
      <xdr:spPr>
        <a:xfrm>
          <a:off x="532447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04" name="Rectangle 119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05" name="Rectangle 120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06" name="Rectangle 120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07" name="Rectangle 121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08" name="Rectangle 2113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09" name="Rectangle 2114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10" name="Rectangle 2115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11" name="Rectangle 2116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12" name="Rectangle 2117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13" name="Rectangle 2118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14" name="Rectangle 2119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15" name="Rectangle 121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16" name="Rectangle 143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17" name="Rectangle 151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18" name="Rectangle 152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19" name="Rectangle 174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20" name="Rectangle 175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21" name="Rectangle 176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22" name="Rectangle 121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23" name="Rectangle 121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24" name="Rectangle 1838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25" name="Rectangle 1842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26" name="Rectangle 1850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27" name="Rectangle 1851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28" name="Rectangle 1872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29" name="Rectangle 1873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30" name="Rectangle 1874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31" name="Rectangle 121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32" name="Rectangle 121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33" name="Rectangle 147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34" name="Rectangle 148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35" name="Rectangle 162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36" name="Rectangle 259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37" name="Rectangle 260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38" name="Rectangle 261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39" name="Rectangle 262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40" name="Rectangle 263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41" name="Rectangle 276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42" name="Rectangle 277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43" name="Rectangle 278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44" name="Rectangle 279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45" name="Rectangle 280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46" name="Rectangle 281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47" name="Rectangle 282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28575</xdr:rowOff>
    </xdr:from>
    <xdr:to>
      <xdr:col>35</xdr:col>
      <xdr:colOff>142875</xdr:colOff>
      <xdr:row>25</xdr:row>
      <xdr:rowOff>123825</xdr:rowOff>
    </xdr:to>
    <xdr:sp>
      <xdr:nvSpPr>
        <xdr:cNvPr id="1548" name="Rectangle 1"/>
        <xdr:cNvSpPr>
          <a:spLocks/>
        </xdr:cNvSpPr>
      </xdr:nvSpPr>
      <xdr:spPr>
        <a:xfrm>
          <a:off x="532447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49" name="Rectangle 119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50" name="Rectangle 120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51" name="Rectangle 259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52" name="Rectangle 260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53" name="Rectangle 261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54" name="Rectangle 262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55" name="Rectangle 263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56" name="Rectangle 276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57" name="Rectangle 277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58" name="Rectangle 278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59" name="Rectangle 279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60" name="Rectangle 280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61" name="Rectangle 281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62" name="Rectangle 282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28575</xdr:rowOff>
    </xdr:from>
    <xdr:to>
      <xdr:col>35</xdr:col>
      <xdr:colOff>142875</xdr:colOff>
      <xdr:row>25</xdr:row>
      <xdr:rowOff>123825</xdr:rowOff>
    </xdr:to>
    <xdr:sp>
      <xdr:nvSpPr>
        <xdr:cNvPr id="1563" name="Rectangle 1"/>
        <xdr:cNvSpPr>
          <a:spLocks/>
        </xdr:cNvSpPr>
      </xdr:nvSpPr>
      <xdr:spPr>
        <a:xfrm>
          <a:off x="532447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64" name="Rectangle 119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47625</xdr:rowOff>
    </xdr:from>
    <xdr:to>
      <xdr:col>35</xdr:col>
      <xdr:colOff>142875</xdr:colOff>
      <xdr:row>25</xdr:row>
      <xdr:rowOff>142875</xdr:rowOff>
    </xdr:to>
    <xdr:sp>
      <xdr:nvSpPr>
        <xdr:cNvPr id="1565" name="Rectangle 120"/>
        <xdr:cNvSpPr>
          <a:spLocks/>
        </xdr:cNvSpPr>
      </xdr:nvSpPr>
      <xdr:spPr>
        <a:xfrm>
          <a:off x="532447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28575</xdr:rowOff>
    </xdr:from>
    <xdr:to>
      <xdr:col>36</xdr:col>
      <xdr:colOff>142875</xdr:colOff>
      <xdr:row>25</xdr:row>
      <xdr:rowOff>123825</xdr:rowOff>
    </xdr:to>
    <xdr:sp>
      <xdr:nvSpPr>
        <xdr:cNvPr id="1566" name="Rectangle 1"/>
        <xdr:cNvSpPr>
          <a:spLocks/>
        </xdr:cNvSpPr>
      </xdr:nvSpPr>
      <xdr:spPr>
        <a:xfrm>
          <a:off x="546735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567" name="Rectangle 11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568" name="Rectangle 264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569" name="Rectangle 265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570" name="Rectangle 266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571" name="Rectangle 267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572" name="Rectangle 268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573" name="Rectangle 283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574" name="Rectangle 284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575" name="Rectangle 285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576" name="Rectangle 286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577" name="Rectangle 287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578" name="Rectangle 288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579" name="Rectangle 28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28575</xdr:rowOff>
    </xdr:from>
    <xdr:to>
      <xdr:col>36</xdr:col>
      <xdr:colOff>142875</xdr:colOff>
      <xdr:row>25</xdr:row>
      <xdr:rowOff>123825</xdr:rowOff>
    </xdr:to>
    <xdr:sp>
      <xdr:nvSpPr>
        <xdr:cNvPr id="1580" name="Rectangle 1"/>
        <xdr:cNvSpPr>
          <a:spLocks/>
        </xdr:cNvSpPr>
      </xdr:nvSpPr>
      <xdr:spPr>
        <a:xfrm>
          <a:off x="546735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581" name="Rectangle 11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28575</xdr:rowOff>
    </xdr:from>
    <xdr:to>
      <xdr:col>36</xdr:col>
      <xdr:colOff>142875</xdr:colOff>
      <xdr:row>25</xdr:row>
      <xdr:rowOff>123825</xdr:rowOff>
    </xdr:to>
    <xdr:sp>
      <xdr:nvSpPr>
        <xdr:cNvPr id="1582" name="Rectangle 1"/>
        <xdr:cNvSpPr>
          <a:spLocks/>
        </xdr:cNvSpPr>
      </xdr:nvSpPr>
      <xdr:spPr>
        <a:xfrm>
          <a:off x="546735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583" name="Rectangle 11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584" name="Rectangle 120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585" name="Rectangle 120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28575</xdr:rowOff>
    </xdr:from>
    <xdr:to>
      <xdr:col>36</xdr:col>
      <xdr:colOff>142875</xdr:colOff>
      <xdr:row>25</xdr:row>
      <xdr:rowOff>123825</xdr:rowOff>
    </xdr:to>
    <xdr:sp>
      <xdr:nvSpPr>
        <xdr:cNvPr id="1586" name="Rectangle 1830"/>
        <xdr:cNvSpPr>
          <a:spLocks/>
        </xdr:cNvSpPr>
      </xdr:nvSpPr>
      <xdr:spPr>
        <a:xfrm>
          <a:off x="546735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587" name="Rectangle 1836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588" name="Rectangle 12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589" name="Rectangle 212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590" name="Rectangle 2122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591" name="Rectangle 2123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592" name="Rectangle 2124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593" name="Rectangle 2125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594" name="Rectangle 2126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595" name="Rectangle 2127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28575</xdr:rowOff>
    </xdr:from>
    <xdr:to>
      <xdr:col>36</xdr:col>
      <xdr:colOff>142875</xdr:colOff>
      <xdr:row>25</xdr:row>
      <xdr:rowOff>123825</xdr:rowOff>
    </xdr:to>
    <xdr:sp>
      <xdr:nvSpPr>
        <xdr:cNvPr id="1596" name="Rectangle 1"/>
        <xdr:cNvSpPr>
          <a:spLocks/>
        </xdr:cNvSpPr>
      </xdr:nvSpPr>
      <xdr:spPr>
        <a:xfrm>
          <a:off x="546735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597" name="Rectangle 11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598" name="Rectangle 25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599" name="Rectangle 260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00" name="Rectangle 26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01" name="Rectangle 262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02" name="Rectangle 263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03" name="Rectangle 276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04" name="Rectangle 277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05" name="Rectangle 278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06" name="Rectangle 27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07" name="Rectangle 280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08" name="Rectangle 28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09" name="Rectangle 282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28575</xdr:rowOff>
    </xdr:from>
    <xdr:to>
      <xdr:col>36</xdr:col>
      <xdr:colOff>142875</xdr:colOff>
      <xdr:row>25</xdr:row>
      <xdr:rowOff>123825</xdr:rowOff>
    </xdr:to>
    <xdr:sp>
      <xdr:nvSpPr>
        <xdr:cNvPr id="1610" name="Rectangle 1"/>
        <xdr:cNvSpPr>
          <a:spLocks/>
        </xdr:cNvSpPr>
      </xdr:nvSpPr>
      <xdr:spPr>
        <a:xfrm>
          <a:off x="546735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11" name="Rectangle 11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12" name="Rectangle 120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13" name="Rectangle 120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14" name="Rectangle 12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15" name="Rectangle 2113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16" name="Rectangle 2114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17" name="Rectangle 2115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18" name="Rectangle 2116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19" name="Rectangle 2117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20" name="Rectangle 2118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21" name="Rectangle 211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22" name="Rectangle 12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23" name="Rectangle 143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24" name="Rectangle 15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25" name="Rectangle 152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26" name="Rectangle 174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27" name="Rectangle 175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28" name="Rectangle 176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29" name="Rectangle 12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30" name="Rectangle 12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31" name="Rectangle 1838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32" name="Rectangle 1842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33" name="Rectangle 1850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34" name="Rectangle 185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35" name="Rectangle 1872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36" name="Rectangle 1873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37" name="Rectangle 1874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38" name="Rectangle 12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39" name="Rectangle 12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40" name="Rectangle 147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41" name="Rectangle 148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42" name="Rectangle 162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43" name="Rectangle 25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44" name="Rectangle 260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45" name="Rectangle 26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46" name="Rectangle 262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47" name="Rectangle 263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48" name="Rectangle 276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49" name="Rectangle 277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50" name="Rectangle 278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51" name="Rectangle 27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52" name="Rectangle 280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53" name="Rectangle 28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54" name="Rectangle 282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28575</xdr:rowOff>
    </xdr:from>
    <xdr:to>
      <xdr:col>36</xdr:col>
      <xdr:colOff>142875</xdr:colOff>
      <xdr:row>25</xdr:row>
      <xdr:rowOff>123825</xdr:rowOff>
    </xdr:to>
    <xdr:sp>
      <xdr:nvSpPr>
        <xdr:cNvPr id="1655" name="Rectangle 1"/>
        <xdr:cNvSpPr>
          <a:spLocks/>
        </xdr:cNvSpPr>
      </xdr:nvSpPr>
      <xdr:spPr>
        <a:xfrm>
          <a:off x="546735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56" name="Rectangle 11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57" name="Rectangle 120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58" name="Rectangle 25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59" name="Rectangle 260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60" name="Rectangle 26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61" name="Rectangle 262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62" name="Rectangle 263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63" name="Rectangle 276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64" name="Rectangle 277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65" name="Rectangle 278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66" name="Rectangle 27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67" name="Rectangle 280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68" name="Rectangle 281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69" name="Rectangle 282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28575</xdr:rowOff>
    </xdr:from>
    <xdr:to>
      <xdr:col>36</xdr:col>
      <xdr:colOff>142875</xdr:colOff>
      <xdr:row>25</xdr:row>
      <xdr:rowOff>123825</xdr:rowOff>
    </xdr:to>
    <xdr:sp>
      <xdr:nvSpPr>
        <xdr:cNvPr id="1670" name="Rectangle 1"/>
        <xdr:cNvSpPr>
          <a:spLocks/>
        </xdr:cNvSpPr>
      </xdr:nvSpPr>
      <xdr:spPr>
        <a:xfrm>
          <a:off x="546735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71" name="Rectangle 119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1672" name="Rectangle 120"/>
        <xdr:cNvSpPr>
          <a:spLocks/>
        </xdr:cNvSpPr>
      </xdr:nvSpPr>
      <xdr:spPr>
        <a:xfrm>
          <a:off x="5467350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28575</xdr:rowOff>
    </xdr:from>
    <xdr:to>
      <xdr:col>37</xdr:col>
      <xdr:colOff>142875</xdr:colOff>
      <xdr:row>25</xdr:row>
      <xdr:rowOff>123825</xdr:rowOff>
    </xdr:to>
    <xdr:sp>
      <xdr:nvSpPr>
        <xdr:cNvPr id="1673" name="Rectangle 1"/>
        <xdr:cNvSpPr>
          <a:spLocks/>
        </xdr:cNvSpPr>
      </xdr:nvSpPr>
      <xdr:spPr>
        <a:xfrm>
          <a:off x="561022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674" name="Rectangle 119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675" name="Rectangle 264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676" name="Rectangle 265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677" name="Rectangle 266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678" name="Rectangle 267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679" name="Rectangle 268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680" name="Rectangle 283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681" name="Rectangle 284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682" name="Rectangle 285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683" name="Rectangle 286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684" name="Rectangle 287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685" name="Rectangle 288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686" name="Rectangle 289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28575</xdr:rowOff>
    </xdr:from>
    <xdr:to>
      <xdr:col>37</xdr:col>
      <xdr:colOff>142875</xdr:colOff>
      <xdr:row>25</xdr:row>
      <xdr:rowOff>123825</xdr:rowOff>
    </xdr:to>
    <xdr:sp>
      <xdr:nvSpPr>
        <xdr:cNvPr id="1687" name="Rectangle 1"/>
        <xdr:cNvSpPr>
          <a:spLocks/>
        </xdr:cNvSpPr>
      </xdr:nvSpPr>
      <xdr:spPr>
        <a:xfrm>
          <a:off x="561022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688" name="Rectangle 119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28575</xdr:rowOff>
    </xdr:from>
    <xdr:to>
      <xdr:col>37</xdr:col>
      <xdr:colOff>142875</xdr:colOff>
      <xdr:row>25</xdr:row>
      <xdr:rowOff>123825</xdr:rowOff>
    </xdr:to>
    <xdr:sp>
      <xdr:nvSpPr>
        <xdr:cNvPr id="1689" name="Rectangle 1"/>
        <xdr:cNvSpPr>
          <a:spLocks/>
        </xdr:cNvSpPr>
      </xdr:nvSpPr>
      <xdr:spPr>
        <a:xfrm>
          <a:off x="561022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690" name="Rectangle 119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691" name="Rectangle 120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692" name="Rectangle 120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28575</xdr:rowOff>
    </xdr:from>
    <xdr:to>
      <xdr:col>37</xdr:col>
      <xdr:colOff>142875</xdr:colOff>
      <xdr:row>25</xdr:row>
      <xdr:rowOff>123825</xdr:rowOff>
    </xdr:to>
    <xdr:sp>
      <xdr:nvSpPr>
        <xdr:cNvPr id="1693" name="Rectangle 1830"/>
        <xdr:cNvSpPr>
          <a:spLocks/>
        </xdr:cNvSpPr>
      </xdr:nvSpPr>
      <xdr:spPr>
        <a:xfrm>
          <a:off x="561022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694" name="Rectangle 1836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695" name="Rectangle 121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696" name="Rectangle 2121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697" name="Rectangle 2122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698" name="Rectangle 2123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699" name="Rectangle 2124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00" name="Rectangle 2125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01" name="Rectangle 2126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02" name="Rectangle 2127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28575</xdr:rowOff>
    </xdr:from>
    <xdr:to>
      <xdr:col>37</xdr:col>
      <xdr:colOff>142875</xdr:colOff>
      <xdr:row>25</xdr:row>
      <xdr:rowOff>123825</xdr:rowOff>
    </xdr:to>
    <xdr:sp>
      <xdr:nvSpPr>
        <xdr:cNvPr id="1703" name="Rectangle 1"/>
        <xdr:cNvSpPr>
          <a:spLocks/>
        </xdr:cNvSpPr>
      </xdr:nvSpPr>
      <xdr:spPr>
        <a:xfrm>
          <a:off x="561022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04" name="Rectangle 119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05" name="Rectangle 259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06" name="Rectangle 260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07" name="Rectangle 261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08" name="Rectangle 262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09" name="Rectangle 263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10" name="Rectangle 276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11" name="Rectangle 277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12" name="Rectangle 278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13" name="Rectangle 279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14" name="Rectangle 280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15" name="Rectangle 281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16" name="Rectangle 282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28575</xdr:rowOff>
    </xdr:from>
    <xdr:to>
      <xdr:col>37</xdr:col>
      <xdr:colOff>142875</xdr:colOff>
      <xdr:row>25</xdr:row>
      <xdr:rowOff>123825</xdr:rowOff>
    </xdr:to>
    <xdr:sp>
      <xdr:nvSpPr>
        <xdr:cNvPr id="1717" name="Rectangle 1"/>
        <xdr:cNvSpPr>
          <a:spLocks/>
        </xdr:cNvSpPr>
      </xdr:nvSpPr>
      <xdr:spPr>
        <a:xfrm>
          <a:off x="561022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18" name="Rectangle 119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19" name="Rectangle 120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20" name="Rectangle 120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21" name="Rectangle 121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22" name="Rectangle 2113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23" name="Rectangle 2114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24" name="Rectangle 2115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25" name="Rectangle 2116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26" name="Rectangle 2117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27" name="Rectangle 2118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28" name="Rectangle 2119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29" name="Rectangle 121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30" name="Rectangle 143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31" name="Rectangle 151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32" name="Rectangle 152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33" name="Rectangle 174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34" name="Rectangle 175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35" name="Rectangle 176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36" name="Rectangle 121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37" name="Rectangle 121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38" name="Rectangle 1838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39" name="Rectangle 1842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40" name="Rectangle 1850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41" name="Rectangle 1851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42" name="Rectangle 1872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43" name="Rectangle 1873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44" name="Rectangle 1874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45" name="Rectangle 121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46" name="Rectangle 121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47" name="Rectangle 147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48" name="Rectangle 148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49" name="Rectangle 162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50" name="Rectangle 259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51" name="Rectangle 260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52" name="Rectangle 261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53" name="Rectangle 262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54" name="Rectangle 263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55" name="Rectangle 276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56" name="Rectangle 277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57" name="Rectangle 278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58" name="Rectangle 279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59" name="Rectangle 280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60" name="Rectangle 281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61" name="Rectangle 282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28575</xdr:rowOff>
    </xdr:from>
    <xdr:to>
      <xdr:col>37</xdr:col>
      <xdr:colOff>142875</xdr:colOff>
      <xdr:row>25</xdr:row>
      <xdr:rowOff>123825</xdr:rowOff>
    </xdr:to>
    <xdr:sp>
      <xdr:nvSpPr>
        <xdr:cNvPr id="1762" name="Rectangle 1"/>
        <xdr:cNvSpPr>
          <a:spLocks/>
        </xdr:cNvSpPr>
      </xdr:nvSpPr>
      <xdr:spPr>
        <a:xfrm>
          <a:off x="561022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63" name="Rectangle 119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64" name="Rectangle 120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65" name="Rectangle 259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66" name="Rectangle 260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67" name="Rectangle 261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68" name="Rectangle 262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69" name="Rectangle 263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70" name="Rectangle 276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71" name="Rectangle 277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72" name="Rectangle 278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73" name="Rectangle 279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74" name="Rectangle 280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75" name="Rectangle 281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76" name="Rectangle 282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28575</xdr:rowOff>
    </xdr:from>
    <xdr:to>
      <xdr:col>37</xdr:col>
      <xdr:colOff>142875</xdr:colOff>
      <xdr:row>25</xdr:row>
      <xdr:rowOff>123825</xdr:rowOff>
    </xdr:to>
    <xdr:sp>
      <xdr:nvSpPr>
        <xdr:cNvPr id="1777" name="Rectangle 1"/>
        <xdr:cNvSpPr>
          <a:spLocks/>
        </xdr:cNvSpPr>
      </xdr:nvSpPr>
      <xdr:spPr>
        <a:xfrm>
          <a:off x="5610225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78" name="Rectangle 119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142875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779" name="Rectangle 120"/>
        <xdr:cNvSpPr>
          <a:spLocks/>
        </xdr:cNvSpPr>
      </xdr:nvSpPr>
      <xdr:spPr>
        <a:xfrm>
          <a:off x="5610225" y="5095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\AppData\Local\Microsoft\Windows\Temporary%20Internet%20Files\Content.Outlook\KMC0QDP1\&#1059;&#1055;%2026.02.05.%20&#1069;&#1082;&#1089;&#1087;&#1083;&#1091;&#1072;&#1090;&#1072;&#1094;&#1080;&#1103;%20&#1089;&#1091;&#1076;&#1086;&#1074;&#1099;&#1093;%20&#1101;&#1085;&#1077;&#1088;&#1075;&#1077;&#1090;&#1080;&#1095;&#1077;&#1089;&#1082;&#1080;&#1093;%20&#1091;&#1089;&#1090;&#1072;&#1085;&#1086;&#1074;&#1086;&#1082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Учебный план"/>
      <sheetName val="Нормы"/>
      <sheetName val="Компетенции"/>
      <sheetName val="Материально-техническая база"/>
      <sheetName val="Примечание"/>
    </sheetNames>
    <sheetDataSet>
      <sheetData sheetId="0">
        <row r="13">
          <cell r="BC13" t="str">
            <v>07.05.2014 г. № 443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2"/>
  <sheetViews>
    <sheetView showZeros="0" zoomScale="115" zoomScaleNormal="115" zoomScalePageLayoutView="0" workbookViewId="0" topLeftCell="A1">
      <selection activeCell="AX6" sqref="AX6"/>
    </sheetView>
  </sheetViews>
  <sheetFormatPr defaultColWidth="2.83203125" defaultRowHeight="12.75"/>
  <cols>
    <col min="1" max="1" width="3.83203125" style="6" customWidth="1"/>
    <col min="2" max="10" width="2.5" style="6" customWidth="1"/>
    <col min="11" max="11" width="3" style="6" customWidth="1"/>
    <col min="12" max="13" width="2.5" style="6" customWidth="1"/>
    <col min="14" max="14" width="2.83203125" style="6" customWidth="1"/>
    <col min="15" max="28" width="2.5" style="6" customWidth="1"/>
    <col min="29" max="29" width="3" style="6" customWidth="1"/>
    <col min="30" max="34" width="2.5" style="6" customWidth="1"/>
    <col min="35" max="35" width="3" style="6" customWidth="1"/>
    <col min="36" max="38" width="2.5" style="6" customWidth="1"/>
    <col min="39" max="39" width="3.33203125" style="6" customWidth="1"/>
    <col min="40" max="53" width="2.5" style="6" customWidth="1"/>
    <col min="54" max="54" width="3.5" style="6" customWidth="1"/>
    <col min="55" max="55" width="4.16015625" style="6" customWidth="1"/>
    <col min="56" max="56" width="4.66015625" style="6" bestFit="1" customWidth="1"/>
    <col min="57" max="59" width="3.33203125" style="6" customWidth="1"/>
    <col min="60" max="60" width="3.83203125" style="6" customWidth="1"/>
    <col min="61" max="61" width="4.66015625" style="6" customWidth="1"/>
    <col min="62" max="62" width="6.66015625" style="6" customWidth="1"/>
    <col min="63" max="63" width="3.83203125" style="6" customWidth="1"/>
    <col min="64" max="64" width="5.66015625" style="6" bestFit="1" customWidth="1"/>
    <col min="65" max="16384" width="2.83203125" style="6" customWidth="1"/>
  </cols>
  <sheetData>
    <row r="1" spans="1:64" ht="15.75" customHeight="1">
      <c r="A1" s="38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636" t="s">
        <v>33</v>
      </c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  <c r="AP1" s="636"/>
      <c r="AQ1" s="636"/>
      <c r="AR1" s="636"/>
      <c r="AS1" s="636"/>
      <c r="AT1" s="636"/>
      <c r="AU1" s="636"/>
      <c r="AV1" s="636"/>
      <c r="AW1" s="636"/>
      <c r="AX1" s="636"/>
      <c r="AY1" s="636"/>
      <c r="AZ1" s="636"/>
      <c r="BA1" s="636"/>
      <c r="BB1" s="636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64" ht="15.75" customHeight="1">
      <c r="A2" s="646" t="s">
        <v>367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37" t="s">
        <v>368</v>
      </c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7"/>
      <c r="AH2" s="637"/>
      <c r="AI2" s="637"/>
      <c r="AJ2" s="637"/>
      <c r="AK2" s="637"/>
      <c r="AL2" s="637"/>
      <c r="AM2" s="637"/>
      <c r="AN2" s="637"/>
      <c r="AO2" s="637"/>
      <c r="AP2" s="637"/>
      <c r="AQ2" s="637"/>
      <c r="AR2" s="637"/>
      <c r="AS2" s="637"/>
      <c r="AT2" s="637"/>
      <c r="AU2" s="637"/>
      <c r="AV2" s="637"/>
      <c r="AW2" s="637"/>
      <c r="AX2" s="637"/>
      <c r="AY2" s="637"/>
      <c r="AZ2" s="637"/>
      <c r="BA2" s="637"/>
      <c r="BB2" s="637"/>
      <c r="BC2" s="649" t="s">
        <v>44</v>
      </c>
      <c r="BD2" s="649"/>
      <c r="BE2" s="649"/>
      <c r="BF2" s="649"/>
      <c r="BG2" s="649"/>
      <c r="BH2" s="649"/>
      <c r="BI2" s="649"/>
      <c r="BJ2" s="649"/>
      <c r="BK2" s="649"/>
      <c r="BL2" s="649"/>
    </row>
    <row r="3" spans="1:64" ht="17.25" customHeight="1">
      <c r="A3" s="652">
        <v>43552</v>
      </c>
      <c r="B3" s="652"/>
      <c r="C3" s="652"/>
      <c r="D3" s="652"/>
      <c r="E3" s="652"/>
      <c r="F3" s="652"/>
      <c r="G3" s="652"/>
      <c r="H3" s="651" t="s">
        <v>547</v>
      </c>
      <c r="I3" s="651"/>
      <c r="J3" s="651"/>
      <c r="K3" s="651"/>
      <c r="L3" s="651"/>
      <c r="M3" s="651"/>
      <c r="N3" s="651"/>
      <c r="O3" s="637" t="s">
        <v>328</v>
      </c>
      <c r="P3" s="637"/>
      <c r="Q3" s="637"/>
      <c r="R3" s="637"/>
      <c r="S3" s="637"/>
      <c r="T3" s="637"/>
      <c r="U3" s="637"/>
      <c r="V3" s="637"/>
      <c r="W3" s="637"/>
      <c r="X3" s="637"/>
      <c r="Y3" s="637"/>
      <c r="Z3" s="637"/>
      <c r="AA3" s="637"/>
      <c r="AB3" s="637"/>
      <c r="AC3" s="637"/>
      <c r="AD3" s="637"/>
      <c r="AE3" s="637"/>
      <c r="AF3" s="637"/>
      <c r="AG3" s="637"/>
      <c r="AH3" s="637"/>
      <c r="AI3" s="637"/>
      <c r="AJ3" s="637"/>
      <c r="AK3" s="637"/>
      <c r="AL3" s="637"/>
      <c r="AM3" s="637"/>
      <c r="AN3" s="637"/>
      <c r="AO3" s="637"/>
      <c r="AP3" s="637"/>
      <c r="AQ3" s="637"/>
      <c r="AR3" s="637"/>
      <c r="AS3" s="637"/>
      <c r="AT3" s="637"/>
      <c r="AU3" s="637"/>
      <c r="AV3" s="637"/>
      <c r="AW3" s="637"/>
      <c r="AX3" s="637"/>
      <c r="AY3" s="637"/>
      <c r="AZ3" s="637"/>
      <c r="BA3" s="637"/>
      <c r="BB3" s="637"/>
      <c r="BC3" s="650" t="s">
        <v>319</v>
      </c>
      <c r="BD3" s="650"/>
      <c r="BE3" s="650"/>
      <c r="BF3" s="650"/>
      <c r="BG3" s="650"/>
      <c r="BH3" s="650"/>
      <c r="BI3" s="650"/>
      <c r="BJ3" s="650"/>
      <c r="BK3" s="650"/>
      <c r="BL3" s="650"/>
    </row>
    <row r="4" spans="1:64" ht="15.75" customHeight="1">
      <c r="A4" s="647" t="s">
        <v>629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653" t="s">
        <v>312</v>
      </c>
      <c r="BD4" s="653"/>
      <c r="BE4" s="653"/>
      <c r="BF4" s="653"/>
      <c r="BG4" s="653"/>
      <c r="BH4" s="653"/>
      <c r="BI4" s="653"/>
      <c r="BJ4" s="653"/>
      <c r="BK4" s="653"/>
      <c r="BL4" s="653"/>
    </row>
    <row r="5" spans="1:64" ht="15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1"/>
      <c r="P5" s="101"/>
      <c r="Q5" s="101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78"/>
      <c r="BD5" s="385"/>
      <c r="BE5" s="385"/>
      <c r="BF5" s="79"/>
      <c r="BG5" s="80"/>
      <c r="BH5" s="80"/>
      <c r="BI5" s="80"/>
      <c r="BJ5" s="80"/>
      <c r="BK5" s="80"/>
      <c r="BL5" s="385"/>
    </row>
    <row r="6" spans="1:66" ht="15.7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101"/>
      <c r="P6" s="101"/>
      <c r="Q6" s="101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605">
        <v>44286</v>
      </c>
      <c r="BD6" s="605"/>
      <c r="BE6" s="605"/>
      <c r="BF6" s="605"/>
      <c r="BG6" s="605"/>
      <c r="BH6" s="605"/>
      <c r="BI6" s="605"/>
      <c r="BJ6" s="605"/>
      <c r="BK6" s="605"/>
      <c r="BL6" s="605"/>
      <c r="BM6" s="605"/>
      <c r="BN6" s="530"/>
    </row>
    <row r="7" spans="1:64" ht="25.5" customHeight="1">
      <c r="A7" s="648" t="s">
        <v>369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8"/>
      <c r="AH7" s="648"/>
      <c r="AI7" s="648"/>
      <c r="AJ7" s="648"/>
      <c r="AK7" s="648"/>
      <c r="AL7" s="648"/>
      <c r="AM7" s="648"/>
      <c r="AN7" s="648"/>
      <c r="AO7" s="648"/>
      <c r="AP7" s="648"/>
      <c r="AQ7" s="648"/>
      <c r="AR7" s="648"/>
      <c r="AS7" s="648"/>
      <c r="AT7" s="648"/>
      <c r="AU7" s="648"/>
      <c r="AV7" s="648"/>
      <c r="AW7" s="648"/>
      <c r="AX7" s="648"/>
      <c r="AY7" s="648"/>
      <c r="AZ7" s="648"/>
      <c r="BA7" s="648"/>
      <c r="BB7" s="648"/>
      <c r="BC7" s="648"/>
      <c r="BD7" s="648"/>
      <c r="BE7" s="648"/>
      <c r="BF7" s="648"/>
      <c r="BG7" s="648"/>
      <c r="BH7" s="648"/>
      <c r="BI7" s="648"/>
      <c r="BJ7" s="648"/>
      <c r="BK7" s="648"/>
      <c r="BL7" s="648"/>
    </row>
    <row r="8" spans="1:64" s="3" customFormat="1" ht="15.7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619" t="s">
        <v>370</v>
      </c>
      <c r="P8" s="619"/>
      <c r="Q8" s="619"/>
      <c r="R8" s="619"/>
      <c r="S8" s="619"/>
      <c r="T8" s="619"/>
      <c r="U8" s="619"/>
      <c r="V8" s="619"/>
      <c r="W8" s="619"/>
      <c r="X8" s="619"/>
      <c r="Y8" s="619"/>
      <c r="Z8" s="619"/>
      <c r="AA8" s="619"/>
      <c r="AB8" s="619"/>
      <c r="AC8" s="619"/>
      <c r="AD8" s="619"/>
      <c r="AE8" s="619"/>
      <c r="AF8" s="619"/>
      <c r="AG8" s="619"/>
      <c r="AH8" s="619"/>
      <c r="AI8" s="619"/>
      <c r="AJ8" s="619"/>
      <c r="AK8" s="619"/>
      <c r="AL8" s="619"/>
      <c r="AM8" s="619"/>
      <c r="AN8" s="619"/>
      <c r="AO8" s="619"/>
      <c r="AP8" s="619"/>
      <c r="AQ8" s="619"/>
      <c r="AR8" s="619"/>
      <c r="AS8" s="619"/>
      <c r="AT8" s="619"/>
      <c r="AU8" s="619"/>
      <c r="AV8" s="619"/>
      <c r="AW8" s="619"/>
      <c r="AX8" s="619"/>
      <c r="AY8" s="619"/>
      <c r="AZ8" s="619"/>
      <c r="BA8" s="619"/>
      <c r="BB8" s="619"/>
      <c r="BC8" s="100"/>
      <c r="BD8" s="103"/>
      <c r="BE8" s="103"/>
      <c r="BF8" s="103"/>
      <c r="BG8" s="103"/>
      <c r="BH8" s="103"/>
      <c r="BI8" s="103"/>
      <c r="BJ8" s="103"/>
      <c r="BK8" s="103"/>
      <c r="BL8" s="103"/>
    </row>
    <row r="9" spans="1:64" s="3" customFormat="1" ht="15.75" customHeight="1">
      <c r="A9" s="657" t="s">
        <v>45</v>
      </c>
      <c r="B9" s="658"/>
      <c r="C9" s="658"/>
      <c r="D9" s="658"/>
      <c r="E9" s="658"/>
      <c r="F9" s="658"/>
      <c r="G9" s="658"/>
      <c r="H9" s="658"/>
      <c r="I9" s="658"/>
      <c r="J9" s="658"/>
      <c r="K9" s="658"/>
      <c r="L9" s="658"/>
      <c r="M9" s="658"/>
      <c r="N9" s="658"/>
      <c r="O9" s="620" t="s">
        <v>545</v>
      </c>
      <c r="P9" s="620"/>
      <c r="Q9" s="620"/>
      <c r="R9" s="620"/>
      <c r="S9" s="620"/>
      <c r="T9" s="620"/>
      <c r="U9" s="620"/>
      <c r="V9" s="620"/>
      <c r="W9" s="620"/>
      <c r="X9" s="620"/>
      <c r="Y9" s="620"/>
      <c r="Z9" s="620"/>
      <c r="AA9" s="620"/>
      <c r="AB9" s="620"/>
      <c r="AC9" s="620"/>
      <c r="AD9" s="620"/>
      <c r="AE9" s="620"/>
      <c r="AF9" s="620"/>
      <c r="AG9" s="620"/>
      <c r="AH9" s="620"/>
      <c r="AI9" s="620"/>
      <c r="AJ9" s="620"/>
      <c r="AK9" s="620"/>
      <c r="AL9" s="620"/>
      <c r="AM9" s="620"/>
      <c r="AN9" s="620"/>
      <c r="AO9" s="620"/>
      <c r="AP9" s="620"/>
      <c r="AQ9" s="620"/>
      <c r="AR9" s="620"/>
      <c r="AS9" s="620"/>
      <c r="AT9" s="620"/>
      <c r="AU9" s="620"/>
      <c r="AV9" s="620"/>
      <c r="AW9" s="620"/>
      <c r="AX9" s="620"/>
      <c r="AY9" s="620"/>
      <c r="AZ9" s="620"/>
      <c r="BA9" s="620"/>
      <c r="BB9" s="620"/>
      <c r="BC9" s="103"/>
      <c r="BD9" s="103"/>
      <c r="BE9" s="103"/>
      <c r="BF9" s="103"/>
      <c r="BG9" s="103"/>
      <c r="BH9" s="103"/>
      <c r="BI9" s="103"/>
      <c r="BJ9" s="103"/>
      <c r="BK9" s="103"/>
      <c r="BL9" s="103"/>
    </row>
    <row r="10" spans="1:64" s="3" customFormat="1" ht="15.75" customHeight="1">
      <c r="A10" s="642" t="s">
        <v>145</v>
      </c>
      <c r="B10" s="642"/>
      <c r="C10" s="642"/>
      <c r="D10" s="642"/>
      <c r="E10" s="642"/>
      <c r="F10" s="642"/>
      <c r="G10" s="642"/>
      <c r="H10" s="642"/>
      <c r="I10" s="642"/>
      <c r="J10" s="642"/>
      <c r="K10" s="642"/>
      <c r="L10" s="642"/>
      <c r="M10" s="642"/>
      <c r="N10" s="642"/>
      <c r="O10" s="620" t="s">
        <v>326</v>
      </c>
      <c r="P10" s="620"/>
      <c r="Q10" s="620"/>
      <c r="R10" s="620"/>
      <c r="S10" s="620"/>
      <c r="T10" s="620"/>
      <c r="U10" s="620"/>
      <c r="V10" s="620"/>
      <c r="W10" s="620"/>
      <c r="X10" s="620"/>
      <c r="Y10" s="620"/>
      <c r="Z10" s="620"/>
      <c r="AA10" s="620"/>
      <c r="AB10" s="620"/>
      <c r="AC10" s="620"/>
      <c r="AD10" s="620"/>
      <c r="AE10" s="620"/>
      <c r="AF10" s="620"/>
      <c r="AG10" s="620"/>
      <c r="AH10" s="620"/>
      <c r="AI10" s="620"/>
      <c r="AJ10" s="620"/>
      <c r="AK10" s="620"/>
      <c r="AL10" s="620"/>
      <c r="AM10" s="620"/>
      <c r="AN10" s="620"/>
      <c r="AO10" s="620"/>
      <c r="AP10" s="620"/>
      <c r="AQ10" s="620"/>
      <c r="AR10" s="620"/>
      <c r="AS10" s="620"/>
      <c r="AT10" s="620"/>
      <c r="AU10" s="620"/>
      <c r="AV10" s="620"/>
      <c r="AW10" s="620"/>
      <c r="AX10" s="620"/>
      <c r="AY10" s="620"/>
      <c r="AZ10" s="620"/>
      <c r="BA10" s="620"/>
      <c r="BB10" s="620"/>
      <c r="BC10" s="640" t="s">
        <v>47</v>
      </c>
      <c r="BD10" s="640"/>
      <c r="BE10" s="640"/>
      <c r="BF10" s="640"/>
      <c r="BG10" s="640"/>
      <c r="BH10" s="640"/>
      <c r="BI10" s="640"/>
      <c r="BJ10" s="640"/>
      <c r="BK10" s="640"/>
      <c r="BL10" s="640"/>
    </row>
    <row r="11" spans="1:64" s="3" customFormat="1" ht="15.75" customHeight="1">
      <c r="A11" s="642" t="s">
        <v>142</v>
      </c>
      <c r="B11" s="642"/>
      <c r="C11" s="642"/>
      <c r="D11" s="642"/>
      <c r="E11" s="642"/>
      <c r="F11" s="642"/>
      <c r="G11" s="642"/>
      <c r="H11" s="642"/>
      <c r="I11" s="642"/>
      <c r="J11" s="642"/>
      <c r="K11" s="642"/>
      <c r="L11" s="642"/>
      <c r="M11" s="642"/>
      <c r="N11" s="642"/>
      <c r="O11" s="643" t="s">
        <v>311</v>
      </c>
      <c r="P11" s="643"/>
      <c r="Q11" s="643"/>
      <c r="R11" s="643"/>
      <c r="S11" s="643"/>
      <c r="T11" s="643"/>
      <c r="U11" s="643"/>
      <c r="V11" s="643"/>
      <c r="W11" s="643"/>
      <c r="X11" s="643"/>
      <c r="Y11" s="643"/>
      <c r="Z11" s="643"/>
      <c r="AA11" s="643"/>
      <c r="AB11" s="643"/>
      <c r="AC11" s="643"/>
      <c r="AD11" s="643"/>
      <c r="AE11" s="643"/>
      <c r="AF11" s="643"/>
      <c r="AG11" s="643"/>
      <c r="AH11" s="643"/>
      <c r="AI11" s="643"/>
      <c r="AJ11" s="643"/>
      <c r="AK11" s="643"/>
      <c r="AL11" s="643"/>
      <c r="AM11" s="643"/>
      <c r="AN11" s="643"/>
      <c r="AO11" s="643"/>
      <c r="AP11" s="643"/>
      <c r="AQ11" s="643"/>
      <c r="AR11" s="643"/>
      <c r="AS11" s="643"/>
      <c r="AT11" s="643"/>
      <c r="AU11" s="643"/>
      <c r="AV11" s="643"/>
      <c r="AW11" s="643"/>
      <c r="AX11" s="643"/>
      <c r="AY11" s="643"/>
      <c r="AZ11" s="643"/>
      <c r="BA11" s="643"/>
      <c r="BB11" s="643"/>
      <c r="BC11" s="640"/>
      <c r="BD11" s="640"/>
      <c r="BE11" s="640"/>
      <c r="BF11" s="640"/>
      <c r="BG11" s="640"/>
      <c r="BH11" s="640"/>
      <c r="BI11" s="640"/>
      <c r="BJ11" s="640"/>
      <c r="BK11" s="640"/>
      <c r="BL11" s="640"/>
    </row>
    <row r="12" spans="1:64" s="3" customFormat="1" ht="15.75" customHeight="1">
      <c r="A12" s="642" t="s">
        <v>182</v>
      </c>
      <c r="B12" s="642"/>
      <c r="C12" s="642"/>
      <c r="D12" s="642"/>
      <c r="E12" s="642"/>
      <c r="F12" s="642"/>
      <c r="G12" s="642"/>
      <c r="H12" s="642"/>
      <c r="I12" s="642"/>
      <c r="J12" s="642"/>
      <c r="K12" s="642"/>
      <c r="L12" s="642"/>
      <c r="M12" s="642"/>
      <c r="N12" s="642"/>
      <c r="O12" s="643"/>
      <c r="P12" s="643"/>
      <c r="Q12" s="643"/>
      <c r="R12" s="643"/>
      <c r="S12" s="643"/>
      <c r="T12" s="643"/>
      <c r="U12" s="643"/>
      <c r="V12" s="643"/>
      <c r="W12" s="643"/>
      <c r="X12" s="643"/>
      <c r="Y12" s="643"/>
      <c r="Z12" s="643"/>
      <c r="AA12" s="643"/>
      <c r="AB12" s="643"/>
      <c r="AC12" s="643"/>
      <c r="AD12" s="643"/>
      <c r="AE12" s="643"/>
      <c r="AF12" s="643"/>
      <c r="AG12" s="643"/>
      <c r="AH12" s="643"/>
      <c r="AI12" s="643"/>
      <c r="AJ12" s="643"/>
      <c r="AK12" s="643"/>
      <c r="AL12" s="643"/>
      <c r="AM12" s="643"/>
      <c r="AN12" s="643"/>
      <c r="AO12" s="643"/>
      <c r="AP12" s="643"/>
      <c r="AQ12" s="643"/>
      <c r="AR12" s="643"/>
      <c r="AS12" s="643"/>
      <c r="AT12" s="643"/>
      <c r="AU12" s="643"/>
      <c r="AV12" s="643"/>
      <c r="AW12" s="643"/>
      <c r="AX12" s="643"/>
      <c r="AY12" s="643"/>
      <c r="AZ12" s="643"/>
      <c r="BA12" s="643"/>
      <c r="BB12" s="643"/>
      <c r="BC12" s="640"/>
      <c r="BD12" s="640"/>
      <c r="BE12" s="640"/>
      <c r="BF12" s="640"/>
      <c r="BG12" s="640"/>
      <c r="BH12" s="640"/>
      <c r="BI12" s="640"/>
      <c r="BJ12" s="640"/>
      <c r="BK12" s="640"/>
      <c r="BL12" s="640"/>
    </row>
    <row r="13" spans="1:64" s="3" customFormat="1" ht="15.75" customHeight="1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643"/>
      <c r="P13" s="643"/>
      <c r="Q13" s="643"/>
      <c r="R13" s="643"/>
      <c r="S13" s="643"/>
      <c r="T13" s="643"/>
      <c r="U13" s="643"/>
      <c r="V13" s="643"/>
      <c r="W13" s="643"/>
      <c r="X13" s="643"/>
      <c r="Y13" s="643"/>
      <c r="Z13" s="643"/>
      <c r="AA13" s="643"/>
      <c r="AB13" s="643"/>
      <c r="AC13" s="643"/>
      <c r="AD13" s="643"/>
      <c r="AE13" s="643"/>
      <c r="AF13" s="643"/>
      <c r="AG13" s="643"/>
      <c r="AH13" s="643"/>
      <c r="AI13" s="643"/>
      <c r="AJ13" s="643"/>
      <c r="AK13" s="643"/>
      <c r="AL13" s="643"/>
      <c r="AM13" s="643"/>
      <c r="AN13" s="643"/>
      <c r="AO13" s="643"/>
      <c r="AP13" s="643"/>
      <c r="AQ13" s="643"/>
      <c r="AR13" s="643"/>
      <c r="AS13" s="643"/>
      <c r="AT13" s="643"/>
      <c r="AU13" s="643"/>
      <c r="AV13" s="643"/>
      <c r="AW13" s="643"/>
      <c r="AX13" s="643"/>
      <c r="AY13" s="643"/>
      <c r="AZ13" s="643"/>
      <c r="BA13" s="643"/>
      <c r="BB13" s="643"/>
      <c r="BC13" s="640"/>
      <c r="BD13" s="640"/>
      <c r="BE13" s="640"/>
      <c r="BF13" s="640"/>
      <c r="BG13" s="640"/>
      <c r="BH13" s="640"/>
      <c r="BI13" s="640"/>
      <c r="BJ13" s="640"/>
      <c r="BK13" s="640"/>
      <c r="BL13" s="640"/>
    </row>
    <row r="14" spans="1:64" s="3" customFormat="1" ht="15.75" customHeight="1">
      <c r="A14" s="641"/>
      <c r="B14" s="642"/>
      <c r="C14" s="642"/>
      <c r="D14" s="642"/>
      <c r="E14" s="642"/>
      <c r="F14" s="642"/>
      <c r="G14" s="642"/>
      <c r="H14" s="642"/>
      <c r="I14" s="642"/>
      <c r="J14" s="642"/>
      <c r="K14" s="642"/>
      <c r="L14" s="642"/>
      <c r="M14" s="642"/>
      <c r="N14" s="642"/>
      <c r="O14" s="643"/>
      <c r="P14" s="643"/>
      <c r="Q14" s="643"/>
      <c r="R14" s="643"/>
      <c r="S14" s="643"/>
      <c r="T14" s="643"/>
      <c r="U14" s="643"/>
      <c r="V14" s="643"/>
      <c r="W14" s="643"/>
      <c r="X14" s="643"/>
      <c r="Y14" s="643"/>
      <c r="Z14" s="643"/>
      <c r="AA14" s="643"/>
      <c r="AB14" s="643"/>
      <c r="AC14" s="643"/>
      <c r="AD14" s="643"/>
      <c r="AE14" s="643"/>
      <c r="AF14" s="643"/>
      <c r="AG14" s="643"/>
      <c r="AH14" s="643"/>
      <c r="AI14" s="643"/>
      <c r="AJ14" s="643"/>
      <c r="AK14" s="643"/>
      <c r="AL14" s="643"/>
      <c r="AM14" s="643"/>
      <c r="AN14" s="643"/>
      <c r="AO14" s="643"/>
      <c r="AP14" s="643"/>
      <c r="AQ14" s="643"/>
      <c r="AR14" s="643"/>
      <c r="AS14" s="643"/>
      <c r="AT14" s="643"/>
      <c r="AU14" s="643"/>
      <c r="AV14" s="643"/>
      <c r="AW14" s="643"/>
      <c r="AX14" s="643"/>
      <c r="AY14" s="643"/>
      <c r="AZ14" s="643"/>
      <c r="BA14" s="643"/>
      <c r="BB14" s="643"/>
      <c r="BC14" s="644" t="s">
        <v>327</v>
      </c>
      <c r="BD14" s="645"/>
      <c r="BE14" s="645"/>
      <c r="BF14" s="645"/>
      <c r="BG14" s="645"/>
      <c r="BH14" s="645"/>
      <c r="BI14" s="645"/>
      <c r="BJ14" s="645"/>
      <c r="BK14" s="645"/>
      <c r="BL14" s="645"/>
    </row>
    <row r="15" spans="1:64" s="3" customFormat="1" ht="15.75" customHeight="1">
      <c r="A15" s="642" t="s">
        <v>146</v>
      </c>
      <c r="B15" s="642"/>
      <c r="C15" s="642"/>
      <c r="D15" s="642"/>
      <c r="E15" s="642"/>
      <c r="F15" s="642"/>
      <c r="G15" s="642"/>
      <c r="H15" s="642"/>
      <c r="I15" s="642"/>
      <c r="J15" s="642"/>
      <c r="K15" s="642"/>
      <c r="L15" s="642"/>
      <c r="M15" s="642"/>
      <c r="N15" s="642"/>
      <c r="O15" s="643" t="s">
        <v>148</v>
      </c>
      <c r="P15" s="643"/>
      <c r="Q15" s="643"/>
      <c r="R15" s="643"/>
      <c r="S15" s="643"/>
      <c r="T15" s="643"/>
      <c r="U15" s="643"/>
      <c r="V15" s="643"/>
      <c r="W15" s="643"/>
      <c r="X15" s="643"/>
      <c r="Y15" s="643"/>
      <c r="Z15" s="643"/>
      <c r="AA15" s="643"/>
      <c r="AB15" s="643"/>
      <c r="AC15" s="643"/>
      <c r="AD15" s="643"/>
      <c r="AE15" s="643"/>
      <c r="AF15" s="643"/>
      <c r="AG15" s="643"/>
      <c r="AH15" s="643"/>
      <c r="AI15" s="643"/>
      <c r="AJ15" s="643"/>
      <c r="AK15" s="643"/>
      <c r="AL15" s="643"/>
      <c r="AM15" s="643"/>
      <c r="AN15" s="643"/>
      <c r="AO15" s="643"/>
      <c r="AP15" s="643"/>
      <c r="AQ15" s="643"/>
      <c r="AR15" s="643"/>
      <c r="AS15" s="643"/>
      <c r="AT15" s="643"/>
      <c r="AU15" s="643"/>
      <c r="AV15" s="643"/>
      <c r="AW15" s="643"/>
      <c r="AX15" s="643"/>
      <c r="AY15" s="643"/>
      <c r="AZ15" s="643"/>
      <c r="BA15" s="643"/>
      <c r="BB15" s="643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</row>
    <row r="16" spans="1:64" s="3" customFormat="1" ht="15.75" customHeight="1">
      <c r="A16" s="642" t="s">
        <v>46</v>
      </c>
      <c r="B16" s="642"/>
      <c r="C16" s="642"/>
      <c r="D16" s="642"/>
      <c r="E16" s="642"/>
      <c r="F16" s="642"/>
      <c r="G16" s="642"/>
      <c r="H16" s="642"/>
      <c r="I16" s="642"/>
      <c r="J16" s="642"/>
      <c r="K16" s="642"/>
      <c r="L16" s="642"/>
      <c r="M16" s="642"/>
      <c r="N16" s="642"/>
      <c r="O16" s="643" t="s">
        <v>96</v>
      </c>
      <c r="P16" s="643"/>
      <c r="Q16" s="643"/>
      <c r="R16" s="643"/>
      <c r="S16" s="643"/>
      <c r="T16" s="643"/>
      <c r="U16" s="643"/>
      <c r="V16" s="643"/>
      <c r="W16" s="643"/>
      <c r="X16" s="643"/>
      <c r="Y16" s="643"/>
      <c r="Z16" s="643"/>
      <c r="AA16" s="643"/>
      <c r="AB16" s="643"/>
      <c r="AC16" s="643"/>
      <c r="AD16" s="643"/>
      <c r="AE16" s="643"/>
      <c r="AF16" s="643"/>
      <c r="AG16" s="643"/>
      <c r="AH16" s="643"/>
      <c r="AI16" s="643"/>
      <c r="AJ16" s="643"/>
      <c r="AK16" s="643"/>
      <c r="AL16" s="643"/>
      <c r="AM16" s="643"/>
      <c r="AN16" s="643"/>
      <c r="AO16" s="643"/>
      <c r="AP16" s="643"/>
      <c r="AQ16" s="643"/>
      <c r="AR16" s="643"/>
      <c r="AS16" s="643"/>
      <c r="AT16" s="643"/>
      <c r="AU16" s="643"/>
      <c r="AV16" s="643"/>
      <c r="AW16" s="643"/>
      <c r="AX16" s="643"/>
      <c r="AY16" s="643"/>
      <c r="AZ16" s="643"/>
      <c r="BA16" s="643"/>
      <c r="BB16" s="643"/>
      <c r="BC16" s="100"/>
      <c r="BD16" s="103"/>
      <c r="BE16" s="103"/>
      <c r="BF16" s="103"/>
      <c r="BG16" s="103"/>
      <c r="BH16" s="103"/>
      <c r="BI16" s="103"/>
      <c r="BJ16" s="103"/>
      <c r="BK16" s="103"/>
      <c r="BL16" s="103"/>
    </row>
    <row r="17" spans="1:64" ht="15.75" customHeight="1">
      <c r="A17" s="641" t="s">
        <v>546</v>
      </c>
      <c r="B17" s="642"/>
      <c r="C17" s="642"/>
      <c r="D17" s="642"/>
      <c r="E17" s="642"/>
      <c r="F17" s="642"/>
      <c r="G17" s="642"/>
      <c r="H17" s="642"/>
      <c r="I17" s="642"/>
      <c r="J17" s="642"/>
      <c r="K17" s="642"/>
      <c r="L17" s="642"/>
      <c r="M17" s="642"/>
      <c r="N17" s="642"/>
      <c r="O17" s="638">
        <v>3</v>
      </c>
      <c r="P17" s="638"/>
      <c r="Q17" s="656" t="s">
        <v>236</v>
      </c>
      <c r="R17" s="656"/>
      <c r="S17" s="656"/>
      <c r="T17" s="638">
        <v>10</v>
      </c>
      <c r="U17" s="638"/>
      <c r="V17" s="639" t="s">
        <v>237</v>
      </c>
      <c r="W17" s="639"/>
      <c r="X17" s="639"/>
      <c r="Y17" s="639"/>
      <c r="Z17" s="639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1"/>
      <c r="BD17" s="38"/>
      <c r="BE17" s="38"/>
      <c r="BF17" s="38"/>
      <c r="BG17" s="38"/>
      <c r="BH17" s="38"/>
      <c r="BI17" s="38"/>
      <c r="BJ17" s="38"/>
      <c r="BK17" s="38"/>
      <c r="BL17" s="38"/>
    </row>
    <row r="18" spans="1:64" ht="15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654" t="s">
        <v>570</v>
      </c>
      <c r="P18" s="655"/>
      <c r="Q18" s="655"/>
      <c r="R18" s="655"/>
      <c r="S18" s="655"/>
      <c r="T18" s="655"/>
      <c r="U18" s="655"/>
      <c r="V18" s="655"/>
      <c r="W18" s="655"/>
      <c r="X18" s="655"/>
      <c r="Y18" s="655"/>
      <c r="Z18" s="655"/>
      <c r="AA18" s="655"/>
      <c r="AB18" s="655"/>
      <c r="AC18" s="655"/>
      <c r="AD18" s="655"/>
      <c r="AE18" s="655"/>
      <c r="AF18" s="655"/>
      <c r="AG18" s="655"/>
      <c r="AH18" s="655"/>
      <c r="AI18" s="655"/>
      <c r="AJ18" s="655"/>
      <c r="AK18" s="655"/>
      <c r="AL18" s="655"/>
      <c r="AM18" s="655"/>
      <c r="AN18" s="655"/>
      <c r="AO18" s="655"/>
      <c r="AP18" s="655"/>
      <c r="AQ18" s="655"/>
      <c r="AR18" s="655"/>
      <c r="AS18" s="655"/>
      <c r="AT18" s="655"/>
      <c r="AU18" s="655"/>
      <c r="AV18" s="655"/>
      <c r="AW18" s="655"/>
      <c r="AX18" s="655"/>
      <c r="AY18" s="655"/>
      <c r="AZ18" s="655"/>
      <c r="BA18" s="655"/>
      <c r="BB18" s="655"/>
      <c r="BC18" s="40"/>
      <c r="BD18" s="38"/>
      <c r="BE18" s="38"/>
      <c r="BF18" s="38"/>
      <c r="BG18" s="38"/>
      <c r="BH18" s="38"/>
      <c r="BI18" s="38"/>
      <c r="BJ18" s="38"/>
      <c r="BK18" s="38"/>
      <c r="BL18" s="38"/>
    </row>
    <row r="19" spans="1:64" ht="9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64" ht="12.75">
      <c r="A20" s="661" t="s">
        <v>10</v>
      </c>
      <c r="B20" s="623" t="s">
        <v>11</v>
      </c>
      <c r="C20" s="624"/>
      <c r="D20" s="624"/>
      <c r="E20" s="625"/>
      <c r="F20" s="621" t="s">
        <v>57</v>
      </c>
      <c r="G20" s="623" t="s">
        <v>25</v>
      </c>
      <c r="H20" s="624"/>
      <c r="I20" s="625"/>
      <c r="J20" s="621" t="s">
        <v>118</v>
      </c>
      <c r="K20" s="623" t="s">
        <v>12</v>
      </c>
      <c r="L20" s="624"/>
      <c r="M20" s="624"/>
      <c r="N20" s="625"/>
      <c r="O20" s="623" t="s">
        <v>13</v>
      </c>
      <c r="P20" s="624"/>
      <c r="Q20" s="624"/>
      <c r="R20" s="625"/>
      <c r="S20" s="621" t="s">
        <v>117</v>
      </c>
      <c r="T20" s="623" t="s">
        <v>14</v>
      </c>
      <c r="U20" s="624"/>
      <c r="V20" s="625"/>
      <c r="W20" s="621" t="s">
        <v>56</v>
      </c>
      <c r="X20" s="623" t="s">
        <v>15</v>
      </c>
      <c r="Y20" s="624"/>
      <c r="Z20" s="625"/>
      <c r="AA20" s="621" t="s">
        <v>113</v>
      </c>
      <c r="AB20" s="623" t="s">
        <v>16</v>
      </c>
      <c r="AC20" s="624"/>
      <c r="AD20" s="624"/>
      <c r="AE20" s="625"/>
      <c r="AF20" s="621" t="s">
        <v>55</v>
      </c>
      <c r="AG20" s="623" t="s">
        <v>17</v>
      </c>
      <c r="AH20" s="624"/>
      <c r="AI20" s="625"/>
      <c r="AJ20" s="621" t="s">
        <v>54</v>
      </c>
      <c r="AK20" s="623" t="s">
        <v>18</v>
      </c>
      <c r="AL20" s="624"/>
      <c r="AM20" s="624"/>
      <c r="AN20" s="625"/>
      <c r="AO20" s="623" t="s">
        <v>19</v>
      </c>
      <c r="AP20" s="624"/>
      <c r="AQ20" s="624"/>
      <c r="AR20" s="625"/>
      <c r="AS20" s="621" t="s">
        <v>116</v>
      </c>
      <c r="AT20" s="623" t="s">
        <v>20</v>
      </c>
      <c r="AU20" s="624"/>
      <c r="AV20" s="625"/>
      <c r="AW20" s="621" t="s">
        <v>112</v>
      </c>
      <c r="AX20" s="623" t="s">
        <v>21</v>
      </c>
      <c r="AY20" s="624"/>
      <c r="AZ20" s="624"/>
      <c r="BA20" s="625"/>
      <c r="BB20" s="633" t="s">
        <v>51</v>
      </c>
      <c r="BC20" s="634"/>
      <c r="BD20" s="634"/>
      <c r="BE20" s="634"/>
      <c r="BF20" s="634"/>
      <c r="BG20" s="634"/>
      <c r="BH20" s="634"/>
      <c r="BI20" s="634"/>
      <c r="BJ20" s="634"/>
      <c r="BK20" s="634"/>
      <c r="BL20" s="635"/>
    </row>
    <row r="21" spans="1:64" ht="15.75" customHeight="1">
      <c r="A21" s="662"/>
      <c r="B21" s="626"/>
      <c r="C21" s="627"/>
      <c r="D21" s="627"/>
      <c r="E21" s="628"/>
      <c r="F21" s="622"/>
      <c r="G21" s="626"/>
      <c r="H21" s="627"/>
      <c r="I21" s="628"/>
      <c r="J21" s="622"/>
      <c r="K21" s="626"/>
      <c r="L21" s="627"/>
      <c r="M21" s="627"/>
      <c r="N21" s="628"/>
      <c r="O21" s="626"/>
      <c r="P21" s="627"/>
      <c r="Q21" s="627"/>
      <c r="R21" s="628"/>
      <c r="S21" s="622"/>
      <c r="T21" s="626"/>
      <c r="U21" s="627"/>
      <c r="V21" s="628"/>
      <c r="W21" s="622"/>
      <c r="X21" s="626"/>
      <c r="Y21" s="627"/>
      <c r="Z21" s="628"/>
      <c r="AA21" s="622"/>
      <c r="AB21" s="626"/>
      <c r="AC21" s="627"/>
      <c r="AD21" s="627"/>
      <c r="AE21" s="628"/>
      <c r="AF21" s="622"/>
      <c r="AG21" s="626"/>
      <c r="AH21" s="627"/>
      <c r="AI21" s="628"/>
      <c r="AJ21" s="622"/>
      <c r="AK21" s="626"/>
      <c r="AL21" s="627"/>
      <c r="AM21" s="627"/>
      <c r="AN21" s="628"/>
      <c r="AO21" s="626"/>
      <c r="AP21" s="627"/>
      <c r="AQ21" s="627"/>
      <c r="AR21" s="628"/>
      <c r="AS21" s="622"/>
      <c r="AT21" s="626"/>
      <c r="AU21" s="627"/>
      <c r="AV21" s="628"/>
      <c r="AW21" s="622"/>
      <c r="AX21" s="626"/>
      <c r="AY21" s="627"/>
      <c r="AZ21" s="627"/>
      <c r="BA21" s="628"/>
      <c r="BB21" s="610" t="s">
        <v>8</v>
      </c>
      <c r="BC21" s="611"/>
      <c r="BD21" s="612"/>
      <c r="BE21" s="610" t="s">
        <v>259</v>
      </c>
      <c r="BF21" s="611"/>
      <c r="BG21" s="612"/>
      <c r="BH21" s="607" t="s">
        <v>6</v>
      </c>
      <c r="BI21" s="607" t="s">
        <v>125</v>
      </c>
      <c r="BJ21" s="607" t="s">
        <v>495</v>
      </c>
      <c r="BK21" s="607" t="s">
        <v>43</v>
      </c>
      <c r="BL21" s="607" t="s">
        <v>1</v>
      </c>
    </row>
    <row r="22" spans="1:64" ht="15.75" customHeight="1">
      <c r="A22" s="662"/>
      <c r="B22" s="7">
        <v>1</v>
      </c>
      <c r="C22" s="7">
        <v>8</v>
      </c>
      <c r="D22" s="7">
        <v>15</v>
      </c>
      <c r="E22" s="7">
        <v>22</v>
      </c>
      <c r="F22" s="631" t="s">
        <v>105</v>
      </c>
      <c r="G22" s="7">
        <v>6</v>
      </c>
      <c r="H22" s="7">
        <v>13</v>
      </c>
      <c r="I22" s="7">
        <v>20</v>
      </c>
      <c r="J22" s="631" t="s">
        <v>106</v>
      </c>
      <c r="K22" s="7">
        <v>3</v>
      </c>
      <c r="L22" s="7">
        <v>10</v>
      </c>
      <c r="M22" s="7">
        <v>17</v>
      </c>
      <c r="N22" s="7">
        <v>24</v>
      </c>
      <c r="O22" s="7">
        <v>1</v>
      </c>
      <c r="P22" s="7">
        <v>8</v>
      </c>
      <c r="Q22" s="7">
        <v>15</v>
      </c>
      <c r="R22" s="7">
        <v>22</v>
      </c>
      <c r="S22" s="631" t="s">
        <v>107</v>
      </c>
      <c r="T22" s="7">
        <v>5</v>
      </c>
      <c r="U22" s="7">
        <v>12</v>
      </c>
      <c r="V22" s="7">
        <v>19</v>
      </c>
      <c r="W22" s="631" t="s">
        <v>108</v>
      </c>
      <c r="X22" s="7">
        <v>2</v>
      </c>
      <c r="Y22" s="7">
        <v>9</v>
      </c>
      <c r="Z22" s="7">
        <v>16</v>
      </c>
      <c r="AA22" s="631" t="s">
        <v>114</v>
      </c>
      <c r="AB22" s="7">
        <v>2</v>
      </c>
      <c r="AC22" s="7">
        <v>9</v>
      </c>
      <c r="AD22" s="7">
        <v>16</v>
      </c>
      <c r="AE22" s="7">
        <v>23</v>
      </c>
      <c r="AF22" s="631" t="s">
        <v>110</v>
      </c>
      <c r="AG22" s="7">
        <v>6</v>
      </c>
      <c r="AH22" s="7">
        <v>13</v>
      </c>
      <c r="AI22" s="7">
        <v>20</v>
      </c>
      <c r="AJ22" s="631" t="s">
        <v>111</v>
      </c>
      <c r="AK22" s="7">
        <v>4</v>
      </c>
      <c r="AL22" s="7">
        <v>11</v>
      </c>
      <c r="AM22" s="7">
        <v>18</v>
      </c>
      <c r="AN22" s="7">
        <v>25</v>
      </c>
      <c r="AO22" s="7">
        <v>1</v>
      </c>
      <c r="AP22" s="7">
        <v>8</v>
      </c>
      <c r="AQ22" s="7">
        <v>15</v>
      </c>
      <c r="AR22" s="7">
        <v>22</v>
      </c>
      <c r="AS22" s="631" t="s">
        <v>115</v>
      </c>
      <c r="AT22" s="7">
        <v>6</v>
      </c>
      <c r="AU22" s="7">
        <v>13</v>
      </c>
      <c r="AV22" s="7">
        <v>20</v>
      </c>
      <c r="AW22" s="631" t="s">
        <v>109</v>
      </c>
      <c r="AX22" s="7">
        <v>2</v>
      </c>
      <c r="AY22" s="7">
        <v>9</v>
      </c>
      <c r="AZ22" s="7">
        <v>16</v>
      </c>
      <c r="BA22" s="7">
        <v>23</v>
      </c>
      <c r="BB22" s="613"/>
      <c r="BC22" s="614"/>
      <c r="BD22" s="615"/>
      <c r="BE22" s="613"/>
      <c r="BF22" s="614"/>
      <c r="BG22" s="615"/>
      <c r="BH22" s="608"/>
      <c r="BI22" s="608"/>
      <c r="BJ22" s="608"/>
      <c r="BK22" s="608"/>
      <c r="BL22" s="608"/>
    </row>
    <row r="23" spans="1:64" ht="18" customHeight="1">
      <c r="A23" s="662"/>
      <c r="B23" s="4">
        <v>7</v>
      </c>
      <c r="C23" s="4">
        <v>14</v>
      </c>
      <c r="D23" s="4">
        <v>21</v>
      </c>
      <c r="E23" s="4">
        <v>28</v>
      </c>
      <c r="F23" s="632"/>
      <c r="G23" s="4">
        <v>12</v>
      </c>
      <c r="H23" s="4">
        <v>19</v>
      </c>
      <c r="I23" s="4">
        <v>26</v>
      </c>
      <c r="J23" s="632"/>
      <c r="K23" s="4">
        <v>9</v>
      </c>
      <c r="L23" s="4">
        <v>16</v>
      </c>
      <c r="M23" s="4">
        <v>23</v>
      </c>
      <c r="N23" s="4">
        <v>30</v>
      </c>
      <c r="O23" s="4">
        <v>7</v>
      </c>
      <c r="P23" s="4">
        <v>14</v>
      </c>
      <c r="Q23" s="4">
        <v>21</v>
      </c>
      <c r="R23" s="4">
        <v>28</v>
      </c>
      <c r="S23" s="632"/>
      <c r="T23" s="4">
        <v>11</v>
      </c>
      <c r="U23" s="4">
        <v>18</v>
      </c>
      <c r="V23" s="4">
        <v>25</v>
      </c>
      <c r="W23" s="632"/>
      <c r="X23" s="4">
        <v>8</v>
      </c>
      <c r="Y23" s="4">
        <v>15</v>
      </c>
      <c r="Z23" s="4">
        <v>22</v>
      </c>
      <c r="AA23" s="632"/>
      <c r="AB23" s="4">
        <v>8</v>
      </c>
      <c r="AC23" s="4">
        <v>15</v>
      </c>
      <c r="AD23" s="4">
        <v>22</v>
      </c>
      <c r="AE23" s="4">
        <v>29</v>
      </c>
      <c r="AF23" s="632"/>
      <c r="AG23" s="4">
        <v>12</v>
      </c>
      <c r="AH23" s="4">
        <v>19</v>
      </c>
      <c r="AI23" s="4">
        <v>26</v>
      </c>
      <c r="AJ23" s="632"/>
      <c r="AK23" s="4">
        <v>10</v>
      </c>
      <c r="AL23" s="4">
        <v>17</v>
      </c>
      <c r="AM23" s="4">
        <v>24</v>
      </c>
      <c r="AN23" s="4">
        <v>31</v>
      </c>
      <c r="AO23" s="4">
        <v>7</v>
      </c>
      <c r="AP23" s="4">
        <v>14</v>
      </c>
      <c r="AQ23" s="4">
        <v>21</v>
      </c>
      <c r="AR23" s="4">
        <v>28</v>
      </c>
      <c r="AS23" s="632"/>
      <c r="AT23" s="4">
        <v>12</v>
      </c>
      <c r="AU23" s="4">
        <v>19</v>
      </c>
      <c r="AV23" s="4">
        <v>26</v>
      </c>
      <c r="AW23" s="632"/>
      <c r="AX23" s="4">
        <v>8</v>
      </c>
      <c r="AY23" s="4">
        <v>15</v>
      </c>
      <c r="AZ23" s="4">
        <v>22</v>
      </c>
      <c r="BA23" s="4">
        <v>31</v>
      </c>
      <c r="BB23" s="616"/>
      <c r="BC23" s="617"/>
      <c r="BD23" s="618"/>
      <c r="BE23" s="616"/>
      <c r="BF23" s="617"/>
      <c r="BG23" s="618"/>
      <c r="BH23" s="608"/>
      <c r="BI23" s="608"/>
      <c r="BJ23" s="608"/>
      <c r="BK23" s="608"/>
      <c r="BL23" s="608"/>
    </row>
    <row r="24" spans="1:64" ht="15.75" customHeight="1">
      <c r="A24" s="663"/>
      <c r="B24" s="8">
        <v>1</v>
      </c>
      <c r="C24" s="8">
        <v>2</v>
      </c>
      <c r="D24" s="8">
        <v>3</v>
      </c>
      <c r="E24" s="8">
        <v>4</v>
      </c>
      <c r="F24" s="8">
        <v>5</v>
      </c>
      <c r="G24" s="8">
        <v>6</v>
      </c>
      <c r="H24" s="8">
        <v>7</v>
      </c>
      <c r="I24" s="8">
        <v>8</v>
      </c>
      <c r="J24" s="8">
        <v>9</v>
      </c>
      <c r="K24" s="8">
        <v>10</v>
      </c>
      <c r="L24" s="8">
        <v>11</v>
      </c>
      <c r="M24" s="8">
        <v>12</v>
      </c>
      <c r="N24" s="8">
        <v>13</v>
      </c>
      <c r="O24" s="8">
        <v>14</v>
      </c>
      <c r="P24" s="8">
        <v>15</v>
      </c>
      <c r="Q24" s="8">
        <v>16</v>
      </c>
      <c r="R24" s="8">
        <v>17</v>
      </c>
      <c r="S24" s="8">
        <v>18</v>
      </c>
      <c r="T24" s="8">
        <v>19</v>
      </c>
      <c r="U24" s="8">
        <v>20</v>
      </c>
      <c r="V24" s="8">
        <v>21</v>
      </c>
      <c r="W24" s="8">
        <v>22</v>
      </c>
      <c r="X24" s="8">
        <v>23</v>
      </c>
      <c r="Y24" s="8">
        <v>24</v>
      </c>
      <c r="Z24" s="8">
        <v>25</v>
      </c>
      <c r="AA24" s="8">
        <v>26</v>
      </c>
      <c r="AB24" s="8">
        <v>27</v>
      </c>
      <c r="AC24" s="8">
        <v>28</v>
      </c>
      <c r="AD24" s="8">
        <v>29</v>
      </c>
      <c r="AE24" s="8">
        <v>30</v>
      </c>
      <c r="AF24" s="8">
        <v>31</v>
      </c>
      <c r="AG24" s="8">
        <v>32</v>
      </c>
      <c r="AH24" s="8">
        <v>33</v>
      </c>
      <c r="AI24" s="8">
        <v>34</v>
      </c>
      <c r="AJ24" s="8">
        <v>35</v>
      </c>
      <c r="AK24" s="8">
        <v>36</v>
      </c>
      <c r="AL24" s="8">
        <v>37</v>
      </c>
      <c r="AM24" s="8">
        <v>38</v>
      </c>
      <c r="AN24" s="8">
        <v>39</v>
      </c>
      <c r="AO24" s="8">
        <v>40</v>
      </c>
      <c r="AP24" s="8">
        <v>41</v>
      </c>
      <c r="AQ24" s="8">
        <v>42</v>
      </c>
      <c r="AR24" s="8">
        <v>43</v>
      </c>
      <c r="AS24" s="8">
        <v>44</v>
      </c>
      <c r="AT24" s="8">
        <v>45</v>
      </c>
      <c r="AU24" s="8">
        <v>46</v>
      </c>
      <c r="AV24" s="8">
        <v>47</v>
      </c>
      <c r="AW24" s="8">
        <v>48</v>
      </c>
      <c r="AX24" s="8">
        <v>49</v>
      </c>
      <c r="AY24" s="8">
        <v>50</v>
      </c>
      <c r="AZ24" s="8">
        <v>51</v>
      </c>
      <c r="BA24" s="8">
        <v>52</v>
      </c>
      <c r="BB24" s="10" t="s">
        <v>67</v>
      </c>
      <c r="BC24" s="10" t="s">
        <v>32</v>
      </c>
      <c r="BD24" s="11" t="s">
        <v>53</v>
      </c>
      <c r="BE24" s="10" t="s">
        <v>67</v>
      </c>
      <c r="BF24" s="10" t="s">
        <v>32</v>
      </c>
      <c r="BG24" s="11" t="s">
        <v>53</v>
      </c>
      <c r="BH24" s="609"/>
      <c r="BI24" s="609"/>
      <c r="BJ24" s="609"/>
      <c r="BK24" s="609"/>
      <c r="BL24" s="609"/>
    </row>
    <row r="25" spans="1:64" ht="15.75" customHeight="1">
      <c r="A25" s="9">
        <v>1</v>
      </c>
      <c r="B25" s="41" t="s">
        <v>67</v>
      </c>
      <c r="C25" s="41" t="s">
        <v>67</v>
      </c>
      <c r="D25" s="41" t="s">
        <v>67</v>
      </c>
      <c r="E25" s="41" t="s">
        <v>67</v>
      </c>
      <c r="F25" s="41" t="s">
        <v>67</v>
      </c>
      <c r="G25" s="41" t="s">
        <v>67</v>
      </c>
      <c r="H25" s="41" t="s">
        <v>67</v>
      </c>
      <c r="I25" s="41" t="s">
        <v>67</v>
      </c>
      <c r="J25" s="41" t="s">
        <v>67</v>
      </c>
      <c r="K25" s="41" t="s">
        <v>67</v>
      </c>
      <c r="L25" s="41" t="s">
        <v>67</v>
      </c>
      <c r="M25" s="41" t="s">
        <v>67</v>
      </c>
      <c r="N25" s="41" t="s">
        <v>67</v>
      </c>
      <c r="O25" s="41" t="s">
        <v>67</v>
      </c>
      <c r="P25" s="41" t="s">
        <v>67</v>
      </c>
      <c r="Q25" s="41" t="s">
        <v>67</v>
      </c>
      <c r="R25" s="41" t="s">
        <v>67</v>
      </c>
      <c r="S25" s="41" t="s">
        <v>28</v>
      </c>
      <c r="T25" s="41" t="s">
        <v>28</v>
      </c>
      <c r="U25" s="41" t="s">
        <v>32</v>
      </c>
      <c r="V25" s="41" t="s">
        <v>32</v>
      </c>
      <c r="W25" s="41" t="s">
        <v>32</v>
      </c>
      <c r="X25" s="41" t="s">
        <v>32</v>
      </c>
      <c r="Y25" s="41" t="s">
        <v>32</v>
      </c>
      <c r="Z25" s="41" t="s">
        <v>32</v>
      </c>
      <c r="AA25" s="41" t="s">
        <v>32</v>
      </c>
      <c r="AB25" s="41" t="s">
        <v>32</v>
      </c>
      <c r="AC25" s="41" t="s">
        <v>32</v>
      </c>
      <c r="AD25" s="41" t="s">
        <v>32</v>
      </c>
      <c r="AE25" s="41" t="s">
        <v>32</v>
      </c>
      <c r="AF25" s="41" t="s">
        <v>32</v>
      </c>
      <c r="AG25" s="41" t="s">
        <v>32</v>
      </c>
      <c r="AH25" s="41" t="s">
        <v>32</v>
      </c>
      <c r="AI25" s="41" t="s">
        <v>32</v>
      </c>
      <c r="AJ25" s="41" t="s">
        <v>32</v>
      </c>
      <c r="AK25" s="41" t="s">
        <v>32</v>
      </c>
      <c r="AL25" s="41" t="s">
        <v>32</v>
      </c>
      <c r="AM25" s="41" t="s">
        <v>32</v>
      </c>
      <c r="AN25" s="41" t="s">
        <v>32</v>
      </c>
      <c r="AO25" s="41" t="s">
        <v>32</v>
      </c>
      <c r="AP25" s="41" t="s">
        <v>32</v>
      </c>
      <c r="AQ25" s="41" t="s">
        <v>194</v>
      </c>
      <c r="AR25" s="41" t="s">
        <v>194</v>
      </c>
      <c r="AS25" s="41" t="s">
        <v>28</v>
      </c>
      <c r="AT25" s="41" t="s">
        <v>28</v>
      </c>
      <c r="AU25" s="41" t="s">
        <v>28</v>
      </c>
      <c r="AV25" s="41" t="s">
        <v>28</v>
      </c>
      <c r="AW25" s="41" t="s">
        <v>28</v>
      </c>
      <c r="AX25" s="41" t="s">
        <v>28</v>
      </c>
      <c r="AY25" s="41" t="s">
        <v>28</v>
      </c>
      <c r="AZ25" s="41" t="s">
        <v>28</v>
      </c>
      <c r="BA25" s="41" t="s">
        <v>28</v>
      </c>
      <c r="BB25" s="31">
        <f>COUNTIF(B25:BA25,"о")</f>
        <v>17</v>
      </c>
      <c r="BC25" s="31">
        <f>COUNTIF(B25:BA25,"в")</f>
        <v>22</v>
      </c>
      <c r="BD25" s="32">
        <f>SUM(BB25:BC25)</f>
        <v>39</v>
      </c>
      <c r="BE25" s="31">
        <f>COUNTIF(B25:BA25,$R$32)</f>
        <v>0</v>
      </c>
      <c r="BF25" s="31">
        <f>COUNTIF(B25:BA25,$R$34)</f>
        <v>2</v>
      </c>
      <c r="BG25" s="32">
        <f>SUM(BE25:BF25)</f>
        <v>2</v>
      </c>
      <c r="BH25" s="32">
        <f>COUNTIF(B25:BA25,$AF$32)</f>
        <v>0</v>
      </c>
      <c r="BI25" s="32">
        <f>COUNTIF(B25:BA25,$AF$34)</f>
        <v>0</v>
      </c>
      <c r="BJ25" s="32">
        <f>COUNTIF(B25:BA25,$AQ$34)</f>
        <v>0</v>
      </c>
      <c r="BK25" s="32">
        <f>COUNTIF(B25:BA25,$AZ$34)</f>
        <v>11</v>
      </c>
      <c r="BL25" s="32">
        <f>SUM(BG25:BK25)+BD25</f>
        <v>52</v>
      </c>
    </row>
    <row r="26" spans="1:64" ht="15.75" customHeight="1">
      <c r="A26" s="9">
        <v>2</v>
      </c>
      <c r="B26" s="41" t="s">
        <v>67</v>
      </c>
      <c r="C26" s="41" t="s">
        <v>67</v>
      </c>
      <c r="D26" s="41" t="s">
        <v>67</v>
      </c>
      <c r="E26" s="41" t="s">
        <v>67</v>
      </c>
      <c r="F26" s="41" t="s">
        <v>67</v>
      </c>
      <c r="G26" s="41" t="s">
        <v>67</v>
      </c>
      <c r="H26" s="41" t="s">
        <v>67</v>
      </c>
      <c r="I26" s="41" t="s">
        <v>67</v>
      </c>
      <c r="J26" s="41" t="s">
        <v>67</v>
      </c>
      <c r="K26" s="41" t="s">
        <v>67</v>
      </c>
      <c r="L26" s="41" t="s">
        <v>67</v>
      </c>
      <c r="M26" s="41" t="s">
        <v>67</v>
      </c>
      <c r="N26" s="41" t="s">
        <v>67</v>
      </c>
      <c r="O26" s="41" t="s">
        <v>67</v>
      </c>
      <c r="P26" s="41" t="s">
        <v>67</v>
      </c>
      <c r="Q26" s="41" t="s">
        <v>67</v>
      </c>
      <c r="R26" s="41" t="s">
        <v>193</v>
      </c>
      <c r="S26" s="41" t="s">
        <v>28</v>
      </c>
      <c r="T26" s="41" t="s">
        <v>28</v>
      </c>
      <c r="U26" s="41" t="s">
        <v>32</v>
      </c>
      <c r="V26" s="41" t="s">
        <v>32</v>
      </c>
      <c r="W26" s="41" t="s">
        <v>32</v>
      </c>
      <c r="X26" s="41" t="s">
        <v>32</v>
      </c>
      <c r="Y26" s="41" t="s">
        <v>32</v>
      </c>
      <c r="Z26" s="41" t="s">
        <v>32</v>
      </c>
      <c r="AA26" s="41" t="s">
        <v>32</v>
      </c>
      <c r="AB26" s="41" t="s">
        <v>32</v>
      </c>
      <c r="AC26" s="41" t="s">
        <v>32</v>
      </c>
      <c r="AD26" s="41" t="s">
        <v>32</v>
      </c>
      <c r="AE26" s="41" t="s">
        <v>32</v>
      </c>
      <c r="AF26" s="41" t="s">
        <v>32</v>
      </c>
      <c r="AG26" s="41" t="s">
        <v>32</v>
      </c>
      <c r="AH26" s="41" t="s">
        <v>32</v>
      </c>
      <c r="AI26" s="41" t="s">
        <v>32</v>
      </c>
      <c r="AJ26" s="41" t="s">
        <v>194</v>
      </c>
      <c r="AK26" s="41" t="s">
        <v>48</v>
      </c>
      <c r="AL26" s="41" t="s">
        <v>48</v>
      </c>
      <c r="AM26" s="41" t="s">
        <v>48</v>
      </c>
      <c r="AN26" s="41" t="s">
        <v>48</v>
      </c>
      <c r="AO26" s="41" t="s">
        <v>48</v>
      </c>
      <c r="AP26" s="41" t="s">
        <v>48</v>
      </c>
      <c r="AQ26" s="41" t="s">
        <v>48</v>
      </c>
      <c r="AR26" s="41" t="s">
        <v>48</v>
      </c>
      <c r="AS26" s="41" t="s">
        <v>48</v>
      </c>
      <c r="AT26" s="41" t="s">
        <v>48</v>
      </c>
      <c r="AU26" s="41" t="s">
        <v>48</v>
      </c>
      <c r="AV26" s="41" t="s">
        <v>28</v>
      </c>
      <c r="AW26" s="41" t="s">
        <v>28</v>
      </c>
      <c r="AX26" s="41" t="s">
        <v>28</v>
      </c>
      <c r="AY26" s="41" t="s">
        <v>28</v>
      </c>
      <c r="AZ26" s="41" t="s">
        <v>28</v>
      </c>
      <c r="BA26" s="41" t="s">
        <v>28</v>
      </c>
      <c r="BB26" s="31">
        <f>COUNTIF(B26:BA26,"о")</f>
        <v>16</v>
      </c>
      <c r="BC26" s="31">
        <f>COUNTIF(B26:BA26,"в")</f>
        <v>15</v>
      </c>
      <c r="BD26" s="32">
        <f>SUM(BB26:BC26)</f>
        <v>31</v>
      </c>
      <c r="BE26" s="31">
        <f>COUNTIF(B26:BA26,$R$32)</f>
        <v>1</v>
      </c>
      <c r="BF26" s="31">
        <f>COUNTIF(B26:BA26,$R$34)</f>
        <v>1</v>
      </c>
      <c r="BG26" s="32">
        <f>SUM(BE26:BF26)</f>
        <v>2</v>
      </c>
      <c r="BH26" s="32">
        <f>COUNTIF(A26:AZ26,$AF$32)</f>
        <v>11</v>
      </c>
      <c r="BI26" s="32">
        <f>COUNTIF(B26:BA26,$AF$34)</f>
        <v>0</v>
      </c>
      <c r="BJ26" s="32">
        <f>COUNTIF(B26:BA26,$AQ$34)</f>
        <v>0</v>
      </c>
      <c r="BK26" s="32">
        <f>COUNTIF(B26:BA26,$AZ$34)</f>
        <v>8</v>
      </c>
      <c r="BL26" s="32">
        <f>SUM(BG26:BK26)+BD26</f>
        <v>52</v>
      </c>
    </row>
    <row r="27" spans="1:64" ht="15.75" customHeight="1">
      <c r="A27" s="9">
        <v>3</v>
      </c>
      <c r="B27" s="41" t="s">
        <v>67</v>
      </c>
      <c r="C27" s="41" t="s">
        <v>67</v>
      </c>
      <c r="D27" s="41" t="s">
        <v>67</v>
      </c>
      <c r="E27" s="41" t="s">
        <v>67</v>
      </c>
      <c r="F27" s="41" t="s">
        <v>67</v>
      </c>
      <c r="G27" s="41" t="s">
        <v>67</v>
      </c>
      <c r="H27" s="41" t="s">
        <v>67</v>
      </c>
      <c r="I27" s="41" t="s">
        <v>67</v>
      </c>
      <c r="J27" s="41" t="s">
        <v>67</v>
      </c>
      <c r="K27" s="41" t="s">
        <v>67</v>
      </c>
      <c r="L27" s="41" t="s">
        <v>67</v>
      </c>
      <c r="M27" s="41" t="s">
        <v>67</v>
      </c>
      <c r="N27" s="41" t="s">
        <v>67</v>
      </c>
      <c r="O27" s="41" t="s">
        <v>67</v>
      </c>
      <c r="P27" s="41" t="s">
        <v>67</v>
      </c>
      <c r="Q27" s="41" t="s">
        <v>67</v>
      </c>
      <c r="R27" s="41" t="s">
        <v>193</v>
      </c>
      <c r="S27" s="41" t="s">
        <v>28</v>
      </c>
      <c r="T27" s="41" t="s">
        <v>28</v>
      </c>
      <c r="U27" s="41" t="s">
        <v>32</v>
      </c>
      <c r="V27" s="41" t="s">
        <v>32</v>
      </c>
      <c r="W27" s="41" t="s">
        <v>32</v>
      </c>
      <c r="X27" s="41" t="s">
        <v>32</v>
      </c>
      <c r="Y27" s="41" t="s">
        <v>32</v>
      </c>
      <c r="Z27" s="41" t="s">
        <v>32</v>
      </c>
      <c r="AA27" s="41" t="s">
        <v>32</v>
      </c>
      <c r="AB27" s="41" t="s">
        <v>32</v>
      </c>
      <c r="AC27" s="519" t="s">
        <v>589</v>
      </c>
      <c r="AD27" s="41" t="s">
        <v>28</v>
      </c>
      <c r="AE27" s="41" t="s">
        <v>28</v>
      </c>
      <c r="AF27" s="41" t="s">
        <v>28</v>
      </c>
      <c r="AG27" s="41" t="s">
        <v>28</v>
      </c>
      <c r="AH27" s="41" t="s">
        <v>28</v>
      </c>
      <c r="AI27" s="41" t="s">
        <v>28</v>
      </c>
      <c r="AJ27" s="507" t="s">
        <v>49</v>
      </c>
      <c r="AK27" s="507" t="s">
        <v>49</v>
      </c>
      <c r="AL27" s="507" t="s">
        <v>49</v>
      </c>
      <c r="AM27" s="507" t="s">
        <v>49</v>
      </c>
      <c r="AN27" s="507" t="s">
        <v>49</v>
      </c>
      <c r="AO27" s="507" t="s">
        <v>49</v>
      </c>
      <c r="AP27" s="507" t="s">
        <v>49</v>
      </c>
      <c r="AQ27" s="507" t="s">
        <v>49</v>
      </c>
      <c r="AR27" s="507" t="s">
        <v>49</v>
      </c>
      <c r="AS27" s="507" t="s">
        <v>49</v>
      </c>
      <c r="AT27" s="507" t="s">
        <v>49</v>
      </c>
      <c r="AU27" s="507" t="s">
        <v>49</v>
      </c>
      <c r="AV27" s="507" t="s">
        <v>49</v>
      </c>
      <c r="AW27" s="507" t="s">
        <v>49</v>
      </c>
      <c r="AX27" s="507" t="s">
        <v>49</v>
      </c>
      <c r="AY27" s="507" t="s">
        <v>49</v>
      </c>
      <c r="AZ27" s="507" t="s">
        <v>49</v>
      </c>
      <c r="BA27" s="507" t="s">
        <v>49</v>
      </c>
      <c r="BB27" s="31">
        <f>COUNTIF(B27:BA27,"о")</f>
        <v>16</v>
      </c>
      <c r="BC27" s="520">
        <v>8.5</v>
      </c>
      <c r="BD27" s="521">
        <f>SUM(BB27:BC27)</f>
        <v>24.5</v>
      </c>
      <c r="BE27" s="31">
        <f>COUNTIF(B27:BA27,$R$32)</f>
        <v>1</v>
      </c>
      <c r="BF27" s="520">
        <v>0.5</v>
      </c>
      <c r="BG27" s="521">
        <f>SUM(BE27:BF27)</f>
        <v>1.5</v>
      </c>
      <c r="BH27" s="32">
        <f>COUNTIF(B27:BA27,$AF$32)</f>
        <v>0</v>
      </c>
      <c r="BI27" s="32">
        <f>COUNTIF(B27:BA27,$AF$34)</f>
        <v>18</v>
      </c>
      <c r="BJ27" s="32">
        <f>COUNTIF(B27:BA27,$AQ$34)</f>
        <v>0</v>
      </c>
      <c r="BK27" s="32">
        <f>COUNTIF(B27:BA27,$AZ$34)</f>
        <v>8</v>
      </c>
      <c r="BL27" s="32">
        <f>SUM(BG27:BK27)+BD27</f>
        <v>52</v>
      </c>
    </row>
    <row r="28" spans="1:64" ht="15.75" customHeight="1">
      <c r="A28" s="9">
        <v>4</v>
      </c>
      <c r="B28" s="507" t="s">
        <v>49</v>
      </c>
      <c r="C28" s="507" t="s">
        <v>49</v>
      </c>
      <c r="D28" s="507" t="s">
        <v>49</v>
      </c>
      <c r="E28" s="507" t="s">
        <v>49</v>
      </c>
      <c r="F28" s="507" t="s">
        <v>49</v>
      </c>
      <c r="G28" s="507" t="s">
        <v>49</v>
      </c>
      <c r="H28" s="507" t="s">
        <v>49</v>
      </c>
      <c r="I28" s="507" t="s">
        <v>49</v>
      </c>
      <c r="J28" s="507" t="s">
        <v>49</v>
      </c>
      <c r="K28" s="41" t="s">
        <v>67</v>
      </c>
      <c r="L28" s="41" t="s">
        <v>67</v>
      </c>
      <c r="M28" s="41" t="s">
        <v>67</v>
      </c>
      <c r="N28" s="41" t="s">
        <v>67</v>
      </c>
      <c r="O28" s="41" t="s">
        <v>67</v>
      </c>
      <c r="P28" s="41" t="s">
        <v>67</v>
      </c>
      <c r="Q28" s="41" t="s">
        <v>67</v>
      </c>
      <c r="R28" s="41" t="s">
        <v>67</v>
      </c>
      <c r="S28" s="41" t="s">
        <v>28</v>
      </c>
      <c r="T28" s="41" t="s">
        <v>28</v>
      </c>
      <c r="U28" s="41" t="s">
        <v>32</v>
      </c>
      <c r="V28" s="41" t="s">
        <v>32</v>
      </c>
      <c r="W28" s="41" t="s">
        <v>32</v>
      </c>
      <c r="X28" s="41" t="s">
        <v>32</v>
      </c>
      <c r="Y28" s="41" t="s">
        <v>32</v>
      </c>
      <c r="Z28" s="41" t="s">
        <v>32</v>
      </c>
      <c r="AA28" s="41" t="s">
        <v>32</v>
      </c>
      <c r="AB28" s="41" t="s">
        <v>32</v>
      </c>
      <c r="AC28" s="41" t="s">
        <v>32</v>
      </c>
      <c r="AD28" s="41" t="s">
        <v>32</v>
      </c>
      <c r="AE28" s="41" t="s">
        <v>32</v>
      </c>
      <c r="AF28" s="41" t="s">
        <v>32</v>
      </c>
      <c r="AG28" s="41" t="s">
        <v>32</v>
      </c>
      <c r="AH28" s="41" t="s">
        <v>32</v>
      </c>
      <c r="AI28" s="519" t="s">
        <v>589</v>
      </c>
      <c r="AJ28" s="41" t="s">
        <v>194</v>
      </c>
      <c r="AK28" s="503" t="s">
        <v>49</v>
      </c>
      <c r="AL28" s="503" t="s">
        <v>49</v>
      </c>
      <c r="AM28" s="503" t="s">
        <v>49</v>
      </c>
      <c r="AN28" s="503" t="s">
        <v>49</v>
      </c>
      <c r="AO28" s="41" t="s">
        <v>31</v>
      </c>
      <c r="AP28" s="41" t="s">
        <v>31</v>
      </c>
      <c r="AQ28" s="41" t="s">
        <v>31</v>
      </c>
      <c r="AR28" s="41" t="s">
        <v>31</v>
      </c>
      <c r="AS28" s="12" t="s">
        <v>22</v>
      </c>
      <c r="AT28" s="12" t="s">
        <v>22</v>
      </c>
      <c r="AU28" s="12" t="s">
        <v>22</v>
      </c>
      <c r="AV28" s="12" t="s">
        <v>22</v>
      </c>
      <c r="AW28" s="12" t="s">
        <v>22</v>
      </c>
      <c r="AX28" s="12" t="s">
        <v>22</v>
      </c>
      <c r="AY28" s="12" t="s">
        <v>22</v>
      </c>
      <c r="AZ28" s="12" t="s">
        <v>22</v>
      </c>
      <c r="BA28" s="12" t="s">
        <v>22</v>
      </c>
      <c r="BB28" s="31">
        <f>COUNTIF(B28:BA28,"о")</f>
        <v>8</v>
      </c>
      <c r="BC28" s="520">
        <v>14.5</v>
      </c>
      <c r="BD28" s="521">
        <f>SUM(BB28:BC28)</f>
        <v>22.5</v>
      </c>
      <c r="BE28" s="31">
        <f>COUNTIF(B28:BA28,$R$32)</f>
        <v>0</v>
      </c>
      <c r="BF28" s="520">
        <v>1.5</v>
      </c>
      <c r="BG28" s="521">
        <f>SUM(BE28:BF28)</f>
        <v>1.5</v>
      </c>
      <c r="BH28" s="32">
        <f>COUNTIF(B28:BA28,$AF$32)</f>
        <v>0</v>
      </c>
      <c r="BI28" s="32">
        <f>COUNTIF(B28:BA28,$AF$34)</f>
        <v>13</v>
      </c>
      <c r="BJ28" s="32">
        <f>COUNTIF(B28:BA28,$AQ$34)</f>
        <v>4</v>
      </c>
      <c r="BK28" s="32">
        <f>COUNTIF(B28:BA28,$AZ$34)</f>
        <v>2</v>
      </c>
      <c r="BL28" s="32">
        <f>SUM(BG28:BK28)+BD28</f>
        <v>43</v>
      </c>
    </row>
    <row r="29" spans="1:64" ht="15.75" customHeight="1" hidden="1">
      <c r="A29" s="9">
        <v>5</v>
      </c>
      <c r="B29" s="41" t="s">
        <v>26</v>
      </c>
      <c r="C29" s="41" t="s">
        <v>26</v>
      </c>
      <c r="D29" s="41" t="s">
        <v>26</v>
      </c>
      <c r="E29" s="41" t="s">
        <v>26</v>
      </c>
      <c r="F29" s="41" t="s">
        <v>26</v>
      </c>
      <c r="G29" s="41" t="s">
        <v>26</v>
      </c>
      <c r="H29" s="41" t="s">
        <v>26</v>
      </c>
      <c r="I29" s="41" t="s">
        <v>26</v>
      </c>
      <c r="J29" s="41" t="s">
        <v>26</v>
      </c>
      <c r="K29" s="41" t="s">
        <v>26</v>
      </c>
      <c r="L29" s="41" t="s">
        <v>26</v>
      </c>
      <c r="M29" s="41" t="s">
        <v>26</v>
      </c>
      <c r="N29" s="41" t="s">
        <v>26</v>
      </c>
      <c r="O29" s="41" t="s">
        <v>26</v>
      </c>
      <c r="P29" s="41" t="s">
        <v>26</v>
      </c>
      <c r="Q29" s="41" t="s">
        <v>26</v>
      </c>
      <c r="R29" s="41" t="s">
        <v>26</v>
      </c>
      <c r="S29" s="41" t="s">
        <v>26</v>
      </c>
      <c r="T29" s="41" t="s">
        <v>26</v>
      </c>
      <c r="U29" s="41" t="s">
        <v>26</v>
      </c>
      <c r="V29" s="41" t="s">
        <v>26</v>
      </c>
      <c r="W29" s="41" t="s">
        <v>26</v>
      </c>
      <c r="X29" s="41" t="s">
        <v>26</v>
      </c>
      <c r="Y29" s="41" t="s">
        <v>26</v>
      </c>
      <c r="Z29" s="41" t="s">
        <v>26</v>
      </c>
      <c r="AA29" s="41" t="s">
        <v>26</v>
      </c>
      <c r="AB29" s="41" t="s">
        <v>26</v>
      </c>
      <c r="AC29" s="41" t="s">
        <v>26</v>
      </c>
      <c r="AD29" s="41" t="s">
        <v>26</v>
      </c>
      <c r="AE29" s="41" t="s">
        <v>26</v>
      </c>
      <c r="AF29" s="41" t="s">
        <v>26</v>
      </c>
      <c r="AG29" s="41" t="s">
        <v>26</v>
      </c>
      <c r="AH29" s="41" t="s">
        <v>26</v>
      </c>
      <c r="AI29" s="41" t="s">
        <v>26</v>
      </c>
      <c r="AJ29" s="41" t="s">
        <v>26</v>
      </c>
      <c r="AK29" s="41" t="s">
        <v>26</v>
      </c>
      <c r="AL29" s="41" t="s">
        <v>26</v>
      </c>
      <c r="AM29" s="41" t="s">
        <v>26</v>
      </c>
      <c r="AN29" s="41" t="s">
        <v>26</v>
      </c>
      <c r="AO29" s="41" t="s">
        <v>26</v>
      </c>
      <c r="AP29" s="41" t="s">
        <v>26</v>
      </c>
      <c r="AQ29" s="41" t="s">
        <v>26</v>
      </c>
      <c r="AR29" s="41" t="s">
        <v>26</v>
      </c>
      <c r="AS29" s="41" t="s">
        <v>26</v>
      </c>
      <c r="AT29" s="41" t="s">
        <v>26</v>
      </c>
      <c r="AU29" s="41" t="s">
        <v>26</v>
      </c>
      <c r="AV29" s="41" t="s">
        <v>26</v>
      </c>
      <c r="AW29" s="41" t="s">
        <v>26</v>
      </c>
      <c r="AX29" s="41" t="s">
        <v>26</v>
      </c>
      <c r="AY29" s="41" t="s">
        <v>26</v>
      </c>
      <c r="AZ29" s="41" t="s">
        <v>26</v>
      </c>
      <c r="BA29" s="41" t="s">
        <v>26</v>
      </c>
      <c r="BB29" s="31">
        <f>COUNTIF(B29:BA29,"о")</f>
        <v>0</v>
      </c>
      <c r="BC29" s="31">
        <f>COUNTIF(B29:BA29,"в")</f>
        <v>0</v>
      </c>
      <c r="BD29" s="32">
        <f>SUM(BB29:BC29)</f>
        <v>0</v>
      </c>
      <c r="BE29" s="31">
        <f>COUNTIF(B29:BA29,$R$32)</f>
        <v>0</v>
      </c>
      <c r="BF29" s="31">
        <f>COUNTIF(B29:BA29,$R$34)</f>
        <v>0</v>
      </c>
      <c r="BG29" s="32">
        <f>SUM(BE29:BF29)</f>
        <v>0</v>
      </c>
      <c r="BH29" s="32">
        <f>COUNTIF(B29:BA29,$AF$32)</f>
        <v>0</v>
      </c>
      <c r="BI29" s="32">
        <f>COUNTIF(B29:BA29,$AF$34)</f>
        <v>0</v>
      </c>
      <c r="BJ29" s="32">
        <f>COUNTIF(B29:BA29,$AQ$34)</f>
        <v>0</v>
      </c>
      <c r="BK29" s="32">
        <f>COUNTIF(B29:BA29,$AZ$34)</f>
        <v>0</v>
      </c>
      <c r="BL29" s="32">
        <f>SUM(BG29:BK29)+BD29</f>
        <v>0</v>
      </c>
    </row>
    <row r="30" spans="1:64" ht="15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382"/>
      <c r="AG30" s="382"/>
      <c r="AH30" s="505"/>
      <c r="AI30" s="505"/>
      <c r="AJ30" s="505"/>
      <c r="AK30" s="505"/>
      <c r="AL30" s="505"/>
      <c r="AM30" s="505"/>
      <c r="AN30" s="505"/>
      <c r="AO30" s="505"/>
      <c r="AP30" s="505"/>
      <c r="AQ30" s="505"/>
      <c r="AR30" s="505"/>
      <c r="AS30" s="505"/>
      <c r="AT30" s="505"/>
      <c r="AU30" s="42"/>
      <c r="AV30" s="42"/>
      <c r="AW30" s="42"/>
      <c r="AX30" s="42"/>
      <c r="AY30" s="630" t="s">
        <v>50</v>
      </c>
      <c r="AZ30" s="630"/>
      <c r="BA30" s="630"/>
      <c r="BB30" s="13">
        <f aca="true" t="shared" si="0" ref="BB30:BL30">SUM(BB25:BB29)</f>
        <v>57</v>
      </c>
      <c r="BC30" s="13">
        <f t="shared" si="0"/>
        <v>60</v>
      </c>
      <c r="BD30" s="13">
        <f t="shared" si="0"/>
        <v>117</v>
      </c>
      <c r="BE30" s="13">
        <f t="shared" si="0"/>
        <v>2</v>
      </c>
      <c r="BF30" s="13">
        <f t="shared" si="0"/>
        <v>5</v>
      </c>
      <c r="BG30" s="13">
        <f t="shared" si="0"/>
        <v>7</v>
      </c>
      <c r="BH30" s="13">
        <f t="shared" si="0"/>
        <v>11</v>
      </c>
      <c r="BI30" s="13">
        <f t="shared" si="0"/>
        <v>31</v>
      </c>
      <c r="BJ30" s="13">
        <f t="shared" si="0"/>
        <v>4</v>
      </c>
      <c r="BK30" s="13">
        <f t="shared" si="0"/>
        <v>29</v>
      </c>
      <c r="BL30" s="13">
        <f t="shared" si="0"/>
        <v>199</v>
      </c>
    </row>
    <row r="31" spans="1:64" ht="10.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506"/>
      <c r="AI31" s="506"/>
      <c r="AJ31" s="506"/>
      <c r="AK31" s="506"/>
      <c r="AL31" s="506"/>
      <c r="AM31" s="506"/>
      <c r="AN31" s="506"/>
      <c r="AO31" s="506"/>
      <c r="AP31" s="506"/>
      <c r="AQ31" s="506"/>
      <c r="AR31" s="506"/>
      <c r="AS31" s="506"/>
      <c r="AT31" s="506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</row>
    <row r="32" spans="1:66" s="5" customFormat="1" ht="11.25" customHeight="1">
      <c r="A32" s="42"/>
      <c r="B32" s="30" t="s">
        <v>67</v>
      </c>
      <c r="C32" s="43" t="s">
        <v>22</v>
      </c>
      <c r="D32" s="660" t="s">
        <v>68</v>
      </c>
      <c r="E32" s="660"/>
      <c r="F32" s="660"/>
      <c r="G32" s="660"/>
      <c r="H32" s="660"/>
      <c r="I32" s="660"/>
      <c r="J32" s="660"/>
      <c r="K32" s="660"/>
      <c r="L32" s="660"/>
      <c r="M32" s="660"/>
      <c r="N32" s="660"/>
      <c r="O32" s="660"/>
      <c r="P32" s="660"/>
      <c r="Q32" s="660"/>
      <c r="R32" s="24" t="s">
        <v>193</v>
      </c>
      <c r="S32" s="43" t="s">
        <v>22</v>
      </c>
      <c r="T32" s="660" t="s">
        <v>191</v>
      </c>
      <c r="U32" s="660"/>
      <c r="V32" s="660"/>
      <c r="W32" s="660"/>
      <c r="X32" s="660"/>
      <c r="Y32" s="660"/>
      <c r="Z32" s="660"/>
      <c r="AA32" s="660"/>
      <c r="AB32" s="660"/>
      <c r="AC32" s="660"/>
      <c r="AD32" s="660"/>
      <c r="AE32" s="660"/>
      <c r="AF32" s="26" t="s">
        <v>48</v>
      </c>
      <c r="AG32" s="43" t="s">
        <v>22</v>
      </c>
      <c r="AH32" s="629" t="s">
        <v>23</v>
      </c>
      <c r="AI32" s="629"/>
      <c r="AJ32" s="629"/>
      <c r="AK32" s="629"/>
      <c r="AL32" s="629"/>
      <c r="AM32" s="629"/>
      <c r="AN32" s="629"/>
      <c r="AO32" s="629"/>
      <c r="AP32" s="629"/>
      <c r="AQ32" s="504" t="s">
        <v>49</v>
      </c>
      <c r="AR32" s="382" t="s">
        <v>22</v>
      </c>
      <c r="AS32" s="665" t="s">
        <v>520</v>
      </c>
      <c r="AT32" s="665"/>
      <c r="AU32" s="665"/>
      <c r="AV32" s="665"/>
      <c r="AW32" s="665"/>
      <c r="AX32" s="665"/>
      <c r="AY32" s="665"/>
      <c r="AZ32" s="665"/>
      <c r="BA32" s="665"/>
      <c r="BB32" s="665"/>
      <c r="BC32" s="665"/>
      <c r="BD32" s="665"/>
      <c r="BE32" s="506"/>
      <c r="BF32" s="519" t="s">
        <v>589</v>
      </c>
      <c r="BG32" s="43" t="s">
        <v>22</v>
      </c>
      <c r="BH32" s="606" t="s">
        <v>598</v>
      </c>
      <c r="BI32" s="606"/>
      <c r="BJ32" s="606"/>
      <c r="BK32" s="606"/>
      <c r="BL32" s="606"/>
      <c r="BM32" s="531"/>
      <c r="BN32" s="531"/>
    </row>
    <row r="33" spans="1:66" s="5" customFormat="1" ht="11.25">
      <c r="A33" s="42"/>
      <c r="B33" s="42"/>
      <c r="C33" s="42"/>
      <c r="D33" s="43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4"/>
      <c r="V33" s="43"/>
      <c r="W33" s="44"/>
      <c r="X33" s="44"/>
      <c r="Y33" s="43"/>
      <c r="Z33" s="44"/>
      <c r="AA33" s="44"/>
      <c r="AB33" s="43"/>
      <c r="AC33" s="44"/>
      <c r="AD33" s="44"/>
      <c r="AE33" s="43"/>
      <c r="AF33" s="44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665"/>
      <c r="AT33" s="665"/>
      <c r="AU33" s="665"/>
      <c r="AV33" s="665"/>
      <c r="AW33" s="665"/>
      <c r="AX33" s="665"/>
      <c r="AY33" s="665"/>
      <c r="AZ33" s="665"/>
      <c r="BA33" s="665"/>
      <c r="BB33" s="665"/>
      <c r="BC33" s="665"/>
      <c r="BD33" s="665"/>
      <c r="BE33" s="42"/>
      <c r="BF33" s="42"/>
      <c r="BG33" s="42"/>
      <c r="BH33" s="606"/>
      <c r="BI33" s="606"/>
      <c r="BJ33" s="606"/>
      <c r="BK33" s="606"/>
      <c r="BL33" s="606"/>
      <c r="BM33" s="531"/>
      <c r="BN33" s="531"/>
    </row>
    <row r="34" spans="1:64" s="5" customFormat="1" ht="11.25" customHeight="1">
      <c r="A34" s="42"/>
      <c r="B34" s="30" t="s">
        <v>32</v>
      </c>
      <c r="C34" s="43" t="s">
        <v>22</v>
      </c>
      <c r="D34" s="660" t="s">
        <v>69</v>
      </c>
      <c r="E34" s="660"/>
      <c r="F34" s="660"/>
      <c r="G34" s="660"/>
      <c r="H34" s="660"/>
      <c r="I34" s="660"/>
      <c r="J34" s="660"/>
      <c r="K34" s="660"/>
      <c r="L34" s="660"/>
      <c r="M34" s="660"/>
      <c r="N34" s="660"/>
      <c r="O34" s="660"/>
      <c r="P34" s="660"/>
      <c r="Q34" s="660"/>
      <c r="R34" s="24" t="s">
        <v>194</v>
      </c>
      <c r="S34" s="43" t="s">
        <v>22</v>
      </c>
      <c r="T34" s="660" t="s">
        <v>192</v>
      </c>
      <c r="U34" s="660"/>
      <c r="V34" s="660"/>
      <c r="W34" s="660"/>
      <c r="X34" s="660"/>
      <c r="Y34" s="660"/>
      <c r="Z34" s="660"/>
      <c r="AA34" s="660"/>
      <c r="AB34" s="660"/>
      <c r="AC34" s="660"/>
      <c r="AD34" s="660"/>
      <c r="AE34" s="660"/>
      <c r="AF34" s="26" t="s">
        <v>49</v>
      </c>
      <c r="AG34" s="43" t="s">
        <v>22</v>
      </c>
      <c r="AH34" s="606" t="s">
        <v>521</v>
      </c>
      <c r="AI34" s="606"/>
      <c r="AJ34" s="606"/>
      <c r="AK34" s="606"/>
      <c r="AL34" s="606"/>
      <c r="AM34" s="606"/>
      <c r="AN34" s="606"/>
      <c r="AO34" s="606"/>
      <c r="AP34" s="606"/>
      <c r="AQ34" s="24" t="s">
        <v>31</v>
      </c>
      <c r="AR34" s="43" t="s">
        <v>22</v>
      </c>
      <c r="AS34" s="606" t="s">
        <v>495</v>
      </c>
      <c r="AT34" s="606"/>
      <c r="AU34" s="606"/>
      <c r="AV34" s="606"/>
      <c r="AW34" s="606"/>
      <c r="AX34" s="606"/>
      <c r="AY34" s="606"/>
      <c r="AZ34" s="27" t="s">
        <v>28</v>
      </c>
      <c r="BA34" s="43" t="s">
        <v>22</v>
      </c>
      <c r="BB34" s="606" t="s">
        <v>24</v>
      </c>
      <c r="BC34" s="606"/>
      <c r="BD34" s="606"/>
      <c r="BE34" s="42"/>
      <c r="BF34" s="12" t="s">
        <v>22</v>
      </c>
      <c r="BG34" s="43" t="s">
        <v>22</v>
      </c>
      <c r="BH34" s="606" t="s">
        <v>42</v>
      </c>
      <c r="BI34" s="606"/>
      <c r="BJ34" s="606"/>
      <c r="BK34" s="606"/>
      <c r="BL34" s="606"/>
    </row>
    <row r="35" spans="1:64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606"/>
      <c r="AI35" s="606"/>
      <c r="AJ35" s="606"/>
      <c r="AK35" s="606"/>
      <c r="AL35" s="606"/>
      <c r="AM35" s="606"/>
      <c r="AN35" s="606"/>
      <c r="AO35" s="606"/>
      <c r="AP35" s="606"/>
      <c r="AQ35" s="38"/>
      <c r="AR35" s="38"/>
      <c r="AS35" s="606"/>
      <c r="AT35" s="606"/>
      <c r="AU35" s="606"/>
      <c r="AV35" s="606"/>
      <c r="AW35" s="606"/>
      <c r="AX35" s="606"/>
      <c r="AY35" s="606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</row>
    <row r="36" spans="1:21" ht="12.75" hidden="1">
      <c r="A36" s="23"/>
      <c r="B36" s="25" t="str">
        <f>B32</f>
        <v>о</v>
      </c>
      <c r="D36" s="14" t="s">
        <v>96</v>
      </c>
      <c r="L36" s="659" t="s">
        <v>143</v>
      </c>
      <c r="M36" s="659"/>
      <c r="N36" s="659"/>
      <c r="O36" s="659"/>
      <c r="P36" s="659"/>
      <c r="Q36" s="659"/>
      <c r="R36" s="659"/>
      <c r="S36" s="659"/>
      <c r="T36" s="659"/>
      <c r="U36" s="659"/>
    </row>
    <row r="37" spans="1:21" ht="21" hidden="1">
      <c r="A37" s="23"/>
      <c r="B37" s="518" t="s">
        <v>589</v>
      </c>
      <c r="D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62" ht="21" hidden="1">
      <c r="A38" s="23"/>
      <c r="B38" s="25" t="str">
        <f>R32</f>
        <v>оа</v>
      </c>
      <c r="D38" s="14" t="s">
        <v>97</v>
      </c>
      <c r="L38" s="659" t="s">
        <v>144</v>
      </c>
      <c r="M38" s="659"/>
      <c r="N38" s="659"/>
      <c r="O38" s="659"/>
      <c r="P38" s="659"/>
      <c r="Q38" s="659"/>
      <c r="R38" s="659"/>
      <c r="S38" s="659"/>
      <c r="T38" s="659"/>
      <c r="U38" s="659"/>
      <c r="BA38" s="5"/>
      <c r="BJ38" s="1"/>
    </row>
    <row r="39" spans="1:62" ht="12.75" hidden="1">
      <c r="A39" s="23"/>
      <c r="B39" s="24" t="str">
        <f>B34</f>
        <v>в</v>
      </c>
      <c r="D39" s="14" t="s">
        <v>98</v>
      </c>
      <c r="L39" s="659" t="s">
        <v>147</v>
      </c>
      <c r="M39" s="659"/>
      <c r="N39" s="659"/>
      <c r="O39" s="659"/>
      <c r="P39" s="659"/>
      <c r="Q39" s="659"/>
      <c r="R39" s="659"/>
      <c r="S39" s="659"/>
      <c r="T39" s="659"/>
      <c r="U39" s="659"/>
      <c r="V39" s="659"/>
      <c r="W39" s="659"/>
      <c r="X39" s="659"/>
      <c r="Y39" s="659"/>
      <c r="Z39" s="659"/>
      <c r="AA39" s="659"/>
      <c r="AB39" s="659"/>
      <c r="AC39" s="659"/>
      <c r="AD39" s="659"/>
      <c r="AH39" s="5"/>
      <c r="AI39" s="5"/>
      <c r="AJ39" s="5"/>
      <c r="AK39" s="5"/>
      <c r="AL39" s="5"/>
      <c r="AM39" s="5"/>
      <c r="AN39" s="5"/>
      <c r="AO39" s="2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2" ht="12.75" hidden="1">
      <c r="A40" s="23"/>
      <c r="B40" s="24" t="str">
        <f>R34</f>
        <v>ва</v>
      </c>
      <c r="D40" s="14"/>
      <c r="L40" s="659" t="s">
        <v>148</v>
      </c>
      <c r="M40" s="659"/>
      <c r="N40" s="659"/>
      <c r="O40" s="659"/>
      <c r="P40" s="659"/>
      <c r="Q40" s="659"/>
      <c r="R40" s="659"/>
      <c r="S40" s="659"/>
      <c r="T40" s="659"/>
      <c r="U40" s="659"/>
      <c r="V40" s="659"/>
      <c r="W40" s="659"/>
      <c r="X40" s="659"/>
      <c r="Y40" s="659"/>
      <c r="Z40" s="659"/>
      <c r="AA40" s="659"/>
      <c r="AB40" s="659"/>
      <c r="AC40" s="659"/>
      <c r="AD40" s="659"/>
      <c r="AE40" s="5"/>
      <c r="AF40" s="5"/>
      <c r="AH40" s="5"/>
      <c r="AI40" s="5"/>
      <c r="AJ40" s="5"/>
      <c r="AK40" s="5"/>
      <c r="AL40" s="5"/>
      <c r="AM40" s="5"/>
      <c r="AN40" s="5"/>
      <c r="AO40" s="2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53" ht="12.75" hidden="1">
      <c r="A41" s="23"/>
      <c r="B41" s="26" t="str">
        <f>AF32</f>
        <v>у</v>
      </c>
      <c r="D41" s="14" t="s">
        <v>99</v>
      </c>
      <c r="AQ41" s="5"/>
      <c r="BA41" s="5"/>
    </row>
    <row r="42" spans="1:2" ht="12.75" hidden="1">
      <c r="A42" s="23"/>
      <c r="B42" s="26" t="str">
        <f>AF34</f>
        <v>п</v>
      </c>
    </row>
    <row r="43" spans="1:2" ht="12.75" hidden="1">
      <c r="A43" s="23"/>
      <c r="B43" s="27" t="str">
        <f>AZ34</f>
        <v>к</v>
      </c>
    </row>
    <row r="44" spans="1:2" ht="12.75" hidden="1">
      <c r="A44" s="23"/>
      <c r="B44" s="28" t="str">
        <f>AQ32</f>
        <v>п</v>
      </c>
    </row>
    <row r="45" spans="1:2" ht="12.75" hidden="1">
      <c r="A45" s="23"/>
      <c r="B45" s="295">
        <f>AZ32</f>
        <v>0</v>
      </c>
    </row>
    <row r="46" spans="1:2" ht="12.75" hidden="1">
      <c r="A46" s="23"/>
      <c r="B46" s="28" t="str">
        <f>AQ34</f>
        <v>А</v>
      </c>
    </row>
    <row r="47" spans="1:2" ht="12.75" hidden="1">
      <c r="A47" s="23"/>
      <c r="B47" s="29" t="str">
        <f>BF34</f>
        <v>-</v>
      </c>
    </row>
    <row r="49" spans="1:65" ht="12.75" customHeight="1">
      <c r="A49" s="664" t="s">
        <v>616</v>
      </c>
      <c r="B49" s="664"/>
      <c r="C49" s="664"/>
      <c r="D49" s="664"/>
      <c r="E49" s="664"/>
      <c r="F49" s="664"/>
      <c r="G49" s="664"/>
      <c r="H49" s="664"/>
      <c r="I49" s="664"/>
      <c r="J49" s="664"/>
      <c r="K49" s="664"/>
      <c r="L49" s="664"/>
      <c r="M49" s="664"/>
      <c r="N49" s="664"/>
      <c r="O49" s="664"/>
      <c r="P49" s="664"/>
      <c r="Q49" s="664"/>
      <c r="R49" s="664"/>
      <c r="S49" s="664"/>
      <c r="T49" s="664"/>
      <c r="U49" s="664"/>
      <c r="V49" s="664"/>
      <c r="W49" s="664"/>
      <c r="X49" s="664"/>
      <c r="Y49" s="664"/>
      <c r="Z49" s="664"/>
      <c r="AA49" s="664"/>
      <c r="AB49" s="664"/>
      <c r="AC49" s="664"/>
      <c r="AD49" s="664"/>
      <c r="AE49" s="664"/>
      <c r="AF49" s="664"/>
      <c r="AG49" s="664"/>
      <c r="AH49" s="664"/>
      <c r="AI49" s="664"/>
      <c r="AJ49" s="664"/>
      <c r="AK49" s="664"/>
      <c r="AL49" s="664"/>
      <c r="AM49" s="664"/>
      <c r="AN49" s="664"/>
      <c r="AO49" s="664"/>
      <c r="AP49" s="664"/>
      <c r="AQ49" s="664"/>
      <c r="AR49" s="664"/>
      <c r="AS49" s="664"/>
      <c r="AT49" s="664"/>
      <c r="AU49" s="664"/>
      <c r="AV49" s="664"/>
      <c r="AW49" s="664"/>
      <c r="AX49" s="664"/>
      <c r="AY49" s="664"/>
      <c r="AZ49" s="664"/>
      <c r="BA49" s="664"/>
      <c r="BB49" s="664"/>
      <c r="BC49" s="664"/>
      <c r="BD49" s="664"/>
      <c r="BE49" s="664"/>
      <c r="BF49" s="664"/>
      <c r="BG49" s="664"/>
      <c r="BH49" s="664"/>
      <c r="BI49" s="664"/>
      <c r="BJ49" s="664"/>
      <c r="BK49" s="664"/>
      <c r="BL49" s="664"/>
      <c r="BM49" s="664"/>
    </row>
    <row r="50" spans="1:65" ht="12.75" customHeight="1">
      <c r="A50" s="664" t="s">
        <v>617</v>
      </c>
      <c r="B50" s="664"/>
      <c r="C50" s="664"/>
      <c r="D50" s="664"/>
      <c r="E50" s="664"/>
      <c r="F50" s="664"/>
      <c r="G50" s="664"/>
      <c r="H50" s="664"/>
      <c r="I50" s="664"/>
      <c r="J50" s="664"/>
      <c r="K50" s="664"/>
      <c r="L50" s="664"/>
      <c r="M50" s="664"/>
      <c r="N50" s="664"/>
      <c r="O50" s="664"/>
      <c r="P50" s="664"/>
      <c r="Q50" s="664"/>
      <c r="R50" s="664"/>
      <c r="S50" s="664"/>
      <c r="T50" s="664"/>
      <c r="U50" s="664"/>
      <c r="V50" s="664"/>
      <c r="W50" s="664"/>
      <c r="X50" s="664"/>
      <c r="Y50" s="664"/>
      <c r="Z50" s="664"/>
      <c r="AA50" s="664"/>
      <c r="AB50" s="664"/>
      <c r="AC50" s="664"/>
      <c r="AD50" s="664"/>
      <c r="AE50" s="664"/>
      <c r="AF50" s="664"/>
      <c r="AG50" s="664"/>
      <c r="AH50" s="664"/>
      <c r="AI50" s="664"/>
      <c r="AJ50" s="664"/>
      <c r="AK50" s="664"/>
      <c r="AL50" s="664"/>
      <c r="AM50" s="664"/>
      <c r="AN50" s="664"/>
      <c r="AO50" s="664"/>
      <c r="AP50" s="664"/>
      <c r="AQ50" s="664"/>
      <c r="AR50" s="664"/>
      <c r="AS50" s="664"/>
      <c r="AT50" s="664"/>
      <c r="AU50" s="664"/>
      <c r="AV50" s="664"/>
      <c r="AW50" s="664"/>
      <c r="AX50" s="664"/>
      <c r="AY50" s="664"/>
      <c r="AZ50" s="664"/>
      <c r="BA50" s="664"/>
      <c r="BB50" s="664"/>
      <c r="BC50" s="664"/>
      <c r="BD50" s="664"/>
      <c r="BE50" s="664"/>
      <c r="BF50" s="664"/>
      <c r="BG50" s="664"/>
      <c r="BH50" s="664"/>
      <c r="BI50" s="664"/>
      <c r="BJ50" s="664"/>
      <c r="BK50" s="664"/>
      <c r="BL50" s="664"/>
      <c r="BM50" s="664"/>
    </row>
    <row r="51" spans="1:65" ht="12.75" customHeight="1">
      <c r="A51" s="664" t="s">
        <v>618</v>
      </c>
      <c r="B51" s="664"/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4"/>
      <c r="AL51" s="664"/>
      <c r="AM51" s="664"/>
      <c r="AN51" s="664"/>
      <c r="AO51" s="664"/>
      <c r="AP51" s="664"/>
      <c r="AQ51" s="664"/>
      <c r="AR51" s="664"/>
      <c r="AS51" s="664"/>
      <c r="AT51" s="664"/>
      <c r="AU51" s="664"/>
      <c r="AV51" s="664"/>
      <c r="AW51" s="664"/>
      <c r="AX51" s="664"/>
      <c r="AY51" s="664"/>
      <c r="AZ51" s="664"/>
      <c r="BA51" s="664"/>
      <c r="BB51" s="664"/>
      <c r="BC51" s="664"/>
      <c r="BD51" s="664"/>
      <c r="BE51" s="664"/>
      <c r="BF51" s="664"/>
      <c r="BG51" s="664"/>
      <c r="BH51" s="664"/>
      <c r="BI51" s="664"/>
      <c r="BJ51" s="664"/>
      <c r="BK51" s="664"/>
      <c r="BL51" s="664"/>
      <c r="BM51" s="664"/>
    </row>
    <row r="52" spans="1:65" ht="12.75" customHeight="1">
      <c r="A52" s="664" t="s">
        <v>619</v>
      </c>
      <c r="B52" s="664"/>
      <c r="C52" s="664"/>
      <c r="D52" s="664"/>
      <c r="E52" s="664"/>
      <c r="F52" s="664"/>
      <c r="G52" s="664"/>
      <c r="H52" s="664"/>
      <c r="I52" s="664"/>
      <c r="J52" s="664"/>
      <c r="K52" s="664"/>
      <c r="L52" s="664"/>
      <c r="M52" s="664"/>
      <c r="N52" s="664"/>
      <c r="O52" s="664"/>
      <c r="P52" s="664"/>
      <c r="Q52" s="664"/>
      <c r="R52" s="664"/>
      <c r="S52" s="664"/>
      <c r="T52" s="664"/>
      <c r="U52" s="664"/>
      <c r="V52" s="664"/>
      <c r="W52" s="664"/>
      <c r="X52" s="664"/>
      <c r="Y52" s="664"/>
      <c r="Z52" s="664"/>
      <c r="AA52" s="664"/>
      <c r="AB52" s="664"/>
      <c r="AC52" s="664"/>
      <c r="AD52" s="664"/>
      <c r="AE52" s="664"/>
      <c r="AF52" s="664"/>
      <c r="AG52" s="664"/>
      <c r="AH52" s="664"/>
      <c r="AI52" s="664"/>
      <c r="AJ52" s="664"/>
      <c r="AK52" s="664"/>
      <c r="AL52" s="664"/>
      <c r="AM52" s="664"/>
      <c r="AN52" s="664"/>
      <c r="AO52" s="664"/>
      <c r="AP52" s="664"/>
      <c r="AQ52" s="664"/>
      <c r="AR52" s="664"/>
      <c r="AS52" s="664"/>
      <c r="AT52" s="664"/>
      <c r="AU52" s="664"/>
      <c r="AV52" s="664"/>
      <c r="AW52" s="664"/>
      <c r="AX52" s="664"/>
      <c r="AY52" s="664"/>
      <c r="AZ52" s="664"/>
      <c r="BA52" s="664"/>
      <c r="BB52" s="664"/>
      <c r="BC52" s="664"/>
      <c r="BD52" s="664"/>
      <c r="BE52" s="664"/>
      <c r="BF52" s="664"/>
      <c r="BG52" s="664"/>
      <c r="BH52" s="664"/>
      <c r="BI52" s="664"/>
      <c r="BJ52" s="664"/>
      <c r="BK52" s="664"/>
      <c r="BL52" s="664"/>
      <c r="BM52" s="664"/>
    </row>
  </sheetData>
  <sheetProtection formatCells="0" formatColumns="0" formatRows="0" insertColumns="0" insertRows="0" insertHyperlinks="0" deleteColumns="0" deleteRows="0" sort="0" autoFilter="0" pivotTables="0"/>
  <mergeCells count="95">
    <mergeCell ref="A49:BM49"/>
    <mergeCell ref="A50:BM50"/>
    <mergeCell ref="A51:BM51"/>
    <mergeCell ref="A52:BM52"/>
    <mergeCell ref="AS32:BD33"/>
    <mergeCell ref="AS34:AY35"/>
    <mergeCell ref="AH34:AP35"/>
    <mergeCell ref="A9:N9"/>
    <mergeCell ref="L39:AD39"/>
    <mergeCell ref="L40:AD40"/>
    <mergeCell ref="T32:AE32"/>
    <mergeCell ref="T34:AE34"/>
    <mergeCell ref="D34:Q34"/>
    <mergeCell ref="L36:U36"/>
    <mergeCell ref="L38:U38"/>
    <mergeCell ref="D32:Q32"/>
    <mergeCell ref="A20:A24"/>
    <mergeCell ref="AJ22:AJ23"/>
    <mergeCell ref="A10:N10"/>
    <mergeCell ref="O10:BB10"/>
    <mergeCell ref="AF22:AF23"/>
    <mergeCell ref="AF20:AF21"/>
    <mergeCell ref="Q17:S17"/>
    <mergeCell ref="A15:N15"/>
    <mergeCell ref="O15:BB15"/>
    <mergeCell ref="A17:N17"/>
    <mergeCell ref="A16:N16"/>
    <mergeCell ref="BC4:BL4"/>
    <mergeCell ref="T17:U17"/>
    <mergeCell ref="O18:BB18"/>
    <mergeCell ref="AB20:AE21"/>
    <mergeCell ref="AG20:AI21"/>
    <mergeCell ref="S20:S21"/>
    <mergeCell ref="AA20:AA21"/>
    <mergeCell ref="T20:V21"/>
    <mergeCell ref="O13:BB13"/>
    <mergeCell ref="AS20:AS21"/>
    <mergeCell ref="B20:E21"/>
    <mergeCell ref="O16:BB16"/>
    <mergeCell ref="A2:N2"/>
    <mergeCell ref="A4:N4"/>
    <mergeCell ref="A7:BL7"/>
    <mergeCell ref="BC2:BL2"/>
    <mergeCell ref="BC3:BL3"/>
    <mergeCell ref="H3:N3"/>
    <mergeCell ref="A3:G3"/>
    <mergeCell ref="BB21:BD23"/>
    <mergeCell ref="BC10:BL13"/>
    <mergeCell ref="A14:N14"/>
    <mergeCell ref="O14:BB14"/>
    <mergeCell ref="A11:N11"/>
    <mergeCell ref="A12:N12"/>
    <mergeCell ref="BC14:BL14"/>
    <mergeCell ref="O11:BB11"/>
    <mergeCell ref="O12:BB12"/>
    <mergeCell ref="BB20:BL20"/>
    <mergeCell ref="BH21:BH24"/>
    <mergeCell ref="BK21:BK24"/>
    <mergeCell ref="O1:BB1"/>
    <mergeCell ref="O2:BB2"/>
    <mergeCell ref="O3:BB3"/>
    <mergeCell ref="O20:R21"/>
    <mergeCell ref="O17:P17"/>
    <mergeCell ref="V17:Z17"/>
    <mergeCell ref="AT20:AV21"/>
    <mergeCell ref="W22:W23"/>
    <mergeCell ref="J20:J21"/>
    <mergeCell ref="G20:I21"/>
    <mergeCell ref="F20:F21"/>
    <mergeCell ref="AS22:AS23"/>
    <mergeCell ref="AW20:AW21"/>
    <mergeCell ref="AA22:AA23"/>
    <mergeCell ref="X20:Z21"/>
    <mergeCell ref="AW22:AW23"/>
    <mergeCell ref="AK20:AN21"/>
    <mergeCell ref="AJ20:AJ21"/>
    <mergeCell ref="AO20:AR21"/>
    <mergeCell ref="AH32:AP32"/>
    <mergeCell ref="AX20:BA21"/>
    <mergeCell ref="AY30:BA30"/>
    <mergeCell ref="F22:F23"/>
    <mergeCell ref="J22:J23"/>
    <mergeCell ref="W20:W21"/>
    <mergeCell ref="K20:N21"/>
    <mergeCell ref="S22:S23"/>
    <mergeCell ref="BC6:BM6"/>
    <mergeCell ref="BH32:BL33"/>
    <mergeCell ref="BB34:BD34"/>
    <mergeCell ref="BH34:BL34"/>
    <mergeCell ref="BL21:BL24"/>
    <mergeCell ref="BI21:BI24"/>
    <mergeCell ref="BE21:BG23"/>
    <mergeCell ref="BJ21:BJ24"/>
    <mergeCell ref="O8:BB8"/>
    <mergeCell ref="O9:BB9"/>
  </mergeCells>
  <conditionalFormatting sqref="A36:A38">
    <cfRule type="cellIs" priority="31" dxfId="4" operator="equal" stopIfTrue="1">
      <formula>#REF!</formula>
    </cfRule>
  </conditionalFormatting>
  <conditionalFormatting sqref="A39:A40">
    <cfRule type="expression" priority="30" dxfId="256" stopIfTrue="1">
      <formula>$R$32</formula>
    </cfRule>
  </conditionalFormatting>
  <conditionalFormatting sqref="B36:B37">
    <cfRule type="cellIs" priority="29" dxfId="4" operator="equal" stopIfTrue="1">
      <formula>$B$32</formula>
    </cfRule>
  </conditionalFormatting>
  <conditionalFormatting sqref="B38">
    <cfRule type="cellIs" priority="28" dxfId="3" operator="equal" stopIfTrue="1">
      <formula>$R$32</formula>
    </cfRule>
  </conditionalFormatting>
  <conditionalFormatting sqref="B39">
    <cfRule type="cellIs" priority="27" dxfId="257" operator="equal" stopIfTrue="1">
      <formula>$B$34</formula>
    </cfRule>
  </conditionalFormatting>
  <conditionalFormatting sqref="B40">
    <cfRule type="cellIs" priority="26" dxfId="256" operator="equal" stopIfTrue="1">
      <formula>$R$34</formula>
    </cfRule>
  </conditionalFormatting>
  <conditionalFormatting sqref="B41">
    <cfRule type="cellIs" priority="25" dxfId="4" operator="equal" stopIfTrue="1">
      <formula>$AF$32</formula>
    </cfRule>
  </conditionalFormatting>
  <conditionalFormatting sqref="B42">
    <cfRule type="cellIs" priority="24" dxfId="2" operator="equal" stopIfTrue="1">
      <formula>$AF$34</formula>
    </cfRule>
  </conditionalFormatting>
  <conditionalFormatting sqref="B43">
    <cfRule type="cellIs" priority="23" dxfId="0" operator="equal" stopIfTrue="1">
      <formula>$AZ$34</formula>
    </cfRule>
  </conditionalFormatting>
  <conditionalFormatting sqref="B44">
    <cfRule type="cellIs" priority="22" dxfId="3" operator="equal" stopIfTrue="1">
      <formula>$AQ$32</formula>
    </cfRule>
  </conditionalFormatting>
  <conditionalFormatting sqref="B45">
    <cfRule type="cellIs" priority="21" dxfId="3" operator="equal" stopIfTrue="1">
      <formula>$AZ$32</formula>
    </cfRule>
  </conditionalFormatting>
  <conditionalFormatting sqref="B46">
    <cfRule type="cellIs" priority="20" dxfId="3" operator="equal" stopIfTrue="1">
      <formula>$AQ$34</formula>
    </cfRule>
  </conditionalFormatting>
  <conditionalFormatting sqref="AO28:AR28 AP29 AQ28:AQ29 AR29:BA29 B25:N27 B29:N29 O25:AI29 AJ25:BA26 BF32 AI28:AJ28 AJ28:AJ29 AO28:AO29 AK29:AN29 K28:N28">
    <cfRule type="expression" priority="16" dxfId="8" stopIfTrue="1">
      <formula>OR(B25=$R$32,B25=$R$34,B25=$AQ$32,B25=$AZ$32,B25=$AQ$34)</formula>
    </cfRule>
    <cfRule type="expression" priority="17" dxfId="2" stopIfTrue="1">
      <formula>OR(B25=$AF$32,B25=$AF$34)</formula>
    </cfRule>
    <cfRule type="cellIs" priority="18" dxfId="0" operator="equal" stopIfTrue="1">
      <formula>$AZ$34</formula>
    </cfRule>
  </conditionalFormatting>
  <conditionalFormatting sqref="B47">
    <cfRule type="cellIs" priority="44" dxfId="4" operator="equal" stopIfTrue="1">
      <formula>$BF$34</formula>
    </cfRule>
  </conditionalFormatting>
  <dataValidations count="4">
    <dataValidation type="list" allowBlank="1" showInputMessage="1" showErrorMessage="1" prompt="выберите из списка" sqref="O15:BB15">
      <formula1>$L$39:$L$40</formula1>
    </dataValidation>
    <dataValidation type="list" allowBlank="1" showInputMessage="1" showErrorMessage="1" prompt="выберите из списка" sqref="O16:BB16">
      <formula1>$D$36:$D$41</formula1>
    </dataValidation>
    <dataValidation type="list" allowBlank="1" showInputMessage="1" showErrorMessage="1" prompt="выберите из списка" sqref="AQ32 AJ25:BA26 AS29:BA29 B29:J29 BF32 B25:J27 AI28:AR29 AI25:AI27 K25:AH29">
      <formula1>$B$36:$B$47</formula1>
    </dataValidation>
    <dataValidation type="list" allowBlank="1" showInputMessage="1" showErrorMessage="1" prompt="выберите из списка" sqref="O14:BB14">
      <formula1>$L$36:$L$38</formula1>
    </dataValidation>
  </dataValidations>
  <printOptions horizontalCentered="1" verticalCentered="1"/>
  <pageMargins left="0" right="0" top="0.5905511811023623" bottom="0.3937007874015748" header="0.11811023622047245" footer="0.11811023622047245"/>
  <pageSetup horizontalDpi="600" verticalDpi="600" orientation="landscape" paperSize="8" r:id="rId2"/>
  <headerFooter alignWithMargins="0">
    <oddFooter>&amp;C&amp;A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7" sqref="B7:D7"/>
    </sheetView>
  </sheetViews>
  <sheetFormatPr defaultColWidth="9.33203125" defaultRowHeight="12.75"/>
  <cols>
    <col min="1" max="1" width="6.66015625" style="0" customWidth="1"/>
    <col min="2" max="2" width="136.16015625" style="0" customWidth="1"/>
  </cols>
  <sheetData>
    <row r="1" ht="12.75">
      <c r="B1" t="s">
        <v>522</v>
      </c>
    </row>
    <row r="2" spans="1:4" ht="93" customHeight="1">
      <c r="A2" s="384" t="s">
        <v>523</v>
      </c>
      <c r="B2" s="911" t="s">
        <v>531</v>
      </c>
      <c r="C2" s="911"/>
      <c r="D2" s="911"/>
    </row>
    <row r="3" spans="1:4" ht="97.5" customHeight="1">
      <c r="A3" s="384" t="s">
        <v>524</v>
      </c>
      <c r="B3" s="911" t="s">
        <v>532</v>
      </c>
      <c r="C3" s="911"/>
      <c r="D3" s="911"/>
    </row>
    <row r="4" spans="1:4" ht="104.25" customHeight="1">
      <c r="A4" s="384" t="s">
        <v>525</v>
      </c>
      <c r="B4" s="911" t="s">
        <v>526</v>
      </c>
      <c r="C4" s="911"/>
      <c r="D4" s="911"/>
    </row>
    <row r="5" spans="1:4" ht="28.5" customHeight="1">
      <c r="A5" s="384" t="s">
        <v>527</v>
      </c>
      <c r="B5" s="910" t="s">
        <v>530</v>
      </c>
      <c r="C5" s="910"/>
      <c r="D5" s="910"/>
    </row>
    <row r="6" spans="1:4" ht="31.5" customHeight="1">
      <c r="A6" s="384" t="s">
        <v>528</v>
      </c>
      <c r="B6" s="910" t="s">
        <v>540</v>
      </c>
      <c r="C6" s="910"/>
      <c r="D6" s="910"/>
    </row>
    <row r="7" spans="1:4" ht="42" customHeight="1">
      <c r="A7" s="384" t="s">
        <v>529</v>
      </c>
      <c r="B7" s="910" t="s">
        <v>583</v>
      </c>
      <c r="C7" s="910"/>
      <c r="D7" s="910"/>
    </row>
    <row r="8" spans="1:2" ht="12.75">
      <c r="A8" s="384" t="s">
        <v>542</v>
      </c>
      <c r="B8" t="s">
        <v>543</v>
      </c>
    </row>
  </sheetData>
  <sheetProtection password="CF88" sheet="1"/>
  <mergeCells count="6">
    <mergeCell ref="B7:D7"/>
    <mergeCell ref="B2:D2"/>
    <mergeCell ref="B3:D3"/>
    <mergeCell ref="B4:D4"/>
    <mergeCell ref="B5:D5"/>
    <mergeCell ref="B6:D6"/>
  </mergeCells>
  <printOptions/>
  <pageMargins left="0.7" right="0.7" top="0.75" bottom="0.75" header="0.3" footer="0.3"/>
  <pageSetup horizontalDpi="1200" verticalDpi="12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R148"/>
  <sheetViews>
    <sheetView showZeros="0" tabSelected="1" zoomScale="70" zoomScaleNormal="70" zoomScalePageLayoutView="0" workbookViewId="0" topLeftCell="A1">
      <pane xSplit="19" ySplit="9" topLeftCell="AO46" activePane="bottomRight" state="frozen"/>
      <selection pane="topLeft" activeCell="A1" sqref="A1"/>
      <selection pane="topRight" activeCell="I1" sqref="I1"/>
      <selection pane="bottomLeft" activeCell="A16" sqref="A16"/>
      <selection pane="bottomRight" activeCell="A75" sqref="A75:IV75"/>
    </sheetView>
  </sheetViews>
  <sheetFormatPr defaultColWidth="9.33203125" defaultRowHeight="12.75"/>
  <cols>
    <col min="1" max="1" width="17.66015625" style="302" customWidth="1"/>
    <col min="2" max="2" width="41" style="302" customWidth="1"/>
    <col min="3" max="3" width="16.83203125" style="302" customWidth="1"/>
    <col min="4" max="4" width="8" style="314" customWidth="1"/>
    <col min="5" max="8" width="7.66015625" style="314" customWidth="1"/>
    <col min="9" max="9" width="7.33203125" style="314" customWidth="1"/>
    <col min="10" max="10" width="9.66015625" style="315" customWidth="1"/>
    <col min="11" max="11" width="9" style="315" customWidth="1"/>
    <col min="12" max="13" width="8.33203125" style="302" customWidth="1"/>
    <col min="14" max="14" width="7.83203125" style="302" customWidth="1"/>
    <col min="15" max="15" width="7.16015625" style="302" customWidth="1"/>
    <col min="16" max="16" width="7.66015625" style="302" customWidth="1"/>
    <col min="17" max="17" width="7.66015625" style="302" hidden="1" customWidth="1"/>
    <col min="18" max="18" width="7.66015625" style="302" customWidth="1"/>
    <col min="19" max="19" width="8.16015625" style="302" customWidth="1"/>
    <col min="20" max="21" width="6.83203125" style="302" customWidth="1"/>
    <col min="22" max="22" width="7.66015625" style="302" customWidth="1"/>
    <col min="23" max="23" width="6.83203125" style="302" customWidth="1"/>
    <col min="24" max="24" width="6.83203125" style="302" hidden="1" customWidth="1"/>
    <col min="25" max="25" width="6.83203125" style="302" customWidth="1"/>
    <col min="26" max="26" width="7.83203125" style="302" customWidth="1"/>
    <col min="27" max="28" width="6.83203125" style="302" customWidth="1"/>
    <col min="29" max="29" width="7.5" style="302" customWidth="1"/>
    <col min="30" max="30" width="6.83203125" style="302" customWidth="1"/>
    <col min="31" max="31" width="6.83203125" style="302" hidden="1" customWidth="1"/>
    <col min="32" max="34" width="6.83203125" style="302" customWidth="1"/>
    <col min="35" max="35" width="7.33203125" style="302" customWidth="1"/>
    <col min="36" max="37" width="6.83203125" style="302" customWidth="1"/>
    <col min="38" max="38" width="6.83203125" style="302" hidden="1" customWidth="1"/>
    <col min="39" max="39" width="6.83203125" style="302" customWidth="1"/>
    <col min="40" max="40" width="7.16015625" style="302" customWidth="1"/>
    <col min="41" max="44" width="6.83203125" style="302" customWidth="1"/>
    <col min="45" max="45" width="6.83203125" style="302" hidden="1" customWidth="1"/>
    <col min="46" max="51" width="6.83203125" style="302" customWidth="1"/>
    <col min="52" max="52" width="6.83203125" style="302" hidden="1" customWidth="1"/>
    <col min="53" max="58" width="6.83203125" style="302" customWidth="1"/>
    <col min="59" max="59" width="6.83203125" style="302" hidden="1" customWidth="1"/>
    <col min="60" max="73" width="6.83203125" style="302" customWidth="1"/>
    <col min="74" max="89" width="6.83203125" style="302" hidden="1" customWidth="1"/>
    <col min="90" max="90" width="13" style="305" customWidth="1"/>
    <col min="91" max="91" width="26.33203125" style="305" customWidth="1"/>
    <col min="92" max="94" width="9.33203125" style="301" hidden="1" customWidth="1"/>
    <col min="95" max="95" width="0" style="301" hidden="1" customWidth="1"/>
    <col min="96" max="96" width="9.33203125" style="301" hidden="1" customWidth="1"/>
    <col min="97" max="16384" width="9.33203125" style="301" customWidth="1"/>
  </cols>
  <sheetData>
    <row r="1" spans="2:18" ht="12.75">
      <c r="B1" s="303"/>
      <c r="C1" s="303"/>
      <c r="D1" s="303"/>
      <c r="E1" s="303"/>
      <c r="F1" s="303"/>
      <c r="G1" s="303"/>
      <c r="H1" s="303"/>
      <c r="I1" s="303"/>
      <c r="J1" s="304"/>
      <c r="K1" s="304"/>
      <c r="L1" s="303"/>
      <c r="M1" s="303"/>
      <c r="N1" s="303"/>
      <c r="O1" s="303"/>
      <c r="P1" s="303"/>
      <c r="Q1" s="303"/>
      <c r="R1" s="303"/>
    </row>
    <row r="2" spans="1:91" s="307" customFormat="1" ht="12.75" customHeight="1">
      <c r="A2" s="734" t="s">
        <v>35</v>
      </c>
      <c r="B2" s="734" t="s">
        <v>548</v>
      </c>
      <c r="C2" s="734" t="s">
        <v>65</v>
      </c>
      <c r="D2" s="709" t="s">
        <v>489</v>
      </c>
      <c r="E2" s="710"/>
      <c r="F2" s="710"/>
      <c r="G2" s="710"/>
      <c r="H2" s="710"/>
      <c r="I2" s="710"/>
      <c r="J2" s="912" t="s">
        <v>195</v>
      </c>
      <c r="K2" s="913"/>
      <c r="L2" s="753" t="s">
        <v>555</v>
      </c>
      <c r="M2" s="753"/>
      <c r="N2" s="753"/>
      <c r="O2" s="753"/>
      <c r="P2" s="753"/>
      <c r="Q2" s="753"/>
      <c r="R2" s="753"/>
      <c r="S2" s="753"/>
      <c r="T2" s="306"/>
      <c r="U2" s="753"/>
      <c r="V2" s="753"/>
      <c r="W2" s="753"/>
      <c r="X2" s="753"/>
      <c r="Y2" s="753"/>
      <c r="Z2" s="753"/>
      <c r="AA2" s="753"/>
      <c r="AB2" s="753"/>
      <c r="AC2" s="753"/>
      <c r="AD2" s="753"/>
      <c r="AE2" s="753"/>
      <c r="AF2" s="753"/>
      <c r="AG2" s="753"/>
      <c r="AH2" s="753"/>
      <c r="AI2" s="753"/>
      <c r="AJ2" s="753"/>
      <c r="AK2" s="753"/>
      <c r="AL2" s="753"/>
      <c r="AM2" s="753"/>
      <c r="AN2" s="753"/>
      <c r="AO2" s="753"/>
      <c r="AP2" s="753"/>
      <c r="AQ2" s="753"/>
      <c r="AR2" s="753"/>
      <c r="AS2" s="753"/>
      <c r="AT2" s="753"/>
      <c r="AU2" s="753"/>
      <c r="AV2" s="753"/>
      <c r="AW2" s="753"/>
      <c r="AX2" s="753"/>
      <c r="AY2" s="753"/>
      <c r="AZ2" s="753"/>
      <c r="BA2" s="753"/>
      <c r="BB2" s="753"/>
      <c r="BC2" s="753"/>
      <c r="BD2" s="753"/>
      <c r="BE2" s="753"/>
      <c r="BF2" s="753"/>
      <c r="BG2" s="753"/>
      <c r="BH2" s="753"/>
      <c r="BI2" s="753"/>
      <c r="BJ2" s="753"/>
      <c r="BK2" s="753"/>
      <c r="BL2" s="753"/>
      <c r="BM2" s="753"/>
      <c r="BN2" s="753"/>
      <c r="BO2" s="753"/>
      <c r="BP2" s="753"/>
      <c r="BQ2" s="753"/>
      <c r="BR2" s="753"/>
      <c r="BS2" s="753"/>
      <c r="BT2" s="753"/>
      <c r="BU2" s="753"/>
      <c r="BV2" s="753"/>
      <c r="BW2" s="753"/>
      <c r="BX2" s="753"/>
      <c r="BY2" s="753"/>
      <c r="BZ2" s="753"/>
      <c r="CA2" s="753"/>
      <c r="CB2" s="753"/>
      <c r="CC2" s="753"/>
      <c r="CD2" s="753"/>
      <c r="CE2" s="753"/>
      <c r="CF2" s="753"/>
      <c r="CG2" s="753"/>
      <c r="CH2" s="753"/>
      <c r="CI2" s="753"/>
      <c r="CJ2" s="753"/>
      <c r="CK2" s="753"/>
      <c r="CL2" s="914" t="s">
        <v>563</v>
      </c>
      <c r="CM2" s="914" t="s">
        <v>564</v>
      </c>
    </row>
    <row r="3" spans="1:91" s="307" customFormat="1" ht="12.75" customHeight="1">
      <c r="A3" s="735"/>
      <c r="B3" s="735"/>
      <c r="C3" s="735"/>
      <c r="D3" s="740"/>
      <c r="E3" s="741"/>
      <c r="F3" s="741"/>
      <c r="G3" s="741"/>
      <c r="H3" s="741"/>
      <c r="I3" s="741"/>
      <c r="J3" s="915"/>
      <c r="K3" s="916"/>
      <c r="L3" s="697" t="s">
        <v>556</v>
      </c>
      <c r="M3" s="700" t="s">
        <v>3</v>
      </c>
      <c r="N3" s="700"/>
      <c r="O3" s="700"/>
      <c r="P3" s="700"/>
      <c r="Q3" s="700"/>
      <c r="R3" s="700"/>
      <c r="S3" s="701"/>
      <c r="T3" s="753" t="s">
        <v>448</v>
      </c>
      <c r="U3" s="753"/>
      <c r="V3" s="753"/>
      <c r="W3" s="753"/>
      <c r="X3" s="753"/>
      <c r="Y3" s="753"/>
      <c r="Z3" s="753"/>
      <c r="AA3" s="753"/>
      <c r="AB3" s="753"/>
      <c r="AC3" s="753"/>
      <c r="AD3" s="753"/>
      <c r="AE3" s="753"/>
      <c r="AF3" s="753"/>
      <c r="AG3" s="753"/>
      <c r="AH3" s="701" t="s">
        <v>449</v>
      </c>
      <c r="AI3" s="753"/>
      <c r="AJ3" s="753"/>
      <c r="AK3" s="753"/>
      <c r="AL3" s="753"/>
      <c r="AM3" s="753"/>
      <c r="AN3" s="753"/>
      <c r="AO3" s="753"/>
      <c r="AP3" s="753"/>
      <c r="AQ3" s="753"/>
      <c r="AR3" s="753"/>
      <c r="AS3" s="753"/>
      <c r="AT3" s="753"/>
      <c r="AU3" s="756"/>
      <c r="AV3" s="701" t="s">
        <v>424</v>
      </c>
      <c r="AW3" s="753"/>
      <c r="AX3" s="753"/>
      <c r="AY3" s="753"/>
      <c r="AZ3" s="753"/>
      <c r="BA3" s="753"/>
      <c r="BB3" s="753"/>
      <c r="BC3" s="753"/>
      <c r="BD3" s="753"/>
      <c r="BE3" s="753"/>
      <c r="BF3" s="753"/>
      <c r="BG3" s="753"/>
      <c r="BH3" s="753"/>
      <c r="BI3" s="756"/>
      <c r="BJ3" s="701" t="s">
        <v>425</v>
      </c>
      <c r="BK3" s="753"/>
      <c r="BL3" s="753"/>
      <c r="BM3" s="753"/>
      <c r="BN3" s="753"/>
      <c r="BO3" s="753"/>
      <c r="BP3" s="753"/>
      <c r="BQ3" s="753"/>
      <c r="BR3" s="753"/>
      <c r="BS3" s="753"/>
      <c r="BT3" s="753"/>
      <c r="BU3" s="756"/>
      <c r="BV3" s="701"/>
      <c r="BW3" s="753"/>
      <c r="BX3" s="753"/>
      <c r="BY3" s="753"/>
      <c r="BZ3" s="753"/>
      <c r="CA3" s="753"/>
      <c r="CB3" s="753"/>
      <c r="CC3" s="753"/>
      <c r="CD3" s="753"/>
      <c r="CE3" s="753"/>
      <c r="CF3" s="753"/>
      <c r="CG3" s="753"/>
      <c r="CH3" s="753"/>
      <c r="CI3" s="753"/>
      <c r="CJ3" s="753"/>
      <c r="CK3" s="756"/>
      <c r="CL3" s="917"/>
      <c r="CM3" s="917"/>
    </row>
    <row r="4" spans="1:91" s="307" customFormat="1" ht="12.75" customHeight="1">
      <c r="A4" s="735"/>
      <c r="B4" s="735"/>
      <c r="C4" s="735"/>
      <c r="D4" s="757" t="s">
        <v>549</v>
      </c>
      <c r="E4" s="757" t="s">
        <v>550</v>
      </c>
      <c r="F4" s="331"/>
      <c r="G4" s="331"/>
      <c r="H4" s="757" t="s">
        <v>551</v>
      </c>
      <c r="I4" s="759" t="s">
        <v>552</v>
      </c>
      <c r="J4" s="915"/>
      <c r="K4" s="916"/>
      <c r="L4" s="698"/>
      <c r="M4" s="697" t="s">
        <v>71</v>
      </c>
      <c r="N4" s="700" t="s">
        <v>72</v>
      </c>
      <c r="O4" s="700"/>
      <c r="P4" s="700"/>
      <c r="Q4" s="697" t="s">
        <v>561</v>
      </c>
      <c r="R4" s="697" t="s">
        <v>562</v>
      </c>
      <c r="S4" s="761" t="s">
        <v>557</v>
      </c>
      <c r="T4" s="709" t="s">
        <v>27</v>
      </c>
      <c r="U4" s="710"/>
      <c r="V4" s="334"/>
      <c r="W4" s="334"/>
      <c r="X4" s="334"/>
      <c r="Y4" s="334">
        <f>'Титульный лист'!BB25</f>
        <v>17</v>
      </c>
      <c r="Z4" s="334">
        <f>'Титульный лист'!BE25</f>
        <v>0</v>
      </c>
      <c r="AA4" s="709" t="s">
        <v>30</v>
      </c>
      <c r="AB4" s="710"/>
      <c r="AC4" s="333"/>
      <c r="AD4" s="333"/>
      <c r="AE4" s="333"/>
      <c r="AF4" s="334">
        <f>'Титульный лист'!BC25</f>
        <v>22</v>
      </c>
      <c r="AG4" s="334">
        <f>'Титульный лист'!BF25</f>
        <v>2</v>
      </c>
      <c r="AH4" s="709" t="s">
        <v>29</v>
      </c>
      <c r="AI4" s="710"/>
      <c r="AJ4" s="333"/>
      <c r="AK4" s="333"/>
      <c r="AL4" s="333"/>
      <c r="AM4" s="334">
        <f>'Титульный лист'!BB26</f>
        <v>16</v>
      </c>
      <c r="AN4" s="334">
        <f>'Титульный лист'!BE26</f>
        <v>1</v>
      </c>
      <c r="AO4" s="709" t="s">
        <v>38</v>
      </c>
      <c r="AP4" s="710"/>
      <c r="AQ4" s="333"/>
      <c r="AR4" s="333"/>
      <c r="AS4" s="333"/>
      <c r="AT4" s="334">
        <f>'Титульный лист'!BC26</f>
        <v>15</v>
      </c>
      <c r="AU4" s="346">
        <f>'Титульный лист'!BF26</f>
        <v>1</v>
      </c>
      <c r="AV4" s="750" t="s">
        <v>39</v>
      </c>
      <c r="AW4" s="751"/>
      <c r="AX4" s="333"/>
      <c r="AY4" s="333"/>
      <c r="AZ4" s="333"/>
      <c r="BA4" s="334">
        <f>'Титульный лист'!BB27</f>
        <v>16</v>
      </c>
      <c r="BB4" s="334">
        <f>'Титульный лист'!BE27</f>
        <v>1</v>
      </c>
      <c r="BC4" s="744" t="s">
        <v>40</v>
      </c>
      <c r="BD4" s="745"/>
      <c r="BE4" s="333"/>
      <c r="BF4" s="333"/>
      <c r="BG4" s="333"/>
      <c r="BH4" s="333" t="s">
        <v>596</v>
      </c>
      <c r="BI4" s="333" t="s">
        <v>597</v>
      </c>
      <c r="BJ4" s="750" t="s">
        <v>41</v>
      </c>
      <c r="BK4" s="751"/>
      <c r="BL4" s="333"/>
      <c r="BM4" s="333"/>
      <c r="BN4" s="334">
        <f>'Титульный лист'!BB28</f>
        <v>8</v>
      </c>
      <c r="BO4" s="334">
        <f>'Титульный лист'!BE28</f>
        <v>0</v>
      </c>
      <c r="BP4" s="744" t="s">
        <v>36</v>
      </c>
      <c r="BQ4" s="745"/>
      <c r="BR4" s="333"/>
      <c r="BS4" s="333"/>
      <c r="BT4" s="333" t="s">
        <v>624</v>
      </c>
      <c r="BU4" s="333" t="s">
        <v>595</v>
      </c>
      <c r="BV4" s="750" t="s">
        <v>37</v>
      </c>
      <c r="BW4" s="754"/>
      <c r="BX4" s="751"/>
      <c r="BY4" s="333"/>
      <c r="BZ4" s="333"/>
      <c r="CA4" s="746">
        <f>'Титульный лист'!BB29</f>
        <v>0</v>
      </c>
      <c r="CB4" s="746"/>
      <c r="CC4" s="334">
        <f>'Титульный лист'!BE29</f>
        <v>0</v>
      </c>
      <c r="CD4" s="744" t="s">
        <v>70</v>
      </c>
      <c r="CE4" s="747"/>
      <c r="CF4" s="745"/>
      <c r="CG4" s="333"/>
      <c r="CH4" s="333"/>
      <c r="CI4" s="746">
        <f>'Титульный лист'!BC29</f>
        <v>0</v>
      </c>
      <c r="CJ4" s="746"/>
      <c r="CK4" s="346">
        <f>'Титульный лист'!BF29</f>
        <v>0</v>
      </c>
      <c r="CL4" s="917"/>
      <c r="CM4" s="917"/>
    </row>
    <row r="5" spans="1:91" s="307" customFormat="1" ht="12.75" customHeight="1">
      <c r="A5" s="735"/>
      <c r="B5" s="735"/>
      <c r="C5" s="735"/>
      <c r="D5" s="758"/>
      <c r="E5" s="758"/>
      <c r="F5" s="332"/>
      <c r="G5" s="332"/>
      <c r="H5" s="758"/>
      <c r="I5" s="760"/>
      <c r="J5" s="915"/>
      <c r="K5" s="916"/>
      <c r="L5" s="698"/>
      <c r="M5" s="742"/>
      <c r="N5" s="697" t="s">
        <v>558</v>
      </c>
      <c r="O5" s="697" t="s">
        <v>559</v>
      </c>
      <c r="P5" s="697" t="s">
        <v>560</v>
      </c>
      <c r="Q5" s="698"/>
      <c r="R5" s="698"/>
      <c r="S5" s="761"/>
      <c r="T5" s="740" t="s">
        <v>63</v>
      </c>
      <c r="U5" s="741"/>
      <c r="V5" s="741" t="s">
        <v>51</v>
      </c>
      <c r="W5" s="741"/>
      <c r="X5" s="741"/>
      <c r="Y5" s="741"/>
      <c r="Z5" s="335" t="s">
        <v>196</v>
      </c>
      <c r="AA5" s="740" t="s">
        <v>63</v>
      </c>
      <c r="AB5" s="741"/>
      <c r="AC5" s="335"/>
      <c r="AD5" s="335"/>
      <c r="AE5" s="335"/>
      <c r="AF5" s="335"/>
      <c r="AG5" s="335" t="s">
        <v>196</v>
      </c>
      <c r="AH5" s="740" t="s">
        <v>63</v>
      </c>
      <c r="AI5" s="741"/>
      <c r="AJ5" s="335"/>
      <c r="AK5" s="335"/>
      <c r="AL5" s="335"/>
      <c r="AM5" s="335" t="s">
        <v>51</v>
      </c>
      <c r="AN5" s="335" t="s">
        <v>196</v>
      </c>
      <c r="AO5" s="740" t="s">
        <v>63</v>
      </c>
      <c r="AP5" s="741"/>
      <c r="AQ5" s="335"/>
      <c r="AR5" s="335"/>
      <c r="AS5" s="335"/>
      <c r="AT5" s="335" t="s">
        <v>51</v>
      </c>
      <c r="AU5" s="347" t="s">
        <v>196</v>
      </c>
      <c r="AV5" s="711" t="s">
        <v>63</v>
      </c>
      <c r="AW5" s="712"/>
      <c r="AX5" s="335"/>
      <c r="AY5" s="335"/>
      <c r="AZ5" s="335"/>
      <c r="BA5" s="335" t="s">
        <v>51</v>
      </c>
      <c r="BB5" s="335" t="s">
        <v>196</v>
      </c>
      <c r="BC5" s="748" t="s">
        <v>63</v>
      </c>
      <c r="BD5" s="749"/>
      <c r="BE5" s="335"/>
      <c r="BF5" s="335"/>
      <c r="BG5" s="335"/>
      <c r="BH5" s="335" t="s">
        <v>51</v>
      </c>
      <c r="BI5" s="347" t="s">
        <v>196</v>
      </c>
      <c r="BJ5" s="711" t="s">
        <v>63</v>
      </c>
      <c r="BK5" s="712"/>
      <c r="BL5" s="335"/>
      <c r="BM5" s="335"/>
      <c r="BN5" s="335" t="s">
        <v>51</v>
      </c>
      <c r="BO5" s="335" t="s">
        <v>196</v>
      </c>
      <c r="BP5" s="748" t="s">
        <v>63</v>
      </c>
      <c r="BQ5" s="749"/>
      <c r="BR5" s="335"/>
      <c r="BS5" s="335"/>
      <c r="BT5" s="335" t="s">
        <v>51</v>
      </c>
      <c r="BU5" s="347" t="s">
        <v>196</v>
      </c>
      <c r="BV5" s="711" t="s">
        <v>63</v>
      </c>
      <c r="BW5" s="755"/>
      <c r="BX5" s="712"/>
      <c r="BY5" s="335"/>
      <c r="BZ5" s="335"/>
      <c r="CA5" s="741" t="s">
        <v>51</v>
      </c>
      <c r="CB5" s="741"/>
      <c r="CC5" s="335" t="s">
        <v>196</v>
      </c>
      <c r="CD5" s="748" t="s">
        <v>63</v>
      </c>
      <c r="CE5" s="752"/>
      <c r="CF5" s="749"/>
      <c r="CG5" s="335"/>
      <c r="CH5" s="335"/>
      <c r="CI5" s="741" t="s">
        <v>51</v>
      </c>
      <c r="CJ5" s="741"/>
      <c r="CK5" s="347" t="s">
        <v>196</v>
      </c>
      <c r="CL5" s="917"/>
      <c r="CM5" s="917"/>
    </row>
    <row r="6" spans="1:91" s="307" customFormat="1" ht="12.75" customHeight="1">
      <c r="A6" s="735"/>
      <c r="B6" s="735"/>
      <c r="C6" s="735"/>
      <c r="D6" s="758"/>
      <c r="E6" s="758"/>
      <c r="F6" s="332"/>
      <c r="G6" s="332"/>
      <c r="H6" s="758"/>
      <c r="I6" s="760"/>
      <c r="J6" s="915"/>
      <c r="K6" s="916"/>
      <c r="L6" s="698"/>
      <c r="M6" s="742"/>
      <c r="N6" s="698"/>
      <c r="O6" s="698"/>
      <c r="P6" s="698"/>
      <c r="Q6" s="698"/>
      <c r="R6" s="698"/>
      <c r="S6" s="761"/>
      <c r="T6" s="718" t="s">
        <v>127</v>
      </c>
      <c r="U6" s="719"/>
      <c r="V6" s="337"/>
      <c r="W6" s="337"/>
      <c r="X6" s="337"/>
      <c r="Y6" s="309">
        <f>IF((SUM(U85:Z85)+SUM(U78:Z78))=0,0,(SUM(U85:Z85)+SUM(U78:Z78))/Нормы!$G$39)</f>
        <v>0</v>
      </c>
      <c r="Z6" s="355" t="s">
        <v>128</v>
      </c>
      <c r="AA6" s="718" t="s">
        <v>127</v>
      </c>
      <c r="AB6" s="719"/>
      <c r="AC6" s="337"/>
      <c r="AD6" s="337"/>
      <c r="AE6" s="337"/>
      <c r="AF6" s="309">
        <f>IF((SUM(AB85:AG85)+SUM(AB78:AG78))=0,0,(SUM(AB85:AG85)+SUM(AB78:AG78))/Нормы!$G$39)</f>
        <v>0</v>
      </c>
      <c r="AG6" s="355" t="s">
        <v>128</v>
      </c>
      <c r="AH6" s="718" t="s">
        <v>127</v>
      </c>
      <c r="AI6" s="719"/>
      <c r="AJ6" s="337"/>
      <c r="AK6" s="337"/>
      <c r="AL6" s="337"/>
      <c r="AM6" s="309">
        <f>IF((SUM(AI85:AN85)+SUM(AI78:AN78))=0,0,(SUM(AI85:AN85)+SUM(AI78:AN78))/Нормы!$G$39)</f>
        <v>0</v>
      </c>
      <c r="AN6" s="355" t="s">
        <v>128</v>
      </c>
      <c r="AO6" s="718" t="s">
        <v>127</v>
      </c>
      <c r="AP6" s="719"/>
      <c r="AQ6" s="337"/>
      <c r="AR6" s="337"/>
      <c r="AS6" s="337"/>
      <c r="AT6" s="309">
        <f>IF((SUM(AP85:AU85)+SUM(AP78:AU78))=0,0,(SUM(AP85:AU85)+SUM(AP78:AU78))/Нормы!$G$39)</f>
        <v>11</v>
      </c>
      <c r="AU6" s="355" t="s">
        <v>128</v>
      </c>
      <c r="AV6" s="718" t="s">
        <v>127</v>
      </c>
      <c r="AW6" s="719"/>
      <c r="AX6" s="337"/>
      <c r="AY6" s="337"/>
      <c r="AZ6" s="337"/>
      <c r="BA6" s="309">
        <f>IF((SUM(AW85:BB85)+SUM(AW78:BB78))=0,0,(SUM(AW85:BB85)+SUM(AW78:BB78))/Нормы!$G$39)</f>
        <v>0</v>
      </c>
      <c r="BB6" s="355" t="s">
        <v>128</v>
      </c>
      <c r="BC6" s="718" t="s">
        <v>127</v>
      </c>
      <c r="BD6" s="719"/>
      <c r="BE6" s="337"/>
      <c r="BF6" s="337"/>
      <c r="BG6" s="337"/>
      <c r="BH6" s="309">
        <f>IF((SUM(BD85:BI85)+SUM(BD78:BI78))=0,0,(SUM(BD85:BI85)+SUM(BD78:BI78))/Нормы!$G$39)</f>
        <v>18</v>
      </c>
      <c r="BI6" s="355" t="s">
        <v>128</v>
      </c>
      <c r="BJ6" s="718" t="s">
        <v>127</v>
      </c>
      <c r="BK6" s="719"/>
      <c r="BL6" s="337"/>
      <c r="BM6" s="337"/>
      <c r="BN6" s="309">
        <f>IF((SUM(BK85:BO85)+SUM(BK78:BO78))=0,0,(SUM(BK85:BO85)+SUM(BK78:BO78))/Нормы!$G$39)</f>
        <v>13</v>
      </c>
      <c r="BO6" s="355" t="s">
        <v>128</v>
      </c>
      <c r="BP6" s="718" t="s">
        <v>127</v>
      </c>
      <c r="BQ6" s="719"/>
      <c r="BR6" s="337"/>
      <c r="BS6" s="337"/>
      <c r="BT6" s="309">
        <f>IF((SUM(BQ85:BU85)+SUM(BQ78:BU78))=0,0,(SUM(BQ85:BU85)+SUM(BQ78:BU78))/Нормы!$G$39)</f>
        <v>0</v>
      </c>
      <c r="BU6" s="355" t="s">
        <v>128</v>
      </c>
      <c r="BV6" s="348"/>
      <c r="BW6" s="719" t="s">
        <v>127</v>
      </c>
      <c r="BX6" s="719"/>
      <c r="BY6" s="337"/>
      <c r="BZ6" s="337"/>
      <c r="CA6" s="308"/>
      <c r="CB6" s="309">
        <v>0</v>
      </c>
      <c r="CC6" s="310" t="s">
        <v>128</v>
      </c>
      <c r="CD6" s="353"/>
      <c r="CE6" s="719" t="s">
        <v>127</v>
      </c>
      <c r="CF6" s="719"/>
      <c r="CG6" s="337"/>
      <c r="CH6" s="337"/>
      <c r="CI6" s="308"/>
      <c r="CJ6" s="309">
        <v>0</v>
      </c>
      <c r="CK6" s="349" t="s">
        <v>128</v>
      </c>
      <c r="CL6" s="917"/>
      <c r="CM6" s="917"/>
    </row>
    <row r="7" spans="1:91" s="307" customFormat="1" ht="12.75" customHeight="1">
      <c r="A7" s="735"/>
      <c r="B7" s="735"/>
      <c r="C7" s="735"/>
      <c r="D7" s="758"/>
      <c r="E7" s="758"/>
      <c r="F7" s="332"/>
      <c r="G7" s="332"/>
      <c r="H7" s="758"/>
      <c r="I7" s="760"/>
      <c r="J7" s="918"/>
      <c r="K7" s="919"/>
      <c r="L7" s="698"/>
      <c r="M7" s="742"/>
      <c r="N7" s="698"/>
      <c r="O7" s="698"/>
      <c r="P7" s="698"/>
      <c r="Q7" s="698"/>
      <c r="R7" s="698"/>
      <c r="S7" s="761"/>
      <c r="T7" s="713" t="s">
        <v>129</v>
      </c>
      <c r="U7" s="714"/>
      <c r="V7" s="714"/>
      <c r="W7" s="354"/>
      <c r="X7" s="354"/>
      <c r="Y7" s="311">
        <f>IF(SUM(U88:Z88)=0,0,SUM(U88:Z88)/Нормы!$G$38)</f>
        <v>0</v>
      </c>
      <c r="Z7" s="351" t="s">
        <v>128</v>
      </c>
      <c r="AA7" s="713" t="s">
        <v>129</v>
      </c>
      <c r="AB7" s="714"/>
      <c r="AC7" s="714"/>
      <c r="AD7" s="354"/>
      <c r="AE7" s="354"/>
      <c r="AF7" s="311">
        <f>IF(SUM(AB88:AG88)=0,0,SUM(AB88:AG88)/Нормы!$G$38)</f>
        <v>0</v>
      </c>
      <c r="AG7" s="351" t="s">
        <v>128</v>
      </c>
      <c r="AH7" s="713" t="s">
        <v>129</v>
      </c>
      <c r="AI7" s="714"/>
      <c r="AJ7" s="714"/>
      <c r="AK7" s="354"/>
      <c r="AL7" s="354"/>
      <c r="AM7" s="311">
        <f>IF(SUM(AI88:AN88)=0,0,SUM(AI88:AN88)/Нормы!$G$38)</f>
        <v>0</v>
      </c>
      <c r="AN7" s="351" t="s">
        <v>128</v>
      </c>
      <c r="AO7" s="713" t="s">
        <v>129</v>
      </c>
      <c r="AP7" s="714"/>
      <c r="AQ7" s="714"/>
      <c r="AR7" s="354"/>
      <c r="AS7" s="354"/>
      <c r="AT7" s="311">
        <f>IF(SUM(AP88:AU88)=0,0,SUM(AP88:AU88)/Нормы!$G$38)</f>
        <v>0</v>
      </c>
      <c r="AU7" s="351" t="s">
        <v>128</v>
      </c>
      <c r="AV7" s="713" t="s">
        <v>129</v>
      </c>
      <c r="AW7" s="714"/>
      <c r="AX7" s="714"/>
      <c r="AY7" s="354"/>
      <c r="AZ7" s="354"/>
      <c r="BA7" s="311">
        <f>IF(SUM(AW88:BB88)=0,0,SUM(AW88:BB88)/Нормы!$G$38)</f>
        <v>0</v>
      </c>
      <c r="BB7" s="351" t="s">
        <v>128</v>
      </c>
      <c r="BC7" s="713" t="s">
        <v>129</v>
      </c>
      <c r="BD7" s="714"/>
      <c r="BE7" s="714"/>
      <c r="BF7" s="354"/>
      <c r="BG7" s="354"/>
      <c r="BH7" s="311">
        <f>IF(SUM(BD88:BI88)=0,0,SUM(BD88:BI88)/Нормы!$G$38)</f>
        <v>0</v>
      </c>
      <c r="BI7" s="351" t="s">
        <v>128</v>
      </c>
      <c r="BJ7" s="713" t="s">
        <v>129</v>
      </c>
      <c r="BK7" s="714"/>
      <c r="BL7" s="714"/>
      <c r="BM7" s="354"/>
      <c r="BN7" s="311">
        <f>IF(SUM(BK88:BO88)=0,0,SUM(BK88:BO88)/Нормы!$G$38)</f>
        <v>0</v>
      </c>
      <c r="BO7" s="351" t="s">
        <v>128</v>
      </c>
      <c r="BP7" s="713" t="s">
        <v>129</v>
      </c>
      <c r="BQ7" s="714"/>
      <c r="BR7" s="714"/>
      <c r="BS7" s="354"/>
      <c r="BT7" s="311">
        <f>IF(SUM(BQ88:BU88)=0,0,SUM(BQ88:BU88)/Нормы!$G$38)</f>
        <v>0</v>
      </c>
      <c r="BU7" s="351" t="s">
        <v>128</v>
      </c>
      <c r="BV7" s="350"/>
      <c r="BW7" s="714" t="s">
        <v>129</v>
      </c>
      <c r="BX7" s="714"/>
      <c r="BY7" s="714"/>
      <c r="BZ7" s="714"/>
      <c r="CA7" s="714"/>
      <c r="CB7" s="311">
        <v>0</v>
      </c>
      <c r="CC7" s="312" t="s">
        <v>128</v>
      </c>
      <c r="CD7" s="350"/>
      <c r="CE7" s="714" t="s">
        <v>129</v>
      </c>
      <c r="CF7" s="714"/>
      <c r="CG7" s="714"/>
      <c r="CH7" s="714"/>
      <c r="CI7" s="714"/>
      <c r="CJ7" s="311">
        <v>0</v>
      </c>
      <c r="CK7" s="351" t="s">
        <v>128</v>
      </c>
      <c r="CL7" s="917"/>
      <c r="CM7" s="917"/>
    </row>
    <row r="8" spans="1:91" s="307" customFormat="1" ht="126" customHeight="1">
      <c r="A8" s="735"/>
      <c r="B8" s="735"/>
      <c r="C8" s="735"/>
      <c r="D8" s="758"/>
      <c r="E8" s="758"/>
      <c r="F8" s="332" t="s">
        <v>553</v>
      </c>
      <c r="G8" s="332" t="s">
        <v>554</v>
      </c>
      <c r="H8" s="758"/>
      <c r="I8" s="760"/>
      <c r="J8" s="920" t="s">
        <v>157</v>
      </c>
      <c r="K8" s="920" t="s">
        <v>217</v>
      </c>
      <c r="L8" s="699"/>
      <c r="M8" s="743"/>
      <c r="N8" s="698"/>
      <c r="O8" s="698"/>
      <c r="P8" s="698"/>
      <c r="Q8" s="699"/>
      <c r="R8" s="699"/>
      <c r="S8" s="761"/>
      <c r="T8" s="340" t="s">
        <v>119</v>
      </c>
      <c r="U8" s="341" t="s">
        <v>558</v>
      </c>
      <c r="V8" s="341" t="s">
        <v>559</v>
      </c>
      <c r="W8" s="341" t="s">
        <v>560</v>
      </c>
      <c r="X8" s="341" t="s">
        <v>561</v>
      </c>
      <c r="Y8" s="341" t="s">
        <v>562</v>
      </c>
      <c r="Z8" s="341" t="s">
        <v>557</v>
      </c>
      <c r="AA8" s="340" t="s">
        <v>119</v>
      </c>
      <c r="AB8" s="341" t="s">
        <v>558</v>
      </c>
      <c r="AC8" s="341" t="s">
        <v>559</v>
      </c>
      <c r="AD8" s="341" t="s">
        <v>560</v>
      </c>
      <c r="AE8" s="341" t="s">
        <v>561</v>
      </c>
      <c r="AF8" s="341" t="s">
        <v>562</v>
      </c>
      <c r="AG8" s="341" t="s">
        <v>557</v>
      </c>
      <c r="AH8" s="340" t="s">
        <v>119</v>
      </c>
      <c r="AI8" s="341" t="s">
        <v>558</v>
      </c>
      <c r="AJ8" s="341" t="s">
        <v>559</v>
      </c>
      <c r="AK8" s="341" t="s">
        <v>560</v>
      </c>
      <c r="AL8" s="341" t="s">
        <v>561</v>
      </c>
      <c r="AM8" s="341" t="s">
        <v>562</v>
      </c>
      <c r="AN8" s="341" t="s">
        <v>557</v>
      </c>
      <c r="AO8" s="340" t="s">
        <v>119</v>
      </c>
      <c r="AP8" s="341" t="s">
        <v>558</v>
      </c>
      <c r="AQ8" s="341" t="s">
        <v>559</v>
      </c>
      <c r="AR8" s="341" t="s">
        <v>560</v>
      </c>
      <c r="AS8" s="341" t="s">
        <v>561</v>
      </c>
      <c r="AT8" s="341" t="s">
        <v>562</v>
      </c>
      <c r="AU8" s="341" t="s">
        <v>557</v>
      </c>
      <c r="AV8" s="340" t="s">
        <v>119</v>
      </c>
      <c r="AW8" s="341" t="s">
        <v>558</v>
      </c>
      <c r="AX8" s="341" t="s">
        <v>559</v>
      </c>
      <c r="AY8" s="341" t="s">
        <v>560</v>
      </c>
      <c r="AZ8" s="341" t="s">
        <v>561</v>
      </c>
      <c r="BA8" s="341" t="s">
        <v>562</v>
      </c>
      <c r="BB8" s="341" t="s">
        <v>557</v>
      </c>
      <c r="BC8" s="340" t="s">
        <v>119</v>
      </c>
      <c r="BD8" s="341" t="s">
        <v>558</v>
      </c>
      <c r="BE8" s="341" t="s">
        <v>559</v>
      </c>
      <c r="BF8" s="341" t="s">
        <v>560</v>
      </c>
      <c r="BG8" s="341" t="s">
        <v>561</v>
      </c>
      <c r="BH8" s="341" t="s">
        <v>562</v>
      </c>
      <c r="BI8" s="341" t="s">
        <v>557</v>
      </c>
      <c r="BJ8" s="340" t="s">
        <v>119</v>
      </c>
      <c r="BK8" s="341" t="s">
        <v>558</v>
      </c>
      <c r="BL8" s="341" t="s">
        <v>559</v>
      </c>
      <c r="BM8" s="341" t="s">
        <v>560</v>
      </c>
      <c r="BN8" s="341" t="s">
        <v>562</v>
      </c>
      <c r="BO8" s="341" t="s">
        <v>557</v>
      </c>
      <c r="BP8" s="340" t="s">
        <v>119</v>
      </c>
      <c r="BQ8" s="341" t="s">
        <v>558</v>
      </c>
      <c r="BR8" s="341" t="s">
        <v>559</v>
      </c>
      <c r="BS8" s="341" t="s">
        <v>560</v>
      </c>
      <c r="BT8" s="341" t="s">
        <v>562</v>
      </c>
      <c r="BU8" s="341" t="s">
        <v>557</v>
      </c>
      <c r="BV8" s="340" t="s">
        <v>119</v>
      </c>
      <c r="BW8" s="341" t="s">
        <v>255</v>
      </c>
      <c r="BX8" s="341" t="s">
        <v>256</v>
      </c>
      <c r="BY8" s="341" t="s">
        <v>61</v>
      </c>
      <c r="BZ8" s="341" t="s">
        <v>198</v>
      </c>
      <c r="CA8" s="341" t="s">
        <v>257</v>
      </c>
      <c r="CB8" s="341" t="s">
        <v>131</v>
      </c>
      <c r="CC8" s="352" t="s">
        <v>62</v>
      </c>
      <c r="CD8" s="340" t="s">
        <v>119</v>
      </c>
      <c r="CE8" s="341" t="s">
        <v>255</v>
      </c>
      <c r="CF8" s="341" t="s">
        <v>256</v>
      </c>
      <c r="CG8" s="341" t="s">
        <v>61</v>
      </c>
      <c r="CH8" s="341" t="s">
        <v>198</v>
      </c>
      <c r="CI8" s="341" t="s">
        <v>257</v>
      </c>
      <c r="CJ8" s="341" t="s">
        <v>131</v>
      </c>
      <c r="CK8" s="341" t="s">
        <v>62</v>
      </c>
      <c r="CL8" s="921"/>
      <c r="CM8" s="921"/>
    </row>
    <row r="9" spans="1:91" s="307" customFormat="1" ht="12.75">
      <c r="A9" s="306">
        <v>1</v>
      </c>
      <c r="B9" s="306">
        <v>2</v>
      </c>
      <c r="C9" s="306">
        <v>3</v>
      </c>
      <c r="D9" s="306">
        <v>4</v>
      </c>
      <c r="E9" s="306">
        <v>5</v>
      </c>
      <c r="F9" s="306">
        <v>6</v>
      </c>
      <c r="G9" s="306"/>
      <c r="H9" s="306">
        <v>7</v>
      </c>
      <c r="I9" s="306">
        <v>9</v>
      </c>
      <c r="J9" s="306">
        <v>10</v>
      </c>
      <c r="K9" s="306">
        <v>11</v>
      </c>
      <c r="L9" s="306">
        <v>12</v>
      </c>
      <c r="M9" s="306">
        <v>13</v>
      </c>
      <c r="N9" s="306">
        <v>14</v>
      </c>
      <c r="O9" s="306">
        <v>15</v>
      </c>
      <c r="P9" s="306">
        <v>16</v>
      </c>
      <c r="Q9" s="306"/>
      <c r="R9" s="306">
        <v>17</v>
      </c>
      <c r="S9" s="306">
        <v>19</v>
      </c>
      <c r="T9" s="306">
        <v>20</v>
      </c>
      <c r="U9" s="306">
        <v>21</v>
      </c>
      <c r="V9" s="306">
        <v>22</v>
      </c>
      <c r="W9" s="306">
        <v>23</v>
      </c>
      <c r="X9" s="306"/>
      <c r="Y9" s="306">
        <v>24</v>
      </c>
      <c r="Z9" s="306">
        <v>26</v>
      </c>
      <c r="AA9" s="306">
        <v>27</v>
      </c>
      <c r="AB9" s="306">
        <v>28</v>
      </c>
      <c r="AC9" s="306">
        <v>29</v>
      </c>
      <c r="AD9" s="306">
        <v>30</v>
      </c>
      <c r="AE9" s="306"/>
      <c r="AF9" s="306"/>
      <c r="AG9" s="306">
        <v>33</v>
      </c>
      <c r="AH9" s="306">
        <v>34</v>
      </c>
      <c r="AI9" s="306">
        <v>35</v>
      </c>
      <c r="AJ9" s="306">
        <v>36</v>
      </c>
      <c r="AK9" s="306">
        <v>37</v>
      </c>
      <c r="AL9" s="306"/>
      <c r="AM9" s="306">
        <v>38</v>
      </c>
      <c r="AN9" s="306">
        <v>40</v>
      </c>
      <c r="AO9" s="306">
        <v>41</v>
      </c>
      <c r="AP9" s="306">
        <v>42</v>
      </c>
      <c r="AQ9" s="306">
        <v>43</v>
      </c>
      <c r="AR9" s="306">
        <v>44</v>
      </c>
      <c r="AS9" s="306"/>
      <c r="AT9" s="306">
        <v>45</v>
      </c>
      <c r="AU9" s="306">
        <v>47</v>
      </c>
      <c r="AV9" s="306">
        <v>48</v>
      </c>
      <c r="AW9" s="306">
        <v>49</v>
      </c>
      <c r="AX9" s="306">
        <v>50</v>
      </c>
      <c r="AY9" s="306">
        <v>51</v>
      </c>
      <c r="AZ9" s="306"/>
      <c r="BA9" s="306">
        <v>52</v>
      </c>
      <c r="BB9" s="306">
        <v>54</v>
      </c>
      <c r="BC9" s="306">
        <v>55</v>
      </c>
      <c r="BD9" s="306">
        <v>56</v>
      </c>
      <c r="BE9" s="306">
        <v>57</v>
      </c>
      <c r="BF9" s="306">
        <v>58</v>
      </c>
      <c r="BG9" s="306"/>
      <c r="BH9" s="306">
        <v>59</v>
      </c>
      <c r="BI9" s="306">
        <v>61</v>
      </c>
      <c r="BJ9" s="306">
        <v>62</v>
      </c>
      <c r="BK9" s="306">
        <v>63</v>
      </c>
      <c r="BL9" s="306">
        <v>64</v>
      </c>
      <c r="BM9" s="306">
        <v>65</v>
      </c>
      <c r="BN9" s="306">
        <v>66</v>
      </c>
      <c r="BO9" s="306">
        <v>68</v>
      </c>
      <c r="BP9" s="306">
        <v>69</v>
      </c>
      <c r="BQ9" s="306">
        <v>70</v>
      </c>
      <c r="BR9" s="306">
        <v>71</v>
      </c>
      <c r="BS9" s="306">
        <v>72</v>
      </c>
      <c r="BT9" s="306">
        <v>73</v>
      </c>
      <c r="BU9" s="306">
        <v>75</v>
      </c>
      <c r="BV9" s="306">
        <v>76</v>
      </c>
      <c r="BW9" s="306">
        <v>77</v>
      </c>
      <c r="BX9" s="306">
        <v>78</v>
      </c>
      <c r="BY9" s="306">
        <v>79</v>
      </c>
      <c r="BZ9" s="306">
        <v>80</v>
      </c>
      <c r="CA9" s="306">
        <v>81</v>
      </c>
      <c r="CB9" s="306">
        <v>82</v>
      </c>
      <c r="CC9" s="306">
        <v>83</v>
      </c>
      <c r="CD9" s="306">
        <v>84</v>
      </c>
      <c r="CE9" s="306">
        <v>85</v>
      </c>
      <c r="CF9" s="306">
        <v>86</v>
      </c>
      <c r="CG9" s="306">
        <v>87</v>
      </c>
      <c r="CH9" s="306">
        <v>88</v>
      </c>
      <c r="CI9" s="306">
        <v>89</v>
      </c>
      <c r="CJ9" s="306">
        <v>90</v>
      </c>
      <c r="CK9" s="336">
        <v>91</v>
      </c>
      <c r="CL9" s="306">
        <v>92</v>
      </c>
      <c r="CM9" s="306">
        <v>93</v>
      </c>
    </row>
    <row r="10" spans="1:94" s="922" customFormat="1" ht="25.5" customHeight="1">
      <c r="A10" s="398"/>
      <c r="B10" s="696" t="s">
        <v>567</v>
      </c>
      <c r="C10" s="696"/>
      <c r="D10" s="696"/>
      <c r="E10" s="696"/>
      <c r="F10" s="696"/>
      <c r="G10" s="696"/>
      <c r="H10" s="696"/>
      <c r="I10" s="696"/>
      <c r="J10" s="399">
        <v>2106</v>
      </c>
      <c r="K10" s="399">
        <v>1404</v>
      </c>
      <c r="L10" s="399">
        <f>L11+L23</f>
        <v>2106</v>
      </c>
      <c r="M10" s="399">
        <f aca="true" t="shared" si="0" ref="M10:BU10">M11+M23</f>
        <v>1404</v>
      </c>
      <c r="N10" s="399">
        <f t="shared" si="0"/>
        <v>1198</v>
      </c>
      <c r="O10" s="399">
        <f t="shared" si="0"/>
        <v>206</v>
      </c>
      <c r="P10" s="399">
        <f t="shared" si="0"/>
        <v>0</v>
      </c>
      <c r="Q10" s="399">
        <f t="shared" si="0"/>
        <v>0</v>
      </c>
      <c r="R10" s="399">
        <f t="shared" si="0"/>
        <v>0</v>
      </c>
      <c r="S10" s="399">
        <f t="shared" si="0"/>
        <v>702</v>
      </c>
      <c r="T10" s="399">
        <f t="shared" si="0"/>
        <v>918</v>
      </c>
      <c r="U10" s="399">
        <f t="shared" si="0"/>
        <v>527</v>
      </c>
      <c r="V10" s="399">
        <f t="shared" si="0"/>
        <v>85</v>
      </c>
      <c r="W10" s="399">
        <f t="shared" si="0"/>
        <v>0</v>
      </c>
      <c r="X10" s="399">
        <f t="shared" si="0"/>
        <v>0</v>
      </c>
      <c r="Y10" s="399">
        <f t="shared" si="0"/>
        <v>0</v>
      </c>
      <c r="Z10" s="399">
        <f t="shared" si="0"/>
        <v>306</v>
      </c>
      <c r="AA10" s="399">
        <f t="shared" si="0"/>
        <v>1089</v>
      </c>
      <c r="AB10" s="399">
        <f t="shared" si="0"/>
        <v>671</v>
      </c>
      <c r="AC10" s="399">
        <f t="shared" si="0"/>
        <v>121</v>
      </c>
      <c r="AD10" s="399">
        <f t="shared" si="0"/>
        <v>0</v>
      </c>
      <c r="AE10" s="399">
        <f t="shared" si="0"/>
        <v>0</v>
      </c>
      <c r="AF10" s="399">
        <f t="shared" si="0"/>
        <v>0</v>
      </c>
      <c r="AG10" s="399">
        <f t="shared" si="0"/>
        <v>396</v>
      </c>
      <c r="AH10" s="399">
        <f t="shared" si="0"/>
        <v>0</v>
      </c>
      <c r="AI10" s="399">
        <f t="shared" si="0"/>
        <v>0</v>
      </c>
      <c r="AJ10" s="399">
        <f t="shared" si="0"/>
        <v>0</v>
      </c>
      <c r="AK10" s="399">
        <f t="shared" si="0"/>
        <v>0</v>
      </c>
      <c r="AL10" s="399">
        <f t="shared" si="0"/>
        <v>0</v>
      </c>
      <c r="AM10" s="399">
        <f t="shared" si="0"/>
        <v>0</v>
      </c>
      <c r="AN10" s="399">
        <f t="shared" si="0"/>
        <v>0</v>
      </c>
      <c r="AO10" s="399">
        <f t="shared" si="0"/>
        <v>0</v>
      </c>
      <c r="AP10" s="399">
        <f t="shared" si="0"/>
        <v>0</v>
      </c>
      <c r="AQ10" s="399">
        <f t="shared" si="0"/>
        <v>0</v>
      </c>
      <c r="AR10" s="399">
        <f t="shared" si="0"/>
        <v>0</v>
      </c>
      <c r="AS10" s="399">
        <f t="shared" si="0"/>
        <v>0</v>
      </c>
      <c r="AT10" s="399">
        <f t="shared" si="0"/>
        <v>0</v>
      </c>
      <c r="AU10" s="399">
        <f t="shared" si="0"/>
        <v>0</v>
      </c>
      <c r="AV10" s="399">
        <f t="shared" si="0"/>
        <v>0</v>
      </c>
      <c r="AW10" s="399">
        <f t="shared" si="0"/>
        <v>0</v>
      </c>
      <c r="AX10" s="399">
        <f t="shared" si="0"/>
        <v>0</v>
      </c>
      <c r="AY10" s="399">
        <f t="shared" si="0"/>
        <v>0</v>
      </c>
      <c r="AZ10" s="399">
        <f t="shared" si="0"/>
        <v>0</v>
      </c>
      <c r="BA10" s="399">
        <f t="shared" si="0"/>
        <v>0</v>
      </c>
      <c r="BB10" s="399">
        <f t="shared" si="0"/>
        <v>0</v>
      </c>
      <c r="BC10" s="399">
        <f t="shared" si="0"/>
        <v>0</v>
      </c>
      <c r="BD10" s="399">
        <f t="shared" si="0"/>
        <v>0</v>
      </c>
      <c r="BE10" s="399">
        <f t="shared" si="0"/>
        <v>0</v>
      </c>
      <c r="BF10" s="399">
        <f t="shared" si="0"/>
        <v>0</v>
      </c>
      <c r="BG10" s="399">
        <f t="shared" si="0"/>
        <v>0</v>
      </c>
      <c r="BH10" s="399">
        <f t="shared" si="0"/>
        <v>0</v>
      </c>
      <c r="BI10" s="399">
        <f t="shared" si="0"/>
        <v>0</v>
      </c>
      <c r="BJ10" s="399">
        <f t="shared" si="0"/>
        <v>0</v>
      </c>
      <c r="BK10" s="399">
        <f t="shared" si="0"/>
        <v>0</v>
      </c>
      <c r="BL10" s="399">
        <f t="shared" si="0"/>
        <v>0</v>
      </c>
      <c r="BM10" s="399">
        <f t="shared" si="0"/>
        <v>0</v>
      </c>
      <c r="BN10" s="399">
        <f t="shared" si="0"/>
        <v>0</v>
      </c>
      <c r="BO10" s="399">
        <f t="shared" si="0"/>
        <v>0</v>
      </c>
      <c r="BP10" s="399">
        <f t="shared" si="0"/>
        <v>0</v>
      </c>
      <c r="BQ10" s="399">
        <f t="shared" si="0"/>
        <v>0</v>
      </c>
      <c r="BR10" s="399">
        <f t="shared" si="0"/>
        <v>0</v>
      </c>
      <c r="BS10" s="399">
        <f t="shared" si="0"/>
        <v>0</v>
      </c>
      <c r="BT10" s="399">
        <f t="shared" si="0"/>
        <v>0</v>
      </c>
      <c r="BU10" s="399">
        <f t="shared" si="0"/>
        <v>0</v>
      </c>
      <c r="BV10" s="224" t="e">
        <f aca="true" t="shared" si="1" ref="BV10:CK10">BV11+BV22</f>
        <v>#REF!</v>
      </c>
      <c r="BW10" s="224" t="e">
        <f t="shared" si="1"/>
        <v>#REF!</v>
      </c>
      <c r="BX10" s="224" t="e">
        <f t="shared" si="1"/>
        <v>#REF!</v>
      </c>
      <c r="BY10" s="224" t="e">
        <f t="shared" si="1"/>
        <v>#REF!</v>
      </c>
      <c r="BZ10" s="224" t="e">
        <f t="shared" si="1"/>
        <v>#REF!</v>
      </c>
      <c r="CA10" s="224" t="e">
        <f t="shared" si="1"/>
        <v>#REF!</v>
      </c>
      <c r="CB10" s="224" t="e">
        <f t="shared" si="1"/>
        <v>#REF!</v>
      </c>
      <c r="CC10" s="224" t="e">
        <f t="shared" si="1"/>
        <v>#REF!</v>
      </c>
      <c r="CD10" s="224" t="e">
        <f t="shared" si="1"/>
        <v>#REF!</v>
      </c>
      <c r="CE10" s="224" t="e">
        <f t="shared" si="1"/>
        <v>#REF!</v>
      </c>
      <c r="CF10" s="224" t="e">
        <f t="shared" si="1"/>
        <v>#REF!</v>
      </c>
      <c r="CG10" s="224" t="e">
        <f t="shared" si="1"/>
        <v>#REF!</v>
      </c>
      <c r="CH10" s="224" t="e">
        <f t="shared" si="1"/>
        <v>#REF!</v>
      </c>
      <c r="CI10" s="224" t="e">
        <f t="shared" si="1"/>
        <v>#REF!</v>
      </c>
      <c r="CJ10" s="224" t="e">
        <f t="shared" si="1"/>
        <v>#REF!</v>
      </c>
      <c r="CK10" s="229" t="e">
        <f t="shared" si="1"/>
        <v>#REF!</v>
      </c>
      <c r="CL10" s="224"/>
      <c r="CM10" s="224"/>
      <c r="CN10" s="227" t="e">
        <f>CN11+CN22</f>
        <v>#REF!</v>
      </c>
      <c r="CO10" s="224" t="e">
        <f>CO11+CO22</f>
        <v>#REF!</v>
      </c>
      <c r="CP10" s="229" t="e">
        <f>CP11+CP22</f>
        <v>#REF!</v>
      </c>
    </row>
    <row r="11" spans="1:94" s="922" customFormat="1" ht="25.5" customHeight="1">
      <c r="A11" s="395"/>
      <c r="B11" s="715" t="s">
        <v>502</v>
      </c>
      <c r="C11" s="716"/>
      <c r="D11" s="716"/>
      <c r="E11" s="716"/>
      <c r="F11" s="716"/>
      <c r="G11" s="716"/>
      <c r="H11" s="716"/>
      <c r="I11" s="717"/>
      <c r="J11" s="396" t="s">
        <v>22</v>
      </c>
      <c r="K11" s="396">
        <f>SUM(K12:K19)</f>
        <v>730</v>
      </c>
      <c r="L11" s="396">
        <f aca="true" t="shared" si="2" ref="L11:T11">SUM(L12:L22)</f>
        <v>1380</v>
      </c>
      <c r="M11" s="396">
        <f t="shared" si="2"/>
        <v>920</v>
      </c>
      <c r="N11" s="396">
        <f t="shared" si="2"/>
        <v>781</v>
      </c>
      <c r="O11" s="396">
        <f t="shared" si="2"/>
        <v>139</v>
      </c>
      <c r="P11" s="396">
        <f t="shared" si="2"/>
        <v>0</v>
      </c>
      <c r="Q11" s="396">
        <f t="shared" si="2"/>
        <v>0</v>
      </c>
      <c r="R11" s="396">
        <f>SUM(R12:R22)</f>
        <v>0</v>
      </c>
      <c r="S11" s="396">
        <f t="shared" si="2"/>
        <v>460</v>
      </c>
      <c r="T11" s="396">
        <f t="shared" si="2"/>
        <v>612</v>
      </c>
      <c r="U11" s="396">
        <f>SUM(U12:U22)</f>
        <v>357</v>
      </c>
      <c r="V11" s="396">
        <f aca="true" t="shared" si="3" ref="V11:AA11">SUM(V12:V22)</f>
        <v>51</v>
      </c>
      <c r="W11" s="396">
        <f t="shared" si="3"/>
        <v>0</v>
      </c>
      <c r="X11" s="396">
        <f t="shared" si="3"/>
        <v>0</v>
      </c>
      <c r="Y11" s="396">
        <f t="shared" si="3"/>
        <v>0</v>
      </c>
      <c r="Z11" s="396">
        <f t="shared" si="3"/>
        <v>204</v>
      </c>
      <c r="AA11" s="396">
        <f t="shared" si="3"/>
        <v>669</v>
      </c>
      <c r="AB11" s="396">
        <f aca="true" t="shared" si="4" ref="AB11:AG11">SUM(AB12:AB22)</f>
        <v>424</v>
      </c>
      <c r="AC11" s="396">
        <f t="shared" si="4"/>
        <v>88</v>
      </c>
      <c r="AD11" s="396">
        <f t="shared" si="4"/>
        <v>0</v>
      </c>
      <c r="AE11" s="396">
        <f t="shared" si="4"/>
        <v>0</v>
      </c>
      <c r="AF11" s="396">
        <f t="shared" si="4"/>
        <v>0</v>
      </c>
      <c r="AG11" s="396">
        <f t="shared" si="4"/>
        <v>256</v>
      </c>
      <c r="AH11" s="396">
        <f>SUM(AH12:AH19)</f>
        <v>0</v>
      </c>
      <c r="AI11" s="396">
        <f>SUM(AI12:AI19)</f>
        <v>0</v>
      </c>
      <c r="AJ11" s="396">
        <f>SUM(AJ12:AJ19)</f>
        <v>0</v>
      </c>
      <c r="AK11" s="396">
        <f>SUM(AK12:AK19)</f>
        <v>0</v>
      </c>
      <c r="AL11" s="396"/>
      <c r="AM11" s="396">
        <f aca="true" t="shared" si="5" ref="AM11:AR11">SUM(AM12:AM19)</f>
        <v>0</v>
      </c>
      <c r="AN11" s="396">
        <f t="shared" si="5"/>
        <v>0</v>
      </c>
      <c r="AO11" s="396">
        <f t="shared" si="5"/>
        <v>0</v>
      </c>
      <c r="AP11" s="396">
        <f t="shared" si="5"/>
        <v>0</v>
      </c>
      <c r="AQ11" s="396">
        <f t="shared" si="5"/>
        <v>0</v>
      </c>
      <c r="AR11" s="396">
        <f t="shared" si="5"/>
        <v>0</v>
      </c>
      <c r="AS11" s="396"/>
      <c r="AT11" s="396">
        <f aca="true" t="shared" si="6" ref="AT11:AY11">SUM(AT12:AT19)</f>
        <v>0</v>
      </c>
      <c r="AU11" s="396">
        <f t="shared" si="6"/>
        <v>0</v>
      </c>
      <c r="AV11" s="396">
        <f t="shared" si="6"/>
        <v>0</v>
      </c>
      <c r="AW11" s="396">
        <f t="shared" si="6"/>
        <v>0</v>
      </c>
      <c r="AX11" s="396">
        <f t="shared" si="6"/>
        <v>0</v>
      </c>
      <c r="AY11" s="396">
        <f t="shared" si="6"/>
        <v>0</v>
      </c>
      <c r="AZ11" s="396"/>
      <c r="BA11" s="396">
        <f aca="true" t="shared" si="7" ref="BA11:BF11">SUM(BA12:BA19)</f>
        <v>0</v>
      </c>
      <c r="BB11" s="396">
        <f t="shared" si="7"/>
        <v>0</v>
      </c>
      <c r="BC11" s="396">
        <f t="shared" si="7"/>
        <v>0</v>
      </c>
      <c r="BD11" s="396">
        <f t="shared" si="7"/>
        <v>0</v>
      </c>
      <c r="BE11" s="396">
        <f t="shared" si="7"/>
        <v>0</v>
      </c>
      <c r="BF11" s="396">
        <f t="shared" si="7"/>
        <v>0</v>
      </c>
      <c r="BG11" s="396"/>
      <c r="BH11" s="396">
        <f aca="true" t="shared" si="8" ref="BH11:BM11">SUM(BH12:BH19)</f>
        <v>0</v>
      </c>
      <c r="BI11" s="396">
        <f t="shared" si="8"/>
        <v>0</v>
      </c>
      <c r="BJ11" s="396">
        <f t="shared" si="8"/>
        <v>0</v>
      </c>
      <c r="BK11" s="396">
        <f t="shared" si="8"/>
        <v>0</v>
      </c>
      <c r="BL11" s="396">
        <f t="shared" si="8"/>
        <v>0</v>
      </c>
      <c r="BM11" s="396">
        <f t="shared" si="8"/>
        <v>0</v>
      </c>
      <c r="BN11" s="396">
        <f aca="true" t="shared" si="9" ref="BN11:BS11">SUM(BN12:BN19)</f>
        <v>0</v>
      </c>
      <c r="BO11" s="396">
        <f t="shared" si="9"/>
        <v>0</v>
      </c>
      <c r="BP11" s="396">
        <f t="shared" si="9"/>
        <v>0</v>
      </c>
      <c r="BQ11" s="396">
        <f t="shared" si="9"/>
        <v>0</v>
      </c>
      <c r="BR11" s="396">
        <f t="shared" si="9"/>
        <v>0</v>
      </c>
      <c r="BS11" s="396">
        <f t="shared" si="9"/>
        <v>0</v>
      </c>
      <c r="BT11" s="396">
        <f>SUM(BT12:BT19)</f>
        <v>0</v>
      </c>
      <c r="BU11" s="396">
        <f>SUM(BU12:BU19)</f>
        <v>0</v>
      </c>
      <c r="BV11" s="96">
        <f aca="true" t="shared" si="10" ref="BV11:CP11">SUM(BV12:BV21)</f>
        <v>0</v>
      </c>
      <c r="BW11" s="96">
        <f t="shared" si="10"/>
        <v>0</v>
      </c>
      <c r="BX11" s="96">
        <f t="shared" si="10"/>
        <v>0</v>
      </c>
      <c r="BY11" s="96">
        <f t="shared" si="10"/>
        <v>0</v>
      </c>
      <c r="BZ11" s="96">
        <f t="shared" si="10"/>
        <v>0</v>
      </c>
      <c r="CA11" s="96">
        <f t="shared" si="10"/>
        <v>0</v>
      </c>
      <c r="CB11" s="96">
        <f t="shared" si="10"/>
        <v>0</v>
      </c>
      <c r="CC11" s="96">
        <f t="shared" si="10"/>
        <v>0</v>
      </c>
      <c r="CD11" s="96">
        <f t="shared" si="10"/>
        <v>0</v>
      </c>
      <c r="CE11" s="96">
        <f t="shared" si="10"/>
        <v>0</v>
      </c>
      <c r="CF11" s="96">
        <f t="shared" si="10"/>
        <v>0</v>
      </c>
      <c r="CG11" s="96">
        <f t="shared" si="10"/>
        <v>0</v>
      </c>
      <c r="CH11" s="96">
        <f t="shared" si="10"/>
        <v>0</v>
      </c>
      <c r="CI11" s="96">
        <f t="shared" si="10"/>
        <v>20</v>
      </c>
      <c r="CJ11" s="96">
        <f t="shared" si="10"/>
        <v>0</v>
      </c>
      <c r="CK11" s="112">
        <f t="shared" si="10"/>
        <v>0</v>
      </c>
      <c r="CL11" s="96">
        <f t="shared" si="10"/>
        <v>20</v>
      </c>
      <c r="CM11" s="96">
        <f t="shared" si="10"/>
        <v>0</v>
      </c>
      <c r="CN11" s="97">
        <f t="shared" si="10"/>
        <v>0</v>
      </c>
      <c r="CO11" s="96">
        <f t="shared" si="10"/>
        <v>0</v>
      </c>
      <c r="CP11" s="112">
        <f t="shared" si="10"/>
        <v>0</v>
      </c>
    </row>
    <row r="12" spans="1:94" s="922" customFormat="1" ht="25.5" customHeight="1">
      <c r="A12" s="106" t="s">
        <v>599</v>
      </c>
      <c r="B12" s="923" t="s">
        <v>565</v>
      </c>
      <c r="C12" s="523"/>
      <c r="D12" s="524" t="s">
        <v>30</v>
      </c>
      <c r="E12" s="524"/>
      <c r="F12" s="524"/>
      <c r="G12" s="524"/>
      <c r="H12" s="389"/>
      <c r="I12" s="524" t="s">
        <v>27</v>
      </c>
      <c r="J12" s="390"/>
      <c r="K12" s="342">
        <v>78</v>
      </c>
      <c r="L12" s="391">
        <f aca="true" t="shared" si="11" ref="L12:L18">M12+SUM(S12)</f>
        <v>117</v>
      </c>
      <c r="M12" s="391">
        <f aca="true" t="shared" si="12" ref="M12:M18">SUM(N12:P12)</f>
        <v>78</v>
      </c>
      <c r="N12" s="391">
        <f aca="true" t="shared" si="13" ref="N12:S22">U12+AB12</f>
        <v>78</v>
      </c>
      <c r="O12" s="391">
        <f t="shared" si="13"/>
        <v>0</v>
      </c>
      <c r="P12" s="391">
        <f t="shared" si="13"/>
        <v>0</v>
      </c>
      <c r="Q12" s="391">
        <f t="shared" si="13"/>
        <v>0</v>
      </c>
      <c r="R12" s="391">
        <f t="shared" si="13"/>
        <v>0</v>
      </c>
      <c r="S12" s="391">
        <f t="shared" si="13"/>
        <v>39</v>
      </c>
      <c r="T12" s="392">
        <f aca="true" t="shared" si="14" ref="T12:T18">SUM(U12:Y12)+Z12</f>
        <v>51</v>
      </c>
      <c r="U12" s="109">
        <v>34</v>
      </c>
      <c r="V12" s="109"/>
      <c r="W12" s="393"/>
      <c r="X12" s="393"/>
      <c r="Y12" s="393"/>
      <c r="Z12" s="109">
        <v>17</v>
      </c>
      <c r="AA12" s="392">
        <f aca="true" t="shared" si="15" ref="AA12:AA18">SUM(AB12:AF12)+AG12</f>
        <v>66</v>
      </c>
      <c r="AB12" s="109">
        <v>44</v>
      </c>
      <c r="AC12" s="109"/>
      <c r="AD12" s="393"/>
      <c r="AE12" s="393"/>
      <c r="AF12" s="393"/>
      <c r="AG12" s="109">
        <v>22</v>
      </c>
      <c r="AH12" s="392">
        <f>SUM(AI12:AN12)</f>
        <v>0</v>
      </c>
      <c r="AI12" s="393"/>
      <c r="AJ12" s="393"/>
      <c r="AK12" s="393"/>
      <c r="AL12" s="393"/>
      <c r="AM12" s="393"/>
      <c r="AN12" s="393"/>
      <c r="AO12" s="392">
        <f>SUM(AP12:AV12)</f>
        <v>0</v>
      </c>
      <c r="AP12" s="393"/>
      <c r="AQ12" s="393"/>
      <c r="AR12" s="393"/>
      <c r="AS12" s="393"/>
      <c r="AT12" s="393"/>
      <c r="AU12" s="393"/>
      <c r="AV12" s="392">
        <f>SUM(AW12:BB12)</f>
        <v>0</v>
      </c>
      <c r="AW12" s="393"/>
      <c r="AX12" s="393"/>
      <c r="AY12" s="393"/>
      <c r="AZ12" s="393"/>
      <c r="BA12" s="393"/>
      <c r="BB12" s="393"/>
      <c r="BC12" s="392">
        <f>SUM(BD12:BI12)</f>
        <v>0</v>
      </c>
      <c r="BD12" s="393"/>
      <c r="BE12" s="393"/>
      <c r="BF12" s="393"/>
      <c r="BG12" s="393"/>
      <c r="BH12" s="393"/>
      <c r="BI12" s="393"/>
      <c r="BJ12" s="392">
        <f>SUM(BK12:BO12)</f>
        <v>0</v>
      </c>
      <c r="BK12" s="393"/>
      <c r="BL12" s="393"/>
      <c r="BM12" s="393"/>
      <c r="BN12" s="393"/>
      <c r="BO12" s="393"/>
      <c r="BP12" s="392">
        <f>SUM(BQ12:BU12)</f>
        <v>0</v>
      </c>
      <c r="BQ12" s="393"/>
      <c r="BR12" s="393"/>
      <c r="BS12" s="393"/>
      <c r="BT12" s="393"/>
      <c r="BU12" s="393"/>
      <c r="BV12" s="109"/>
      <c r="BW12" s="109"/>
      <c r="BX12" s="109"/>
      <c r="BY12" s="109"/>
      <c r="BZ12" s="109"/>
      <c r="CA12" s="174">
        <f aca="true" t="shared" si="16" ref="CA12:CA21">SUM(CB12:CH12)</f>
        <v>0</v>
      </c>
      <c r="CB12" s="109"/>
      <c r="CC12" s="109"/>
      <c r="CD12" s="109"/>
      <c r="CE12" s="109"/>
      <c r="CF12" s="109"/>
      <c r="CG12" s="109"/>
      <c r="CH12" s="109"/>
      <c r="CI12" s="174">
        <f>SUM(CJ12:CP12)</f>
        <v>0</v>
      </c>
      <c r="CJ12" s="109"/>
      <c r="CK12" s="110"/>
      <c r="CL12" s="389" t="s">
        <v>451</v>
      </c>
      <c r="CM12" s="109"/>
      <c r="CN12" s="149"/>
      <c r="CO12" s="109"/>
      <c r="CP12" s="110"/>
    </row>
    <row r="13" spans="1:94" s="922" customFormat="1" ht="25.5" customHeight="1">
      <c r="A13" s="106" t="s">
        <v>600</v>
      </c>
      <c r="B13" s="113" t="s">
        <v>566</v>
      </c>
      <c r="C13" s="525"/>
      <c r="D13" s="526"/>
      <c r="E13" s="106" t="s">
        <v>30</v>
      </c>
      <c r="F13" s="106"/>
      <c r="G13" s="106"/>
      <c r="H13" s="389"/>
      <c r="I13" s="106" t="s">
        <v>27</v>
      </c>
      <c r="J13" s="390"/>
      <c r="K13" s="342">
        <v>117</v>
      </c>
      <c r="L13" s="391">
        <f t="shared" si="11"/>
        <v>183</v>
      </c>
      <c r="M13" s="391">
        <f t="shared" si="12"/>
        <v>122</v>
      </c>
      <c r="N13" s="391">
        <f t="shared" si="13"/>
        <v>122</v>
      </c>
      <c r="O13" s="391">
        <f t="shared" si="13"/>
        <v>0</v>
      </c>
      <c r="P13" s="391">
        <f t="shared" si="13"/>
        <v>0</v>
      </c>
      <c r="Q13" s="391">
        <f t="shared" si="13"/>
        <v>0</v>
      </c>
      <c r="R13" s="391">
        <f t="shared" si="13"/>
        <v>0</v>
      </c>
      <c r="S13" s="391">
        <f t="shared" si="13"/>
        <v>61</v>
      </c>
      <c r="T13" s="392">
        <f t="shared" si="14"/>
        <v>51</v>
      </c>
      <c r="U13" s="109">
        <v>34</v>
      </c>
      <c r="V13" s="109"/>
      <c r="W13" s="393"/>
      <c r="X13" s="393"/>
      <c r="Y13" s="393"/>
      <c r="Z13" s="109">
        <v>17</v>
      </c>
      <c r="AA13" s="392">
        <f t="shared" si="15"/>
        <v>132</v>
      </c>
      <c r="AB13" s="109">
        <v>88</v>
      </c>
      <c r="AC13" s="109"/>
      <c r="AD13" s="393"/>
      <c r="AE13" s="393"/>
      <c r="AF13" s="393"/>
      <c r="AG13" s="109">
        <v>44</v>
      </c>
      <c r="AH13" s="392"/>
      <c r="AI13" s="393"/>
      <c r="AJ13" s="393"/>
      <c r="AK13" s="393"/>
      <c r="AL13" s="393"/>
      <c r="AM13" s="393"/>
      <c r="AN13" s="393"/>
      <c r="AO13" s="392"/>
      <c r="AP13" s="393"/>
      <c r="AQ13" s="393"/>
      <c r="AR13" s="393"/>
      <c r="AS13" s="393"/>
      <c r="AT13" s="393"/>
      <c r="AU13" s="393"/>
      <c r="AV13" s="392"/>
      <c r="AW13" s="393"/>
      <c r="AX13" s="393"/>
      <c r="AY13" s="393"/>
      <c r="AZ13" s="393"/>
      <c r="BA13" s="393"/>
      <c r="BB13" s="393"/>
      <c r="BC13" s="392"/>
      <c r="BD13" s="393"/>
      <c r="BE13" s="393"/>
      <c r="BF13" s="393"/>
      <c r="BG13" s="393"/>
      <c r="BH13" s="393"/>
      <c r="BI13" s="393"/>
      <c r="BJ13" s="392"/>
      <c r="BK13" s="393"/>
      <c r="BL13" s="393"/>
      <c r="BM13" s="393"/>
      <c r="BN13" s="393"/>
      <c r="BO13" s="393"/>
      <c r="BP13" s="392"/>
      <c r="BQ13" s="393"/>
      <c r="BR13" s="393"/>
      <c r="BS13" s="393"/>
      <c r="BT13" s="393"/>
      <c r="BU13" s="393"/>
      <c r="BV13" s="109"/>
      <c r="BW13" s="109"/>
      <c r="BX13" s="109"/>
      <c r="BY13" s="109"/>
      <c r="BZ13" s="109"/>
      <c r="CA13" s="174"/>
      <c r="CB13" s="109"/>
      <c r="CC13" s="109"/>
      <c r="CD13" s="109"/>
      <c r="CE13" s="109"/>
      <c r="CF13" s="109"/>
      <c r="CG13" s="109"/>
      <c r="CH13" s="109"/>
      <c r="CI13" s="174"/>
      <c r="CJ13" s="109"/>
      <c r="CK13" s="110"/>
      <c r="CL13" s="400" t="s">
        <v>451</v>
      </c>
      <c r="CM13" s="109"/>
      <c r="CN13" s="149"/>
      <c r="CO13" s="109"/>
      <c r="CP13" s="110"/>
    </row>
    <row r="14" spans="1:94" s="922" customFormat="1" ht="25.5" customHeight="1">
      <c r="A14" s="106" t="s">
        <v>601</v>
      </c>
      <c r="B14" s="113" t="s">
        <v>121</v>
      </c>
      <c r="C14" s="525"/>
      <c r="D14" s="106"/>
      <c r="E14" s="106" t="s">
        <v>30</v>
      </c>
      <c r="F14" s="106"/>
      <c r="G14" s="106"/>
      <c r="H14" s="389"/>
      <c r="I14" s="106" t="s">
        <v>27</v>
      </c>
      <c r="J14" s="390"/>
      <c r="K14" s="109">
        <v>117</v>
      </c>
      <c r="L14" s="391">
        <f t="shared" si="11"/>
        <v>175</v>
      </c>
      <c r="M14" s="391">
        <f>SUM(N14:P14)</f>
        <v>117</v>
      </c>
      <c r="N14" s="391">
        <f t="shared" si="13"/>
        <v>0</v>
      </c>
      <c r="O14" s="391">
        <f t="shared" si="13"/>
        <v>117</v>
      </c>
      <c r="P14" s="391">
        <f>W14+AD14</f>
        <v>0</v>
      </c>
      <c r="Q14" s="391">
        <f t="shared" si="13"/>
        <v>0</v>
      </c>
      <c r="R14" s="391">
        <f t="shared" si="13"/>
        <v>0</v>
      </c>
      <c r="S14" s="391">
        <f t="shared" si="13"/>
        <v>58</v>
      </c>
      <c r="T14" s="392">
        <f t="shared" si="14"/>
        <v>76</v>
      </c>
      <c r="U14" s="109"/>
      <c r="V14" s="109">
        <v>51</v>
      </c>
      <c r="W14" s="393"/>
      <c r="X14" s="393"/>
      <c r="Y14" s="393"/>
      <c r="Z14" s="109">
        <v>25</v>
      </c>
      <c r="AA14" s="392">
        <f t="shared" si="15"/>
        <v>99</v>
      </c>
      <c r="AB14" s="109"/>
      <c r="AC14" s="109">
        <v>66</v>
      </c>
      <c r="AD14" s="393"/>
      <c r="AE14" s="393"/>
      <c r="AF14" s="393"/>
      <c r="AG14" s="109">
        <v>33</v>
      </c>
      <c r="AH14" s="392">
        <f>SUM(AI14:AN14)</f>
        <v>0</v>
      </c>
      <c r="AI14" s="393"/>
      <c r="AJ14" s="393"/>
      <c r="AK14" s="393"/>
      <c r="AL14" s="393"/>
      <c r="AM14" s="393"/>
      <c r="AN14" s="393"/>
      <c r="AO14" s="392">
        <f>SUM(AP14:AV14)</f>
        <v>0</v>
      </c>
      <c r="AP14" s="393"/>
      <c r="AQ14" s="393"/>
      <c r="AR14" s="393"/>
      <c r="AS14" s="393"/>
      <c r="AT14" s="393"/>
      <c r="AU14" s="393"/>
      <c r="AV14" s="392">
        <f>SUM(AW14:BB14)</f>
        <v>0</v>
      </c>
      <c r="AW14" s="393"/>
      <c r="AX14" s="393"/>
      <c r="AY14" s="393"/>
      <c r="AZ14" s="393"/>
      <c r="BA14" s="393"/>
      <c r="BB14" s="393"/>
      <c r="BC14" s="392">
        <f>SUM(BD14:BI14)</f>
        <v>0</v>
      </c>
      <c r="BD14" s="393"/>
      <c r="BE14" s="393"/>
      <c r="BF14" s="393"/>
      <c r="BG14" s="393"/>
      <c r="BH14" s="393"/>
      <c r="BI14" s="393"/>
      <c r="BJ14" s="392">
        <f>SUM(BK14:BO14)</f>
        <v>0</v>
      </c>
      <c r="BK14" s="393"/>
      <c r="BL14" s="393"/>
      <c r="BM14" s="393"/>
      <c r="BN14" s="393"/>
      <c r="BO14" s="393"/>
      <c r="BP14" s="392">
        <f>SUM(BQ14:BU14)</f>
        <v>0</v>
      </c>
      <c r="BQ14" s="393"/>
      <c r="BR14" s="393"/>
      <c r="BS14" s="393"/>
      <c r="BT14" s="393"/>
      <c r="BU14" s="393"/>
      <c r="BV14" s="109"/>
      <c r="BW14" s="109"/>
      <c r="BX14" s="109"/>
      <c r="BY14" s="109"/>
      <c r="BZ14" s="109"/>
      <c r="CA14" s="174">
        <f t="shared" si="16"/>
        <v>0</v>
      </c>
      <c r="CB14" s="109"/>
      <c r="CC14" s="109"/>
      <c r="CD14" s="109"/>
      <c r="CE14" s="109"/>
      <c r="CF14" s="109"/>
      <c r="CG14" s="109"/>
      <c r="CH14" s="109"/>
      <c r="CI14" s="174">
        <f>SUM(CJ14:CP14)</f>
        <v>0</v>
      </c>
      <c r="CJ14" s="109"/>
      <c r="CK14" s="110"/>
      <c r="CL14" s="400" t="s">
        <v>451</v>
      </c>
      <c r="CM14" s="109"/>
      <c r="CN14" s="149"/>
      <c r="CO14" s="109"/>
      <c r="CP14" s="110"/>
    </row>
    <row r="15" spans="1:94" s="922" customFormat="1" ht="25.5" customHeight="1">
      <c r="A15" s="106" t="s">
        <v>602</v>
      </c>
      <c r="B15" s="113" t="s">
        <v>120</v>
      </c>
      <c r="C15" s="525"/>
      <c r="D15" s="106"/>
      <c r="E15" s="106" t="s">
        <v>30</v>
      </c>
      <c r="F15" s="106"/>
      <c r="G15" s="106"/>
      <c r="H15" s="389"/>
      <c r="I15" s="106" t="s">
        <v>27</v>
      </c>
      <c r="J15" s="390"/>
      <c r="K15" s="109">
        <v>117</v>
      </c>
      <c r="L15" s="391">
        <f t="shared" si="11"/>
        <v>175</v>
      </c>
      <c r="M15" s="391">
        <f t="shared" si="12"/>
        <v>117</v>
      </c>
      <c r="N15" s="391">
        <f t="shared" si="13"/>
        <v>117</v>
      </c>
      <c r="O15" s="391">
        <f t="shared" si="13"/>
        <v>0</v>
      </c>
      <c r="P15" s="391">
        <f t="shared" si="13"/>
        <v>0</v>
      </c>
      <c r="Q15" s="391">
        <f t="shared" si="13"/>
        <v>0</v>
      </c>
      <c r="R15" s="391">
        <f t="shared" si="13"/>
        <v>0</v>
      </c>
      <c r="S15" s="391">
        <f t="shared" si="13"/>
        <v>58</v>
      </c>
      <c r="T15" s="392">
        <f t="shared" si="14"/>
        <v>76</v>
      </c>
      <c r="U15" s="109">
        <v>51</v>
      </c>
      <c r="V15" s="109"/>
      <c r="W15" s="393"/>
      <c r="X15" s="393"/>
      <c r="Y15" s="393"/>
      <c r="Z15" s="109">
        <v>25</v>
      </c>
      <c r="AA15" s="392">
        <f t="shared" si="15"/>
        <v>99</v>
      </c>
      <c r="AB15" s="109">
        <v>66</v>
      </c>
      <c r="AC15" s="109"/>
      <c r="AD15" s="393"/>
      <c r="AE15" s="393"/>
      <c r="AF15" s="393"/>
      <c r="AG15" s="109">
        <v>33</v>
      </c>
      <c r="AH15" s="392">
        <f>SUM(AI15:AN15)</f>
        <v>0</v>
      </c>
      <c r="AI15" s="393"/>
      <c r="AJ15" s="393"/>
      <c r="AK15" s="393"/>
      <c r="AL15" s="393"/>
      <c r="AM15" s="393"/>
      <c r="AN15" s="393"/>
      <c r="AO15" s="392">
        <f>SUM(AP15:AV15)</f>
        <v>0</v>
      </c>
      <c r="AP15" s="393"/>
      <c r="AQ15" s="393"/>
      <c r="AR15" s="393"/>
      <c r="AS15" s="393"/>
      <c r="AT15" s="393"/>
      <c r="AU15" s="393"/>
      <c r="AV15" s="392">
        <f>SUM(AW15:BB15)</f>
        <v>0</v>
      </c>
      <c r="AW15" s="393"/>
      <c r="AX15" s="393"/>
      <c r="AY15" s="393"/>
      <c r="AZ15" s="393"/>
      <c r="BA15" s="393"/>
      <c r="BB15" s="393"/>
      <c r="BC15" s="392">
        <f>SUM(BD15:BI15)</f>
        <v>0</v>
      </c>
      <c r="BD15" s="393"/>
      <c r="BE15" s="393"/>
      <c r="BF15" s="393"/>
      <c r="BG15" s="393"/>
      <c r="BH15" s="393"/>
      <c r="BI15" s="393"/>
      <c r="BJ15" s="392">
        <f>SUM(BK15:BO15)</f>
        <v>0</v>
      </c>
      <c r="BK15" s="393"/>
      <c r="BL15" s="393"/>
      <c r="BM15" s="393"/>
      <c r="BN15" s="393"/>
      <c r="BO15" s="393"/>
      <c r="BP15" s="392">
        <f>SUM(BQ15:BU15)</f>
        <v>0</v>
      </c>
      <c r="BQ15" s="393"/>
      <c r="BR15" s="393"/>
      <c r="BS15" s="393"/>
      <c r="BT15" s="393"/>
      <c r="BU15" s="393"/>
      <c r="BV15" s="109"/>
      <c r="BW15" s="109"/>
      <c r="BX15" s="109"/>
      <c r="BY15" s="109"/>
      <c r="BZ15" s="109"/>
      <c r="CA15" s="174">
        <f t="shared" si="16"/>
        <v>0</v>
      </c>
      <c r="CB15" s="109"/>
      <c r="CC15" s="109"/>
      <c r="CD15" s="109"/>
      <c r="CE15" s="109"/>
      <c r="CF15" s="109"/>
      <c r="CG15" s="109"/>
      <c r="CH15" s="109"/>
      <c r="CI15" s="174">
        <f>SUM(CJ15:CP15)</f>
        <v>0</v>
      </c>
      <c r="CJ15" s="109"/>
      <c r="CK15" s="110"/>
      <c r="CL15" s="400" t="s">
        <v>451</v>
      </c>
      <c r="CM15" s="109"/>
      <c r="CN15" s="149"/>
      <c r="CO15" s="109"/>
      <c r="CP15" s="110"/>
    </row>
    <row r="16" spans="1:94" s="922" customFormat="1" ht="25.5" customHeight="1">
      <c r="A16" s="106" t="s">
        <v>603</v>
      </c>
      <c r="B16" s="113" t="s">
        <v>7</v>
      </c>
      <c r="C16" s="525"/>
      <c r="D16" s="106"/>
      <c r="E16" s="106" t="s">
        <v>239</v>
      </c>
      <c r="F16" s="106"/>
      <c r="G16" s="106"/>
      <c r="H16" s="389"/>
      <c r="I16" s="106"/>
      <c r="J16" s="390"/>
      <c r="K16" s="109">
        <v>117</v>
      </c>
      <c r="L16" s="391">
        <f t="shared" si="11"/>
        <v>176</v>
      </c>
      <c r="M16" s="391">
        <f t="shared" si="12"/>
        <v>117</v>
      </c>
      <c r="N16" s="391">
        <f t="shared" si="13"/>
        <v>117</v>
      </c>
      <c r="O16" s="391">
        <f t="shared" si="13"/>
        <v>0</v>
      </c>
      <c r="P16" s="391">
        <f t="shared" si="13"/>
        <v>0</v>
      </c>
      <c r="Q16" s="391">
        <f t="shared" si="13"/>
        <v>0</v>
      </c>
      <c r="R16" s="391">
        <f t="shared" si="13"/>
        <v>0</v>
      </c>
      <c r="S16" s="391">
        <f t="shared" si="13"/>
        <v>59</v>
      </c>
      <c r="T16" s="392">
        <f t="shared" si="14"/>
        <v>77</v>
      </c>
      <c r="U16" s="109">
        <v>51</v>
      </c>
      <c r="V16" s="109"/>
      <c r="W16" s="393"/>
      <c r="X16" s="393"/>
      <c r="Y16" s="393"/>
      <c r="Z16" s="109">
        <v>26</v>
      </c>
      <c r="AA16" s="392">
        <f t="shared" si="15"/>
        <v>99</v>
      </c>
      <c r="AB16" s="109">
        <v>66</v>
      </c>
      <c r="AC16" s="109"/>
      <c r="AD16" s="393"/>
      <c r="AE16" s="393"/>
      <c r="AF16" s="393"/>
      <c r="AG16" s="109">
        <v>33</v>
      </c>
      <c r="AH16" s="392">
        <f>SUM(AI16:AN16)</f>
        <v>0</v>
      </c>
      <c r="AI16" s="393"/>
      <c r="AJ16" s="393"/>
      <c r="AK16" s="393"/>
      <c r="AL16" s="393"/>
      <c r="AM16" s="393"/>
      <c r="AN16" s="393"/>
      <c r="AO16" s="392">
        <f>SUM(AP16:AV16)</f>
        <v>0</v>
      </c>
      <c r="AP16" s="393"/>
      <c r="AQ16" s="393"/>
      <c r="AR16" s="393"/>
      <c r="AS16" s="393"/>
      <c r="AT16" s="393"/>
      <c r="AU16" s="393"/>
      <c r="AV16" s="392">
        <f>SUM(AW16:BB16)</f>
        <v>0</v>
      </c>
      <c r="AW16" s="393"/>
      <c r="AX16" s="393"/>
      <c r="AY16" s="393"/>
      <c r="AZ16" s="393"/>
      <c r="BA16" s="393"/>
      <c r="BB16" s="393"/>
      <c r="BC16" s="392">
        <f>SUM(BD16:BI16)</f>
        <v>0</v>
      </c>
      <c r="BD16" s="393"/>
      <c r="BE16" s="393"/>
      <c r="BF16" s="393"/>
      <c r="BG16" s="393"/>
      <c r="BH16" s="393"/>
      <c r="BI16" s="393"/>
      <c r="BJ16" s="392">
        <f>SUM(BK16:BO16)</f>
        <v>0</v>
      </c>
      <c r="BK16" s="393"/>
      <c r="BL16" s="393"/>
      <c r="BM16" s="393"/>
      <c r="BN16" s="393"/>
      <c r="BO16" s="393"/>
      <c r="BP16" s="392">
        <f>SUM(BQ16:BU16)</f>
        <v>0</v>
      </c>
      <c r="BQ16" s="393"/>
      <c r="BR16" s="393"/>
      <c r="BS16" s="393"/>
      <c r="BT16" s="393"/>
      <c r="BU16" s="393"/>
      <c r="BV16" s="109"/>
      <c r="BW16" s="109"/>
      <c r="BX16" s="109"/>
      <c r="BY16" s="109"/>
      <c r="BZ16" s="109"/>
      <c r="CA16" s="174">
        <f t="shared" si="16"/>
        <v>0</v>
      </c>
      <c r="CB16" s="109"/>
      <c r="CC16" s="109"/>
      <c r="CD16" s="109"/>
      <c r="CE16" s="109"/>
      <c r="CF16" s="109"/>
      <c r="CG16" s="109"/>
      <c r="CH16" s="109"/>
      <c r="CI16" s="174">
        <f>SUM(CJ16:CP16)</f>
        <v>20</v>
      </c>
      <c r="CJ16" s="109"/>
      <c r="CK16" s="110"/>
      <c r="CL16" s="400">
        <v>20</v>
      </c>
      <c r="CM16" s="109"/>
      <c r="CN16" s="149"/>
      <c r="CO16" s="109"/>
      <c r="CP16" s="110"/>
    </row>
    <row r="17" spans="1:94" s="922" customFormat="1" ht="38.25" customHeight="1">
      <c r="A17" s="106" t="s">
        <v>604</v>
      </c>
      <c r="B17" s="113" t="s">
        <v>450</v>
      </c>
      <c r="C17" s="525"/>
      <c r="D17" s="106"/>
      <c r="E17" s="106" t="s">
        <v>30</v>
      </c>
      <c r="F17" s="106"/>
      <c r="G17" s="106"/>
      <c r="H17" s="389"/>
      <c r="I17" s="106" t="s">
        <v>27</v>
      </c>
      <c r="J17" s="390"/>
      <c r="K17" s="109">
        <v>70</v>
      </c>
      <c r="L17" s="391">
        <f t="shared" si="11"/>
        <v>105</v>
      </c>
      <c r="M17" s="391">
        <f t="shared" si="12"/>
        <v>70</v>
      </c>
      <c r="N17" s="391">
        <f t="shared" si="13"/>
        <v>70</v>
      </c>
      <c r="O17" s="391">
        <f t="shared" si="13"/>
        <v>0</v>
      </c>
      <c r="P17" s="391">
        <f t="shared" si="13"/>
        <v>0</v>
      </c>
      <c r="Q17" s="391">
        <f t="shared" si="13"/>
        <v>0</v>
      </c>
      <c r="R17" s="391">
        <f t="shared" si="13"/>
        <v>0</v>
      </c>
      <c r="S17" s="391">
        <f t="shared" si="13"/>
        <v>35</v>
      </c>
      <c r="T17" s="392">
        <f t="shared" si="14"/>
        <v>51</v>
      </c>
      <c r="U17" s="109">
        <v>34</v>
      </c>
      <c r="V17" s="109"/>
      <c r="W17" s="393"/>
      <c r="X17" s="393"/>
      <c r="Y17" s="393"/>
      <c r="Z17" s="109">
        <v>17</v>
      </c>
      <c r="AA17" s="392">
        <f t="shared" si="15"/>
        <v>54</v>
      </c>
      <c r="AB17" s="109">
        <v>36</v>
      </c>
      <c r="AC17" s="109"/>
      <c r="AD17" s="393"/>
      <c r="AE17" s="393"/>
      <c r="AF17" s="393"/>
      <c r="AG17" s="109">
        <v>18</v>
      </c>
      <c r="AH17" s="392">
        <f>SUM(AI17:AN17)</f>
        <v>0</v>
      </c>
      <c r="AI17" s="393"/>
      <c r="AJ17" s="393"/>
      <c r="AK17" s="393"/>
      <c r="AL17" s="393"/>
      <c r="AM17" s="393"/>
      <c r="AN17" s="393"/>
      <c r="AO17" s="392">
        <f>SUM(AP17:AV17)</f>
        <v>0</v>
      </c>
      <c r="AP17" s="393"/>
      <c r="AQ17" s="393"/>
      <c r="AR17" s="393"/>
      <c r="AS17" s="393"/>
      <c r="AT17" s="393"/>
      <c r="AU17" s="393"/>
      <c r="AV17" s="392">
        <f>SUM(AW17:BB17)</f>
        <v>0</v>
      </c>
      <c r="AW17" s="393"/>
      <c r="AX17" s="393"/>
      <c r="AY17" s="393"/>
      <c r="AZ17" s="393"/>
      <c r="BA17" s="393"/>
      <c r="BB17" s="393"/>
      <c r="BC17" s="392">
        <f>SUM(BD17:BI17)</f>
        <v>0</v>
      </c>
      <c r="BD17" s="393"/>
      <c r="BE17" s="393"/>
      <c r="BF17" s="393"/>
      <c r="BG17" s="393"/>
      <c r="BH17" s="393"/>
      <c r="BI17" s="393"/>
      <c r="BJ17" s="392">
        <f>SUM(BK17:BO17)</f>
        <v>0</v>
      </c>
      <c r="BK17" s="393"/>
      <c r="BL17" s="393"/>
      <c r="BM17" s="393"/>
      <c r="BN17" s="393"/>
      <c r="BO17" s="393"/>
      <c r="BP17" s="392">
        <f>SUM(BQ17:BU17)</f>
        <v>0</v>
      </c>
      <c r="BQ17" s="393"/>
      <c r="BR17" s="393"/>
      <c r="BS17" s="393"/>
      <c r="BT17" s="393"/>
      <c r="BU17" s="393"/>
      <c r="BV17" s="109"/>
      <c r="BW17" s="109"/>
      <c r="BX17" s="109"/>
      <c r="BY17" s="109"/>
      <c r="BZ17" s="109"/>
      <c r="CA17" s="174">
        <f>SUM(CB17:CH17)</f>
        <v>0</v>
      </c>
      <c r="CB17" s="109"/>
      <c r="CC17" s="109"/>
      <c r="CD17" s="109"/>
      <c r="CE17" s="109"/>
      <c r="CF17" s="109"/>
      <c r="CG17" s="109"/>
      <c r="CH17" s="109"/>
      <c r="CI17" s="174">
        <f>SUM(CJ17:CP17)</f>
        <v>0</v>
      </c>
      <c r="CJ17" s="109"/>
      <c r="CK17" s="110"/>
      <c r="CL17" s="510" t="s">
        <v>454</v>
      </c>
      <c r="CM17" s="109"/>
      <c r="CN17" s="149"/>
      <c r="CO17" s="109"/>
      <c r="CP17" s="110"/>
    </row>
    <row r="18" spans="1:95" s="922" customFormat="1" ht="25.5" customHeight="1">
      <c r="A18" s="106" t="s">
        <v>605</v>
      </c>
      <c r="B18" s="113" t="s">
        <v>488</v>
      </c>
      <c r="C18" s="525"/>
      <c r="D18" s="106"/>
      <c r="E18" s="106" t="s">
        <v>30</v>
      </c>
      <c r="F18" s="106"/>
      <c r="G18" s="106"/>
      <c r="H18" s="389"/>
      <c r="I18" s="106"/>
      <c r="J18" s="390"/>
      <c r="K18" s="109">
        <v>36</v>
      </c>
      <c r="L18" s="391">
        <f t="shared" si="11"/>
        <v>54</v>
      </c>
      <c r="M18" s="391">
        <f t="shared" si="12"/>
        <v>36</v>
      </c>
      <c r="N18" s="391">
        <f t="shared" si="13"/>
        <v>36</v>
      </c>
      <c r="O18" s="391">
        <f t="shared" si="13"/>
        <v>0</v>
      </c>
      <c r="P18" s="391">
        <f t="shared" si="13"/>
        <v>0</v>
      </c>
      <c r="Q18" s="391">
        <f t="shared" si="13"/>
        <v>0</v>
      </c>
      <c r="R18" s="391">
        <f t="shared" si="13"/>
        <v>0</v>
      </c>
      <c r="S18" s="391">
        <f t="shared" si="13"/>
        <v>18</v>
      </c>
      <c r="T18" s="392">
        <f t="shared" si="14"/>
        <v>0</v>
      </c>
      <c r="U18" s="109"/>
      <c r="V18" s="109"/>
      <c r="W18" s="393"/>
      <c r="X18" s="393"/>
      <c r="Y18" s="393"/>
      <c r="Z18" s="109"/>
      <c r="AA18" s="392">
        <f t="shared" si="15"/>
        <v>54</v>
      </c>
      <c r="AB18" s="109">
        <v>36</v>
      </c>
      <c r="AC18" s="109"/>
      <c r="AD18" s="393"/>
      <c r="AE18" s="393"/>
      <c r="AF18" s="393"/>
      <c r="AG18" s="109">
        <v>18</v>
      </c>
      <c r="AH18" s="392"/>
      <c r="AI18" s="393"/>
      <c r="AJ18" s="393"/>
      <c r="AK18" s="393"/>
      <c r="AL18" s="393"/>
      <c r="AM18" s="393"/>
      <c r="AN18" s="393"/>
      <c r="AO18" s="392"/>
      <c r="AP18" s="393"/>
      <c r="AQ18" s="393"/>
      <c r="AR18" s="393"/>
      <c r="AS18" s="393"/>
      <c r="AT18" s="393"/>
      <c r="AU18" s="393"/>
      <c r="AV18" s="392"/>
      <c r="AW18" s="393"/>
      <c r="AX18" s="393"/>
      <c r="AY18" s="393"/>
      <c r="AZ18" s="393"/>
      <c r="BA18" s="393"/>
      <c r="BB18" s="393"/>
      <c r="BC18" s="392"/>
      <c r="BD18" s="393"/>
      <c r="BE18" s="393"/>
      <c r="BF18" s="393"/>
      <c r="BG18" s="393"/>
      <c r="BH18" s="393"/>
      <c r="BI18" s="393"/>
      <c r="BJ18" s="392"/>
      <c r="BK18" s="393"/>
      <c r="BL18" s="393"/>
      <c r="BM18" s="393"/>
      <c r="BN18" s="393"/>
      <c r="BO18" s="393"/>
      <c r="BP18" s="392"/>
      <c r="BQ18" s="393"/>
      <c r="BR18" s="393"/>
      <c r="BS18" s="393"/>
      <c r="BT18" s="393"/>
      <c r="BU18" s="393"/>
      <c r="BV18" s="109"/>
      <c r="BW18" s="109"/>
      <c r="BX18" s="109"/>
      <c r="BY18" s="109"/>
      <c r="BZ18" s="109"/>
      <c r="CA18" s="174"/>
      <c r="CB18" s="109"/>
      <c r="CC18" s="109"/>
      <c r="CD18" s="109"/>
      <c r="CE18" s="109"/>
      <c r="CF18" s="109"/>
      <c r="CG18" s="109"/>
      <c r="CH18" s="109"/>
      <c r="CI18" s="174"/>
      <c r="CJ18" s="109"/>
      <c r="CK18" s="110"/>
      <c r="CL18" s="400" t="s">
        <v>452</v>
      </c>
      <c r="CM18" s="109"/>
      <c r="CN18" s="338"/>
      <c r="CO18" s="126"/>
      <c r="CP18" s="127"/>
      <c r="CQ18" s="924"/>
    </row>
    <row r="19" spans="1:95" s="922" customFormat="1" ht="25.5" customHeight="1">
      <c r="A19" s="106" t="s">
        <v>606</v>
      </c>
      <c r="B19" s="113" t="s">
        <v>568</v>
      </c>
      <c r="C19" s="525"/>
      <c r="D19" s="106"/>
      <c r="E19" s="106" t="s">
        <v>30</v>
      </c>
      <c r="F19" s="106"/>
      <c r="G19" s="106"/>
      <c r="H19" s="389"/>
      <c r="I19" s="106" t="s">
        <v>27</v>
      </c>
      <c r="J19" s="390"/>
      <c r="K19" s="109">
        <v>78</v>
      </c>
      <c r="L19" s="391">
        <f>SUM(M19)+S19</f>
        <v>117</v>
      </c>
      <c r="M19" s="391">
        <f>SUM(N19:P19)</f>
        <v>78</v>
      </c>
      <c r="N19" s="391">
        <f>U19+AB19</f>
        <v>56</v>
      </c>
      <c r="O19" s="391">
        <f t="shared" si="13"/>
        <v>22</v>
      </c>
      <c r="P19" s="391">
        <f t="shared" si="13"/>
        <v>0</v>
      </c>
      <c r="Q19" s="391">
        <f t="shared" si="13"/>
        <v>0</v>
      </c>
      <c r="R19" s="391">
        <f t="shared" si="13"/>
        <v>0</v>
      </c>
      <c r="S19" s="391">
        <f>Z19+AG19</f>
        <v>39</v>
      </c>
      <c r="T19" s="392">
        <f>SUM(U19:Y19)+Z19</f>
        <v>51</v>
      </c>
      <c r="U19" s="109">
        <v>34</v>
      </c>
      <c r="V19" s="109"/>
      <c r="W19" s="393"/>
      <c r="X19" s="393"/>
      <c r="Y19" s="393"/>
      <c r="Z19" s="109">
        <v>17</v>
      </c>
      <c r="AA19" s="392">
        <f>SUM(AB19:AF19)+AG19</f>
        <v>66</v>
      </c>
      <c r="AB19" s="109">
        <v>22</v>
      </c>
      <c r="AC19" s="109">
        <v>22</v>
      </c>
      <c r="AD19" s="393"/>
      <c r="AE19" s="393"/>
      <c r="AF19" s="393"/>
      <c r="AG19" s="109">
        <v>22</v>
      </c>
      <c r="AH19" s="392">
        <f>SUM(AI19:AN19)</f>
        <v>0</v>
      </c>
      <c r="AI19" s="393"/>
      <c r="AJ19" s="393"/>
      <c r="AK19" s="393"/>
      <c r="AL19" s="393"/>
      <c r="AM19" s="393"/>
      <c r="AN19" s="393"/>
      <c r="AO19" s="392">
        <f>SUM(AP19:AV19)</f>
        <v>0</v>
      </c>
      <c r="AP19" s="393"/>
      <c r="AQ19" s="393"/>
      <c r="AR19" s="393"/>
      <c r="AS19" s="393"/>
      <c r="AT19" s="393"/>
      <c r="AU19" s="393"/>
      <c r="AV19" s="392">
        <f>SUM(AW19:BB19)</f>
        <v>0</v>
      </c>
      <c r="AW19" s="393"/>
      <c r="AX19" s="393"/>
      <c r="AY19" s="393"/>
      <c r="AZ19" s="393"/>
      <c r="BA19" s="393"/>
      <c r="BB19" s="393"/>
      <c r="BC19" s="392">
        <f>SUM(BD19:BI19)</f>
        <v>0</v>
      </c>
      <c r="BD19" s="393"/>
      <c r="BE19" s="393"/>
      <c r="BF19" s="393"/>
      <c r="BG19" s="393"/>
      <c r="BH19" s="393"/>
      <c r="BI19" s="393"/>
      <c r="BJ19" s="392">
        <f>SUM(BK19:BO19)</f>
        <v>0</v>
      </c>
      <c r="BK19" s="393"/>
      <c r="BL19" s="393"/>
      <c r="BM19" s="393"/>
      <c r="BN19" s="393"/>
      <c r="BO19" s="393"/>
      <c r="BP19" s="392">
        <f>SUM(BQ19:BU19)</f>
        <v>0</v>
      </c>
      <c r="BQ19" s="393"/>
      <c r="BR19" s="393"/>
      <c r="BS19" s="393"/>
      <c r="BT19" s="393"/>
      <c r="BU19" s="393"/>
      <c r="BV19" s="109"/>
      <c r="BW19" s="109"/>
      <c r="BX19" s="109"/>
      <c r="BY19" s="109"/>
      <c r="BZ19" s="109"/>
      <c r="CA19" s="174">
        <f>SUM(CB19:CH19)</f>
        <v>0</v>
      </c>
      <c r="CB19" s="109"/>
      <c r="CC19" s="109"/>
      <c r="CD19" s="109"/>
      <c r="CE19" s="109"/>
      <c r="CF19" s="109"/>
      <c r="CG19" s="109"/>
      <c r="CH19" s="109"/>
      <c r="CI19" s="174">
        <f>SUM(CJ19:CP19)</f>
        <v>0</v>
      </c>
      <c r="CJ19" s="109"/>
      <c r="CK19" s="110"/>
      <c r="CL19" s="400" t="s">
        <v>452</v>
      </c>
      <c r="CM19" s="109"/>
      <c r="CN19" s="338"/>
      <c r="CO19" s="126"/>
      <c r="CP19" s="127"/>
      <c r="CQ19" s="924"/>
    </row>
    <row r="20" spans="1:95" s="922" customFormat="1" ht="25.5" customHeight="1">
      <c r="A20" s="106" t="s">
        <v>607</v>
      </c>
      <c r="B20" s="113" t="s">
        <v>608</v>
      </c>
      <c r="C20" s="525"/>
      <c r="D20" s="106"/>
      <c r="E20" s="106" t="s">
        <v>30</v>
      </c>
      <c r="F20" s="106"/>
      <c r="G20" s="106"/>
      <c r="H20" s="389"/>
      <c r="I20" s="106" t="s">
        <v>27</v>
      </c>
      <c r="J20" s="390"/>
      <c r="K20" s="109">
        <v>108</v>
      </c>
      <c r="L20" s="391">
        <f>SUM(M20)+S20</f>
        <v>170</v>
      </c>
      <c r="M20" s="391">
        <f>SUM(N20:P20)</f>
        <v>113</v>
      </c>
      <c r="N20" s="391">
        <f>U20+AB20</f>
        <v>113</v>
      </c>
      <c r="O20" s="391">
        <f t="shared" si="13"/>
        <v>0</v>
      </c>
      <c r="P20" s="391"/>
      <c r="Q20" s="391"/>
      <c r="R20" s="391"/>
      <c r="S20" s="391">
        <f>Z20+AG20</f>
        <v>57</v>
      </c>
      <c r="T20" s="392">
        <f>SUM(U20:Y20)+Z20</f>
        <v>71</v>
      </c>
      <c r="U20" s="109">
        <v>47</v>
      </c>
      <c r="V20" s="109"/>
      <c r="W20" s="393"/>
      <c r="X20" s="393"/>
      <c r="Y20" s="393"/>
      <c r="Z20" s="109">
        <v>24</v>
      </c>
      <c r="AA20" s="392"/>
      <c r="AB20" s="109">
        <v>66</v>
      </c>
      <c r="AC20" s="109"/>
      <c r="AD20" s="393"/>
      <c r="AE20" s="393"/>
      <c r="AF20" s="393"/>
      <c r="AG20" s="109">
        <v>33</v>
      </c>
      <c r="AH20" s="392">
        <f>SUM(AI20:AN20)</f>
        <v>0</v>
      </c>
      <c r="AI20" s="532">
        <f aca="true" t="shared" si="17" ref="AI20:BU20">SUM(AI21:AI26)</f>
        <v>0</v>
      </c>
      <c r="AJ20" s="532">
        <f t="shared" si="17"/>
        <v>0</v>
      </c>
      <c r="AK20" s="532">
        <f t="shared" si="17"/>
        <v>0</v>
      </c>
      <c r="AL20" s="532"/>
      <c r="AM20" s="532">
        <f t="shared" si="17"/>
        <v>0</v>
      </c>
      <c r="AN20" s="532">
        <f t="shared" si="17"/>
        <v>0</v>
      </c>
      <c r="AO20" s="392">
        <f>SUM(AP20:AV20)</f>
        <v>0</v>
      </c>
      <c r="AP20" s="532">
        <f t="shared" si="17"/>
        <v>0</v>
      </c>
      <c r="AQ20" s="532">
        <f t="shared" si="17"/>
        <v>0</v>
      </c>
      <c r="AR20" s="532">
        <f t="shared" si="17"/>
        <v>0</v>
      </c>
      <c r="AS20" s="532"/>
      <c r="AT20" s="532">
        <f t="shared" si="17"/>
        <v>0</v>
      </c>
      <c r="AU20" s="532">
        <f t="shared" si="17"/>
        <v>0</v>
      </c>
      <c r="AV20" s="392">
        <f>SUM(AW20:BB20)</f>
        <v>0</v>
      </c>
      <c r="AW20" s="532">
        <f t="shared" si="17"/>
        <v>0</v>
      </c>
      <c r="AX20" s="532">
        <f t="shared" si="17"/>
        <v>0</v>
      </c>
      <c r="AY20" s="532">
        <f t="shared" si="17"/>
        <v>0</v>
      </c>
      <c r="AZ20" s="532"/>
      <c r="BA20" s="532">
        <f t="shared" si="17"/>
        <v>0</v>
      </c>
      <c r="BB20" s="532">
        <f t="shared" si="17"/>
        <v>0</v>
      </c>
      <c r="BC20" s="392">
        <f>SUM(BD20:BI20)</f>
        <v>0</v>
      </c>
      <c r="BD20" s="532">
        <f t="shared" si="17"/>
        <v>0</v>
      </c>
      <c r="BE20" s="532">
        <f t="shared" si="17"/>
        <v>0</v>
      </c>
      <c r="BF20" s="532">
        <f t="shared" si="17"/>
        <v>0</v>
      </c>
      <c r="BG20" s="532"/>
      <c r="BH20" s="532">
        <f t="shared" si="17"/>
        <v>0</v>
      </c>
      <c r="BI20" s="532">
        <f t="shared" si="17"/>
        <v>0</v>
      </c>
      <c r="BJ20" s="392">
        <f>SUM(BK20:BO20)</f>
        <v>0</v>
      </c>
      <c r="BK20" s="532">
        <f t="shared" si="17"/>
        <v>0</v>
      </c>
      <c r="BL20" s="532">
        <f t="shared" si="17"/>
        <v>0</v>
      </c>
      <c r="BM20" s="532">
        <f t="shared" si="17"/>
        <v>0</v>
      </c>
      <c r="BN20" s="532">
        <f t="shared" si="17"/>
        <v>0</v>
      </c>
      <c r="BO20" s="532">
        <f t="shared" si="17"/>
        <v>0</v>
      </c>
      <c r="BP20" s="392">
        <f>SUM(BQ20:BU20)</f>
        <v>0</v>
      </c>
      <c r="BQ20" s="532">
        <f t="shared" si="17"/>
        <v>0</v>
      </c>
      <c r="BR20" s="532">
        <f t="shared" si="17"/>
        <v>0</v>
      </c>
      <c r="BS20" s="532">
        <f t="shared" si="17"/>
        <v>0</v>
      </c>
      <c r="BT20" s="532">
        <f t="shared" si="17"/>
        <v>0</v>
      </c>
      <c r="BU20" s="532">
        <f t="shared" si="17"/>
        <v>0</v>
      </c>
      <c r="BV20" s="126"/>
      <c r="BW20" s="126"/>
      <c r="BX20" s="126"/>
      <c r="BY20" s="126"/>
      <c r="BZ20" s="126"/>
      <c r="CA20" s="533">
        <f>SUM(CB20:CH20)</f>
        <v>0</v>
      </c>
      <c r="CB20" s="126"/>
      <c r="CC20" s="126"/>
      <c r="CD20" s="126"/>
      <c r="CE20" s="126"/>
      <c r="CF20" s="126"/>
      <c r="CG20" s="126"/>
      <c r="CH20" s="126"/>
      <c r="CI20" s="533">
        <f>SUM(CJ20:CP20)</f>
        <v>0</v>
      </c>
      <c r="CJ20" s="126"/>
      <c r="CK20" s="127"/>
      <c r="CL20" s="400" t="s">
        <v>451</v>
      </c>
      <c r="CM20" s="126"/>
      <c r="CN20" s="338"/>
      <c r="CO20" s="126"/>
      <c r="CP20" s="127"/>
      <c r="CQ20" s="924"/>
    </row>
    <row r="21" spans="1:94" s="922" customFormat="1" ht="25.5" customHeight="1">
      <c r="A21" s="106" t="s">
        <v>609</v>
      </c>
      <c r="B21" s="113" t="s">
        <v>610</v>
      </c>
      <c r="C21" s="525"/>
      <c r="D21" s="106"/>
      <c r="E21" s="106" t="s">
        <v>27</v>
      </c>
      <c r="F21" s="106"/>
      <c r="G21" s="106"/>
      <c r="H21" s="389"/>
      <c r="I21" s="106"/>
      <c r="J21" s="390"/>
      <c r="K21" s="109">
        <v>36</v>
      </c>
      <c r="L21" s="391">
        <f>SUM(M21)+S21</f>
        <v>54</v>
      </c>
      <c r="M21" s="391">
        <f>SUM(N21:P21)</f>
        <v>36</v>
      </c>
      <c r="N21" s="391">
        <f>U21+AB21</f>
        <v>36</v>
      </c>
      <c r="O21" s="391">
        <f t="shared" si="13"/>
        <v>0</v>
      </c>
      <c r="P21" s="391"/>
      <c r="Q21" s="391"/>
      <c r="R21" s="391"/>
      <c r="S21" s="391">
        <f>Z21+AG21</f>
        <v>18</v>
      </c>
      <c r="T21" s="392">
        <f>SUM(U21:Y21)+Z21</f>
        <v>54</v>
      </c>
      <c r="U21" s="109">
        <v>36</v>
      </c>
      <c r="V21" s="109"/>
      <c r="W21" s="393"/>
      <c r="X21" s="393"/>
      <c r="Y21" s="393"/>
      <c r="Z21" s="109">
        <v>18</v>
      </c>
      <c r="AA21" s="392"/>
      <c r="AB21" s="109"/>
      <c r="AC21" s="109"/>
      <c r="AD21" s="393"/>
      <c r="AE21" s="393"/>
      <c r="AF21" s="393"/>
      <c r="AG21" s="109"/>
      <c r="AH21" s="392">
        <f>SUM(AI21:AN21)</f>
        <v>0</v>
      </c>
      <c r="AI21" s="393"/>
      <c r="AJ21" s="393"/>
      <c r="AK21" s="393"/>
      <c r="AL21" s="393"/>
      <c r="AM21" s="393"/>
      <c r="AN21" s="393"/>
      <c r="AO21" s="392">
        <f>SUM(AP21:AV21)</f>
        <v>0</v>
      </c>
      <c r="AP21" s="393"/>
      <c r="AQ21" s="393"/>
      <c r="AR21" s="393"/>
      <c r="AS21" s="393"/>
      <c r="AT21" s="393"/>
      <c r="AU21" s="393"/>
      <c r="AV21" s="392">
        <f>SUM(AW21:BB21)</f>
        <v>0</v>
      </c>
      <c r="AW21" s="393"/>
      <c r="AX21" s="393"/>
      <c r="AY21" s="393"/>
      <c r="AZ21" s="393"/>
      <c r="BA21" s="393"/>
      <c r="BB21" s="393"/>
      <c r="BC21" s="392">
        <f>SUM(BD21:BI21)</f>
        <v>0</v>
      </c>
      <c r="BD21" s="393"/>
      <c r="BE21" s="393"/>
      <c r="BF21" s="393"/>
      <c r="BG21" s="393"/>
      <c r="BH21" s="393"/>
      <c r="BI21" s="393"/>
      <c r="BJ21" s="392">
        <f>SUM(BK21:BO21)</f>
        <v>0</v>
      </c>
      <c r="BK21" s="393"/>
      <c r="BL21" s="393"/>
      <c r="BM21" s="393"/>
      <c r="BN21" s="393"/>
      <c r="BO21" s="393"/>
      <c r="BP21" s="392">
        <f>SUM(BQ21:BU21)</f>
        <v>0</v>
      </c>
      <c r="BQ21" s="393"/>
      <c r="BR21" s="393"/>
      <c r="BS21" s="393"/>
      <c r="BT21" s="393"/>
      <c r="BU21" s="393"/>
      <c r="BV21" s="109"/>
      <c r="BW21" s="109"/>
      <c r="BX21" s="109"/>
      <c r="BY21" s="109"/>
      <c r="BZ21" s="109"/>
      <c r="CA21" s="174">
        <f t="shared" si="16"/>
        <v>0</v>
      </c>
      <c r="CB21" s="109"/>
      <c r="CC21" s="109"/>
      <c r="CD21" s="109"/>
      <c r="CE21" s="109"/>
      <c r="CF21" s="109"/>
      <c r="CG21" s="109"/>
      <c r="CH21" s="109"/>
      <c r="CI21" s="174">
        <f>SUM(CJ21:CP21)</f>
        <v>0</v>
      </c>
      <c r="CJ21" s="109"/>
      <c r="CK21" s="110"/>
      <c r="CL21" s="400" t="s">
        <v>452</v>
      </c>
      <c r="CM21" s="109"/>
      <c r="CN21" s="149"/>
      <c r="CO21" s="109"/>
      <c r="CP21" s="110"/>
    </row>
    <row r="22" spans="1:95" s="922" customFormat="1" ht="25.5" customHeight="1">
      <c r="A22" s="106" t="s">
        <v>611</v>
      </c>
      <c r="B22" s="113" t="s">
        <v>612</v>
      </c>
      <c r="C22" s="525"/>
      <c r="D22" s="106"/>
      <c r="E22" s="106" t="s">
        <v>27</v>
      </c>
      <c r="F22" s="106"/>
      <c r="G22" s="106"/>
      <c r="H22" s="389"/>
      <c r="I22" s="106"/>
      <c r="J22" s="390"/>
      <c r="K22" s="109">
        <v>36</v>
      </c>
      <c r="L22" s="391">
        <f>SUM(M22)+S22</f>
        <v>54</v>
      </c>
      <c r="M22" s="391">
        <f>SUM(N22:P22)</f>
        <v>36</v>
      </c>
      <c r="N22" s="391">
        <f>U22+AB22</f>
        <v>36</v>
      </c>
      <c r="O22" s="391">
        <f t="shared" si="13"/>
        <v>0</v>
      </c>
      <c r="P22" s="391"/>
      <c r="Q22" s="391"/>
      <c r="R22" s="391"/>
      <c r="S22" s="391">
        <f>Z22+AG22</f>
        <v>18</v>
      </c>
      <c r="T22" s="392">
        <f>SUM(U22:Y22)+Z22</f>
        <v>54</v>
      </c>
      <c r="U22" s="109">
        <v>36</v>
      </c>
      <c r="V22" s="109"/>
      <c r="W22" s="393"/>
      <c r="X22" s="393"/>
      <c r="Y22" s="393"/>
      <c r="Z22" s="109">
        <v>18</v>
      </c>
      <c r="AA22" s="392"/>
      <c r="AB22" s="109"/>
      <c r="AC22" s="109"/>
      <c r="AD22" s="393"/>
      <c r="AE22" s="393"/>
      <c r="AF22" s="393"/>
      <c r="AG22" s="109"/>
      <c r="AH22" s="392">
        <f>SUM(AI22:AN22)</f>
        <v>0</v>
      </c>
      <c r="AI22" s="393"/>
      <c r="AJ22" s="393"/>
      <c r="AK22" s="393"/>
      <c r="AL22" s="393"/>
      <c r="AM22" s="393"/>
      <c r="AN22" s="393"/>
      <c r="AO22" s="392">
        <f>SUM(AP22:AV22)</f>
        <v>0</v>
      </c>
      <c r="AP22" s="393"/>
      <c r="AQ22" s="393"/>
      <c r="AR22" s="393"/>
      <c r="AS22" s="393"/>
      <c r="AT22" s="393"/>
      <c r="AU22" s="393"/>
      <c r="AV22" s="392">
        <f>SUM(AW22:BB22)</f>
        <v>0</v>
      </c>
      <c r="AW22" s="393"/>
      <c r="AX22" s="393"/>
      <c r="AY22" s="393"/>
      <c r="AZ22" s="393"/>
      <c r="BA22" s="393"/>
      <c r="BB22" s="393"/>
      <c r="BC22" s="392">
        <f>SUM(BD22:BI22)</f>
        <v>0</v>
      </c>
      <c r="BD22" s="393"/>
      <c r="BE22" s="393"/>
      <c r="BF22" s="393"/>
      <c r="BG22" s="393"/>
      <c r="BH22" s="393"/>
      <c r="BI22" s="393"/>
      <c r="BJ22" s="392">
        <f>SUM(BK22:BO22)</f>
        <v>0</v>
      </c>
      <c r="BK22" s="393"/>
      <c r="BL22" s="393"/>
      <c r="BM22" s="393"/>
      <c r="BN22" s="393"/>
      <c r="BO22" s="393"/>
      <c r="BP22" s="392">
        <f>SUM(BQ22:BU22)</f>
        <v>0</v>
      </c>
      <c r="BQ22" s="393"/>
      <c r="BR22" s="393"/>
      <c r="BS22" s="393"/>
      <c r="BT22" s="393"/>
      <c r="BU22" s="393"/>
      <c r="BV22" s="96" t="e">
        <f>SUM(#REF!)</f>
        <v>#REF!</v>
      </c>
      <c r="BW22" s="96" t="e">
        <f>SUM(#REF!)</f>
        <v>#REF!</v>
      </c>
      <c r="BX22" s="96" t="e">
        <f>SUM(#REF!)</f>
        <v>#REF!</v>
      </c>
      <c r="BY22" s="96" t="e">
        <f>SUM(#REF!)</f>
        <v>#REF!</v>
      </c>
      <c r="BZ22" s="96" t="e">
        <f>SUM(#REF!)</f>
        <v>#REF!</v>
      </c>
      <c r="CA22" s="96" t="e">
        <f>SUM(#REF!)</f>
        <v>#REF!</v>
      </c>
      <c r="CB22" s="96" t="e">
        <f>SUM(#REF!)</f>
        <v>#REF!</v>
      </c>
      <c r="CC22" s="96" t="e">
        <f>SUM(#REF!)</f>
        <v>#REF!</v>
      </c>
      <c r="CD22" s="96" t="e">
        <f>SUM(#REF!)</f>
        <v>#REF!</v>
      </c>
      <c r="CE22" s="96" t="e">
        <f>SUM(#REF!)</f>
        <v>#REF!</v>
      </c>
      <c r="CF22" s="96" t="e">
        <f>SUM(#REF!)</f>
        <v>#REF!</v>
      </c>
      <c r="CG22" s="96" t="e">
        <f>SUM(#REF!)</f>
        <v>#REF!</v>
      </c>
      <c r="CH22" s="96" t="e">
        <f>SUM(#REF!)</f>
        <v>#REF!</v>
      </c>
      <c r="CI22" s="96" t="e">
        <f>SUM(#REF!)</f>
        <v>#REF!</v>
      </c>
      <c r="CJ22" s="96" t="e">
        <f>SUM(#REF!)</f>
        <v>#REF!</v>
      </c>
      <c r="CK22" s="112" t="e">
        <f>SUM(#REF!)</f>
        <v>#REF!</v>
      </c>
      <c r="CL22" s="400" t="s">
        <v>452</v>
      </c>
      <c r="CM22" s="329"/>
      <c r="CN22" s="339" t="e">
        <f>SUM(#REF!)</f>
        <v>#REF!</v>
      </c>
      <c r="CO22" s="329" t="e">
        <f>SUM(#REF!)</f>
        <v>#REF!</v>
      </c>
      <c r="CP22" s="330" t="e">
        <f>SUM(#REF!)</f>
        <v>#REF!</v>
      </c>
      <c r="CQ22" s="924"/>
    </row>
    <row r="23" spans="1:94" s="922" customFormat="1" ht="25.5" customHeight="1">
      <c r="A23" s="395"/>
      <c r="B23" s="666" t="s">
        <v>503</v>
      </c>
      <c r="C23" s="666"/>
      <c r="D23" s="666"/>
      <c r="E23" s="666"/>
      <c r="F23" s="666"/>
      <c r="G23" s="666"/>
      <c r="H23" s="666"/>
      <c r="I23" s="666"/>
      <c r="J23" s="396" t="s">
        <v>22</v>
      </c>
      <c r="K23" s="396">
        <f>SUM(K24:K26)</f>
        <v>455</v>
      </c>
      <c r="L23" s="396">
        <f>SUM(L24:L26)</f>
        <v>726</v>
      </c>
      <c r="M23" s="396">
        <f aca="true" t="shared" si="18" ref="M23:BV23">SUM(M24:M26)</f>
        <v>484</v>
      </c>
      <c r="N23" s="396">
        <f t="shared" si="18"/>
        <v>417</v>
      </c>
      <c r="O23" s="396">
        <f t="shared" si="18"/>
        <v>67</v>
      </c>
      <c r="P23" s="396">
        <f t="shared" si="18"/>
        <v>0</v>
      </c>
      <c r="Q23" s="396"/>
      <c r="R23" s="396">
        <f t="shared" si="18"/>
        <v>0</v>
      </c>
      <c r="S23" s="396">
        <f t="shared" si="18"/>
        <v>242</v>
      </c>
      <c r="T23" s="396">
        <f t="shared" si="18"/>
        <v>306</v>
      </c>
      <c r="U23" s="396">
        <f t="shared" si="18"/>
        <v>170</v>
      </c>
      <c r="V23" s="396">
        <f t="shared" si="18"/>
        <v>34</v>
      </c>
      <c r="W23" s="396">
        <f t="shared" si="18"/>
        <v>0</v>
      </c>
      <c r="X23" s="396"/>
      <c r="Y23" s="396">
        <f t="shared" si="18"/>
        <v>0</v>
      </c>
      <c r="Z23" s="396">
        <f t="shared" si="18"/>
        <v>102</v>
      </c>
      <c r="AA23" s="396">
        <f t="shared" si="18"/>
        <v>420</v>
      </c>
      <c r="AB23" s="396">
        <f t="shared" si="18"/>
        <v>247</v>
      </c>
      <c r="AC23" s="396">
        <f t="shared" si="18"/>
        <v>33</v>
      </c>
      <c r="AD23" s="396">
        <f t="shared" si="18"/>
        <v>0</v>
      </c>
      <c r="AE23" s="396"/>
      <c r="AF23" s="396">
        <f t="shared" si="18"/>
        <v>0</v>
      </c>
      <c r="AG23" s="396">
        <f t="shared" si="18"/>
        <v>140</v>
      </c>
      <c r="AH23" s="396">
        <f t="shared" si="18"/>
        <v>0</v>
      </c>
      <c r="AI23" s="396">
        <f t="shared" si="18"/>
        <v>0</v>
      </c>
      <c r="AJ23" s="396">
        <f t="shared" si="18"/>
        <v>0</v>
      </c>
      <c r="AK23" s="396">
        <f t="shared" si="18"/>
        <v>0</v>
      </c>
      <c r="AL23" s="396"/>
      <c r="AM23" s="396">
        <f t="shared" si="18"/>
        <v>0</v>
      </c>
      <c r="AN23" s="396">
        <f t="shared" si="18"/>
        <v>0</v>
      </c>
      <c r="AO23" s="396">
        <f t="shared" si="18"/>
        <v>0</v>
      </c>
      <c r="AP23" s="396">
        <f t="shared" si="18"/>
        <v>0</v>
      </c>
      <c r="AQ23" s="396">
        <f t="shared" si="18"/>
        <v>0</v>
      </c>
      <c r="AR23" s="396">
        <f t="shared" si="18"/>
        <v>0</v>
      </c>
      <c r="AS23" s="396"/>
      <c r="AT23" s="396">
        <f t="shared" si="18"/>
        <v>0</v>
      </c>
      <c r="AU23" s="396">
        <f t="shared" si="18"/>
        <v>0</v>
      </c>
      <c r="AV23" s="396">
        <f t="shared" si="18"/>
        <v>0</v>
      </c>
      <c r="AW23" s="396">
        <f t="shared" si="18"/>
        <v>0</v>
      </c>
      <c r="AX23" s="396">
        <f t="shared" si="18"/>
        <v>0</v>
      </c>
      <c r="AY23" s="396">
        <f t="shared" si="18"/>
        <v>0</v>
      </c>
      <c r="AZ23" s="396"/>
      <c r="BA23" s="396">
        <f t="shared" si="18"/>
        <v>0</v>
      </c>
      <c r="BB23" s="396">
        <f t="shared" si="18"/>
        <v>0</v>
      </c>
      <c r="BC23" s="396">
        <f t="shared" si="18"/>
        <v>0</v>
      </c>
      <c r="BD23" s="396">
        <f t="shared" si="18"/>
        <v>0</v>
      </c>
      <c r="BE23" s="396">
        <f t="shared" si="18"/>
        <v>0</v>
      </c>
      <c r="BF23" s="396">
        <f t="shared" si="18"/>
        <v>0</v>
      </c>
      <c r="BG23" s="396"/>
      <c r="BH23" s="396">
        <f t="shared" si="18"/>
        <v>0</v>
      </c>
      <c r="BI23" s="396">
        <f t="shared" si="18"/>
        <v>0</v>
      </c>
      <c r="BJ23" s="396">
        <f t="shared" si="18"/>
        <v>0</v>
      </c>
      <c r="BK23" s="396">
        <f t="shared" si="18"/>
        <v>0</v>
      </c>
      <c r="BL23" s="396">
        <f t="shared" si="18"/>
        <v>0</v>
      </c>
      <c r="BM23" s="396">
        <f t="shared" si="18"/>
        <v>0</v>
      </c>
      <c r="BN23" s="396">
        <f t="shared" si="18"/>
        <v>0</v>
      </c>
      <c r="BO23" s="396">
        <f t="shared" si="18"/>
        <v>0</v>
      </c>
      <c r="BP23" s="396">
        <f t="shared" si="18"/>
        <v>0</v>
      </c>
      <c r="BQ23" s="396">
        <f t="shared" si="18"/>
        <v>0</v>
      </c>
      <c r="BR23" s="396">
        <f t="shared" si="18"/>
        <v>0</v>
      </c>
      <c r="BS23" s="396">
        <f t="shared" si="18"/>
        <v>0</v>
      </c>
      <c r="BT23" s="396">
        <f t="shared" si="18"/>
        <v>0</v>
      </c>
      <c r="BU23" s="396">
        <f t="shared" si="18"/>
        <v>0</v>
      </c>
      <c r="BV23" s="396">
        <f t="shared" si="18"/>
        <v>0</v>
      </c>
      <c r="BW23" s="396">
        <f aca="true" t="shared" si="19" ref="BW23:CL23">SUM(BW24:BW26)</f>
        <v>0</v>
      </c>
      <c r="BX23" s="396">
        <f t="shared" si="19"/>
        <v>0</v>
      </c>
      <c r="BY23" s="396">
        <f t="shared" si="19"/>
        <v>0</v>
      </c>
      <c r="BZ23" s="396">
        <f t="shared" si="19"/>
        <v>0</v>
      </c>
      <c r="CA23" s="396">
        <f t="shared" si="19"/>
        <v>0</v>
      </c>
      <c r="CB23" s="396">
        <f t="shared" si="19"/>
        <v>0</v>
      </c>
      <c r="CC23" s="396">
        <f t="shared" si="19"/>
        <v>0</v>
      </c>
      <c r="CD23" s="396">
        <f t="shared" si="19"/>
        <v>0</v>
      </c>
      <c r="CE23" s="396">
        <f t="shared" si="19"/>
        <v>0</v>
      </c>
      <c r="CF23" s="396">
        <f t="shared" si="19"/>
        <v>0</v>
      </c>
      <c r="CG23" s="396">
        <f t="shared" si="19"/>
        <v>0</v>
      </c>
      <c r="CH23" s="396">
        <f t="shared" si="19"/>
        <v>0</v>
      </c>
      <c r="CI23" s="396">
        <f t="shared" si="19"/>
        <v>0</v>
      </c>
      <c r="CJ23" s="396">
        <f t="shared" si="19"/>
        <v>0</v>
      </c>
      <c r="CK23" s="396">
        <f t="shared" si="19"/>
        <v>0</v>
      </c>
      <c r="CL23" s="396">
        <f t="shared" si="19"/>
        <v>0</v>
      </c>
      <c r="CM23" s="396">
        <f>SUM(CM24:CM26)</f>
        <v>0</v>
      </c>
      <c r="CN23" s="396">
        <f>SUM(CN25:CN25)</f>
        <v>0</v>
      </c>
      <c r="CO23" s="328"/>
      <c r="CP23" s="924"/>
    </row>
    <row r="24" spans="1:95" s="922" customFormat="1" ht="25.5" customHeight="1">
      <c r="A24" s="106" t="s">
        <v>613</v>
      </c>
      <c r="B24" s="113" t="s">
        <v>122</v>
      </c>
      <c r="C24" s="525"/>
      <c r="D24" s="106" t="s">
        <v>30</v>
      </c>
      <c r="E24" s="106"/>
      <c r="F24" s="106"/>
      <c r="G24" s="106"/>
      <c r="H24" s="389"/>
      <c r="I24" s="389" t="s">
        <v>27</v>
      </c>
      <c r="J24" s="393"/>
      <c r="K24" s="109">
        <v>234</v>
      </c>
      <c r="L24" s="391">
        <f>M24+SUM(S24)</f>
        <v>384</v>
      </c>
      <c r="M24" s="391">
        <f>SUM(N24:P24)</f>
        <v>256</v>
      </c>
      <c r="N24" s="391">
        <f aca="true" t="shared" si="20" ref="N24:S26">U24+AB24</f>
        <v>256</v>
      </c>
      <c r="O24" s="391">
        <f t="shared" si="20"/>
        <v>0</v>
      </c>
      <c r="P24" s="391">
        <f t="shared" si="20"/>
        <v>0</v>
      </c>
      <c r="Q24" s="391">
        <f t="shared" si="20"/>
        <v>0</v>
      </c>
      <c r="R24" s="391">
        <f t="shared" si="20"/>
        <v>0</v>
      </c>
      <c r="S24" s="391">
        <f t="shared" si="20"/>
        <v>128</v>
      </c>
      <c r="T24" s="392">
        <f>SUM(U24:Y24)+Z24</f>
        <v>153</v>
      </c>
      <c r="U24" s="109">
        <v>102</v>
      </c>
      <c r="V24" s="109"/>
      <c r="W24" s="109"/>
      <c r="X24" s="393"/>
      <c r="Y24" s="393"/>
      <c r="Z24" s="109">
        <v>51</v>
      </c>
      <c r="AA24" s="392">
        <f>SUM(AB24:AF24)+AG24</f>
        <v>231</v>
      </c>
      <c r="AB24" s="109">
        <v>154</v>
      </c>
      <c r="AC24" s="109"/>
      <c r="AD24" s="393"/>
      <c r="AE24" s="393"/>
      <c r="AF24" s="393"/>
      <c r="AG24" s="109">
        <v>77</v>
      </c>
      <c r="AH24" s="392"/>
      <c r="AI24" s="393"/>
      <c r="AJ24" s="393"/>
      <c r="AK24" s="393"/>
      <c r="AL24" s="393"/>
      <c r="AM24" s="393"/>
      <c r="AN24" s="393"/>
      <c r="AO24" s="392"/>
      <c r="AP24" s="393"/>
      <c r="AQ24" s="393"/>
      <c r="AR24" s="393"/>
      <c r="AS24" s="393"/>
      <c r="AT24" s="393"/>
      <c r="AU24" s="393"/>
      <c r="AV24" s="392"/>
      <c r="AW24" s="393"/>
      <c r="AX24" s="393"/>
      <c r="AY24" s="393"/>
      <c r="AZ24" s="393"/>
      <c r="BA24" s="393"/>
      <c r="BB24" s="393"/>
      <c r="BC24" s="392"/>
      <c r="BD24" s="393"/>
      <c r="BE24" s="393"/>
      <c r="BF24" s="393"/>
      <c r="BG24" s="393"/>
      <c r="BH24" s="393"/>
      <c r="BI24" s="393"/>
      <c r="BJ24" s="392"/>
      <c r="BK24" s="393"/>
      <c r="BL24" s="393"/>
      <c r="BM24" s="393"/>
      <c r="BN24" s="393"/>
      <c r="BO24" s="393"/>
      <c r="BP24" s="392"/>
      <c r="BQ24" s="393"/>
      <c r="BR24" s="393"/>
      <c r="BS24" s="393"/>
      <c r="BT24" s="393"/>
      <c r="BU24" s="393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112"/>
      <c r="CL24" s="400" t="s">
        <v>452</v>
      </c>
      <c r="CM24" s="329"/>
      <c r="CN24" s="339"/>
      <c r="CO24" s="329"/>
      <c r="CP24" s="330"/>
      <c r="CQ24" s="924"/>
    </row>
    <row r="25" spans="1:95" s="922" customFormat="1" ht="25.5" customHeight="1">
      <c r="A25" s="106" t="s">
        <v>614</v>
      </c>
      <c r="B25" s="113" t="s">
        <v>123</v>
      </c>
      <c r="C25" s="525"/>
      <c r="D25" s="106"/>
      <c r="E25" s="106" t="s">
        <v>30</v>
      </c>
      <c r="F25" s="106"/>
      <c r="G25" s="106"/>
      <c r="H25" s="389"/>
      <c r="I25" s="389" t="s">
        <v>27</v>
      </c>
      <c r="J25" s="393"/>
      <c r="K25" s="109">
        <v>100</v>
      </c>
      <c r="L25" s="391">
        <f>M25+SUM(S25)</f>
        <v>150</v>
      </c>
      <c r="M25" s="391">
        <f>SUM(N25:P25)</f>
        <v>100</v>
      </c>
      <c r="N25" s="391">
        <f t="shared" si="20"/>
        <v>61</v>
      </c>
      <c r="O25" s="391">
        <f t="shared" si="20"/>
        <v>39</v>
      </c>
      <c r="P25" s="391">
        <f t="shared" si="20"/>
        <v>0</v>
      </c>
      <c r="Q25" s="391">
        <f t="shared" si="20"/>
        <v>0</v>
      </c>
      <c r="R25" s="391">
        <f t="shared" si="20"/>
        <v>0</v>
      </c>
      <c r="S25" s="391">
        <f t="shared" si="20"/>
        <v>50</v>
      </c>
      <c r="T25" s="392">
        <f>SUM(U25:Y25)+Z25</f>
        <v>51</v>
      </c>
      <c r="U25" s="109">
        <v>17</v>
      </c>
      <c r="V25" s="109">
        <v>17</v>
      </c>
      <c r="W25" s="109"/>
      <c r="X25" s="393"/>
      <c r="Y25" s="393"/>
      <c r="Z25" s="109">
        <v>17</v>
      </c>
      <c r="AA25" s="392">
        <f>SUM(AB25:AF25)+AG25</f>
        <v>99</v>
      </c>
      <c r="AB25" s="109">
        <v>44</v>
      </c>
      <c r="AC25" s="109">
        <v>22</v>
      </c>
      <c r="AD25" s="393"/>
      <c r="AE25" s="393"/>
      <c r="AF25" s="393"/>
      <c r="AG25" s="109">
        <v>33</v>
      </c>
      <c r="AH25" s="392"/>
      <c r="AI25" s="393"/>
      <c r="AJ25" s="393"/>
      <c r="AK25" s="393"/>
      <c r="AL25" s="393"/>
      <c r="AM25" s="393"/>
      <c r="AN25" s="393"/>
      <c r="AO25" s="392"/>
      <c r="AP25" s="393"/>
      <c r="AQ25" s="393"/>
      <c r="AR25" s="393"/>
      <c r="AS25" s="393"/>
      <c r="AT25" s="393"/>
      <c r="AU25" s="393"/>
      <c r="AV25" s="392"/>
      <c r="AW25" s="393"/>
      <c r="AX25" s="393"/>
      <c r="AY25" s="393"/>
      <c r="AZ25" s="393"/>
      <c r="BA25" s="393"/>
      <c r="BB25" s="393"/>
      <c r="BC25" s="392"/>
      <c r="BD25" s="393"/>
      <c r="BE25" s="393"/>
      <c r="BF25" s="393"/>
      <c r="BG25" s="393"/>
      <c r="BH25" s="393"/>
      <c r="BI25" s="393"/>
      <c r="BJ25" s="392"/>
      <c r="BK25" s="393"/>
      <c r="BL25" s="393"/>
      <c r="BM25" s="393"/>
      <c r="BN25" s="393"/>
      <c r="BO25" s="393"/>
      <c r="BP25" s="392"/>
      <c r="BQ25" s="393"/>
      <c r="BR25" s="393"/>
      <c r="BS25" s="393"/>
      <c r="BT25" s="393"/>
      <c r="BU25" s="393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112"/>
      <c r="CL25" s="400" t="s">
        <v>452</v>
      </c>
      <c r="CM25" s="329"/>
      <c r="CN25" s="339"/>
      <c r="CO25" s="329"/>
      <c r="CP25" s="330"/>
      <c r="CQ25" s="924"/>
    </row>
    <row r="26" spans="1:94" s="922" customFormat="1" ht="25.5" customHeight="1">
      <c r="A26" s="106" t="s">
        <v>615</v>
      </c>
      <c r="B26" s="925" t="s">
        <v>163</v>
      </c>
      <c r="C26" s="528"/>
      <c r="D26" s="529" t="s">
        <v>30</v>
      </c>
      <c r="E26" s="529"/>
      <c r="F26" s="529"/>
      <c r="G26" s="529"/>
      <c r="H26" s="389"/>
      <c r="I26" s="389" t="s">
        <v>27</v>
      </c>
      <c r="J26" s="390"/>
      <c r="K26" s="109">
        <v>121</v>
      </c>
      <c r="L26" s="391">
        <f>M26+SUM(S26)</f>
        <v>192</v>
      </c>
      <c r="M26" s="391">
        <f>SUM(N26:P26)</f>
        <v>128</v>
      </c>
      <c r="N26" s="391">
        <f t="shared" si="20"/>
        <v>100</v>
      </c>
      <c r="O26" s="391">
        <f t="shared" si="20"/>
        <v>28</v>
      </c>
      <c r="P26" s="391">
        <f t="shared" si="20"/>
        <v>0</v>
      </c>
      <c r="Q26" s="391">
        <f t="shared" si="20"/>
        <v>0</v>
      </c>
      <c r="R26" s="391">
        <f t="shared" si="20"/>
        <v>0</v>
      </c>
      <c r="S26" s="391">
        <f t="shared" si="20"/>
        <v>64</v>
      </c>
      <c r="T26" s="392">
        <f>SUM(U26:Y26)+Z26</f>
        <v>102</v>
      </c>
      <c r="U26" s="109">
        <v>51</v>
      </c>
      <c r="V26" s="109">
        <v>17</v>
      </c>
      <c r="W26" s="109"/>
      <c r="X26" s="393"/>
      <c r="Y26" s="393"/>
      <c r="Z26" s="109">
        <v>34</v>
      </c>
      <c r="AA26" s="392">
        <f>SUM(AB26:AF26)+AG26</f>
        <v>90</v>
      </c>
      <c r="AB26" s="109">
        <v>49</v>
      </c>
      <c r="AC26" s="109">
        <v>11</v>
      </c>
      <c r="AD26" s="393"/>
      <c r="AE26" s="393"/>
      <c r="AF26" s="393"/>
      <c r="AG26" s="109">
        <v>30</v>
      </c>
      <c r="AH26" s="392">
        <f>SUM(AI26:AN26)</f>
        <v>0</v>
      </c>
      <c r="AI26" s="393"/>
      <c r="AJ26" s="393"/>
      <c r="AK26" s="393"/>
      <c r="AL26" s="393"/>
      <c r="AM26" s="393"/>
      <c r="AN26" s="393"/>
      <c r="AO26" s="392">
        <f>SUM(AP26:AV26)</f>
        <v>0</v>
      </c>
      <c r="AP26" s="393"/>
      <c r="AQ26" s="393"/>
      <c r="AR26" s="393"/>
      <c r="AS26" s="393"/>
      <c r="AT26" s="393"/>
      <c r="AU26" s="393"/>
      <c r="AV26" s="392">
        <f>SUM(AW26:BB26)</f>
        <v>0</v>
      </c>
      <c r="AW26" s="393"/>
      <c r="AX26" s="393"/>
      <c r="AY26" s="393"/>
      <c r="AZ26" s="393"/>
      <c r="BA26" s="393"/>
      <c r="BB26" s="393"/>
      <c r="BC26" s="392">
        <f>SUM(BD26:BI26)</f>
        <v>0</v>
      </c>
      <c r="BD26" s="393"/>
      <c r="BE26" s="393"/>
      <c r="BF26" s="393"/>
      <c r="BG26" s="393"/>
      <c r="BH26" s="393"/>
      <c r="BI26" s="393"/>
      <c r="BJ26" s="392">
        <f>SUM(BK26:BO26)</f>
        <v>0</v>
      </c>
      <c r="BK26" s="393"/>
      <c r="BL26" s="393"/>
      <c r="BM26" s="393"/>
      <c r="BN26" s="393"/>
      <c r="BO26" s="393"/>
      <c r="BP26" s="392">
        <f>SUM(BQ26:BU26)</f>
        <v>0</v>
      </c>
      <c r="BQ26" s="393"/>
      <c r="BR26" s="393"/>
      <c r="BS26" s="393"/>
      <c r="BT26" s="393"/>
      <c r="BU26" s="393"/>
      <c r="BV26" s="109"/>
      <c r="BW26" s="109"/>
      <c r="BX26" s="109"/>
      <c r="BY26" s="109"/>
      <c r="BZ26" s="109"/>
      <c r="CA26" s="174">
        <f>SUM(CB26:CH26)</f>
        <v>0</v>
      </c>
      <c r="CB26" s="109"/>
      <c r="CC26" s="109"/>
      <c r="CD26" s="109"/>
      <c r="CE26" s="109"/>
      <c r="CF26" s="109"/>
      <c r="CG26" s="109"/>
      <c r="CH26" s="109"/>
      <c r="CI26" s="174">
        <f>SUM(CJ26:CP26)</f>
        <v>0</v>
      </c>
      <c r="CJ26" s="109"/>
      <c r="CK26" s="110"/>
      <c r="CL26" s="400" t="s">
        <v>452</v>
      </c>
      <c r="CM26" s="109"/>
      <c r="CN26" s="149"/>
      <c r="CO26" s="109"/>
      <c r="CP26" s="110"/>
    </row>
    <row r="27" spans="1:91" s="98" customFormat="1" ht="25.5" customHeight="1">
      <c r="A27" s="402"/>
      <c r="B27" s="696" t="s">
        <v>371</v>
      </c>
      <c r="C27" s="696"/>
      <c r="D27" s="403"/>
      <c r="E27" s="403"/>
      <c r="F27" s="403"/>
      <c r="G27" s="403"/>
      <c r="H27" s="403"/>
      <c r="I27" s="403"/>
      <c r="J27" s="399">
        <v>2970</v>
      </c>
      <c r="K27" s="399">
        <v>1980</v>
      </c>
      <c r="L27" s="399">
        <f aca="true" t="shared" si="21" ref="L27:BN27">L28+L33+L37</f>
        <v>3993</v>
      </c>
      <c r="M27" s="399">
        <f t="shared" si="21"/>
        <v>2656</v>
      </c>
      <c r="N27" s="399">
        <f t="shared" si="21"/>
        <v>2050</v>
      </c>
      <c r="O27" s="399">
        <f t="shared" si="21"/>
        <v>553</v>
      </c>
      <c r="P27" s="399">
        <f t="shared" si="21"/>
        <v>53</v>
      </c>
      <c r="Q27" s="399"/>
      <c r="R27" s="399">
        <f t="shared" si="21"/>
        <v>0</v>
      </c>
      <c r="S27" s="399">
        <f t="shared" si="21"/>
        <v>1337</v>
      </c>
      <c r="T27" s="399">
        <f t="shared" si="21"/>
        <v>0</v>
      </c>
      <c r="U27" s="399">
        <f t="shared" si="21"/>
        <v>0</v>
      </c>
      <c r="V27" s="399">
        <f t="shared" si="21"/>
        <v>0</v>
      </c>
      <c r="W27" s="399">
        <f t="shared" si="21"/>
        <v>0</v>
      </c>
      <c r="X27" s="399"/>
      <c r="Y27" s="399">
        <f t="shared" si="21"/>
        <v>0</v>
      </c>
      <c r="Z27" s="399">
        <f t="shared" si="21"/>
        <v>0</v>
      </c>
      <c r="AA27" s="399">
        <f t="shared" si="21"/>
        <v>0</v>
      </c>
      <c r="AB27" s="399">
        <f t="shared" si="21"/>
        <v>0</v>
      </c>
      <c r="AC27" s="399">
        <f t="shared" si="21"/>
        <v>0</v>
      </c>
      <c r="AD27" s="399">
        <f t="shared" si="21"/>
        <v>0</v>
      </c>
      <c r="AE27" s="399"/>
      <c r="AF27" s="399"/>
      <c r="AG27" s="399">
        <f t="shared" si="21"/>
        <v>0</v>
      </c>
      <c r="AH27" s="399">
        <f t="shared" si="21"/>
        <v>816</v>
      </c>
      <c r="AI27" s="399">
        <f t="shared" si="21"/>
        <v>456</v>
      </c>
      <c r="AJ27" s="399">
        <f t="shared" si="21"/>
        <v>88</v>
      </c>
      <c r="AK27" s="399">
        <f t="shared" si="21"/>
        <v>0</v>
      </c>
      <c r="AL27" s="399"/>
      <c r="AM27" s="399">
        <f t="shared" si="21"/>
        <v>0</v>
      </c>
      <c r="AN27" s="399">
        <f t="shared" si="21"/>
        <v>272</v>
      </c>
      <c r="AO27" s="399">
        <f t="shared" si="21"/>
        <v>765</v>
      </c>
      <c r="AP27" s="399">
        <f t="shared" si="21"/>
        <v>427</v>
      </c>
      <c r="AQ27" s="399">
        <f t="shared" si="21"/>
        <v>83</v>
      </c>
      <c r="AR27" s="399">
        <f t="shared" si="21"/>
        <v>0</v>
      </c>
      <c r="AS27" s="399"/>
      <c r="AT27" s="399">
        <f t="shared" si="21"/>
        <v>0</v>
      </c>
      <c r="AU27" s="399">
        <f t="shared" si="21"/>
        <v>255</v>
      </c>
      <c r="AV27" s="399">
        <f t="shared" si="21"/>
        <v>792</v>
      </c>
      <c r="AW27" s="399">
        <f t="shared" si="21"/>
        <v>432</v>
      </c>
      <c r="AX27" s="399">
        <f t="shared" si="21"/>
        <v>96</v>
      </c>
      <c r="AY27" s="399">
        <f t="shared" si="21"/>
        <v>0</v>
      </c>
      <c r="AZ27" s="399"/>
      <c r="BA27" s="399">
        <f t="shared" si="21"/>
        <v>0</v>
      </c>
      <c r="BB27" s="399">
        <f t="shared" si="21"/>
        <v>264</v>
      </c>
      <c r="BC27" s="399">
        <f t="shared" si="21"/>
        <v>459</v>
      </c>
      <c r="BD27" s="399">
        <f t="shared" si="21"/>
        <v>204</v>
      </c>
      <c r="BE27" s="399">
        <f t="shared" si="21"/>
        <v>73</v>
      </c>
      <c r="BF27" s="399">
        <f t="shared" si="21"/>
        <v>29</v>
      </c>
      <c r="BG27" s="399"/>
      <c r="BH27" s="399">
        <f t="shared" si="21"/>
        <v>0</v>
      </c>
      <c r="BI27" s="399">
        <f t="shared" si="21"/>
        <v>153</v>
      </c>
      <c r="BJ27" s="399">
        <f t="shared" si="21"/>
        <v>405</v>
      </c>
      <c r="BK27" s="399">
        <f t="shared" si="21"/>
        <v>208</v>
      </c>
      <c r="BL27" s="399">
        <f t="shared" si="21"/>
        <v>80</v>
      </c>
      <c r="BM27" s="399">
        <f t="shared" si="21"/>
        <v>0</v>
      </c>
      <c r="BN27" s="399">
        <f t="shared" si="21"/>
        <v>0</v>
      </c>
      <c r="BO27" s="399">
        <f aca="true" t="shared" si="22" ref="BO27:CH27">BO28+BO33+BO37</f>
        <v>144</v>
      </c>
      <c r="BP27" s="399">
        <f t="shared" si="22"/>
        <v>729</v>
      </c>
      <c r="BQ27" s="399">
        <f t="shared" si="22"/>
        <v>323</v>
      </c>
      <c r="BR27" s="399">
        <f t="shared" si="22"/>
        <v>133</v>
      </c>
      <c r="BS27" s="399">
        <f t="shared" si="22"/>
        <v>24</v>
      </c>
      <c r="BT27" s="399">
        <f t="shared" si="22"/>
        <v>0</v>
      </c>
      <c r="BU27" s="399">
        <f t="shared" si="22"/>
        <v>249</v>
      </c>
      <c r="BV27" s="399">
        <f t="shared" si="22"/>
        <v>0</v>
      </c>
      <c r="BW27" s="399">
        <f t="shared" si="22"/>
        <v>0</v>
      </c>
      <c r="BX27" s="399">
        <f t="shared" si="22"/>
        <v>0</v>
      </c>
      <c r="BY27" s="399">
        <f t="shared" si="22"/>
        <v>0</v>
      </c>
      <c r="BZ27" s="399">
        <f t="shared" si="22"/>
        <v>0</v>
      </c>
      <c r="CA27" s="399">
        <f t="shared" si="22"/>
        <v>0</v>
      </c>
      <c r="CB27" s="399">
        <f t="shared" si="22"/>
        <v>0</v>
      </c>
      <c r="CC27" s="399">
        <f t="shared" si="22"/>
        <v>0</v>
      </c>
      <c r="CD27" s="399">
        <f t="shared" si="22"/>
        <v>0</v>
      </c>
      <c r="CE27" s="399">
        <f t="shared" si="22"/>
        <v>0</v>
      </c>
      <c r="CF27" s="399">
        <f t="shared" si="22"/>
        <v>0</v>
      </c>
      <c r="CG27" s="399">
        <f t="shared" si="22"/>
        <v>0</v>
      </c>
      <c r="CH27" s="399">
        <f t="shared" si="22"/>
        <v>0</v>
      </c>
      <c r="CI27" s="399">
        <f>CI28+CI33+CI37</f>
        <v>0</v>
      </c>
      <c r="CJ27" s="399">
        <f>CJ28+CJ33+CJ37</f>
        <v>0</v>
      </c>
      <c r="CK27" s="399">
        <f>CK28+CK33+CK37</f>
        <v>0</v>
      </c>
      <c r="CL27" s="403"/>
      <c r="CM27" s="403"/>
    </row>
    <row r="28" spans="1:96" s="98" customFormat="1" ht="25.5" customHeight="1">
      <c r="A28" s="404" t="s">
        <v>150</v>
      </c>
      <c r="B28" s="666" t="s">
        <v>516</v>
      </c>
      <c r="C28" s="666"/>
      <c r="D28" s="666"/>
      <c r="E28" s="666"/>
      <c r="F28" s="666"/>
      <c r="G28" s="666"/>
      <c r="H28" s="666"/>
      <c r="I28" s="666"/>
      <c r="J28" s="396">
        <v>612</v>
      </c>
      <c r="K28" s="396">
        <v>408</v>
      </c>
      <c r="L28" s="396">
        <f aca="true" t="shared" si="23" ref="L28:BO28">SUM(L29:L32)</f>
        <v>737</v>
      </c>
      <c r="M28" s="396">
        <f t="shared" si="23"/>
        <v>445</v>
      </c>
      <c r="N28" s="396">
        <f t="shared" si="23"/>
        <v>252</v>
      </c>
      <c r="O28" s="396">
        <f t="shared" si="23"/>
        <v>193</v>
      </c>
      <c r="P28" s="396">
        <f t="shared" si="23"/>
        <v>0</v>
      </c>
      <c r="Q28" s="396"/>
      <c r="R28" s="396">
        <f t="shared" si="23"/>
        <v>0</v>
      </c>
      <c r="S28" s="396">
        <f t="shared" si="23"/>
        <v>292</v>
      </c>
      <c r="T28" s="396">
        <f t="shared" si="23"/>
        <v>0</v>
      </c>
      <c r="U28" s="396">
        <f t="shared" si="23"/>
        <v>0</v>
      </c>
      <c r="V28" s="396">
        <f t="shared" si="23"/>
        <v>0</v>
      </c>
      <c r="W28" s="396">
        <f t="shared" si="23"/>
        <v>0</v>
      </c>
      <c r="X28" s="396"/>
      <c r="Y28" s="396">
        <f t="shared" si="23"/>
        <v>0</v>
      </c>
      <c r="Z28" s="396">
        <f t="shared" si="23"/>
        <v>0</v>
      </c>
      <c r="AA28" s="396">
        <f t="shared" si="23"/>
        <v>0</v>
      </c>
      <c r="AB28" s="396">
        <f t="shared" si="23"/>
        <v>0</v>
      </c>
      <c r="AC28" s="396">
        <f t="shared" si="23"/>
        <v>0</v>
      </c>
      <c r="AD28" s="396">
        <f t="shared" si="23"/>
        <v>0</v>
      </c>
      <c r="AE28" s="396"/>
      <c r="AF28" s="396"/>
      <c r="AG28" s="396">
        <f t="shared" si="23"/>
        <v>0</v>
      </c>
      <c r="AH28" s="396">
        <f t="shared" si="23"/>
        <v>256</v>
      </c>
      <c r="AI28" s="396">
        <f t="shared" si="23"/>
        <v>128</v>
      </c>
      <c r="AJ28" s="396">
        <f t="shared" si="23"/>
        <v>32</v>
      </c>
      <c r="AK28" s="396">
        <f t="shared" si="23"/>
        <v>0</v>
      </c>
      <c r="AL28" s="396"/>
      <c r="AM28" s="396">
        <f t="shared" si="23"/>
        <v>0</v>
      </c>
      <c r="AN28" s="396">
        <f t="shared" si="23"/>
        <v>96</v>
      </c>
      <c r="AO28" s="396">
        <f t="shared" si="23"/>
        <v>105</v>
      </c>
      <c r="AP28" s="396">
        <f t="shared" si="23"/>
        <v>30</v>
      </c>
      <c r="AQ28" s="396">
        <f t="shared" si="23"/>
        <v>30</v>
      </c>
      <c r="AR28" s="396">
        <f t="shared" si="23"/>
        <v>0</v>
      </c>
      <c r="AS28" s="396"/>
      <c r="AT28" s="396">
        <f t="shared" si="23"/>
        <v>0</v>
      </c>
      <c r="AU28" s="396">
        <f t="shared" si="23"/>
        <v>45</v>
      </c>
      <c r="AV28" s="396">
        <f t="shared" si="23"/>
        <v>112</v>
      </c>
      <c r="AW28" s="396">
        <f t="shared" si="23"/>
        <v>32</v>
      </c>
      <c r="AX28" s="396">
        <f t="shared" si="23"/>
        <v>32</v>
      </c>
      <c r="AY28" s="396">
        <f t="shared" si="23"/>
        <v>0</v>
      </c>
      <c r="AZ28" s="396"/>
      <c r="BA28" s="396">
        <f t="shared" si="23"/>
        <v>0</v>
      </c>
      <c r="BB28" s="396">
        <f t="shared" si="23"/>
        <v>48</v>
      </c>
      <c r="BC28" s="396">
        <f t="shared" si="23"/>
        <v>59</v>
      </c>
      <c r="BD28" s="396">
        <f t="shared" si="23"/>
        <v>17</v>
      </c>
      <c r="BE28" s="396">
        <f t="shared" si="23"/>
        <v>17</v>
      </c>
      <c r="BF28" s="396">
        <f t="shared" si="23"/>
        <v>0</v>
      </c>
      <c r="BG28" s="396"/>
      <c r="BH28" s="396">
        <f t="shared" si="23"/>
        <v>0</v>
      </c>
      <c r="BI28" s="396">
        <f t="shared" si="23"/>
        <v>25</v>
      </c>
      <c r="BJ28" s="396">
        <f t="shared" si="23"/>
        <v>68</v>
      </c>
      <c r="BK28" s="396">
        <f t="shared" si="23"/>
        <v>16</v>
      </c>
      <c r="BL28" s="396">
        <f t="shared" si="23"/>
        <v>24</v>
      </c>
      <c r="BM28" s="396">
        <f t="shared" si="23"/>
        <v>0</v>
      </c>
      <c r="BN28" s="396">
        <f t="shared" si="23"/>
        <v>0</v>
      </c>
      <c r="BO28" s="396">
        <f t="shared" si="23"/>
        <v>28</v>
      </c>
      <c r="BP28" s="396">
        <f aca="true" t="shared" si="24" ref="BP28:CH28">SUM(BP29:BP32)</f>
        <v>137</v>
      </c>
      <c r="BQ28" s="396">
        <f t="shared" si="24"/>
        <v>29</v>
      </c>
      <c r="BR28" s="396">
        <f t="shared" si="24"/>
        <v>58</v>
      </c>
      <c r="BS28" s="396">
        <f t="shared" si="24"/>
        <v>0</v>
      </c>
      <c r="BT28" s="396">
        <f t="shared" si="24"/>
        <v>0</v>
      </c>
      <c r="BU28" s="396">
        <f t="shared" si="24"/>
        <v>50</v>
      </c>
      <c r="BV28" s="396">
        <f t="shared" si="24"/>
        <v>0</v>
      </c>
      <c r="BW28" s="396">
        <f t="shared" si="24"/>
        <v>0</v>
      </c>
      <c r="BX28" s="396">
        <f t="shared" si="24"/>
        <v>0</v>
      </c>
      <c r="BY28" s="396">
        <f t="shared" si="24"/>
        <v>0</v>
      </c>
      <c r="BZ28" s="396">
        <f t="shared" si="24"/>
        <v>0</v>
      </c>
      <c r="CA28" s="396">
        <f t="shared" si="24"/>
        <v>0</v>
      </c>
      <c r="CB28" s="396">
        <f t="shared" si="24"/>
        <v>0</v>
      </c>
      <c r="CC28" s="396">
        <f t="shared" si="24"/>
        <v>0</v>
      </c>
      <c r="CD28" s="396">
        <f t="shared" si="24"/>
        <v>0</v>
      </c>
      <c r="CE28" s="396">
        <f t="shared" si="24"/>
        <v>0</v>
      </c>
      <c r="CF28" s="396">
        <f t="shared" si="24"/>
        <v>0</v>
      </c>
      <c r="CG28" s="396">
        <f t="shared" si="24"/>
        <v>0</v>
      </c>
      <c r="CH28" s="396">
        <f t="shared" si="24"/>
        <v>0</v>
      </c>
      <c r="CI28" s="396">
        <f>SUM(CI29:CI32)</f>
        <v>0</v>
      </c>
      <c r="CJ28" s="396">
        <f>SUM(CJ29:CJ32)</f>
        <v>0</v>
      </c>
      <c r="CK28" s="396">
        <f>SUM(CK29:CK32)</f>
        <v>0</v>
      </c>
      <c r="CL28" s="405"/>
      <c r="CM28" s="405"/>
      <c r="CR28" s="513">
        <f>SUM(L28-J28)</f>
        <v>125</v>
      </c>
    </row>
    <row r="29" spans="1:91" s="111" customFormat="1" ht="25.5" customHeight="1">
      <c r="A29" s="386" t="s">
        <v>152</v>
      </c>
      <c r="B29" s="387" t="s">
        <v>156</v>
      </c>
      <c r="C29" s="388"/>
      <c r="D29" s="389"/>
      <c r="E29" s="389" t="s">
        <v>29</v>
      </c>
      <c r="F29" s="389"/>
      <c r="G29" s="389"/>
      <c r="H29" s="389"/>
      <c r="I29" s="389"/>
      <c r="J29" s="393"/>
      <c r="K29" s="393">
        <v>48</v>
      </c>
      <c r="L29" s="391">
        <f>M29+SUM(S29:S29)</f>
        <v>72</v>
      </c>
      <c r="M29" s="391">
        <f>SUM(N29:P29)</f>
        <v>48</v>
      </c>
      <c r="N29" s="391">
        <f aca="true" t="shared" si="25" ref="N29:P32">U29+AB29+AI29+AP29+AW29+BD29+BK29+BQ29+BX29+CF29</f>
        <v>48</v>
      </c>
      <c r="O29" s="391">
        <f t="shared" si="25"/>
        <v>0</v>
      </c>
      <c r="P29" s="391">
        <f t="shared" si="25"/>
        <v>0</v>
      </c>
      <c r="Q29" s="391"/>
      <c r="R29" s="391">
        <f>Y29+AM29+AT29+BA29+BH29+BN29+BT29+CA29+CI29</f>
        <v>0</v>
      </c>
      <c r="S29" s="391">
        <f>Z29+AG29+AN29+AU29+BB29+BI29+BO29+BU29+CC29+CK29</f>
        <v>24</v>
      </c>
      <c r="T29" s="392">
        <f>SUM(U29:Z29)</f>
        <v>0</v>
      </c>
      <c r="U29" s="393"/>
      <c r="V29" s="393"/>
      <c r="W29" s="393"/>
      <c r="X29" s="393"/>
      <c r="Y29" s="393"/>
      <c r="Z29" s="393"/>
      <c r="AA29" s="392">
        <f>SUM(AB29:AG29)</f>
        <v>0</v>
      </c>
      <c r="AB29" s="393"/>
      <c r="AC29" s="393"/>
      <c r="AD29" s="393"/>
      <c r="AE29" s="393"/>
      <c r="AF29" s="393"/>
      <c r="AG29" s="393"/>
      <c r="AH29" s="392">
        <f>SUM(AI29:AN29)</f>
        <v>72</v>
      </c>
      <c r="AI29" s="393">
        <v>48</v>
      </c>
      <c r="AJ29" s="393"/>
      <c r="AK29" s="393"/>
      <c r="AL29" s="393"/>
      <c r="AM29" s="393"/>
      <c r="AN29" s="393">
        <v>24</v>
      </c>
      <c r="AO29" s="392">
        <f>SUM(AP29:AU29)</f>
        <v>0</v>
      </c>
      <c r="AP29" s="393"/>
      <c r="AQ29" s="393"/>
      <c r="AR29" s="393"/>
      <c r="AS29" s="393"/>
      <c r="AT29" s="393"/>
      <c r="AU29" s="393"/>
      <c r="AV29" s="392">
        <f>SUM(AW29:BB29)</f>
        <v>0</v>
      </c>
      <c r="AW29" s="393"/>
      <c r="AX29" s="393"/>
      <c r="AY29" s="393"/>
      <c r="AZ29" s="393"/>
      <c r="BA29" s="393"/>
      <c r="BB29" s="393"/>
      <c r="BC29" s="392">
        <f>SUM(BD29:BI29)</f>
        <v>0</v>
      </c>
      <c r="BD29" s="393"/>
      <c r="BE29" s="393"/>
      <c r="BF29" s="393"/>
      <c r="BG29" s="393"/>
      <c r="BH29" s="393"/>
      <c r="BI29" s="393"/>
      <c r="BJ29" s="392">
        <f>SUM(BK29:BO29)</f>
        <v>0</v>
      </c>
      <c r="BK29" s="393"/>
      <c r="BL29" s="393"/>
      <c r="BM29" s="393"/>
      <c r="BN29" s="393"/>
      <c r="BO29" s="393"/>
      <c r="BP29" s="392">
        <f>SUM(BQ29:BU29)</f>
        <v>0</v>
      </c>
      <c r="BQ29" s="393"/>
      <c r="BR29" s="393"/>
      <c r="BS29" s="393"/>
      <c r="BT29" s="393"/>
      <c r="BU29" s="393"/>
      <c r="BV29" s="392">
        <f>SUM(BW29:CC29)</f>
        <v>0</v>
      </c>
      <c r="BW29" s="393"/>
      <c r="BX29" s="393"/>
      <c r="BY29" s="393"/>
      <c r="BZ29" s="393"/>
      <c r="CA29" s="393"/>
      <c r="CB29" s="393"/>
      <c r="CC29" s="393"/>
      <c r="CD29" s="392">
        <f>SUM(CE29:CK29)</f>
        <v>0</v>
      </c>
      <c r="CE29" s="393"/>
      <c r="CF29" s="393"/>
      <c r="CG29" s="393"/>
      <c r="CH29" s="393"/>
      <c r="CI29" s="393"/>
      <c r="CJ29" s="393"/>
      <c r="CK29" s="393"/>
      <c r="CL29" s="389" t="s">
        <v>451</v>
      </c>
      <c r="CM29" s="406" t="s">
        <v>273</v>
      </c>
    </row>
    <row r="30" spans="1:91" s="111" customFormat="1" ht="25.5" customHeight="1">
      <c r="A30" s="386" t="s">
        <v>153</v>
      </c>
      <c r="B30" s="387" t="s">
        <v>120</v>
      </c>
      <c r="C30" s="388"/>
      <c r="D30" s="389" t="s">
        <v>29</v>
      </c>
      <c r="E30" s="389"/>
      <c r="F30" s="389"/>
      <c r="G30" s="389"/>
      <c r="H30" s="389"/>
      <c r="I30" s="389"/>
      <c r="J30" s="393"/>
      <c r="K30" s="393">
        <v>48</v>
      </c>
      <c r="L30" s="391">
        <f>M30+SUM(S30:S30)</f>
        <v>72</v>
      </c>
      <c r="M30" s="391">
        <f>SUM(N30:P30)</f>
        <v>48</v>
      </c>
      <c r="N30" s="391">
        <f t="shared" si="25"/>
        <v>48</v>
      </c>
      <c r="O30" s="391">
        <f t="shared" si="25"/>
        <v>0</v>
      </c>
      <c r="P30" s="391">
        <f t="shared" si="25"/>
        <v>0</v>
      </c>
      <c r="Q30" s="391"/>
      <c r="R30" s="391">
        <f>Y30+AM30+AT30+BA30+BH30+BN30+BT30+CA30+CI30</f>
        <v>0</v>
      </c>
      <c r="S30" s="391">
        <f>Z30+AG30+AN30+AU30+BB30+BI30+BO30+BU30+CC30+CK30</f>
        <v>24</v>
      </c>
      <c r="T30" s="392">
        <f>SUM(U30:Z30)</f>
        <v>0</v>
      </c>
      <c r="U30" s="393"/>
      <c r="V30" s="393"/>
      <c r="W30" s="393"/>
      <c r="X30" s="393"/>
      <c r="Y30" s="393"/>
      <c r="Z30" s="393"/>
      <c r="AA30" s="392">
        <f>SUM(AB30:AG30)</f>
        <v>0</v>
      </c>
      <c r="AB30" s="393"/>
      <c r="AC30" s="393"/>
      <c r="AD30" s="393"/>
      <c r="AE30" s="393"/>
      <c r="AF30" s="393"/>
      <c r="AG30" s="393"/>
      <c r="AH30" s="392">
        <f>SUM(AI30:AN30)</f>
        <v>72</v>
      </c>
      <c r="AI30" s="393">
        <v>48</v>
      </c>
      <c r="AJ30" s="393"/>
      <c r="AK30" s="393"/>
      <c r="AL30" s="393"/>
      <c r="AM30" s="393"/>
      <c r="AN30" s="393">
        <v>24</v>
      </c>
      <c r="AO30" s="392">
        <f>SUM(AP30:AU30)</f>
        <v>0</v>
      </c>
      <c r="AP30" s="393"/>
      <c r="AQ30" s="393"/>
      <c r="AR30" s="393"/>
      <c r="AS30" s="393"/>
      <c r="AT30" s="393"/>
      <c r="AU30" s="393"/>
      <c r="AV30" s="392">
        <f>SUM(AW30:BB30)</f>
        <v>0</v>
      </c>
      <c r="AW30" s="393"/>
      <c r="AX30" s="393"/>
      <c r="AY30" s="393"/>
      <c r="AZ30" s="393"/>
      <c r="BA30" s="393"/>
      <c r="BB30" s="393"/>
      <c r="BC30" s="392">
        <f>SUM(BD30:BI30)</f>
        <v>0</v>
      </c>
      <c r="BD30" s="393"/>
      <c r="BE30" s="393"/>
      <c r="BF30" s="393"/>
      <c r="BG30" s="393"/>
      <c r="BH30" s="393"/>
      <c r="BI30" s="393"/>
      <c r="BJ30" s="392">
        <f>SUM(BK30:BO30)</f>
        <v>0</v>
      </c>
      <c r="BK30" s="393"/>
      <c r="BL30" s="393"/>
      <c r="BM30" s="393"/>
      <c r="BN30" s="393"/>
      <c r="BO30" s="393"/>
      <c r="BP30" s="392">
        <f>SUM(BQ30:BU30)</f>
        <v>0</v>
      </c>
      <c r="BQ30" s="393"/>
      <c r="BR30" s="393"/>
      <c r="BS30" s="393"/>
      <c r="BT30" s="393"/>
      <c r="BU30" s="393"/>
      <c r="BV30" s="392">
        <f>SUM(BW30:CC30)</f>
        <v>0</v>
      </c>
      <c r="BW30" s="393"/>
      <c r="BX30" s="393"/>
      <c r="BY30" s="393"/>
      <c r="BZ30" s="393"/>
      <c r="CA30" s="393"/>
      <c r="CB30" s="393"/>
      <c r="CC30" s="393"/>
      <c r="CD30" s="392">
        <f>SUM(CE30:CK30)</f>
        <v>0</v>
      </c>
      <c r="CE30" s="393"/>
      <c r="CF30" s="393"/>
      <c r="CG30" s="393"/>
      <c r="CH30" s="393"/>
      <c r="CI30" s="393"/>
      <c r="CJ30" s="393"/>
      <c r="CK30" s="393"/>
      <c r="CL30" s="389" t="s">
        <v>451</v>
      </c>
      <c r="CM30" s="406" t="s">
        <v>273</v>
      </c>
    </row>
    <row r="31" spans="1:91" s="582" customFormat="1" ht="33.75" customHeight="1">
      <c r="A31" s="574" t="s">
        <v>154</v>
      </c>
      <c r="B31" s="575" t="s">
        <v>121</v>
      </c>
      <c r="C31" s="576"/>
      <c r="D31" s="577"/>
      <c r="E31" s="577" t="s">
        <v>431</v>
      </c>
      <c r="F31" s="577"/>
      <c r="G31" s="577"/>
      <c r="H31" s="577"/>
      <c r="I31" s="583" t="s">
        <v>586</v>
      </c>
      <c r="J31" s="408"/>
      <c r="K31" s="408">
        <v>156</v>
      </c>
      <c r="L31" s="578">
        <f>M31+SUM(S31:S31)</f>
        <v>281</v>
      </c>
      <c r="M31" s="578">
        <f>SUM(N31:P31)</f>
        <v>193</v>
      </c>
      <c r="N31" s="578">
        <f t="shared" si="25"/>
        <v>0</v>
      </c>
      <c r="O31" s="578">
        <f t="shared" si="25"/>
        <v>193</v>
      </c>
      <c r="P31" s="578">
        <f t="shared" si="25"/>
        <v>0</v>
      </c>
      <c r="Q31" s="578"/>
      <c r="R31" s="578">
        <f>Y31+AM31+AT31+BA31+BH31+BN31+BT31+CA31+CI31</f>
        <v>0</v>
      </c>
      <c r="S31" s="578">
        <f>Z31+AG31+AN31+AU31+BB31+BI31+BO31+BU31+CC31+CK31</f>
        <v>88</v>
      </c>
      <c r="T31" s="579">
        <f>SUM(U31:Z31)</f>
        <v>0</v>
      </c>
      <c r="U31" s="408"/>
      <c r="V31" s="408"/>
      <c r="W31" s="408"/>
      <c r="X31" s="408"/>
      <c r="Y31" s="408"/>
      <c r="Z31" s="408"/>
      <c r="AA31" s="579">
        <f>SUM(AB31:AG31)</f>
        <v>0</v>
      </c>
      <c r="AB31" s="408"/>
      <c r="AC31" s="408"/>
      <c r="AD31" s="408"/>
      <c r="AE31" s="408"/>
      <c r="AF31" s="408"/>
      <c r="AG31" s="408"/>
      <c r="AH31" s="579">
        <f>SUM(AI31:AN31)</f>
        <v>48</v>
      </c>
      <c r="AI31" s="408"/>
      <c r="AJ31" s="408">
        <v>32</v>
      </c>
      <c r="AK31" s="408"/>
      <c r="AL31" s="408"/>
      <c r="AM31" s="408"/>
      <c r="AN31" s="408">
        <v>16</v>
      </c>
      <c r="AO31" s="579">
        <f>SUM(AP31:AU31)</f>
        <v>45</v>
      </c>
      <c r="AP31" s="408"/>
      <c r="AQ31" s="408">
        <v>30</v>
      </c>
      <c r="AR31" s="408"/>
      <c r="AS31" s="408"/>
      <c r="AT31" s="408"/>
      <c r="AU31" s="408">
        <v>15</v>
      </c>
      <c r="AV31" s="579">
        <f>SUM(AW31:BB31)</f>
        <v>48</v>
      </c>
      <c r="AW31" s="408"/>
      <c r="AX31" s="408">
        <v>32</v>
      </c>
      <c r="AY31" s="408"/>
      <c r="AZ31" s="408"/>
      <c r="BA31" s="408"/>
      <c r="BB31" s="408">
        <v>16</v>
      </c>
      <c r="BC31" s="579">
        <f>SUM(BD31:BI31)</f>
        <v>25</v>
      </c>
      <c r="BD31" s="580"/>
      <c r="BE31" s="580">
        <v>17</v>
      </c>
      <c r="BF31" s="580"/>
      <c r="BG31" s="580"/>
      <c r="BH31" s="580"/>
      <c r="BI31" s="580">
        <v>8</v>
      </c>
      <c r="BJ31" s="579">
        <f>SUM(BK31:BO31)</f>
        <v>36</v>
      </c>
      <c r="BK31" s="408"/>
      <c r="BL31" s="408">
        <v>24</v>
      </c>
      <c r="BM31" s="408"/>
      <c r="BN31" s="408"/>
      <c r="BO31" s="408">
        <v>12</v>
      </c>
      <c r="BP31" s="579">
        <f>SUM(BQ31:BU31)</f>
        <v>79</v>
      </c>
      <c r="BQ31" s="580"/>
      <c r="BR31" s="580">
        <v>58</v>
      </c>
      <c r="BS31" s="580"/>
      <c r="BT31" s="580"/>
      <c r="BU31" s="580">
        <v>21</v>
      </c>
      <c r="BV31" s="579">
        <f>SUM(BW31:CC31)</f>
        <v>0</v>
      </c>
      <c r="BW31" s="408"/>
      <c r="BX31" s="408"/>
      <c r="BY31" s="408"/>
      <c r="BZ31" s="408"/>
      <c r="CA31" s="408"/>
      <c r="CB31" s="408"/>
      <c r="CC31" s="408"/>
      <c r="CD31" s="579">
        <f>SUM(CE31:CK31)</f>
        <v>0</v>
      </c>
      <c r="CE31" s="408"/>
      <c r="CF31" s="408"/>
      <c r="CG31" s="408"/>
      <c r="CH31" s="408"/>
      <c r="CI31" s="408"/>
      <c r="CJ31" s="408"/>
      <c r="CK31" s="408"/>
      <c r="CL31" s="577" t="s">
        <v>451</v>
      </c>
      <c r="CM31" s="581" t="s">
        <v>273</v>
      </c>
    </row>
    <row r="32" spans="1:91" s="582" customFormat="1" ht="33" customHeight="1">
      <c r="A32" s="574" t="s">
        <v>155</v>
      </c>
      <c r="B32" s="575" t="s">
        <v>7</v>
      </c>
      <c r="C32" s="576"/>
      <c r="D32" s="577"/>
      <c r="E32" s="577"/>
      <c r="F32" s="577" t="s">
        <v>390</v>
      </c>
      <c r="G32" s="577"/>
      <c r="H32" s="577"/>
      <c r="I32" s="577"/>
      <c r="J32" s="408">
        <v>312</v>
      </c>
      <c r="K32" s="408">
        <v>156</v>
      </c>
      <c r="L32" s="578">
        <f>M32+SUM(S32:S32)</f>
        <v>312</v>
      </c>
      <c r="M32" s="578">
        <f>SUM(N32:P32)</f>
        <v>156</v>
      </c>
      <c r="N32" s="578">
        <f t="shared" si="25"/>
        <v>156</v>
      </c>
      <c r="O32" s="578">
        <f t="shared" si="25"/>
        <v>0</v>
      </c>
      <c r="P32" s="578">
        <f t="shared" si="25"/>
        <v>0</v>
      </c>
      <c r="Q32" s="578"/>
      <c r="R32" s="578">
        <f>Y32+AM32+AT32+BA32+BH32+BN32+BT32+CA32+CI32</f>
        <v>0</v>
      </c>
      <c r="S32" s="578">
        <f>Z32+AG32+AN32+AU32+BB32+BI32+BO32+BU32+CC32+CK32</f>
        <v>156</v>
      </c>
      <c r="T32" s="579">
        <f>SUM(U32:Z32)</f>
        <v>0</v>
      </c>
      <c r="U32" s="408"/>
      <c r="V32" s="408"/>
      <c r="W32" s="408"/>
      <c r="X32" s="408"/>
      <c r="Y32" s="408"/>
      <c r="Z32" s="408"/>
      <c r="AA32" s="579">
        <f>SUM(AB32:AG32)</f>
        <v>0</v>
      </c>
      <c r="AB32" s="408"/>
      <c r="AC32" s="408"/>
      <c r="AD32" s="408"/>
      <c r="AE32" s="408"/>
      <c r="AF32" s="408"/>
      <c r="AG32" s="408"/>
      <c r="AH32" s="579">
        <f>SUM(AI32:AN32)</f>
        <v>64</v>
      </c>
      <c r="AI32" s="408">
        <v>32</v>
      </c>
      <c r="AJ32" s="408"/>
      <c r="AK32" s="408"/>
      <c r="AL32" s="408"/>
      <c r="AM32" s="408"/>
      <c r="AN32" s="580">
        <v>32</v>
      </c>
      <c r="AO32" s="579">
        <f>SUM(AP32:AU32)</f>
        <v>60</v>
      </c>
      <c r="AP32" s="408">
        <v>30</v>
      </c>
      <c r="AQ32" s="408"/>
      <c r="AR32" s="408"/>
      <c r="AS32" s="408"/>
      <c r="AT32" s="408"/>
      <c r="AU32" s="580">
        <v>30</v>
      </c>
      <c r="AV32" s="579">
        <f>SUM(AW32:BB32)</f>
        <v>64</v>
      </c>
      <c r="AW32" s="408">
        <v>32</v>
      </c>
      <c r="AX32" s="408"/>
      <c r="AY32" s="408"/>
      <c r="AZ32" s="408"/>
      <c r="BA32" s="408"/>
      <c r="BB32" s="580">
        <v>32</v>
      </c>
      <c r="BC32" s="579">
        <f>SUM(BD32:BI32)</f>
        <v>34</v>
      </c>
      <c r="BD32" s="580">
        <v>17</v>
      </c>
      <c r="BE32" s="580"/>
      <c r="BF32" s="580"/>
      <c r="BG32" s="580"/>
      <c r="BH32" s="580"/>
      <c r="BI32" s="580">
        <v>17</v>
      </c>
      <c r="BJ32" s="579">
        <f>SUM(BK32:BO32)</f>
        <v>32</v>
      </c>
      <c r="BK32" s="408">
        <v>16</v>
      </c>
      <c r="BL32" s="408"/>
      <c r="BM32" s="408"/>
      <c r="BN32" s="408"/>
      <c r="BO32" s="580">
        <v>16</v>
      </c>
      <c r="BP32" s="579">
        <f>SUM(BQ32:BU32)</f>
        <v>58</v>
      </c>
      <c r="BQ32" s="580">
        <v>29</v>
      </c>
      <c r="BR32" s="580"/>
      <c r="BS32" s="580"/>
      <c r="BT32" s="580"/>
      <c r="BU32" s="580">
        <v>29</v>
      </c>
      <c r="BV32" s="579">
        <f>SUM(BW32:CC32)</f>
        <v>0</v>
      </c>
      <c r="BW32" s="408"/>
      <c r="BX32" s="408"/>
      <c r="BY32" s="408"/>
      <c r="BZ32" s="408"/>
      <c r="CA32" s="408"/>
      <c r="CB32" s="408"/>
      <c r="CC32" s="408"/>
      <c r="CD32" s="579">
        <f>SUM(CE32:CK32)</f>
        <v>0</v>
      </c>
      <c r="CE32" s="408"/>
      <c r="CF32" s="408"/>
      <c r="CG32" s="408"/>
      <c r="CH32" s="408"/>
      <c r="CI32" s="408"/>
      <c r="CJ32" s="408"/>
      <c r="CK32" s="408"/>
      <c r="CL32" s="577" t="s">
        <v>622</v>
      </c>
      <c r="CM32" s="581" t="s">
        <v>391</v>
      </c>
    </row>
    <row r="33" spans="1:96" s="98" customFormat="1" ht="25.5" customHeight="1">
      <c r="A33" s="404" t="s">
        <v>158</v>
      </c>
      <c r="B33" s="666" t="s">
        <v>233</v>
      </c>
      <c r="C33" s="666"/>
      <c r="D33" s="666"/>
      <c r="E33" s="666"/>
      <c r="F33" s="666"/>
      <c r="G33" s="666"/>
      <c r="H33" s="666"/>
      <c r="I33" s="666"/>
      <c r="J33" s="396">
        <v>162</v>
      </c>
      <c r="K33" s="396">
        <v>108</v>
      </c>
      <c r="L33" s="396">
        <f aca="true" t="shared" si="26" ref="L33:BN33">SUM(L34:L36)</f>
        <v>192</v>
      </c>
      <c r="M33" s="396">
        <f t="shared" si="26"/>
        <v>128</v>
      </c>
      <c r="N33" s="396">
        <f t="shared" si="26"/>
        <v>112</v>
      </c>
      <c r="O33" s="396">
        <f t="shared" si="26"/>
        <v>16</v>
      </c>
      <c r="P33" s="396">
        <f t="shared" si="26"/>
        <v>0</v>
      </c>
      <c r="Q33" s="396"/>
      <c r="R33" s="396">
        <f t="shared" si="26"/>
        <v>0</v>
      </c>
      <c r="S33" s="396">
        <f t="shared" si="26"/>
        <v>64</v>
      </c>
      <c r="T33" s="396">
        <f t="shared" si="26"/>
        <v>0</v>
      </c>
      <c r="U33" s="396">
        <f t="shared" si="26"/>
        <v>0</v>
      </c>
      <c r="V33" s="396">
        <f t="shared" si="26"/>
        <v>0</v>
      </c>
      <c r="W33" s="396">
        <f t="shared" si="26"/>
        <v>0</v>
      </c>
      <c r="X33" s="396"/>
      <c r="Y33" s="396">
        <f t="shared" si="26"/>
        <v>0</v>
      </c>
      <c r="Z33" s="396">
        <f t="shared" si="26"/>
        <v>0</v>
      </c>
      <c r="AA33" s="396">
        <f t="shared" si="26"/>
        <v>0</v>
      </c>
      <c r="AB33" s="396">
        <f t="shared" si="26"/>
        <v>0</v>
      </c>
      <c r="AC33" s="396">
        <f t="shared" si="26"/>
        <v>0</v>
      </c>
      <c r="AD33" s="396">
        <f t="shared" si="26"/>
        <v>0</v>
      </c>
      <c r="AE33" s="396"/>
      <c r="AF33" s="396"/>
      <c r="AG33" s="396">
        <f t="shared" si="26"/>
        <v>0</v>
      </c>
      <c r="AH33" s="396">
        <f t="shared" si="26"/>
        <v>192</v>
      </c>
      <c r="AI33" s="396">
        <f t="shared" si="26"/>
        <v>112</v>
      </c>
      <c r="AJ33" s="396">
        <f t="shared" si="26"/>
        <v>16</v>
      </c>
      <c r="AK33" s="396">
        <f t="shared" si="26"/>
        <v>0</v>
      </c>
      <c r="AL33" s="396"/>
      <c r="AM33" s="396">
        <f t="shared" si="26"/>
        <v>0</v>
      </c>
      <c r="AN33" s="396">
        <f t="shared" si="26"/>
        <v>64</v>
      </c>
      <c r="AO33" s="396">
        <f t="shared" si="26"/>
        <v>0</v>
      </c>
      <c r="AP33" s="396">
        <f t="shared" si="26"/>
        <v>0</v>
      </c>
      <c r="AQ33" s="396">
        <f t="shared" si="26"/>
        <v>0</v>
      </c>
      <c r="AR33" s="396">
        <f t="shared" si="26"/>
        <v>0</v>
      </c>
      <c r="AS33" s="396"/>
      <c r="AT33" s="396">
        <f t="shared" si="26"/>
        <v>0</v>
      </c>
      <c r="AU33" s="396">
        <f t="shared" si="26"/>
        <v>0</v>
      </c>
      <c r="AV33" s="396">
        <f t="shared" si="26"/>
        <v>0</v>
      </c>
      <c r="AW33" s="396">
        <f t="shared" si="26"/>
        <v>0</v>
      </c>
      <c r="AX33" s="396">
        <f t="shared" si="26"/>
        <v>0</v>
      </c>
      <c r="AY33" s="396">
        <f t="shared" si="26"/>
        <v>0</v>
      </c>
      <c r="AZ33" s="396"/>
      <c r="BA33" s="396">
        <f t="shared" si="26"/>
        <v>0</v>
      </c>
      <c r="BB33" s="396">
        <f t="shared" si="26"/>
        <v>0</v>
      </c>
      <c r="BC33" s="396">
        <f t="shared" si="26"/>
        <v>0</v>
      </c>
      <c r="BD33" s="396">
        <f t="shared" si="26"/>
        <v>0</v>
      </c>
      <c r="BE33" s="396">
        <f t="shared" si="26"/>
        <v>0</v>
      </c>
      <c r="BF33" s="396">
        <f t="shared" si="26"/>
        <v>0</v>
      </c>
      <c r="BG33" s="396"/>
      <c r="BH33" s="396">
        <f t="shared" si="26"/>
        <v>0</v>
      </c>
      <c r="BI33" s="396">
        <f t="shared" si="26"/>
        <v>0</v>
      </c>
      <c r="BJ33" s="396">
        <f t="shared" si="26"/>
        <v>0</v>
      </c>
      <c r="BK33" s="396">
        <f t="shared" si="26"/>
        <v>0</v>
      </c>
      <c r="BL33" s="396">
        <f t="shared" si="26"/>
        <v>0</v>
      </c>
      <c r="BM33" s="396">
        <f t="shared" si="26"/>
        <v>0</v>
      </c>
      <c r="BN33" s="396">
        <f t="shared" si="26"/>
        <v>0</v>
      </c>
      <c r="BO33" s="396">
        <f aca="true" t="shared" si="27" ref="BO33:CH33">SUM(BO34:BO36)</f>
        <v>0</v>
      </c>
      <c r="BP33" s="396">
        <f t="shared" si="27"/>
        <v>0</v>
      </c>
      <c r="BQ33" s="396">
        <f t="shared" si="27"/>
        <v>0</v>
      </c>
      <c r="BR33" s="396">
        <f t="shared" si="27"/>
        <v>0</v>
      </c>
      <c r="BS33" s="396">
        <f t="shared" si="27"/>
        <v>0</v>
      </c>
      <c r="BT33" s="396">
        <f t="shared" si="27"/>
        <v>0</v>
      </c>
      <c r="BU33" s="396">
        <f t="shared" si="27"/>
        <v>0</v>
      </c>
      <c r="BV33" s="396">
        <f t="shared" si="27"/>
        <v>0</v>
      </c>
      <c r="BW33" s="396">
        <f t="shared" si="27"/>
        <v>0</v>
      </c>
      <c r="BX33" s="396">
        <f t="shared" si="27"/>
        <v>0</v>
      </c>
      <c r="BY33" s="396">
        <f t="shared" si="27"/>
        <v>0</v>
      </c>
      <c r="BZ33" s="396">
        <f t="shared" si="27"/>
        <v>0</v>
      </c>
      <c r="CA33" s="396">
        <f t="shared" si="27"/>
        <v>0</v>
      </c>
      <c r="CB33" s="396">
        <f t="shared" si="27"/>
        <v>0</v>
      </c>
      <c r="CC33" s="396">
        <f t="shared" si="27"/>
        <v>0</v>
      </c>
      <c r="CD33" s="396">
        <f t="shared" si="27"/>
        <v>0</v>
      </c>
      <c r="CE33" s="396">
        <f t="shared" si="27"/>
        <v>0</v>
      </c>
      <c r="CF33" s="396">
        <f t="shared" si="27"/>
        <v>0</v>
      </c>
      <c r="CG33" s="396">
        <f t="shared" si="27"/>
        <v>0</v>
      </c>
      <c r="CH33" s="396">
        <f t="shared" si="27"/>
        <v>0</v>
      </c>
      <c r="CI33" s="396">
        <f>SUM(CI34:CI36)</f>
        <v>0</v>
      </c>
      <c r="CJ33" s="396">
        <f>SUM(CJ34:CJ36)</f>
        <v>0</v>
      </c>
      <c r="CK33" s="396">
        <f>SUM(CK34:CK36)</f>
        <v>0</v>
      </c>
      <c r="CL33" s="405"/>
      <c r="CM33" s="405"/>
      <c r="CR33" s="513">
        <f>SUM(L33-J33)</f>
        <v>30</v>
      </c>
    </row>
    <row r="34" spans="1:91" s="111" customFormat="1" ht="32.25" customHeight="1">
      <c r="A34" s="386" t="s">
        <v>159</v>
      </c>
      <c r="B34" s="387" t="s">
        <v>122</v>
      </c>
      <c r="C34" s="387"/>
      <c r="D34" s="407" t="s">
        <v>29</v>
      </c>
      <c r="E34" s="407"/>
      <c r="F34" s="407"/>
      <c r="G34" s="407"/>
      <c r="H34" s="407"/>
      <c r="I34" s="407"/>
      <c r="J34" s="390"/>
      <c r="K34" s="393"/>
      <c r="L34" s="391">
        <f>M34+SUM(S34:S34)</f>
        <v>72</v>
      </c>
      <c r="M34" s="391">
        <f>SUM(N34:P34)</f>
        <v>48</v>
      </c>
      <c r="N34" s="391">
        <f aca="true" t="shared" si="28" ref="N34:P36">U34+AB34+AI34+AP34+AW34+BD34+BK34+BQ34+BX34+CF34</f>
        <v>48</v>
      </c>
      <c r="O34" s="391">
        <f t="shared" si="28"/>
        <v>0</v>
      </c>
      <c r="P34" s="391">
        <f t="shared" si="28"/>
        <v>0</v>
      </c>
      <c r="Q34" s="391"/>
      <c r="R34" s="391">
        <f>Y34+AM34+AT34+BA34+BH34+BN34+BT34+CA34+CI34</f>
        <v>0</v>
      </c>
      <c r="S34" s="391">
        <f>Z34+AG34+AN34+AU34+BB34+BI34+BO34+BU34+CC34+CK34</f>
        <v>24</v>
      </c>
      <c r="T34" s="392">
        <f>SUM(U34:Z34)</f>
        <v>0</v>
      </c>
      <c r="U34" s="393"/>
      <c r="V34" s="393"/>
      <c r="W34" s="393"/>
      <c r="X34" s="393"/>
      <c r="Y34" s="393"/>
      <c r="Z34" s="393"/>
      <c r="AA34" s="392">
        <f>SUM(AB34:AG34)</f>
        <v>0</v>
      </c>
      <c r="AB34" s="393"/>
      <c r="AC34" s="393"/>
      <c r="AD34" s="393"/>
      <c r="AE34" s="393"/>
      <c r="AF34" s="393"/>
      <c r="AG34" s="393"/>
      <c r="AH34" s="392">
        <f>SUM(AI34:AN34)</f>
        <v>72</v>
      </c>
      <c r="AI34" s="390">
        <v>48</v>
      </c>
      <c r="AJ34" s="390"/>
      <c r="AK34" s="393"/>
      <c r="AL34" s="393"/>
      <c r="AM34" s="393"/>
      <c r="AN34" s="393">
        <v>24</v>
      </c>
      <c r="AO34" s="392">
        <f>SUM(AP34:AU34)</f>
        <v>0</v>
      </c>
      <c r="AP34" s="393"/>
      <c r="AQ34" s="393"/>
      <c r="AR34" s="393"/>
      <c r="AS34" s="393"/>
      <c r="AT34" s="393"/>
      <c r="AU34" s="393"/>
      <c r="AV34" s="392">
        <f>SUM(AW34:BB34)</f>
        <v>0</v>
      </c>
      <c r="AW34" s="393"/>
      <c r="AX34" s="393"/>
      <c r="AY34" s="393"/>
      <c r="AZ34" s="393"/>
      <c r="BA34" s="393"/>
      <c r="BB34" s="393"/>
      <c r="BC34" s="392">
        <f>SUM(BD34:BI34)</f>
        <v>0</v>
      </c>
      <c r="BD34" s="393"/>
      <c r="BE34" s="393"/>
      <c r="BF34" s="393"/>
      <c r="BG34" s="393"/>
      <c r="BH34" s="393"/>
      <c r="BI34" s="393"/>
      <c r="BJ34" s="392">
        <f>SUM(BK34:BO34)</f>
        <v>0</v>
      </c>
      <c r="BK34" s="393"/>
      <c r="BL34" s="393"/>
      <c r="BM34" s="393"/>
      <c r="BN34" s="393"/>
      <c r="BO34" s="393"/>
      <c r="BP34" s="392">
        <f>SUM(BQ34:BU34)</f>
        <v>0</v>
      </c>
      <c r="BQ34" s="393"/>
      <c r="BR34" s="393"/>
      <c r="BS34" s="393"/>
      <c r="BT34" s="393"/>
      <c r="BU34" s="393"/>
      <c r="BV34" s="392">
        <f>SUM(BW34:CC34)</f>
        <v>0</v>
      </c>
      <c r="BW34" s="393"/>
      <c r="BX34" s="393"/>
      <c r="BY34" s="393"/>
      <c r="BZ34" s="393"/>
      <c r="CA34" s="393"/>
      <c r="CB34" s="393"/>
      <c r="CC34" s="393"/>
      <c r="CD34" s="392">
        <f>SUM(CE34:CK34)</f>
        <v>0</v>
      </c>
      <c r="CE34" s="393"/>
      <c r="CF34" s="393"/>
      <c r="CG34" s="393"/>
      <c r="CH34" s="393"/>
      <c r="CI34" s="393"/>
      <c r="CJ34" s="393"/>
      <c r="CK34" s="393"/>
      <c r="CL34" s="389" t="s">
        <v>452</v>
      </c>
      <c r="CM34" s="406" t="s">
        <v>395</v>
      </c>
    </row>
    <row r="35" spans="1:91" s="111" customFormat="1" ht="38.25" customHeight="1">
      <c r="A35" s="386" t="s">
        <v>160</v>
      </c>
      <c r="B35" s="387" t="s">
        <v>123</v>
      </c>
      <c r="C35" s="387"/>
      <c r="D35" s="407"/>
      <c r="E35" s="407" t="s">
        <v>29</v>
      </c>
      <c r="F35" s="407"/>
      <c r="G35" s="407"/>
      <c r="H35" s="407"/>
      <c r="I35" s="407"/>
      <c r="J35" s="393"/>
      <c r="K35" s="393"/>
      <c r="L35" s="391">
        <f>M35+SUM(S35:S35)</f>
        <v>72</v>
      </c>
      <c r="M35" s="391">
        <f>SUM(N35:P35)</f>
        <v>48</v>
      </c>
      <c r="N35" s="391">
        <f t="shared" si="28"/>
        <v>32</v>
      </c>
      <c r="O35" s="391">
        <f t="shared" si="28"/>
        <v>16</v>
      </c>
      <c r="P35" s="391">
        <f t="shared" si="28"/>
        <v>0</v>
      </c>
      <c r="Q35" s="391"/>
      <c r="R35" s="391">
        <f>Y35+AM35+AT35+BA35+BH35+BN35+BT35+CA35+CI35</f>
        <v>0</v>
      </c>
      <c r="S35" s="391">
        <f>Z35+AG35+AN35+AU35+BB35+BI35+BO35+BU35+CC35+CK35</f>
        <v>24</v>
      </c>
      <c r="T35" s="392">
        <f>SUM(U35:Z35)</f>
        <v>0</v>
      </c>
      <c r="U35" s="393"/>
      <c r="V35" s="393"/>
      <c r="W35" s="393"/>
      <c r="X35" s="393"/>
      <c r="Y35" s="393"/>
      <c r="Z35" s="393"/>
      <c r="AA35" s="392">
        <f>SUM(AB35:AG35)</f>
        <v>0</v>
      </c>
      <c r="AB35" s="393"/>
      <c r="AC35" s="393"/>
      <c r="AD35" s="393"/>
      <c r="AE35" s="393"/>
      <c r="AF35" s="393"/>
      <c r="AG35" s="393"/>
      <c r="AH35" s="392">
        <f>SUM(AI35:AN35)</f>
        <v>72</v>
      </c>
      <c r="AI35" s="390">
        <v>32</v>
      </c>
      <c r="AJ35" s="390">
        <v>16</v>
      </c>
      <c r="AK35" s="393"/>
      <c r="AL35" s="393"/>
      <c r="AM35" s="393"/>
      <c r="AN35" s="393">
        <v>24</v>
      </c>
      <c r="AO35" s="392">
        <f>SUM(AP35:AU35)</f>
        <v>0</v>
      </c>
      <c r="AP35" s="393"/>
      <c r="AQ35" s="393"/>
      <c r="AR35" s="393"/>
      <c r="AS35" s="393"/>
      <c r="AT35" s="393"/>
      <c r="AU35" s="393"/>
      <c r="AV35" s="392">
        <f>SUM(AW35:BB35)</f>
        <v>0</v>
      </c>
      <c r="AW35" s="393"/>
      <c r="AX35" s="393"/>
      <c r="AY35" s="393"/>
      <c r="AZ35" s="393"/>
      <c r="BA35" s="393"/>
      <c r="BB35" s="393"/>
      <c r="BC35" s="392">
        <f>SUM(BD35:BI35)</f>
        <v>0</v>
      </c>
      <c r="BD35" s="393"/>
      <c r="BE35" s="393"/>
      <c r="BF35" s="393"/>
      <c r="BG35" s="393"/>
      <c r="BH35" s="393"/>
      <c r="BI35" s="393"/>
      <c r="BJ35" s="392">
        <f>SUM(BK35:BO35)</f>
        <v>0</v>
      </c>
      <c r="BK35" s="393"/>
      <c r="BL35" s="393"/>
      <c r="BM35" s="393"/>
      <c r="BN35" s="393"/>
      <c r="BO35" s="393"/>
      <c r="BP35" s="392">
        <f>SUM(BQ35:BU35)</f>
        <v>0</v>
      </c>
      <c r="BQ35" s="393"/>
      <c r="BR35" s="393"/>
      <c r="BS35" s="393"/>
      <c r="BT35" s="393"/>
      <c r="BU35" s="393"/>
      <c r="BV35" s="392">
        <f>SUM(BW35:CC35)</f>
        <v>0</v>
      </c>
      <c r="BW35" s="393"/>
      <c r="BX35" s="393"/>
      <c r="BY35" s="393"/>
      <c r="BZ35" s="393"/>
      <c r="CA35" s="393"/>
      <c r="CB35" s="393"/>
      <c r="CC35" s="393"/>
      <c r="CD35" s="392">
        <f>SUM(CE35:CK35)</f>
        <v>0</v>
      </c>
      <c r="CE35" s="393"/>
      <c r="CF35" s="393"/>
      <c r="CG35" s="393"/>
      <c r="CH35" s="393"/>
      <c r="CI35" s="393"/>
      <c r="CJ35" s="393"/>
      <c r="CK35" s="393"/>
      <c r="CL35" s="389" t="s">
        <v>452</v>
      </c>
      <c r="CM35" s="406" t="s">
        <v>395</v>
      </c>
    </row>
    <row r="36" spans="1:91" s="111" customFormat="1" ht="37.5" customHeight="1">
      <c r="A36" s="386" t="s">
        <v>274</v>
      </c>
      <c r="B36" s="387" t="s">
        <v>394</v>
      </c>
      <c r="C36" s="388"/>
      <c r="D36" s="389"/>
      <c r="E36" s="389" t="s">
        <v>29</v>
      </c>
      <c r="F36" s="389"/>
      <c r="G36" s="389"/>
      <c r="H36" s="389"/>
      <c r="I36" s="389"/>
      <c r="J36" s="393"/>
      <c r="K36" s="393"/>
      <c r="L36" s="391">
        <f>M36+SUM(S36:S36)</f>
        <v>48</v>
      </c>
      <c r="M36" s="391">
        <f>SUM(N36:P36)</f>
        <v>32</v>
      </c>
      <c r="N36" s="391">
        <f t="shared" si="28"/>
        <v>32</v>
      </c>
      <c r="O36" s="391">
        <f t="shared" si="28"/>
        <v>0</v>
      </c>
      <c r="P36" s="391">
        <f t="shared" si="28"/>
        <v>0</v>
      </c>
      <c r="Q36" s="391"/>
      <c r="R36" s="391">
        <f>Y36+AM36+AT36+BA36+BH36+BN36+BT36+CA36+CI36</f>
        <v>0</v>
      </c>
      <c r="S36" s="391">
        <f>Z36+AG36+AN36+AU36+BB36+BI36+BO36+BU36+CC36+CK36</f>
        <v>16</v>
      </c>
      <c r="T36" s="392">
        <f>SUM(U36:Z36)</f>
        <v>0</v>
      </c>
      <c r="U36" s="393"/>
      <c r="V36" s="393"/>
      <c r="W36" s="393"/>
      <c r="X36" s="393"/>
      <c r="Y36" s="393"/>
      <c r="Z36" s="393"/>
      <c r="AA36" s="392">
        <f>SUM(AB36:AG36)</f>
        <v>0</v>
      </c>
      <c r="AB36" s="393"/>
      <c r="AC36" s="393"/>
      <c r="AD36" s="393"/>
      <c r="AE36" s="393"/>
      <c r="AF36" s="393"/>
      <c r="AG36" s="393"/>
      <c r="AH36" s="392">
        <f>SUM(AI36:AN36)</f>
        <v>48</v>
      </c>
      <c r="AI36" s="390">
        <v>32</v>
      </c>
      <c r="AJ36" s="390"/>
      <c r="AK36" s="393"/>
      <c r="AL36" s="393"/>
      <c r="AM36" s="393"/>
      <c r="AN36" s="393">
        <v>16</v>
      </c>
      <c r="AO36" s="392">
        <f>SUM(AP36:AU36)</f>
        <v>0</v>
      </c>
      <c r="AP36" s="393"/>
      <c r="AQ36" s="393"/>
      <c r="AR36" s="393"/>
      <c r="AS36" s="393"/>
      <c r="AT36" s="393"/>
      <c r="AU36" s="393"/>
      <c r="AV36" s="392">
        <f>SUM(AW36:BB36)</f>
        <v>0</v>
      </c>
      <c r="AW36" s="393"/>
      <c r="AX36" s="393"/>
      <c r="AY36" s="393"/>
      <c r="AZ36" s="393"/>
      <c r="BA36" s="393"/>
      <c r="BB36" s="393"/>
      <c r="BC36" s="392">
        <f>SUM(BD36:BI36)</f>
        <v>0</v>
      </c>
      <c r="BD36" s="393"/>
      <c r="BE36" s="393"/>
      <c r="BF36" s="393"/>
      <c r="BG36" s="393"/>
      <c r="BH36" s="393"/>
      <c r="BI36" s="393"/>
      <c r="BJ36" s="392">
        <f>SUM(BK36:BO36)</f>
        <v>0</v>
      </c>
      <c r="BK36" s="393"/>
      <c r="BL36" s="393"/>
      <c r="BM36" s="393"/>
      <c r="BN36" s="393"/>
      <c r="BO36" s="393"/>
      <c r="BP36" s="392">
        <f>SUM(BQ36:BU36)</f>
        <v>0</v>
      </c>
      <c r="BQ36" s="393"/>
      <c r="BR36" s="393"/>
      <c r="BS36" s="393"/>
      <c r="BT36" s="393"/>
      <c r="BU36" s="393"/>
      <c r="BV36" s="392">
        <f>SUM(BW36:CC36)</f>
        <v>0</v>
      </c>
      <c r="BW36" s="393"/>
      <c r="BX36" s="393"/>
      <c r="BY36" s="393"/>
      <c r="BZ36" s="393"/>
      <c r="CA36" s="393"/>
      <c r="CB36" s="393"/>
      <c r="CC36" s="393"/>
      <c r="CD36" s="392">
        <f>SUM(CE36:CK36)</f>
        <v>0</v>
      </c>
      <c r="CE36" s="393"/>
      <c r="CF36" s="393"/>
      <c r="CG36" s="393"/>
      <c r="CH36" s="393"/>
      <c r="CI36" s="393"/>
      <c r="CJ36" s="393"/>
      <c r="CK36" s="393"/>
      <c r="CL36" s="389" t="s">
        <v>452</v>
      </c>
      <c r="CM36" s="406" t="s">
        <v>518</v>
      </c>
    </row>
    <row r="37" spans="1:91" s="116" customFormat="1" ht="25.5" customHeight="1">
      <c r="A37" s="404" t="s">
        <v>178</v>
      </c>
      <c r="B37" s="666" t="s">
        <v>517</v>
      </c>
      <c r="C37" s="666"/>
      <c r="D37" s="405" t="s">
        <v>26</v>
      </c>
      <c r="E37" s="405"/>
      <c r="F37" s="405"/>
      <c r="G37" s="405"/>
      <c r="H37" s="405"/>
      <c r="I37" s="405"/>
      <c r="J37" s="396">
        <v>2196</v>
      </c>
      <c r="K37" s="396">
        <v>1464</v>
      </c>
      <c r="L37" s="396">
        <f aca="true" t="shared" si="29" ref="L37:AM37">L38+L47</f>
        <v>3064</v>
      </c>
      <c r="M37" s="396">
        <f t="shared" si="29"/>
        <v>2083</v>
      </c>
      <c r="N37" s="396">
        <f t="shared" si="29"/>
        <v>1686</v>
      </c>
      <c r="O37" s="396">
        <f t="shared" si="29"/>
        <v>344</v>
      </c>
      <c r="P37" s="396">
        <f t="shared" si="29"/>
        <v>53</v>
      </c>
      <c r="Q37" s="396"/>
      <c r="R37" s="396">
        <f t="shared" si="29"/>
        <v>0</v>
      </c>
      <c r="S37" s="396">
        <f t="shared" si="29"/>
        <v>981</v>
      </c>
      <c r="T37" s="396">
        <f t="shared" si="29"/>
        <v>0</v>
      </c>
      <c r="U37" s="396">
        <f t="shared" si="29"/>
        <v>0</v>
      </c>
      <c r="V37" s="396">
        <f t="shared" si="29"/>
        <v>0</v>
      </c>
      <c r="W37" s="396">
        <f t="shared" si="29"/>
        <v>0</v>
      </c>
      <c r="X37" s="396"/>
      <c r="Y37" s="396">
        <f t="shared" si="29"/>
        <v>0</v>
      </c>
      <c r="Z37" s="396">
        <f t="shared" si="29"/>
        <v>0</v>
      </c>
      <c r="AA37" s="396">
        <f t="shared" si="29"/>
        <v>0</v>
      </c>
      <c r="AB37" s="396">
        <f t="shared" si="29"/>
        <v>0</v>
      </c>
      <c r="AC37" s="396">
        <f t="shared" si="29"/>
        <v>0</v>
      </c>
      <c r="AD37" s="396">
        <f t="shared" si="29"/>
        <v>0</v>
      </c>
      <c r="AE37" s="396"/>
      <c r="AF37" s="396"/>
      <c r="AG37" s="396">
        <f t="shared" si="29"/>
        <v>0</v>
      </c>
      <c r="AH37" s="396">
        <f t="shared" si="29"/>
        <v>368</v>
      </c>
      <c r="AI37" s="396">
        <f t="shared" si="29"/>
        <v>216</v>
      </c>
      <c r="AJ37" s="396">
        <f t="shared" si="29"/>
        <v>40</v>
      </c>
      <c r="AK37" s="396">
        <f t="shared" si="29"/>
        <v>0</v>
      </c>
      <c r="AL37" s="396"/>
      <c r="AM37" s="396">
        <f t="shared" si="29"/>
        <v>0</v>
      </c>
      <c r="AN37" s="396">
        <f aca="true" t="shared" si="30" ref="AN37:BN37">AN38+AN47</f>
        <v>112</v>
      </c>
      <c r="AO37" s="396">
        <f t="shared" si="30"/>
        <v>660</v>
      </c>
      <c r="AP37" s="396">
        <f t="shared" si="30"/>
        <v>397</v>
      </c>
      <c r="AQ37" s="396">
        <f t="shared" si="30"/>
        <v>53</v>
      </c>
      <c r="AR37" s="396">
        <f t="shared" si="30"/>
        <v>0</v>
      </c>
      <c r="AS37" s="396"/>
      <c r="AT37" s="396">
        <f t="shared" si="30"/>
        <v>0</v>
      </c>
      <c r="AU37" s="396">
        <f t="shared" si="30"/>
        <v>210</v>
      </c>
      <c r="AV37" s="396">
        <f t="shared" si="30"/>
        <v>680</v>
      </c>
      <c r="AW37" s="396">
        <f t="shared" si="30"/>
        <v>400</v>
      </c>
      <c r="AX37" s="396">
        <f t="shared" si="30"/>
        <v>64</v>
      </c>
      <c r="AY37" s="396">
        <f t="shared" si="30"/>
        <v>0</v>
      </c>
      <c r="AZ37" s="396"/>
      <c r="BA37" s="396">
        <f t="shared" si="30"/>
        <v>0</v>
      </c>
      <c r="BB37" s="396">
        <f t="shared" si="30"/>
        <v>216</v>
      </c>
      <c r="BC37" s="396">
        <f t="shared" si="30"/>
        <v>400</v>
      </c>
      <c r="BD37" s="396">
        <f t="shared" si="30"/>
        <v>187</v>
      </c>
      <c r="BE37" s="396">
        <f t="shared" si="30"/>
        <v>56</v>
      </c>
      <c r="BF37" s="396">
        <f t="shared" si="30"/>
        <v>29</v>
      </c>
      <c r="BG37" s="396"/>
      <c r="BH37" s="396">
        <f t="shared" si="30"/>
        <v>0</v>
      </c>
      <c r="BI37" s="396">
        <f t="shared" si="30"/>
        <v>128</v>
      </c>
      <c r="BJ37" s="396">
        <f t="shared" si="30"/>
        <v>337</v>
      </c>
      <c r="BK37" s="396">
        <f t="shared" si="30"/>
        <v>192</v>
      </c>
      <c r="BL37" s="396">
        <f t="shared" si="30"/>
        <v>56</v>
      </c>
      <c r="BM37" s="396">
        <f t="shared" si="30"/>
        <v>0</v>
      </c>
      <c r="BN37" s="396">
        <f t="shared" si="30"/>
        <v>0</v>
      </c>
      <c r="BO37" s="396">
        <f aca="true" t="shared" si="31" ref="BO37:CK37">BO38+BO47</f>
        <v>116</v>
      </c>
      <c r="BP37" s="396">
        <f t="shared" si="31"/>
        <v>592</v>
      </c>
      <c r="BQ37" s="396">
        <f t="shared" si="31"/>
        <v>294</v>
      </c>
      <c r="BR37" s="396">
        <f t="shared" si="31"/>
        <v>75</v>
      </c>
      <c r="BS37" s="396">
        <f t="shared" si="31"/>
        <v>24</v>
      </c>
      <c r="BT37" s="396">
        <f t="shared" si="31"/>
        <v>0</v>
      </c>
      <c r="BU37" s="396">
        <f t="shared" si="31"/>
        <v>199</v>
      </c>
      <c r="BV37" s="396">
        <f t="shared" si="31"/>
        <v>0</v>
      </c>
      <c r="BW37" s="396">
        <f t="shared" si="31"/>
        <v>0</v>
      </c>
      <c r="BX37" s="396">
        <f t="shared" si="31"/>
        <v>0</v>
      </c>
      <c r="BY37" s="396">
        <f t="shared" si="31"/>
        <v>0</v>
      </c>
      <c r="BZ37" s="396">
        <f t="shared" si="31"/>
        <v>0</v>
      </c>
      <c r="CA37" s="396">
        <f t="shared" si="31"/>
        <v>0</v>
      </c>
      <c r="CB37" s="396">
        <f t="shared" si="31"/>
        <v>0</v>
      </c>
      <c r="CC37" s="396">
        <f t="shared" si="31"/>
        <v>0</v>
      </c>
      <c r="CD37" s="396">
        <f t="shared" si="31"/>
        <v>0</v>
      </c>
      <c r="CE37" s="396">
        <f t="shared" si="31"/>
        <v>0</v>
      </c>
      <c r="CF37" s="396">
        <f t="shared" si="31"/>
        <v>0</v>
      </c>
      <c r="CG37" s="396">
        <f t="shared" si="31"/>
        <v>0</v>
      </c>
      <c r="CH37" s="396">
        <f t="shared" si="31"/>
        <v>0</v>
      </c>
      <c r="CI37" s="396">
        <f t="shared" si="31"/>
        <v>0</v>
      </c>
      <c r="CJ37" s="396">
        <f t="shared" si="31"/>
        <v>0</v>
      </c>
      <c r="CK37" s="396">
        <f t="shared" si="31"/>
        <v>0</v>
      </c>
      <c r="CL37" s="405"/>
      <c r="CM37" s="405"/>
    </row>
    <row r="38" spans="1:96" s="116" customFormat="1" ht="25.5" customHeight="1">
      <c r="A38" s="598" t="s">
        <v>167</v>
      </c>
      <c r="B38" s="720" t="s">
        <v>166</v>
      </c>
      <c r="C38" s="720"/>
      <c r="D38" s="405"/>
      <c r="E38" s="405"/>
      <c r="F38" s="405"/>
      <c r="G38" s="405"/>
      <c r="H38" s="405"/>
      <c r="I38" s="405"/>
      <c r="J38" s="401">
        <v>804</v>
      </c>
      <c r="K38" s="401">
        <v>536</v>
      </c>
      <c r="L38" s="497">
        <f aca="true" t="shared" si="32" ref="L38:AM38">SUM(L39:L46)</f>
        <v>974</v>
      </c>
      <c r="M38" s="497">
        <f t="shared" si="32"/>
        <v>679</v>
      </c>
      <c r="N38" s="497">
        <f t="shared" si="32"/>
        <v>601</v>
      </c>
      <c r="O38" s="497">
        <f t="shared" si="32"/>
        <v>78</v>
      </c>
      <c r="P38" s="497">
        <f t="shared" si="32"/>
        <v>0</v>
      </c>
      <c r="Q38" s="497"/>
      <c r="R38" s="497">
        <f t="shared" si="32"/>
        <v>0</v>
      </c>
      <c r="S38" s="497">
        <f t="shared" si="32"/>
        <v>295</v>
      </c>
      <c r="T38" s="497">
        <f t="shared" si="32"/>
        <v>0</v>
      </c>
      <c r="U38" s="497">
        <f t="shared" si="32"/>
        <v>0</v>
      </c>
      <c r="V38" s="497">
        <f t="shared" si="32"/>
        <v>0</v>
      </c>
      <c r="W38" s="497">
        <f t="shared" si="32"/>
        <v>0</v>
      </c>
      <c r="X38" s="497"/>
      <c r="Y38" s="497">
        <f t="shared" si="32"/>
        <v>0</v>
      </c>
      <c r="Z38" s="497">
        <f t="shared" si="32"/>
        <v>0</v>
      </c>
      <c r="AA38" s="497">
        <f t="shared" si="32"/>
        <v>0</v>
      </c>
      <c r="AB38" s="497">
        <f t="shared" si="32"/>
        <v>0</v>
      </c>
      <c r="AC38" s="497">
        <f t="shared" si="32"/>
        <v>0</v>
      </c>
      <c r="AD38" s="497">
        <f t="shared" si="32"/>
        <v>0</v>
      </c>
      <c r="AE38" s="497"/>
      <c r="AF38" s="497"/>
      <c r="AG38" s="497">
        <f t="shared" si="32"/>
        <v>0</v>
      </c>
      <c r="AH38" s="497">
        <f t="shared" si="32"/>
        <v>332</v>
      </c>
      <c r="AI38" s="497">
        <f t="shared" si="32"/>
        <v>192</v>
      </c>
      <c r="AJ38" s="497">
        <f t="shared" si="32"/>
        <v>40</v>
      </c>
      <c r="AK38" s="497">
        <f t="shared" si="32"/>
        <v>0</v>
      </c>
      <c r="AL38" s="497"/>
      <c r="AM38" s="497">
        <f t="shared" si="32"/>
        <v>0</v>
      </c>
      <c r="AN38" s="497">
        <f aca="true" t="shared" si="33" ref="AN38:BN38">SUM(AN39:AN46)</f>
        <v>100</v>
      </c>
      <c r="AO38" s="497">
        <f t="shared" si="33"/>
        <v>506</v>
      </c>
      <c r="AP38" s="497">
        <f t="shared" si="33"/>
        <v>309</v>
      </c>
      <c r="AQ38" s="497">
        <f t="shared" si="33"/>
        <v>38</v>
      </c>
      <c r="AR38" s="497">
        <f t="shared" si="33"/>
        <v>0</v>
      </c>
      <c r="AS38" s="497"/>
      <c r="AT38" s="497">
        <f t="shared" si="33"/>
        <v>0</v>
      </c>
      <c r="AU38" s="497">
        <f t="shared" si="33"/>
        <v>159</v>
      </c>
      <c r="AV38" s="497">
        <f t="shared" si="33"/>
        <v>136</v>
      </c>
      <c r="AW38" s="497">
        <f t="shared" si="33"/>
        <v>100</v>
      </c>
      <c r="AX38" s="497">
        <f t="shared" si="33"/>
        <v>0</v>
      </c>
      <c r="AY38" s="497">
        <f t="shared" si="33"/>
        <v>0</v>
      </c>
      <c r="AZ38" s="497"/>
      <c r="BA38" s="497">
        <f t="shared" si="33"/>
        <v>0</v>
      </c>
      <c r="BB38" s="497">
        <f t="shared" si="33"/>
        <v>36</v>
      </c>
      <c r="BC38" s="497">
        <f t="shared" si="33"/>
        <v>0</v>
      </c>
      <c r="BD38" s="497">
        <f t="shared" si="33"/>
        <v>0</v>
      </c>
      <c r="BE38" s="497">
        <f t="shared" si="33"/>
        <v>0</v>
      </c>
      <c r="BF38" s="497">
        <f t="shared" si="33"/>
        <v>0</v>
      </c>
      <c r="BG38" s="497"/>
      <c r="BH38" s="497">
        <f t="shared" si="33"/>
        <v>0</v>
      </c>
      <c r="BI38" s="497">
        <f t="shared" si="33"/>
        <v>0</v>
      </c>
      <c r="BJ38" s="497">
        <f t="shared" si="33"/>
        <v>0</v>
      </c>
      <c r="BK38" s="497">
        <f t="shared" si="33"/>
        <v>0</v>
      </c>
      <c r="BL38" s="497">
        <f t="shared" si="33"/>
        <v>0</v>
      </c>
      <c r="BM38" s="497">
        <f t="shared" si="33"/>
        <v>0</v>
      </c>
      <c r="BN38" s="497">
        <f t="shared" si="33"/>
        <v>0</v>
      </c>
      <c r="BO38" s="497">
        <f aca="true" t="shared" si="34" ref="BO38:CK38">SUM(BO39:BO46)</f>
        <v>0</v>
      </c>
      <c r="BP38" s="497">
        <f t="shared" si="34"/>
        <v>0</v>
      </c>
      <c r="BQ38" s="497">
        <f t="shared" si="34"/>
        <v>0</v>
      </c>
      <c r="BR38" s="497">
        <f t="shared" si="34"/>
        <v>0</v>
      </c>
      <c r="BS38" s="497">
        <f t="shared" si="34"/>
        <v>0</v>
      </c>
      <c r="BT38" s="497">
        <f t="shared" si="34"/>
        <v>0</v>
      </c>
      <c r="BU38" s="497">
        <f t="shared" si="34"/>
        <v>0</v>
      </c>
      <c r="BV38" s="497">
        <f t="shared" si="34"/>
        <v>0</v>
      </c>
      <c r="BW38" s="497">
        <f t="shared" si="34"/>
        <v>0</v>
      </c>
      <c r="BX38" s="497">
        <f t="shared" si="34"/>
        <v>0</v>
      </c>
      <c r="BY38" s="497">
        <f t="shared" si="34"/>
        <v>0</v>
      </c>
      <c r="BZ38" s="497">
        <f t="shared" si="34"/>
        <v>0</v>
      </c>
      <c r="CA38" s="497">
        <f t="shared" si="34"/>
        <v>0</v>
      </c>
      <c r="CB38" s="497">
        <f t="shared" si="34"/>
        <v>0</v>
      </c>
      <c r="CC38" s="497">
        <f t="shared" si="34"/>
        <v>0</v>
      </c>
      <c r="CD38" s="497">
        <f t="shared" si="34"/>
        <v>0</v>
      </c>
      <c r="CE38" s="497">
        <f t="shared" si="34"/>
        <v>0</v>
      </c>
      <c r="CF38" s="497">
        <f t="shared" si="34"/>
        <v>0</v>
      </c>
      <c r="CG38" s="497">
        <f t="shared" si="34"/>
        <v>0</v>
      </c>
      <c r="CH38" s="497">
        <f t="shared" si="34"/>
        <v>0</v>
      </c>
      <c r="CI38" s="497">
        <f t="shared" si="34"/>
        <v>0</v>
      </c>
      <c r="CJ38" s="497">
        <f t="shared" si="34"/>
        <v>0</v>
      </c>
      <c r="CK38" s="497">
        <f t="shared" si="34"/>
        <v>0</v>
      </c>
      <c r="CL38" s="405"/>
      <c r="CM38" s="405"/>
      <c r="CR38" s="513">
        <f>SUM(L38-J38)</f>
        <v>170</v>
      </c>
    </row>
    <row r="39" spans="1:91" s="111" customFormat="1" ht="36" customHeight="1">
      <c r="A39" s="386" t="s">
        <v>168</v>
      </c>
      <c r="B39" s="387" t="s">
        <v>169</v>
      </c>
      <c r="C39" s="388"/>
      <c r="D39" s="389"/>
      <c r="E39" s="389" t="s">
        <v>38</v>
      </c>
      <c r="F39" s="389"/>
      <c r="G39" s="389"/>
      <c r="H39" s="389"/>
      <c r="I39" s="389" t="s">
        <v>29</v>
      </c>
      <c r="J39" s="390"/>
      <c r="K39" s="393"/>
      <c r="L39" s="391">
        <f aca="true" t="shared" si="35" ref="L39:L46">M39+SUM(S39:S39)</f>
        <v>93</v>
      </c>
      <c r="M39" s="391">
        <f>SUM(N39:P39)</f>
        <v>62</v>
      </c>
      <c r="N39" s="391">
        <f aca="true" t="shared" si="36" ref="N39:P46">U39+AB39+AI39+AP39+AW39+BD39+BK39+BQ39+BX39+CF39</f>
        <v>0</v>
      </c>
      <c r="O39" s="391">
        <f t="shared" si="36"/>
        <v>62</v>
      </c>
      <c r="P39" s="391">
        <f t="shared" si="36"/>
        <v>0</v>
      </c>
      <c r="Q39" s="391"/>
      <c r="R39" s="391">
        <f>Y39+AM39+AT39+BA39+BH39+BN39+BT39+CA39+CI39</f>
        <v>0</v>
      </c>
      <c r="S39" s="391">
        <f aca="true" t="shared" si="37" ref="S39:S46">Z39+AG39+AN39+AU39+BB39+BI39+BO39+BU39+CC39+CK39</f>
        <v>31</v>
      </c>
      <c r="T39" s="392">
        <f aca="true" t="shared" si="38" ref="T39:T46">SUM(U39:Z39)</f>
        <v>0</v>
      </c>
      <c r="U39" s="393"/>
      <c r="V39" s="393"/>
      <c r="W39" s="393"/>
      <c r="X39" s="393"/>
      <c r="Y39" s="393"/>
      <c r="Z39" s="393"/>
      <c r="AA39" s="392">
        <f aca="true" t="shared" si="39" ref="AA39:AA46">SUM(AB39:AG39)</f>
        <v>0</v>
      </c>
      <c r="AB39" s="393"/>
      <c r="AC39" s="393"/>
      <c r="AD39" s="393"/>
      <c r="AE39" s="393"/>
      <c r="AF39" s="393"/>
      <c r="AG39" s="393"/>
      <c r="AH39" s="392">
        <f aca="true" t="shared" si="40" ref="AH39:AH46">SUM(AI39:AN39)</f>
        <v>48</v>
      </c>
      <c r="AI39" s="393"/>
      <c r="AJ39" s="393">
        <v>32</v>
      </c>
      <c r="AK39" s="393"/>
      <c r="AL39" s="393"/>
      <c r="AM39" s="393"/>
      <c r="AN39" s="393">
        <v>16</v>
      </c>
      <c r="AO39" s="392">
        <f aca="true" t="shared" si="41" ref="AO39:AO46">SUM(AP39:AU39)</f>
        <v>45</v>
      </c>
      <c r="AP39" s="393"/>
      <c r="AQ39" s="393">
        <v>30</v>
      </c>
      <c r="AR39" s="393"/>
      <c r="AS39" s="393"/>
      <c r="AT39" s="393"/>
      <c r="AU39" s="393">
        <v>15</v>
      </c>
      <c r="AV39" s="392">
        <f aca="true" t="shared" si="42" ref="AV39:AV46">SUM(AW39:BB39)</f>
        <v>0</v>
      </c>
      <c r="AW39" s="393"/>
      <c r="AX39" s="393"/>
      <c r="AY39" s="393"/>
      <c r="AZ39" s="393"/>
      <c r="BA39" s="393"/>
      <c r="BB39" s="393"/>
      <c r="BC39" s="392">
        <f aca="true" t="shared" si="43" ref="BC39:BC46">SUM(BD39:BI39)</f>
        <v>0</v>
      </c>
      <c r="BD39" s="393"/>
      <c r="BE39" s="393"/>
      <c r="BF39" s="393"/>
      <c r="BG39" s="393"/>
      <c r="BH39" s="393"/>
      <c r="BI39" s="393"/>
      <c r="BJ39" s="392">
        <f aca="true" t="shared" si="44" ref="BJ39:BJ46">SUM(BK39:BO39)</f>
        <v>0</v>
      </c>
      <c r="BK39" s="393"/>
      <c r="BL39" s="393"/>
      <c r="BM39" s="393"/>
      <c r="BN39" s="393"/>
      <c r="BO39" s="393"/>
      <c r="BP39" s="392">
        <f aca="true" t="shared" si="45" ref="BP39:BP46">SUM(BQ39:BU39)</f>
        <v>0</v>
      </c>
      <c r="BQ39" s="393"/>
      <c r="BR39" s="393"/>
      <c r="BS39" s="393"/>
      <c r="BT39" s="393"/>
      <c r="BU39" s="393"/>
      <c r="BV39" s="392">
        <f>SUM(BW39:CC39)</f>
        <v>0</v>
      </c>
      <c r="BW39" s="393"/>
      <c r="BX39" s="393"/>
      <c r="BY39" s="393"/>
      <c r="BZ39" s="393"/>
      <c r="CA39" s="393"/>
      <c r="CB39" s="393"/>
      <c r="CC39" s="393"/>
      <c r="CD39" s="392">
        <f>SUM(CE39:CK39)</f>
        <v>0</v>
      </c>
      <c r="CE39" s="393"/>
      <c r="CF39" s="393"/>
      <c r="CG39" s="393"/>
      <c r="CH39" s="393"/>
      <c r="CI39" s="393"/>
      <c r="CJ39" s="393"/>
      <c r="CK39" s="393"/>
      <c r="CL39" s="389" t="s">
        <v>454</v>
      </c>
      <c r="CM39" s="406" t="s">
        <v>333</v>
      </c>
    </row>
    <row r="40" spans="1:91" s="111" customFormat="1" ht="38.25" customHeight="1">
      <c r="A40" s="386" t="s">
        <v>170</v>
      </c>
      <c r="B40" s="387" t="s">
        <v>313</v>
      </c>
      <c r="C40" s="388"/>
      <c r="D40" s="389" t="s">
        <v>38</v>
      </c>
      <c r="E40" s="389"/>
      <c r="F40" s="389"/>
      <c r="G40" s="389"/>
      <c r="H40" s="389"/>
      <c r="I40" s="389" t="s">
        <v>29</v>
      </c>
      <c r="J40" s="393"/>
      <c r="K40" s="393"/>
      <c r="L40" s="391">
        <f t="shared" si="35"/>
        <v>205</v>
      </c>
      <c r="M40" s="391">
        <f aca="true" t="shared" si="46" ref="M40:M46">SUM(N40:P40)</f>
        <v>154</v>
      </c>
      <c r="N40" s="391">
        <f t="shared" si="36"/>
        <v>154</v>
      </c>
      <c r="O40" s="391">
        <f t="shared" si="36"/>
        <v>0</v>
      </c>
      <c r="P40" s="391">
        <f t="shared" si="36"/>
        <v>0</v>
      </c>
      <c r="Q40" s="391"/>
      <c r="R40" s="391">
        <f>Y40+AM40+AT40+BA40+BH40+BN40+BT40+CA40+CI40</f>
        <v>0</v>
      </c>
      <c r="S40" s="391">
        <f t="shared" si="37"/>
        <v>51</v>
      </c>
      <c r="T40" s="392">
        <f t="shared" si="38"/>
        <v>0</v>
      </c>
      <c r="U40" s="393"/>
      <c r="V40" s="393"/>
      <c r="W40" s="393"/>
      <c r="X40" s="393"/>
      <c r="Y40" s="393"/>
      <c r="Z40" s="393"/>
      <c r="AA40" s="392">
        <f t="shared" si="39"/>
        <v>0</v>
      </c>
      <c r="AB40" s="393"/>
      <c r="AC40" s="393"/>
      <c r="AD40" s="393"/>
      <c r="AE40" s="393"/>
      <c r="AF40" s="393"/>
      <c r="AG40" s="393"/>
      <c r="AH40" s="392">
        <f t="shared" si="40"/>
        <v>84</v>
      </c>
      <c r="AI40" s="390">
        <v>64</v>
      </c>
      <c r="AJ40" s="390"/>
      <c r="AK40" s="390"/>
      <c r="AL40" s="390"/>
      <c r="AM40" s="390"/>
      <c r="AN40" s="390">
        <v>20</v>
      </c>
      <c r="AO40" s="392">
        <f t="shared" si="41"/>
        <v>121</v>
      </c>
      <c r="AP40" s="390">
        <v>90</v>
      </c>
      <c r="AQ40" s="390"/>
      <c r="AR40" s="390"/>
      <c r="AS40" s="390"/>
      <c r="AT40" s="390"/>
      <c r="AU40" s="390">
        <v>31</v>
      </c>
      <c r="AV40" s="392">
        <f t="shared" si="42"/>
        <v>0</v>
      </c>
      <c r="AW40" s="393"/>
      <c r="AX40" s="393"/>
      <c r="AY40" s="393"/>
      <c r="AZ40" s="393"/>
      <c r="BA40" s="393"/>
      <c r="BB40" s="393"/>
      <c r="BC40" s="392">
        <f t="shared" si="43"/>
        <v>0</v>
      </c>
      <c r="BD40" s="393"/>
      <c r="BE40" s="393"/>
      <c r="BF40" s="393"/>
      <c r="BG40" s="393"/>
      <c r="BH40" s="393"/>
      <c r="BI40" s="393"/>
      <c r="BJ40" s="392">
        <f t="shared" si="44"/>
        <v>0</v>
      </c>
      <c r="BK40" s="393"/>
      <c r="BL40" s="393"/>
      <c r="BM40" s="393"/>
      <c r="BN40" s="393"/>
      <c r="BO40" s="393"/>
      <c r="BP40" s="392">
        <f t="shared" si="45"/>
        <v>0</v>
      </c>
      <c r="BQ40" s="393"/>
      <c r="BR40" s="393"/>
      <c r="BS40" s="393"/>
      <c r="BT40" s="393"/>
      <c r="BU40" s="393"/>
      <c r="BV40" s="392">
        <f aca="true" t="shared" si="47" ref="BV40:BV45">SUM(BW40:CC40)</f>
        <v>0</v>
      </c>
      <c r="BW40" s="393"/>
      <c r="BX40" s="393"/>
      <c r="BY40" s="393"/>
      <c r="BZ40" s="393"/>
      <c r="CA40" s="393"/>
      <c r="CB40" s="393"/>
      <c r="CC40" s="393"/>
      <c r="CD40" s="392">
        <f aca="true" t="shared" si="48" ref="CD40:CD45">SUM(CE40:CK40)</f>
        <v>0</v>
      </c>
      <c r="CE40" s="393"/>
      <c r="CF40" s="393"/>
      <c r="CG40" s="393"/>
      <c r="CH40" s="393"/>
      <c r="CI40" s="393"/>
      <c r="CJ40" s="393"/>
      <c r="CK40" s="393"/>
      <c r="CL40" s="389" t="s">
        <v>454</v>
      </c>
      <c r="CM40" s="393" t="s">
        <v>334</v>
      </c>
    </row>
    <row r="41" spans="1:91" s="111" customFormat="1" ht="35.25" customHeight="1">
      <c r="A41" s="386" t="s">
        <v>171</v>
      </c>
      <c r="B41" s="387" t="s">
        <v>172</v>
      </c>
      <c r="C41" s="406" t="s">
        <v>508</v>
      </c>
      <c r="D41" s="389"/>
      <c r="E41" s="389" t="s">
        <v>38</v>
      </c>
      <c r="F41" s="389"/>
      <c r="G41" s="389"/>
      <c r="H41" s="389"/>
      <c r="I41" s="389" t="s">
        <v>29</v>
      </c>
      <c r="J41" s="393"/>
      <c r="K41" s="393"/>
      <c r="L41" s="391">
        <f t="shared" si="35"/>
        <v>126</v>
      </c>
      <c r="M41" s="391">
        <f t="shared" si="46"/>
        <v>87</v>
      </c>
      <c r="N41" s="391">
        <f t="shared" si="36"/>
        <v>71</v>
      </c>
      <c r="O41" s="391">
        <f t="shared" si="36"/>
        <v>16</v>
      </c>
      <c r="P41" s="391">
        <f t="shared" si="36"/>
        <v>0</v>
      </c>
      <c r="Q41" s="391"/>
      <c r="R41" s="391">
        <f>Y41+AM41+AT41+BA41+BH41+BN41+BT41+CA41+CI41</f>
        <v>0</v>
      </c>
      <c r="S41" s="391">
        <f t="shared" si="37"/>
        <v>39</v>
      </c>
      <c r="T41" s="392">
        <f t="shared" si="38"/>
        <v>0</v>
      </c>
      <c r="U41" s="393"/>
      <c r="V41" s="393"/>
      <c r="W41" s="393"/>
      <c r="X41" s="393"/>
      <c r="Y41" s="393"/>
      <c r="Z41" s="393"/>
      <c r="AA41" s="392">
        <f t="shared" si="39"/>
        <v>0</v>
      </c>
      <c r="AB41" s="393"/>
      <c r="AC41" s="393"/>
      <c r="AD41" s="393"/>
      <c r="AE41" s="393"/>
      <c r="AF41" s="393"/>
      <c r="AG41" s="393"/>
      <c r="AH41" s="392">
        <f t="shared" si="40"/>
        <v>56</v>
      </c>
      <c r="AI41" s="390">
        <v>32</v>
      </c>
      <c r="AJ41" s="390">
        <v>8</v>
      </c>
      <c r="AK41" s="390"/>
      <c r="AL41" s="390"/>
      <c r="AM41" s="390"/>
      <c r="AN41" s="393">
        <v>16</v>
      </c>
      <c r="AO41" s="392">
        <f t="shared" si="41"/>
        <v>70</v>
      </c>
      <c r="AP41" s="390">
        <v>39</v>
      </c>
      <c r="AQ41" s="390">
        <v>8</v>
      </c>
      <c r="AR41" s="393"/>
      <c r="AS41" s="393"/>
      <c r="AT41" s="393"/>
      <c r="AU41" s="393">
        <v>23</v>
      </c>
      <c r="AV41" s="392">
        <f t="shared" si="42"/>
        <v>0</v>
      </c>
      <c r="AW41" s="393"/>
      <c r="AX41" s="393"/>
      <c r="AY41" s="393"/>
      <c r="AZ41" s="393"/>
      <c r="BA41" s="393"/>
      <c r="BB41" s="393"/>
      <c r="BC41" s="392">
        <f t="shared" si="43"/>
        <v>0</v>
      </c>
      <c r="BD41" s="393"/>
      <c r="BE41" s="393"/>
      <c r="BF41" s="393"/>
      <c r="BG41" s="393"/>
      <c r="BH41" s="393"/>
      <c r="BI41" s="393"/>
      <c r="BJ41" s="392">
        <f t="shared" si="44"/>
        <v>0</v>
      </c>
      <c r="BK41" s="393"/>
      <c r="BL41" s="393"/>
      <c r="BM41" s="393"/>
      <c r="BN41" s="393"/>
      <c r="BO41" s="393"/>
      <c r="BP41" s="392">
        <f t="shared" si="45"/>
        <v>0</v>
      </c>
      <c r="BQ41" s="393"/>
      <c r="BR41" s="393"/>
      <c r="BS41" s="393"/>
      <c r="BT41" s="393"/>
      <c r="BU41" s="393"/>
      <c r="BV41" s="392">
        <f t="shared" si="47"/>
        <v>0</v>
      </c>
      <c r="BW41" s="393"/>
      <c r="BX41" s="393"/>
      <c r="BY41" s="393"/>
      <c r="BZ41" s="393"/>
      <c r="CA41" s="393"/>
      <c r="CB41" s="393"/>
      <c r="CC41" s="393"/>
      <c r="CD41" s="392">
        <f t="shared" si="48"/>
        <v>0</v>
      </c>
      <c r="CE41" s="393"/>
      <c r="CF41" s="393"/>
      <c r="CG41" s="393"/>
      <c r="CH41" s="393"/>
      <c r="CI41" s="393"/>
      <c r="CJ41" s="393"/>
      <c r="CK41" s="393"/>
      <c r="CL41" s="389" t="s">
        <v>456</v>
      </c>
      <c r="CM41" s="393" t="s">
        <v>335</v>
      </c>
    </row>
    <row r="42" spans="1:91" s="111" customFormat="1" ht="39.75" customHeight="1">
      <c r="A42" s="386" t="s">
        <v>173</v>
      </c>
      <c r="B42" s="387" t="s">
        <v>272</v>
      </c>
      <c r="C42" s="388"/>
      <c r="D42" s="389"/>
      <c r="E42" s="389" t="s">
        <v>38</v>
      </c>
      <c r="F42" s="389"/>
      <c r="G42" s="389"/>
      <c r="H42" s="389"/>
      <c r="I42" s="389" t="s">
        <v>29</v>
      </c>
      <c r="J42" s="393"/>
      <c r="K42" s="393"/>
      <c r="L42" s="391">
        <f t="shared" si="35"/>
        <v>115</v>
      </c>
      <c r="M42" s="391">
        <f t="shared" si="46"/>
        <v>77</v>
      </c>
      <c r="N42" s="391">
        <f t="shared" si="36"/>
        <v>77</v>
      </c>
      <c r="O42" s="391">
        <f t="shared" si="36"/>
        <v>0</v>
      </c>
      <c r="P42" s="391">
        <f t="shared" si="36"/>
        <v>0</v>
      </c>
      <c r="Q42" s="391"/>
      <c r="R42" s="391"/>
      <c r="S42" s="391">
        <f t="shared" si="37"/>
        <v>38</v>
      </c>
      <c r="T42" s="392">
        <f t="shared" si="38"/>
        <v>0</v>
      </c>
      <c r="U42" s="393"/>
      <c r="V42" s="393"/>
      <c r="W42" s="393"/>
      <c r="X42" s="393"/>
      <c r="Y42" s="393"/>
      <c r="Z42" s="393"/>
      <c r="AA42" s="392">
        <f t="shared" si="39"/>
        <v>0</v>
      </c>
      <c r="AB42" s="393"/>
      <c r="AC42" s="393"/>
      <c r="AD42" s="393"/>
      <c r="AE42" s="393"/>
      <c r="AF42" s="393"/>
      <c r="AG42" s="393"/>
      <c r="AH42" s="392">
        <f t="shared" si="40"/>
        <v>48</v>
      </c>
      <c r="AI42" s="393">
        <v>32</v>
      </c>
      <c r="AJ42" s="393"/>
      <c r="AK42" s="393"/>
      <c r="AL42" s="393"/>
      <c r="AM42" s="393"/>
      <c r="AN42" s="393">
        <v>16</v>
      </c>
      <c r="AO42" s="392">
        <f t="shared" si="41"/>
        <v>67</v>
      </c>
      <c r="AP42" s="390">
        <v>45</v>
      </c>
      <c r="AQ42" s="390"/>
      <c r="AR42" s="393"/>
      <c r="AS42" s="393"/>
      <c r="AT42" s="393"/>
      <c r="AU42" s="393">
        <v>22</v>
      </c>
      <c r="AV42" s="392">
        <f t="shared" si="42"/>
        <v>0</v>
      </c>
      <c r="AW42" s="393"/>
      <c r="AX42" s="393"/>
      <c r="AY42" s="393"/>
      <c r="AZ42" s="393"/>
      <c r="BA42" s="393"/>
      <c r="BB42" s="393"/>
      <c r="BC42" s="392">
        <f t="shared" si="43"/>
        <v>0</v>
      </c>
      <c r="BD42" s="393"/>
      <c r="BE42" s="393"/>
      <c r="BF42" s="393"/>
      <c r="BG42" s="393"/>
      <c r="BH42" s="393"/>
      <c r="BI42" s="393"/>
      <c r="BJ42" s="392">
        <f t="shared" si="44"/>
        <v>0</v>
      </c>
      <c r="BK42" s="393"/>
      <c r="BL42" s="393"/>
      <c r="BM42" s="393"/>
      <c r="BN42" s="393"/>
      <c r="BO42" s="393"/>
      <c r="BP42" s="392">
        <f t="shared" si="45"/>
        <v>0</v>
      </c>
      <c r="BQ42" s="393"/>
      <c r="BR42" s="393"/>
      <c r="BS42" s="393"/>
      <c r="BT42" s="393"/>
      <c r="BU42" s="393"/>
      <c r="BV42" s="392">
        <f t="shared" si="47"/>
        <v>0</v>
      </c>
      <c r="BW42" s="393"/>
      <c r="BX42" s="393"/>
      <c r="BY42" s="393"/>
      <c r="BZ42" s="393"/>
      <c r="CA42" s="393"/>
      <c r="CB42" s="393"/>
      <c r="CC42" s="393"/>
      <c r="CD42" s="392">
        <f t="shared" si="48"/>
        <v>0</v>
      </c>
      <c r="CE42" s="393"/>
      <c r="CF42" s="393"/>
      <c r="CG42" s="393"/>
      <c r="CH42" s="393"/>
      <c r="CI42" s="393"/>
      <c r="CJ42" s="393"/>
      <c r="CK42" s="393"/>
      <c r="CL42" s="407" t="s">
        <v>454</v>
      </c>
      <c r="CM42" s="393" t="s">
        <v>335</v>
      </c>
    </row>
    <row r="43" spans="1:91" s="111" customFormat="1" ht="36" customHeight="1">
      <c r="A43" s="386" t="s">
        <v>174</v>
      </c>
      <c r="B43" s="387" t="s">
        <v>314</v>
      </c>
      <c r="C43" s="406" t="s">
        <v>507</v>
      </c>
      <c r="D43" s="389"/>
      <c r="E43" s="389" t="s">
        <v>38</v>
      </c>
      <c r="F43" s="389"/>
      <c r="G43" s="389"/>
      <c r="H43" s="389"/>
      <c r="I43" s="389" t="s">
        <v>29</v>
      </c>
      <c r="J43" s="393"/>
      <c r="K43" s="393"/>
      <c r="L43" s="391">
        <f t="shared" si="35"/>
        <v>93</v>
      </c>
      <c r="M43" s="391">
        <f t="shared" si="46"/>
        <v>62</v>
      </c>
      <c r="N43" s="391">
        <f t="shared" si="36"/>
        <v>62</v>
      </c>
      <c r="O43" s="391">
        <f t="shared" si="36"/>
        <v>0</v>
      </c>
      <c r="P43" s="391">
        <f t="shared" si="36"/>
        <v>0</v>
      </c>
      <c r="Q43" s="391"/>
      <c r="R43" s="391">
        <f>Y43+AM43+AT43+BA43+BH43+BN43+BT43+CA43+CI43</f>
        <v>0</v>
      </c>
      <c r="S43" s="391">
        <f t="shared" si="37"/>
        <v>31</v>
      </c>
      <c r="T43" s="392">
        <f t="shared" si="38"/>
        <v>0</v>
      </c>
      <c r="U43" s="393"/>
      <c r="V43" s="393"/>
      <c r="W43" s="393"/>
      <c r="X43" s="393"/>
      <c r="Y43" s="393"/>
      <c r="Z43" s="393"/>
      <c r="AA43" s="392">
        <f t="shared" si="39"/>
        <v>0</v>
      </c>
      <c r="AB43" s="393"/>
      <c r="AC43" s="393"/>
      <c r="AD43" s="393"/>
      <c r="AE43" s="393"/>
      <c r="AF43" s="393"/>
      <c r="AG43" s="393"/>
      <c r="AH43" s="392">
        <f t="shared" si="40"/>
        <v>48</v>
      </c>
      <c r="AI43" s="393">
        <v>32</v>
      </c>
      <c r="AJ43" s="393"/>
      <c r="AK43" s="393"/>
      <c r="AL43" s="393"/>
      <c r="AM43" s="393"/>
      <c r="AN43" s="393">
        <v>16</v>
      </c>
      <c r="AO43" s="392">
        <f t="shared" si="41"/>
        <v>45</v>
      </c>
      <c r="AP43" s="390">
        <v>30</v>
      </c>
      <c r="AQ43" s="390"/>
      <c r="AR43" s="393"/>
      <c r="AS43" s="393"/>
      <c r="AT43" s="393"/>
      <c r="AU43" s="393">
        <v>15</v>
      </c>
      <c r="AV43" s="392">
        <f t="shared" si="42"/>
        <v>0</v>
      </c>
      <c r="AW43" s="393"/>
      <c r="AX43" s="393"/>
      <c r="AY43" s="393"/>
      <c r="AZ43" s="393"/>
      <c r="BA43" s="393"/>
      <c r="BB43" s="393"/>
      <c r="BC43" s="392">
        <f t="shared" si="43"/>
        <v>0</v>
      </c>
      <c r="BD43" s="393"/>
      <c r="BE43" s="393"/>
      <c r="BF43" s="393"/>
      <c r="BG43" s="393"/>
      <c r="BH43" s="393"/>
      <c r="BI43" s="393"/>
      <c r="BJ43" s="392">
        <f t="shared" si="44"/>
        <v>0</v>
      </c>
      <c r="BK43" s="393"/>
      <c r="BL43" s="393"/>
      <c r="BM43" s="393"/>
      <c r="BN43" s="393"/>
      <c r="BO43" s="393"/>
      <c r="BP43" s="392">
        <f t="shared" si="45"/>
        <v>0</v>
      </c>
      <c r="BQ43" s="393"/>
      <c r="BR43" s="393"/>
      <c r="BS43" s="393"/>
      <c r="BT43" s="393"/>
      <c r="BU43" s="393"/>
      <c r="BV43" s="392">
        <f t="shared" si="47"/>
        <v>0</v>
      </c>
      <c r="BW43" s="393"/>
      <c r="BX43" s="393"/>
      <c r="BY43" s="393"/>
      <c r="BZ43" s="393"/>
      <c r="CA43" s="393"/>
      <c r="CB43" s="393"/>
      <c r="CC43" s="393"/>
      <c r="CD43" s="392">
        <f t="shared" si="48"/>
        <v>0</v>
      </c>
      <c r="CE43" s="393"/>
      <c r="CF43" s="393"/>
      <c r="CG43" s="393"/>
      <c r="CH43" s="393"/>
      <c r="CI43" s="393"/>
      <c r="CJ43" s="393"/>
      <c r="CK43" s="393"/>
      <c r="CL43" s="389" t="s">
        <v>454</v>
      </c>
      <c r="CM43" s="393" t="s">
        <v>335</v>
      </c>
    </row>
    <row r="44" spans="1:91" s="111" customFormat="1" ht="33.75" customHeight="1">
      <c r="A44" s="386" t="s">
        <v>175</v>
      </c>
      <c r="B44" s="387" t="s">
        <v>267</v>
      </c>
      <c r="C44" s="406" t="s">
        <v>506</v>
      </c>
      <c r="D44" s="389" t="s">
        <v>38</v>
      </c>
      <c r="E44" s="389"/>
      <c r="F44" s="389"/>
      <c r="G44" s="389"/>
      <c r="H44" s="389"/>
      <c r="I44" s="389" t="s">
        <v>29</v>
      </c>
      <c r="J44" s="393"/>
      <c r="K44" s="393"/>
      <c r="L44" s="391">
        <f t="shared" si="35"/>
        <v>138</v>
      </c>
      <c r="M44" s="391">
        <f t="shared" si="46"/>
        <v>92</v>
      </c>
      <c r="N44" s="391">
        <f t="shared" si="36"/>
        <v>92</v>
      </c>
      <c r="O44" s="391">
        <f t="shared" si="36"/>
        <v>0</v>
      </c>
      <c r="P44" s="391">
        <f t="shared" si="36"/>
        <v>0</v>
      </c>
      <c r="Q44" s="391"/>
      <c r="R44" s="391">
        <f>Y44+AM44+AT44+BA44+BH44+BN44+BT44+CA44+CI44</f>
        <v>0</v>
      </c>
      <c r="S44" s="391">
        <f t="shared" si="37"/>
        <v>46</v>
      </c>
      <c r="T44" s="392">
        <f t="shared" si="38"/>
        <v>0</v>
      </c>
      <c r="U44" s="393"/>
      <c r="V44" s="393"/>
      <c r="W44" s="393"/>
      <c r="X44" s="393"/>
      <c r="Y44" s="393"/>
      <c r="Z44" s="393"/>
      <c r="AA44" s="392">
        <f t="shared" si="39"/>
        <v>0</v>
      </c>
      <c r="AB44" s="393"/>
      <c r="AC44" s="393"/>
      <c r="AD44" s="393"/>
      <c r="AE44" s="393"/>
      <c r="AF44" s="393"/>
      <c r="AG44" s="393"/>
      <c r="AH44" s="392">
        <f t="shared" si="40"/>
        <v>48</v>
      </c>
      <c r="AI44" s="393">
        <v>32</v>
      </c>
      <c r="AJ44" s="393"/>
      <c r="AK44" s="393"/>
      <c r="AL44" s="393"/>
      <c r="AM44" s="393"/>
      <c r="AN44" s="393">
        <v>16</v>
      </c>
      <c r="AO44" s="392">
        <f t="shared" si="41"/>
        <v>90</v>
      </c>
      <c r="AP44" s="390">
        <v>60</v>
      </c>
      <c r="AQ44" s="390"/>
      <c r="AR44" s="393"/>
      <c r="AS44" s="393"/>
      <c r="AT44" s="393"/>
      <c r="AU44" s="393">
        <v>30</v>
      </c>
      <c r="AV44" s="392">
        <f t="shared" si="42"/>
        <v>0</v>
      </c>
      <c r="AW44" s="393"/>
      <c r="AX44" s="393"/>
      <c r="AY44" s="393"/>
      <c r="AZ44" s="393"/>
      <c r="BA44" s="393"/>
      <c r="BB44" s="393"/>
      <c r="BC44" s="392">
        <f t="shared" si="43"/>
        <v>0</v>
      </c>
      <c r="BD44" s="393"/>
      <c r="BE44" s="393"/>
      <c r="BF44" s="393"/>
      <c r="BG44" s="393"/>
      <c r="BH44" s="393"/>
      <c r="BI44" s="393"/>
      <c r="BJ44" s="392">
        <f t="shared" si="44"/>
        <v>0</v>
      </c>
      <c r="BK44" s="393"/>
      <c r="BL44" s="393"/>
      <c r="BM44" s="393"/>
      <c r="BN44" s="393"/>
      <c r="BO44" s="393"/>
      <c r="BP44" s="392">
        <f t="shared" si="45"/>
        <v>0</v>
      </c>
      <c r="BQ44" s="393"/>
      <c r="BR44" s="393"/>
      <c r="BS44" s="393"/>
      <c r="BT44" s="393"/>
      <c r="BU44" s="393"/>
      <c r="BV44" s="392">
        <f t="shared" si="47"/>
        <v>0</v>
      </c>
      <c r="BW44" s="393"/>
      <c r="BX44" s="393"/>
      <c r="BY44" s="393"/>
      <c r="BZ44" s="393"/>
      <c r="CA44" s="393"/>
      <c r="CB44" s="393"/>
      <c r="CC44" s="393"/>
      <c r="CD44" s="392">
        <f t="shared" si="48"/>
        <v>0</v>
      </c>
      <c r="CE44" s="393"/>
      <c r="CF44" s="393"/>
      <c r="CG44" s="393"/>
      <c r="CH44" s="393"/>
      <c r="CI44" s="393"/>
      <c r="CJ44" s="393"/>
      <c r="CK44" s="393"/>
      <c r="CL44" s="389" t="s">
        <v>453</v>
      </c>
      <c r="CM44" s="393" t="s">
        <v>335</v>
      </c>
    </row>
    <row r="45" spans="1:91" s="111" customFormat="1" ht="38.25" customHeight="1">
      <c r="A45" s="386" t="s">
        <v>176</v>
      </c>
      <c r="B45" s="387" t="s">
        <v>275</v>
      </c>
      <c r="C45" s="388"/>
      <c r="D45" s="389" t="s">
        <v>39</v>
      </c>
      <c r="E45" s="389"/>
      <c r="F45" s="389"/>
      <c r="G45" s="389"/>
      <c r="H45" s="389"/>
      <c r="I45" s="407" t="s">
        <v>38</v>
      </c>
      <c r="J45" s="393"/>
      <c r="K45" s="393"/>
      <c r="L45" s="391">
        <f t="shared" si="35"/>
        <v>116</v>
      </c>
      <c r="M45" s="391">
        <f t="shared" si="46"/>
        <v>77</v>
      </c>
      <c r="N45" s="391">
        <f t="shared" si="36"/>
        <v>77</v>
      </c>
      <c r="O45" s="391">
        <f t="shared" si="36"/>
        <v>0</v>
      </c>
      <c r="P45" s="391">
        <f t="shared" si="36"/>
        <v>0</v>
      </c>
      <c r="Q45" s="391"/>
      <c r="R45" s="391">
        <f>Y45+AM45+AT45+BA45+BH45+BN45+BT45+CA45+CI45</f>
        <v>0</v>
      </c>
      <c r="S45" s="391">
        <f t="shared" si="37"/>
        <v>39</v>
      </c>
      <c r="T45" s="392">
        <f t="shared" si="38"/>
        <v>0</v>
      </c>
      <c r="U45" s="393"/>
      <c r="V45" s="393"/>
      <c r="W45" s="393"/>
      <c r="X45" s="393"/>
      <c r="Y45" s="393"/>
      <c r="Z45" s="393"/>
      <c r="AA45" s="392">
        <f t="shared" si="39"/>
        <v>0</v>
      </c>
      <c r="AB45" s="393"/>
      <c r="AC45" s="393"/>
      <c r="AD45" s="393"/>
      <c r="AE45" s="393"/>
      <c r="AF45" s="393"/>
      <c r="AG45" s="393"/>
      <c r="AH45" s="392">
        <f t="shared" si="40"/>
        <v>0</v>
      </c>
      <c r="AI45" s="393"/>
      <c r="AJ45" s="393"/>
      <c r="AK45" s="393"/>
      <c r="AL45" s="393"/>
      <c r="AM45" s="393"/>
      <c r="AN45" s="393"/>
      <c r="AO45" s="392">
        <f t="shared" si="41"/>
        <v>68</v>
      </c>
      <c r="AP45" s="390">
        <v>45</v>
      </c>
      <c r="AQ45" s="390"/>
      <c r="AR45" s="393"/>
      <c r="AS45" s="393"/>
      <c r="AT45" s="393"/>
      <c r="AU45" s="393">
        <v>23</v>
      </c>
      <c r="AV45" s="392">
        <f t="shared" si="42"/>
        <v>48</v>
      </c>
      <c r="AW45" s="393">
        <v>32</v>
      </c>
      <c r="AX45" s="393"/>
      <c r="AY45" s="393"/>
      <c r="AZ45" s="393"/>
      <c r="BA45" s="393"/>
      <c r="BB45" s="393">
        <v>16</v>
      </c>
      <c r="BC45" s="392">
        <f t="shared" si="43"/>
        <v>0</v>
      </c>
      <c r="BD45" s="393"/>
      <c r="BE45" s="393"/>
      <c r="BF45" s="393"/>
      <c r="BG45" s="393"/>
      <c r="BH45" s="393"/>
      <c r="BI45" s="393"/>
      <c r="BJ45" s="392">
        <f t="shared" si="44"/>
        <v>0</v>
      </c>
      <c r="BK45" s="393"/>
      <c r="BL45" s="393"/>
      <c r="BM45" s="393"/>
      <c r="BN45" s="393"/>
      <c r="BO45" s="393"/>
      <c r="BP45" s="392">
        <f t="shared" si="45"/>
        <v>0</v>
      </c>
      <c r="BQ45" s="393"/>
      <c r="BR45" s="393"/>
      <c r="BS45" s="393"/>
      <c r="BT45" s="393"/>
      <c r="BU45" s="393"/>
      <c r="BV45" s="392">
        <f t="shared" si="47"/>
        <v>0</v>
      </c>
      <c r="BW45" s="393"/>
      <c r="BX45" s="393"/>
      <c r="BY45" s="393"/>
      <c r="BZ45" s="393"/>
      <c r="CA45" s="393"/>
      <c r="CB45" s="393"/>
      <c r="CC45" s="393"/>
      <c r="CD45" s="392">
        <f t="shared" si="48"/>
        <v>0</v>
      </c>
      <c r="CE45" s="393"/>
      <c r="CF45" s="393"/>
      <c r="CG45" s="393"/>
      <c r="CH45" s="393"/>
      <c r="CI45" s="393"/>
      <c r="CJ45" s="393"/>
      <c r="CK45" s="393"/>
      <c r="CL45" s="389" t="s">
        <v>455</v>
      </c>
      <c r="CM45" s="393" t="s">
        <v>336</v>
      </c>
    </row>
    <row r="46" spans="1:91" s="111" customFormat="1" ht="33.75" customHeight="1">
      <c r="A46" s="386" t="s">
        <v>177</v>
      </c>
      <c r="B46" s="387" t="s">
        <v>124</v>
      </c>
      <c r="C46" s="388"/>
      <c r="D46" s="389"/>
      <c r="E46" s="389" t="s">
        <v>39</v>
      </c>
      <c r="F46" s="389"/>
      <c r="G46" s="389"/>
      <c r="H46" s="389"/>
      <c r="I46" s="389"/>
      <c r="J46" s="393"/>
      <c r="K46" s="393">
        <v>68</v>
      </c>
      <c r="L46" s="391">
        <f t="shared" si="35"/>
        <v>88</v>
      </c>
      <c r="M46" s="391">
        <f t="shared" si="46"/>
        <v>68</v>
      </c>
      <c r="N46" s="391">
        <f t="shared" si="36"/>
        <v>68</v>
      </c>
      <c r="O46" s="391">
        <f t="shared" si="36"/>
        <v>0</v>
      </c>
      <c r="P46" s="391">
        <f t="shared" si="36"/>
        <v>0</v>
      </c>
      <c r="Q46" s="391"/>
      <c r="R46" s="391">
        <f>Y46+AM46+AT46+BA46+BH46+BN46+BT46+CA46+CI46</f>
        <v>0</v>
      </c>
      <c r="S46" s="391">
        <f t="shared" si="37"/>
        <v>20</v>
      </c>
      <c r="T46" s="392">
        <f t="shared" si="38"/>
        <v>0</v>
      </c>
      <c r="U46" s="393"/>
      <c r="V46" s="393"/>
      <c r="W46" s="393"/>
      <c r="X46" s="393"/>
      <c r="Y46" s="393"/>
      <c r="Z46" s="393"/>
      <c r="AA46" s="392">
        <f t="shared" si="39"/>
        <v>0</v>
      </c>
      <c r="AB46" s="393"/>
      <c r="AC46" s="393"/>
      <c r="AD46" s="393"/>
      <c r="AE46" s="393"/>
      <c r="AF46" s="393"/>
      <c r="AG46" s="393"/>
      <c r="AH46" s="392">
        <f t="shared" si="40"/>
        <v>0</v>
      </c>
      <c r="AI46" s="393"/>
      <c r="AJ46" s="393"/>
      <c r="AK46" s="393"/>
      <c r="AL46" s="393"/>
      <c r="AM46" s="393"/>
      <c r="AN46" s="393"/>
      <c r="AO46" s="392">
        <f t="shared" si="41"/>
        <v>0</v>
      </c>
      <c r="AP46" s="393"/>
      <c r="AQ46" s="393"/>
      <c r="AR46" s="393"/>
      <c r="AS46" s="393"/>
      <c r="AT46" s="393"/>
      <c r="AU46" s="393"/>
      <c r="AV46" s="392">
        <f t="shared" si="42"/>
        <v>88</v>
      </c>
      <c r="AW46" s="390">
        <v>68</v>
      </c>
      <c r="AX46" s="390"/>
      <c r="AY46" s="390"/>
      <c r="AZ46" s="390"/>
      <c r="BA46" s="390"/>
      <c r="BB46" s="390">
        <v>20</v>
      </c>
      <c r="BC46" s="392">
        <f t="shared" si="43"/>
        <v>0</v>
      </c>
      <c r="BD46" s="393"/>
      <c r="BE46" s="393"/>
      <c r="BF46" s="393"/>
      <c r="BG46" s="393"/>
      <c r="BH46" s="393"/>
      <c r="BI46" s="393"/>
      <c r="BJ46" s="392">
        <f t="shared" si="44"/>
        <v>0</v>
      </c>
      <c r="BK46" s="393"/>
      <c r="BL46" s="393"/>
      <c r="BM46" s="393"/>
      <c r="BN46" s="393"/>
      <c r="BO46" s="393"/>
      <c r="BP46" s="392">
        <f t="shared" si="45"/>
        <v>0</v>
      </c>
      <c r="BQ46" s="393"/>
      <c r="BR46" s="393"/>
      <c r="BS46" s="393"/>
      <c r="BT46" s="393"/>
      <c r="BU46" s="393"/>
      <c r="BV46" s="392">
        <f>SUM(BW46:CC46)</f>
        <v>0</v>
      </c>
      <c r="BW46" s="393"/>
      <c r="BX46" s="393"/>
      <c r="BY46" s="393"/>
      <c r="BZ46" s="393"/>
      <c r="CA46" s="393"/>
      <c r="CB46" s="393"/>
      <c r="CC46" s="393"/>
      <c r="CD46" s="392">
        <f>SUM(CE46:CK46)</f>
        <v>0</v>
      </c>
      <c r="CE46" s="393"/>
      <c r="CF46" s="393"/>
      <c r="CG46" s="393"/>
      <c r="CH46" s="393"/>
      <c r="CI46" s="393"/>
      <c r="CJ46" s="393"/>
      <c r="CK46" s="393"/>
      <c r="CL46" s="389" t="s">
        <v>454</v>
      </c>
      <c r="CM46" s="393" t="s">
        <v>337</v>
      </c>
    </row>
    <row r="47" spans="1:96" s="116" customFormat="1" ht="25.5" customHeight="1">
      <c r="A47" s="598" t="s">
        <v>161</v>
      </c>
      <c r="B47" s="728" t="s">
        <v>164</v>
      </c>
      <c r="C47" s="729"/>
      <c r="D47" s="729"/>
      <c r="E47" s="729"/>
      <c r="F47" s="729"/>
      <c r="G47" s="729"/>
      <c r="H47" s="729"/>
      <c r="I47" s="730"/>
      <c r="J47" s="401">
        <v>1392</v>
      </c>
      <c r="K47" s="401">
        <v>928</v>
      </c>
      <c r="L47" s="497">
        <f>SUM(L48+L58+L65+L70)</f>
        <v>2090</v>
      </c>
      <c r="M47" s="497">
        <f aca="true" t="shared" si="49" ref="M47:S47">M48+M58+M65+M70</f>
        <v>1404</v>
      </c>
      <c r="N47" s="497">
        <f t="shared" si="49"/>
        <v>1085</v>
      </c>
      <c r="O47" s="497">
        <f t="shared" si="49"/>
        <v>266</v>
      </c>
      <c r="P47" s="497">
        <f t="shared" si="49"/>
        <v>53</v>
      </c>
      <c r="Q47" s="497"/>
      <c r="R47" s="497">
        <f t="shared" si="49"/>
        <v>0</v>
      </c>
      <c r="S47" s="497">
        <f t="shared" si="49"/>
        <v>686</v>
      </c>
      <c r="T47" s="497">
        <f aca="true" t="shared" si="50" ref="T47:AU47">SUM(T48:T72)/2</f>
        <v>0</v>
      </c>
      <c r="U47" s="497">
        <f t="shared" si="50"/>
        <v>0</v>
      </c>
      <c r="V47" s="497">
        <f t="shared" si="50"/>
        <v>0</v>
      </c>
      <c r="W47" s="497">
        <f t="shared" si="50"/>
        <v>0</v>
      </c>
      <c r="X47" s="497"/>
      <c r="Y47" s="497">
        <f t="shared" si="50"/>
        <v>0</v>
      </c>
      <c r="Z47" s="497">
        <f t="shared" si="50"/>
        <v>0</v>
      </c>
      <c r="AA47" s="497">
        <f t="shared" si="50"/>
        <v>0</v>
      </c>
      <c r="AB47" s="497">
        <f t="shared" si="50"/>
        <v>0</v>
      </c>
      <c r="AC47" s="497">
        <f t="shared" si="50"/>
        <v>0</v>
      </c>
      <c r="AD47" s="497">
        <f t="shared" si="50"/>
        <v>0</v>
      </c>
      <c r="AE47" s="497"/>
      <c r="AF47" s="497"/>
      <c r="AG47" s="497">
        <f t="shared" si="50"/>
        <v>0</v>
      </c>
      <c r="AH47" s="497">
        <f t="shared" si="50"/>
        <v>36</v>
      </c>
      <c r="AI47" s="497">
        <f t="shared" si="50"/>
        <v>24</v>
      </c>
      <c r="AJ47" s="497">
        <f t="shared" si="50"/>
        <v>0</v>
      </c>
      <c r="AK47" s="497">
        <f t="shared" si="50"/>
        <v>0</v>
      </c>
      <c r="AL47" s="497"/>
      <c r="AM47" s="497">
        <f t="shared" si="50"/>
        <v>0</v>
      </c>
      <c r="AN47" s="497">
        <f t="shared" si="50"/>
        <v>12</v>
      </c>
      <c r="AO47" s="497">
        <f t="shared" si="50"/>
        <v>154</v>
      </c>
      <c r="AP47" s="497">
        <f t="shared" si="50"/>
        <v>88</v>
      </c>
      <c r="AQ47" s="497">
        <f t="shared" si="50"/>
        <v>15</v>
      </c>
      <c r="AR47" s="497">
        <f t="shared" si="50"/>
        <v>0</v>
      </c>
      <c r="AS47" s="497"/>
      <c r="AT47" s="497">
        <f t="shared" si="50"/>
        <v>0</v>
      </c>
      <c r="AU47" s="497">
        <f t="shared" si="50"/>
        <v>51</v>
      </c>
      <c r="AV47" s="497">
        <f aca="true" t="shared" si="51" ref="AV47:BU47">SUM(AV48:AV72)/2</f>
        <v>544</v>
      </c>
      <c r="AW47" s="497">
        <f t="shared" si="51"/>
        <v>300</v>
      </c>
      <c r="AX47" s="497">
        <f t="shared" si="51"/>
        <v>64</v>
      </c>
      <c r="AY47" s="497">
        <f t="shared" si="51"/>
        <v>0</v>
      </c>
      <c r="AZ47" s="497"/>
      <c r="BA47" s="497">
        <f t="shared" si="51"/>
        <v>0</v>
      </c>
      <c r="BB47" s="497">
        <f t="shared" si="51"/>
        <v>180</v>
      </c>
      <c r="BC47" s="497">
        <f t="shared" si="51"/>
        <v>400</v>
      </c>
      <c r="BD47" s="497">
        <f t="shared" si="51"/>
        <v>187</v>
      </c>
      <c r="BE47" s="497">
        <f t="shared" si="51"/>
        <v>56</v>
      </c>
      <c r="BF47" s="497">
        <f t="shared" si="51"/>
        <v>29</v>
      </c>
      <c r="BG47" s="497"/>
      <c r="BH47" s="497">
        <f t="shared" si="51"/>
        <v>0</v>
      </c>
      <c r="BI47" s="497">
        <f t="shared" si="51"/>
        <v>128</v>
      </c>
      <c r="BJ47" s="497">
        <f t="shared" si="51"/>
        <v>337</v>
      </c>
      <c r="BK47" s="497">
        <f t="shared" si="51"/>
        <v>192</v>
      </c>
      <c r="BL47" s="497">
        <f t="shared" si="51"/>
        <v>56</v>
      </c>
      <c r="BM47" s="497">
        <f t="shared" si="51"/>
        <v>0</v>
      </c>
      <c r="BN47" s="497">
        <f t="shared" si="51"/>
        <v>0</v>
      </c>
      <c r="BO47" s="497">
        <f t="shared" si="51"/>
        <v>116</v>
      </c>
      <c r="BP47" s="497">
        <f t="shared" si="51"/>
        <v>592</v>
      </c>
      <c r="BQ47" s="497">
        <f t="shared" si="51"/>
        <v>294</v>
      </c>
      <c r="BR47" s="497">
        <f t="shared" si="51"/>
        <v>75</v>
      </c>
      <c r="BS47" s="497">
        <f t="shared" si="51"/>
        <v>24</v>
      </c>
      <c r="BT47" s="497">
        <f t="shared" si="51"/>
        <v>0</v>
      </c>
      <c r="BU47" s="497">
        <f t="shared" si="51"/>
        <v>199</v>
      </c>
      <c r="BV47" s="497">
        <f aca="true" t="shared" si="52" ref="BV47:CK47">SUM(BV48:BV72)/2</f>
        <v>0</v>
      </c>
      <c r="BW47" s="497">
        <f t="shared" si="52"/>
        <v>0</v>
      </c>
      <c r="BX47" s="497">
        <f t="shared" si="52"/>
        <v>0</v>
      </c>
      <c r="BY47" s="497">
        <f t="shared" si="52"/>
        <v>0</v>
      </c>
      <c r="BZ47" s="497">
        <f t="shared" si="52"/>
        <v>0</v>
      </c>
      <c r="CA47" s="497">
        <f t="shared" si="52"/>
        <v>0</v>
      </c>
      <c r="CB47" s="497">
        <f t="shared" si="52"/>
        <v>0</v>
      </c>
      <c r="CC47" s="497">
        <f t="shared" si="52"/>
        <v>0</v>
      </c>
      <c r="CD47" s="497">
        <f t="shared" si="52"/>
        <v>0</v>
      </c>
      <c r="CE47" s="497">
        <f t="shared" si="52"/>
        <v>0</v>
      </c>
      <c r="CF47" s="497">
        <f t="shared" si="52"/>
        <v>0</v>
      </c>
      <c r="CG47" s="497">
        <f t="shared" si="52"/>
        <v>0</v>
      </c>
      <c r="CH47" s="497">
        <f t="shared" si="52"/>
        <v>0</v>
      </c>
      <c r="CI47" s="497">
        <f t="shared" si="52"/>
        <v>0</v>
      </c>
      <c r="CJ47" s="497">
        <f t="shared" si="52"/>
        <v>0</v>
      </c>
      <c r="CK47" s="497">
        <f t="shared" si="52"/>
        <v>0</v>
      </c>
      <c r="CL47" s="498"/>
      <c r="CM47" s="498"/>
      <c r="CR47" s="513">
        <f>SUM(L47-J47)</f>
        <v>698</v>
      </c>
    </row>
    <row r="48" spans="1:91" s="111" customFormat="1" ht="35.25" customHeight="1">
      <c r="A48" s="409" t="s">
        <v>322</v>
      </c>
      <c r="B48" s="731" t="s">
        <v>544</v>
      </c>
      <c r="C48" s="732"/>
      <c r="D48" s="732"/>
      <c r="E48" s="732"/>
      <c r="F48" s="732"/>
      <c r="G48" s="732"/>
      <c r="H48" s="732"/>
      <c r="I48" s="733"/>
      <c r="J48" s="410"/>
      <c r="K48" s="410"/>
      <c r="L48" s="411">
        <f>M48+S48</f>
        <v>1394</v>
      </c>
      <c r="M48" s="411">
        <f aca="true" t="shared" si="53" ref="M48:S48">SUM(M50:M56)</f>
        <v>937</v>
      </c>
      <c r="N48" s="411">
        <f t="shared" si="53"/>
        <v>673</v>
      </c>
      <c r="O48" s="411">
        <f t="shared" si="53"/>
        <v>235</v>
      </c>
      <c r="P48" s="411">
        <f t="shared" si="53"/>
        <v>29</v>
      </c>
      <c r="Q48" s="411"/>
      <c r="R48" s="411">
        <f t="shared" si="53"/>
        <v>0</v>
      </c>
      <c r="S48" s="411">
        <f t="shared" si="53"/>
        <v>457</v>
      </c>
      <c r="T48" s="411">
        <f aca="true" t="shared" si="54" ref="T48:T55">SUM(U48:Z48)</f>
        <v>0</v>
      </c>
      <c r="U48" s="411">
        <f>SUM(U50:U56)</f>
        <v>0</v>
      </c>
      <c r="V48" s="411">
        <f>SUM(V50:V56)</f>
        <v>0</v>
      </c>
      <c r="W48" s="411">
        <f>SUM(W50:W56)</f>
        <v>0</v>
      </c>
      <c r="X48" s="411"/>
      <c r="Y48" s="411">
        <f>SUM(Y50:Y56)</f>
        <v>0</v>
      </c>
      <c r="Z48" s="411">
        <f>SUM(Z50:Z56)</f>
        <v>0</v>
      </c>
      <c r="AA48" s="411">
        <f aca="true" t="shared" si="55" ref="AA48:AA55">SUM(AB48:AG48)</f>
        <v>0</v>
      </c>
      <c r="AB48" s="411">
        <f>SUM(AB50:AB56)</f>
        <v>0</v>
      </c>
      <c r="AC48" s="411">
        <f>SUM(AC50:AC56)</f>
        <v>0</v>
      </c>
      <c r="AD48" s="411">
        <f>SUM(AD50:AD56)</f>
        <v>0</v>
      </c>
      <c r="AE48" s="411"/>
      <c r="AF48" s="411"/>
      <c r="AG48" s="411">
        <f>SUM(AG50:AG56)</f>
        <v>0</v>
      </c>
      <c r="AH48" s="411">
        <f aca="true" t="shared" si="56" ref="AH48:AH55">SUM(AI48:AN48)</f>
        <v>0</v>
      </c>
      <c r="AI48" s="411">
        <f>SUM(AI50:AI56)</f>
        <v>0</v>
      </c>
      <c r="AJ48" s="411">
        <f>SUM(AJ50:AJ56)</f>
        <v>0</v>
      </c>
      <c r="AK48" s="411">
        <f>SUM(AK50:AK56)</f>
        <v>0</v>
      </c>
      <c r="AL48" s="411"/>
      <c r="AM48" s="411">
        <f>SUM(AM50:AM56)</f>
        <v>0</v>
      </c>
      <c r="AN48" s="411">
        <f>SUM(AN50:AN56)</f>
        <v>0</v>
      </c>
      <c r="AO48" s="411">
        <f aca="true" t="shared" si="57" ref="AO48:AO55">SUM(AP48:AU48)</f>
        <v>0</v>
      </c>
      <c r="AP48" s="411">
        <f>SUM(AP50:AP56)</f>
        <v>0</v>
      </c>
      <c r="AQ48" s="411">
        <f>SUM(AQ50:AQ56)</f>
        <v>0</v>
      </c>
      <c r="AR48" s="411">
        <f>SUM(AR50:AR56)</f>
        <v>0</v>
      </c>
      <c r="AS48" s="411"/>
      <c r="AT48" s="411">
        <f>SUM(AT50:AT56)</f>
        <v>0</v>
      </c>
      <c r="AU48" s="411">
        <f>SUM(AU50:AU56)</f>
        <v>0</v>
      </c>
      <c r="AV48" s="411">
        <f aca="true" t="shared" si="58" ref="AV48:AV55">SUM(AW48:BB48)</f>
        <v>294</v>
      </c>
      <c r="AW48" s="411">
        <f>SUM(AW50:AW56)</f>
        <v>148</v>
      </c>
      <c r="AX48" s="411">
        <f>SUM(AX50:AX56)</f>
        <v>48</v>
      </c>
      <c r="AY48" s="411">
        <f>SUM(AY50:AY56)</f>
        <v>0</v>
      </c>
      <c r="AZ48" s="411"/>
      <c r="BA48" s="411">
        <f>SUM(BA50:BA56)</f>
        <v>0</v>
      </c>
      <c r="BB48" s="411">
        <f>SUM(BB50:BB56)</f>
        <v>98</v>
      </c>
      <c r="BC48" s="411">
        <f aca="true" t="shared" si="59" ref="BC48:BC55">SUM(BD48:BI48)</f>
        <v>400</v>
      </c>
      <c r="BD48" s="411">
        <f>SUM(BD50:BD56)</f>
        <v>187</v>
      </c>
      <c r="BE48" s="411">
        <f>SUM(BE50:BE56)</f>
        <v>56</v>
      </c>
      <c r="BF48" s="411">
        <f>SUM(BF50:BF56)</f>
        <v>29</v>
      </c>
      <c r="BG48" s="411"/>
      <c r="BH48" s="411">
        <f>SUM(BH50:BH56)</f>
        <v>0</v>
      </c>
      <c r="BI48" s="411">
        <f>SUM(BI50:BI56)</f>
        <v>128</v>
      </c>
      <c r="BJ48" s="411">
        <f aca="true" t="shared" si="60" ref="BJ48:BJ56">SUM(BK48:BO48)</f>
        <v>265</v>
      </c>
      <c r="BK48" s="411">
        <f>SUM(BK50:BK56)</f>
        <v>124</v>
      </c>
      <c r="BL48" s="411">
        <f>SUM(BL50:BL56)</f>
        <v>56</v>
      </c>
      <c r="BM48" s="411">
        <f>SUM(BM50:BM56)</f>
        <v>0</v>
      </c>
      <c r="BN48" s="411">
        <f>SUM(BN50:BN56)</f>
        <v>0</v>
      </c>
      <c r="BO48" s="411">
        <f>SUM(BO50:BO56)</f>
        <v>85</v>
      </c>
      <c r="BP48" s="411">
        <f aca="true" t="shared" si="61" ref="BP48:BP56">SUM(BQ48:BU48)</f>
        <v>435</v>
      </c>
      <c r="BQ48" s="411">
        <f>SUM(BQ50:BQ56)</f>
        <v>214</v>
      </c>
      <c r="BR48" s="411">
        <f>SUM(BR50:BR56)</f>
        <v>75</v>
      </c>
      <c r="BS48" s="411">
        <f>SUM(BS50:BS56)</f>
        <v>0</v>
      </c>
      <c r="BT48" s="411">
        <f>SUM(BT50:BT56)</f>
        <v>0</v>
      </c>
      <c r="BU48" s="411">
        <f>SUM(BU50:BU56)</f>
        <v>146</v>
      </c>
      <c r="BV48" s="411">
        <f>SUM(BW48:CC48)</f>
        <v>0</v>
      </c>
      <c r="BW48" s="411">
        <f aca="true" t="shared" si="62" ref="BW48:CC48">SUM(BW50:BW56)</f>
        <v>0</v>
      </c>
      <c r="BX48" s="411">
        <f t="shared" si="62"/>
        <v>0</v>
      </c>
      <c r="BY48" s="411">
        <f t="shared" si="62"/>
        <v>0</v>
      </c>
      <c r="BZ48" s="411">
        <f t="shared" si="62"/>
        <v>0</v>
      </c>
      <c r="CA48" s="411">
        <f t="shared" si="62"/>
        <v>0</v>
      </c>
      <c r="CB48" s="411">
        <f t="shared" si="62"/>
        <v>0</v>
      </c>
      <c r="CC48" s="411">
        <f t="shared" si="62"/>
        <v>0</v>
      </c>
      <c r="CD48" s="411">
        <f>SUM(CE48:CK48)</f>
        <v>0</v>
      </c>
      <c r="CE48" s="411">
        <f aca="true" t="shared" si="63" ref="CE48:CK48">SUM(CE50:CE56)</f>
        <v>0</v>
      </c>
      <c r="CF48" s="411">
        <f t="shared" si="63"/>
        <v>0</v>
      </c>
      <c r="CG48" s="411">
        <f t="shared" si="63"/>
        <v>0</v>
      </c>
      <c r="CH48" s="411">
        <f t="shared" si="63"/>
        <v>0</v>
      </c>
      <c r="CI48" s="411">
        <f t="shared" si="63"/>
        <v>0</v>
      </c>
      <c r="CJ48" s="411">
        <f t="shared" si="63"/>
        <v>0</v>
      </c>
      <c r="CK48" s="411">
        <f t="shared" si="63"/>
        <v>0</v>
      </c>
      <c r="CL48" s="412"/>
      <c r="CM48" s="413"/>
    </row>
    <row r="49" spans="1:91" s="111" customFormat="1" ht="33.75" customHeight="1">
      <c r="A49" s="414" t="s">
        <v>510</v>
      </c>
      <c r="B49" s="725" t="s">
        <v>509</v>
      </c>
      <c r="C49" s="726"/>
      <c r="D49" s="726"/>
      <c r="E49" s="726"/>
      <c r="F49" s="726"/>
      <c r="G49" s="726"/>
      <c r="H49" s="726"/>
      <c r="I49" s="727"/>
      <c r="J49" s="415"/>
      <c r="K49" s="415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  <c r="AF49" s="416"/>
      <c r="AG49" s="416"/>
      <c r="AH49" s="416"/>
      <c r="AI49" s="416"/>
      <c r="AJ49" s="416"/>
      <c r="AK49" s="416"/>
      <c r="AL49" s="416"/>
      <c r="AM49" s="416"/>
      <c r="AN49" s="416"/>
      <c r="AO49" s="416"/>
      <c r="AP49" s="416"/>
      <c r="AQ49" s="416"/>
      <c r="AR49" s="416"/>
      <c r="AS49" s="416"/>
      <c r="AT49" s="416"/>
      <c r="AU49" s="416"/>
      <c r="AV49" s="416"/>
      <c r="AW49" s="416"/>
      <c r="AX49" s="416"/>
      <c r="AY49" s="416"/>
      <c r="AZ49" s="416"/>
      <c r="BA49" s="416"/>
      <c r="BB49" s="416"/>
      <c r="BC49" s="416"/>
      <c r="BD49" s="416"/>
      <c r="BE49" s="416"/>
      <c r="BF49" s="416"/>
      <c r="BG49" s="416"/>
      <c r="BH49" s="416"/>
      <c r="BI49" s="416"/>
      <c r="BJ49" s="416"/>
      <c r="BK49" s="416"/>
      <c r="BL49" s="416"/>
      <c r="BM49" s="416"/>
      <c r="BN49" s="416"/>
      <c r="BO49" s="416"/>
      <c r="BP49" s="416"/>
      <c r="BQ49" s="416"/>
      <c r="BR49" s="416"/>
      <c r="BS49" s="416"/>
      <c r="BT49" s="416"/>
      <c r="BU49" s="416"/>
      <c r="BV49" s="416"/>
      <c r="BW49" s="416"/>
      <c r="BX49" s="416"/>
      <c r="BY49" s="416"/>
      <c r="BZ49" s="416"/>
      <c r="CA49" s="416"/>
      <c r="CB49" s="416"/>
      <c r="CC49" s="416"/>
      <c r="CD49" s="416"/>
      <c r="CE49" s="416"/>
      <c r="CF49" s="416"/>
      <c r="CG49" s="416"/>
      <c r="CH49" s="416"/>
      <c r="CI49" s="416"/>
      <c r="CJ49" s="416"/>
      <c r="CK49" s="416"/>
      <c r="CL49" s="417"/>
      <c r="CM49" s="418"/>
    </row>
    <row r="50" spans="1:91" s="582" customFormat="1" ht="66.75" customHeight="1">
      <c r="A50" s="574"/>
      <c r="B50" s="575" t="s">
        <v>445</v>
      </c>
      <c r="C50" s="575" t="s">
        <v>482</v>
      </c>
      <c r="D50" s="583"/>
      <c r="E50" s="583" t="s">
        <v>36</v>
      </c>
      <c r="F50" s="583"/>
      <c r="G50" s="583"/>
      <c r="H50" s="583" t="s">
        <v>40</v>
      </c>
      <c r="I50" s="577" t="s">
        <v>486</v>
      </c>
      <c r="J50" s="580"/>
      <c r="K50" s="408">
        <v>406</v>
      </c>
      <c r="L50" s="578">
        <f aca="true" t="shared" si="64" ref="L50:L56">M50+SUM(S50:S50)</f>
        <v>406</v>
      </c>
      <c r="M50" s="578">
        <f>SUM(N50:P50)</f>
        <v>270</v>
      </c>
      <c r="N50" s="578">
        <f aca="true" t="shared" si="65" ref="N50:P56">U50+AB50+AI50+AP50+AW50+BD50+BK50+BQ50+BX50+CF50</f>
        <v>185</v>
      </c>
      <c r="O50" s="578">
        <f t="shared" si="65"/>
        <v>56</v>
      </c>
      <c r="P50" s="578">
        <f t="shared" si="65"/>
        <v>29</v>
      </c>
      <c r="Q50" s="578"/>
      <c r="R50" s="578">
        <f aca="true" t="shared" si="66" ref="R50:R56">Y50+AM50+AT50+BA50+BH50+BN50+BT50+CA50+CI50</f>
        <v>0</v>
      </c>
      <c r="S50" s="578">
        <f aca="true" t="shared" si="67" ref="S50:S56">Z50+AG50+AN50+AU50+BB50+BI50+BO50+BU50+CC50+CK50</f>
        <v>136</v>
      </c>
      <c r="T50" s="579">
        <f t="shared" si="54"/>
        <v>0</v>
      </c>
      <c r="U50" s="408"/>
      <c r="V50" s="408"/>
      <c r="W50" s="408"/>
      <c r="X50" s="408"/>
      <c r="Y50" s="408"/>
      <c r="Z50" s="408"/>
      <c r="AA50" s="579">
        <f t="shared" si="55"/>
        <v>0</v>
      </c>
      <c r="AB50" s="408"/>
      <c r="AC50" s="408"/>
      <c r="AD50" s="408"/>
      <c r="AE50" s="408"/>
      <c r="AF50" s="408"/>
      <c r="AG50" s="408"/>
      <c r="AH50" s="579">
        <f t="shared" si="56"/>
        <v>0</v>
      </c>
      <c r="AI50" s="408"/>
      <c r="AJ50" s="408"/>
      <c r="AK50" s="408"/>
      <c r="AL50" s="408"/>
      <c r="AM50" s="408"/>
      <c r="AN50" s="408"/>
      <c r="AO50" s="579">
        <f t="shared" si="57"/>
        <v>0</v>
      </c>
      <c r="AP50" s="580"/>
      <c r="AQ50" s="408"/>
      <c r="AR50" s="408"/>
      <c r="AS50" s="408"/>
      <c r="AT50" s="408"/>
      <c r="AU50" s="408"/>
      <c r="AV50" s="579">
        <f t="shared" si="58"/>
        <v>96</v>
      </c>
      <c r="AW50" s="580">
        <v>48</v>
      </c>
      <c r="AX50" s="580">
        <v>16</v>
      </c>
      <c r="AY50" s="580"/>
      <c r="AZ50" s="580"/>
      <c r="BA50" s="580"/>
      <c r="BB50" s="580">
        <v>32</v>
      </c>
      <c r="BC50" s="579">
        <f t="shared" si="59"/>
        <v>70</v>
      </c>
      <c r="BD50" s="580">
        <f>BH4*2</f>
        <v>17</v>
      </c>
      <c r="BE50" s="580"/>
      <c r="BF50" s="580">
        <v>29</v>
      </c>
      <c r="BG50" s="580"/>
      <c r="BH50" s="580"/>
      <c r="BI50" s="580">
        <v>24</v>
      </c>
      <c r="BJ50" s="579">
        <f t="shared" si="60"/>
        <v>78</v>
      </c>
      <c r="BK50" s="580">
        <v>36</v>
      </c>
      <c r="BL50" s="580">
        <v>16</v>
      </c>
      <c r="BM50" s="580"/>
      <c r="BN50" s="580"/>
      <c r="BO50" s="580">
        <v>26</v>
      </c>
      <c r="BP50" s="579">
        <f t="shared" si="61"/>
        <v>162</v>
      </c>
      <c r="BQ50" s="580">
        <v>84</v>
      </c>
      <c r="BR50" s="580">
        <v>24</v>
      </c>
      <c r="BS50" s="580"/>
      <c r="BT50" s="580"/>
      <c r="BU50" s="580">
        <v>54</v>
      </c>
      <c r="BV50" s="579">
        <f aca="true" t="shared" si="68" ref="BV50:BV55">SUM(BW50:CC50)</f>
        <v>0</v>
      </c>
      <c r="BW50" s="408"/>
      <c r="BX50" s="408"/>
      <c r="BY50" s="408"/>
      <c r="BZ50" s="408"/>
      <c r="CA50" s="408"/>
      <c r="CB50" s="408"/>
      <c r="CC50" s="408"/>
      <c r="CD50" s="579">
        <f aca="true" t="shared" si="69" ref="CD50:CD55">SUM(CE50:CK50)</f>
        <v>0</v>
      </c>
      <c r="CE50" s="408"/>
      <c r="CF50" s="408"/>
      <c r="CG50" s="408"/>
      <c r="CH50" s="408"/>
      <c r="CI50" s="408"/>
      <c r="CJ50" s="408"/>
      <c r="CK50" s="408"/>
      <c r="CL50" s="577" t="s">
        <v>455</v>
      </c>
      <c r="CM50" s="580" t="s">
        <v>338</v>
      </c>
    </row>
    <row r="51" spans="1:91" s="582" customFormat="1" ht="33.75" customHeight="1">
      <c r="A51" s="574"/>
      <c r="B51" s="575" t="s">
        <v>430</v>
      </c>
      <c r="C51" s="575" t="s">
        <v>483</v>
      </c>
      <c r="D51" s="583" t="s">
        <v>40</v>
      </c>
      <c r="E51" s="583" t="s">
        <v>36</v>
      </c>
      <c r="F51" s="583"/>
      <c r="G51" s="583"/>
      <c r="H51" s="583"/>
      <c r="I51" s="577" t="s">
        <v>481</v>
      </c>
      <c r="J51" s="408"/>
      <c r="K51" s="408">
        <v>324</v>
      </c>
      <c r="L51" s="578">
        <f t="shared" si="64"/>
        <v>324</v>
      </c>
      <c r="M51" s="578">
        <f aca="true" t="shared" si="70" ref="M51:M56">SUM(N51:P51)</f>
        <v>218</v>
      </c>
      <c r="N51" s="578">
        <f t="shared" si="65"/>
        <v>160</v>
      </c>
      <c r="O51" s="578">
        <f t="shared" si="65"/>
        <v>58</v>
      </c>
      <c r="P51" s="578">
        <f t="shared" si="65"/>
        <v>0</v>
      </c>
      <c r="Q51" s="578"/>
      <c r="R51" s="578">
        <f t="shared" si="66"/>
        <v>0</v>
      </c>
      <c r="S51" s="578">
        <f t="shared" si="67"/>
        <v>106</v>
      </c>
      <c r="T51" s="579">
        <f t="shared" si="54"/>
        <v>0</v>
      </c>
      <c r="U51" s="408"/>
      <c r="V51" s="408"/>
      <c r="W51" s="408"/>
      <c r="X51" s="408"/>
      <c r="Y51" s="408"/>
      <c r="Z51" s="408"/>
      <c r="AA51" s="579">
        <f t="shared" si="55"/>
        <v>0</v>
      </c>
      <c r="AB51" s="408"/>
      <c r="AC51" s="408"/>
      <c r="AD51" s="408"/>
      <c r="AE51" s="408"/>
      <c r="AF51" s="408"/>
      <c r="AG51" s="408"/>
      <c r="AH51" s="579">
        <f t="shared" si="56"/>
        <v>0</v>
      </c>
      <c r="AI51" s="408"/>
      <c r="AJ51" s="408"/>
      <c r="AK51" s="408"/>
      <c r="AL51" s="408"/>
      <c r="AM51" s="408"/>
      <c r="AN51" s="408"/>
      <c r="AO51" s="579">
        <f t="shared" si="57"/>
        <v>0</v>
      </c>
      <c r="AP51" s="580"/>
      <c r="AQ51" s="408"/>
      <c r="AR51" s="408"/>
      <c r="AS51" s="408"/>
      <c r="AT51" s="408"/>
      <c r="AU51" s="408"/>
      <c r="AV51" s="579">
        <f t="shared" si="58"/>
        <v>54</v>
      </c>
      <c r="AW51" s="580">
        <v>36</v>
      </c>
      <c r="AX51" s="580"/>
      <c r="AY51" s="580"/>
      <c r="AZ51" s="580"/>
      <c r="BA51" s="580"/>
      <c r="BB51" s="580">
        <v>18</v>
      </c>
      <c r="BC51" s="579">
        <f t="shared" si="59"/>
        <v>74</v>
      </c>
      <c r="BD51" s="580">
        <v>34</v>
      </c>
      <c r="BE51" s="580">
        <v>16</v>
      </c>
      <c r="BF51" s="580"/>
      <c r="BG51" s="580"/>
      <c r="BH51" s="580"/>
      <c r="BI51" s="580">
        <v>24</v>
      </c>
      <c r="BJ51" s="579">
        <f t="shared" si="60"/>
        <v>70</v>
      </c>
      <c r="BK51" s="580">
        <v>32</v>
      </c>
      <c r="BL51" s="580">
        <v>16</v>
      </c>
      <c r="BM51" s="580"/>
      <c r="BN51" s="580"/>
      <c r="BO51" s="584">
        <v>22</v>
      </c>
      <c r="BP51" s="579">
        <f t="shared" si="61"/>
        <v>126</v>
      </c>
      <c r="BQ51" s="580">
        <v>58</v>
      </c>
      <c r="BR51" s="580">
        <v>26</v>
      </c>
      <c r="BS51" s="580"/>
      <c r="BT51" s="580"/>
      <c r="BU51" s="584">
        <v>42</v>
      </c>
      <c r="BV51" s="579">
        <f t="shared" si="68"/>
        <v>0</v>
      </c>
      <c r="BW51" s="408"/>
      <c r="BX51" s="408"/>
      <c r="BY51" s="408"/>
      <c r="BZ51" s="408"/>
      <c r="CA51" s="408"/>
      <c r="CB51" s="408"/>
      <c r="CC51" s="408"/>
      <c r="CD51" s="579">
        <f t="shared" si="69"/>
        <v>0</v>
      </c>
      <c r="CE51" s="408"/>
      <c r="CF51" s="408"/>
      <c r="CG51" s="408"/>
      <c r="CH51" s="408"/>
      <c r="CI51" s="408"/>
      <c r="CJ51" s="408"/>
      <c r="CK51" s="408"/>
      <c r="CL51" s="577" t="s">
        <v>455</v>
      </c>
      <c r="CM51" s="580" t="s">
        <v>338</v>
      </c>
    </row>
    <row r="52" spans="1:91" s="582" customFormat="1" ht="32.25" customHeight="1">
      <c r="A52" s="574"/>
      <c r="B52" s="575" t="s">
        <v>276</v>
      </c>
      <c r="C52" s="575" t="s">
        <v>484</v>
      </c>
      <c r="D52" s="583"/>
      <c r="E52" s="583" t="s">
        <v>36</v>
      </c>
      <c r="F52" s="583"/>
      <c r="G52" s="583"/>
      <c r="H52" s="583"/>
      <c r="I52" s="577" t="s">
        <v>486</v>
      </c>
      <c r="J52" s="408"/>
      <c r="K52" s="408">
        <v>297</v>
      </c>
      <c r="L52" s="578">
        <f t="shared" si="64"/>
        <v>297</v>
      </c>
      <c r="M52" s="578">
        <f t="shared" si="70"/>
        <v>200</v>
      </c>
      <c r="N52" s="578">
        <f t="shared" si="65"/>
        <v>138</v>
      </c>
      <c r="O52" s="578">
        <f t="shared" si="65"/>
        <v>62</v>
      </c>
      <c r="P52" s="578">
        <f t="shared" si="65"/>
        <v>0</v>
      </c>
      <c r="Q52" s="578"/>
      <c r="R52" s="578">
        <f t="shared" si="66"/>
        <v>0</v>
      </c>
      <c r="S52" s="578">
        <f t="shared" si="67"/>
        <v>97</v>
      </c>
      <c r="T52" s="579">
        <f t="shared" si="54"/>
        <v>0</v>
      </c>
      <c r="U52" s="408"/>
      <c r="V52" s="408"/>
      <c r="W52" s="408"/>
      <c r="X52" s="408"/>
      <c r="Y52" s="408"/>
      <c r="Z52" s="408"/>
      <c r="AA52" s="579">
        <f t="shared" si="55"/>
        <v>0</v>
      </c>
      <c r="AB52" s="408"/>
      <c r="AC52" s="408"/>
      <c r="AD52" s="408"/>
      <c r="AE52" s="408"/>
      <c r="AF52" s="408"/>
      <c r="AG52" s="408"/>
      <c r="AH52" s="579">
        <f t="shared" si="56"/>
        <v>0</v>
      </c>
      <c r="AI52" s="408"/>
      <c r="AJ52" s="408"/>
      <c r="AK52" s="408"/>
      <c r="AL52" s="408"/>
      <c r="AM52" s="408"/>
      <c r="AN52" s="408"/>
      <c r="AO52" s="579">
        <f t="shared" si="57"/>
        <v>0</v>
      </c>
      <c r="AP52" s="408"/>
      <c r="AQ52" s="408"/>
      <c r="AR52" s="408"/>
      <c r="AS52" s="408"/>
      <c r="AT52" s="408"/>
      <c r="AU52" s="408"/>
      <c r="AV52" s="579">
        <f t="shared" si="58"/>
        <v>72</v>
      </c>
      <c r="AW52" s="408">
        <v>32</v>
      </c>
      <c r="AX52" s="408">
        <v>16</v>
      </c>
      <c r="AY52" s="408"/>
      <c r="AZ52" s="408"/>
      <c r="BA52" s="408"/>
      <c r="BB52" s="408">
        <v>24</v>
      </c>
      <c r="BC52" s="579">
        <f t="shared" si="59"/>
        <v>74</v>
      </c>
      <c r="BD52" s="580">
        <v>34</v>
      </c>
      <c r="BE52" s="580">
        <v>16</v>
      </c>
      <c r="BF52" s="580"/>
      <c r="BG52" s="580"/>
      <c r="BH52" s="580"/>
      <c r="BI52" s="580">
        <v>24</v>
      </c>
      <c r="BJ52" s="579">
        <f t="shared" si="60"/>
        <v>69</v>
      </c>
      <c r="BK52" s="580">
        <v>32</v>
      </c>
      <c r="BL52" s="580">
        <v>16</v>
      </c>
      <c r="BM52" s="580"/>
      <c r="BN52" s="580"/>
      <c r="BO52" s="580">
        <v>21</v>
      </c>
      <c r="BP52" s="579">
        <f t="shared" si="61"/>
        <v>82</v>
      </c>
      <c r="BQ52" s="580">
        <v>40</v>
      </c>
      <c r="BR52" s="580">
        <v>14</v>
      </c>
      <c r="BS52" s="580"/>
      <c r="BT52" s="580"/>
      <c r="BU52" s="580">
        <v>28</v>
      </c>
      <c r="BV52" s="579">
        <f t="shared" si="68"/>
        <v>0</v>
      </c>
      <c r="BW52" s="408"/>
      <c r="BX52" s="408"/>
      <c r="BY52" s="408"/>
      <c r="BZ52" s="408"/>
      <c r="CA52" s="408"/>
      <c r="CB52" s="408"/>
      <c r="CC52" s="408"/>
      <c r="CD52" s="579">
        <f t="shared" si="69"/>
        <v>0</v>
      </c>
      <c r="CE52" s="408"/>
      <c r="CF52" s="408"/>
      <c r="CG52" s="408"/>
      <c r="CH52" s="408"/>
      <c r="CI52" s="408"/>
      <c r="CJ52" s="408"/>
      <c r="CK52" s="408"/>
      <c r="CL52" s="577" t="s">
        <v>455</v>
      </c>
      <c r="CM52" s="580" t="s">
        <v>338</v>
      </c>
    </row>
    <row r="53" spans="1:91" s="111" customFormat="1" ht="37.5" customHeight="1">
      <c r="A53" s="386"/>
      <c r="B53" s="387" t="s">
        <v>277</v>
      </c>
      <c r="C53" s="387" t="s">
        <v>485</v>
      </c>
      <c r="D53" s="407"/>
      <c r="E53" s="407" t="s">
        <v>40</v>
      </c>
      <c r="F53" s="407"/>
      <c r="G53" s="407"/>
      <c r="H53" s="407"/>
      <c r="I53" s="389"/>
      <c r="J53" s="393"/>
      <c r="K53" s="393"/>
      <c r="L53" s="391">
        <f t="shared" si="64"/>
        <v>74</v>
      </c>
      <c r="M53" s="391">
        <f t="shared" si="70"/>
        <v>50</v>
      </c>
      <c r="N53" s="391">
        <f t="shared" si="65"/>
        <v>34</v>
      </c>
      <c r="O53" s="391">
        <f t="shared" si="65"/>
        <v>16</v>
      </c>
      <c r="P53" s="391">
        <f t="shared" si="65"/>
        <v>0</v>
      </c>
      <c r="Q53" s="391"/>
      <c r="R53" s="391">
        <f t="shared" si="66"/>
        <v>0</v>
      </c>
      <c r="S53" s="391">
        <f t="shared" si="67"/>
        <v>24</v>
      </c>
      <c r="T53" s="392">
        <f t="shared" si="54"/>
        <v>0</v>
      </c>
      <c r="U53" s="393"/>
      <c r="V53" s="393"/>
      <c r="W53" s="393"/>
      <c r="X53" s="393"/>
      <c r="Y53" s="393"/>
      <c r="Z53" s="393"/>
      <c r="AA53" s="392">
        <f t="shared" si="55"/>
        <v>0</v>
      </c>
      <c r="AB53" s="393"/>
      <c r="AC53" s="393"/>
      <c r="AD53" s="393"/>
      <c r="AE53" s="393"/>
      <c r="AF53" s="393"/>
      <c r="AG53" s="393"/>
      <c r="AH53" s="392">
        <f t="shared" si="56"/>
        <v>0</v>
      </c>
      <c r="AI53" s="393"/>
      <c r="AJ53" s="393"/>
      <c r="AK53" s="393"/>
      <c r="AL53" s="393"/>
      <c r="AM53" s="393"/>
      <c r="AN53" s="393"/>
      <c r="AO53" s="392">
        <f t="shared" si="57"/>
        <v>0</v>
      </c>
      <c r="AP53" s="393"/>
      <c r="AQ53" s="393"/>
      <c r="AR53" s="393"/>
      <c r="AS53" s="393"/>
      <c r="AT53" s="393"/>
      <c r="AU53" s="393"/>
      <c r="AV53" s="392">
        <f t="shared" si="58"/>
        <v>0</v>
      </c>
      <c r="AW53" s="393"/>
      <c r="AX53" s="393"/>
      <c r="AY53" s="393"/>
      <c r="AZ53" s="393"/>
      <c r="BA53" s="393"/>
      <c r="BB53" s="393"/>
      <c r="BC53" s="392">
        <f t="shared" si="59"/>
        <v>74</v>
      </c>
      <c r="BD53" s="390">
        <v>34</v>
      </c>
      <c r="BE53" s="390">
        <v>16</v>
      </c>
      <c r="BF53" s="390"/>
      <c r="BG53" s="390"/>
      <c r="BH53" s="390"/>
      <c r="BI53" s="390">
        <v>24</v>
      </c>
      <c r="BJ53" s="392">
        <f t="shared" si="60"/>
        <v>0</v>
      </c>
      <c r="BK53" s="390"/>
      <c r="BL53" s="390"/>
      <c r="BM53" s="390"/>
      <c r="BN53" s="390"/>
      <c r="BO53" s="390"/>
      <c r="BP53" s="392">
        <f t="shared" si="61"/>
        <v>0</v>
      </c>
      <c r="BQ53" s="390"/>
      <c r="BR53" s="390"/>
      <c r="BS53" s="390"/>
      <c r="BT53" s="390"/>
      <c r="BU53" s="390"/>
      <c r="BV53" s="392">
        <f t="shared" si="68"/>
        <v>0</v>
      </c>
      <c r="BW53" s="393"/>
      <c r="BX53" s="393"/>
      <c r="BY53" s="393"/>
      <c r="BZ53" s="393"/>
      <c r="CA53" s="393"/>
      <c r="CB53" s="393"/>
      <c r="CC53" s="393"/>
      <c r="CD53" s="392">
        <f t="shared" si="69"/>
        <v>0</v>
      </c>
      <c r="CE53" s="393"/>
      <c r="CF53" s="393"/>
      <c r="CG53" s="393"/>
      <c r="CH53" s="393"/>
      <c r="CI53" s="393"/>
      <c r="CJ53" s="393"/>
      <c r="CK53" s="393"/>
      <c r="CL53" s="389" t="s">
        <v>455</v>
      </c>
      <c r="CM53" s="390" t="s">
        <v>338</v>
      </c>
    </row>
    <row r="54" spans="1:91" s="582" customFormat="1" ht="25.5" customHeight="1">
      <c r="A54" s="574"/>
      <c r="B54" s="575" t="s">
        <v>389</v>
      </c>
      <c r="C54" s="575"/>
      <c r="D54" s="583"/>
      <c r="E54" s="583" t="s">
        <v>477</v>
      </c>
      <c r="F54" s="583"/>
      <c r="G54" s="583"/>
      <c r="H54" s="583"/>
      <c r="I54" s="583" t="s">
        <v>481</v>
      </c>
      <c r="J54" s="408"/>
      <c r="K54" s="408">
        <v>243</v>
      </c>
      <c r="L54" s="578">
        <f t="shared" si="64"/>
        <v>243</v>
      </c>
      <c r="M54" s="578">
        <f t="shared" si="70"/>
        <v>165</v>
      </c>
      <c r="N54" s="578">
        <f t="shared" si="65"/>
        <v>122</v>
      </c>
      <c r="O54" s="578">
        <f t="shared" si="65"/>
        <v>43</v>
      </c>
      <c r="P54" s="578">
        <f t="shared" si="65"/>
        <v>0</v>
      </c>
      <c r="Q54" s="578"/>
      <c r="R54" s="578">
        <f t="shared" si="66"/>
        <v>0</v>
      </c>
      <c r="S54" s="578">
        <f t="shared" si="67"/>
        <v>78</v>
      </c>
      <c r="T54" s="579">
        <f t="shared" si="54"/>
        <v>0</v>
      </c>
      <c r="U54" s="408"/>
      <c r="V54" s="408"/>
      <c r="W54" s="408"/>
      <c r="X54" s="408"/>
      <c r="Y54" s="408"/>
      <c r="Z54" s="408"/>
      <c r="AA54" s="579">
        <f t="shared" si="55"/>
        <v>0</v>
      </c>
      <c r="AB54" s="408"/>
      <c r="AC54" s="408"/>
      <c r="AD54" s="408"/>
      <c r="AE54" s="408"/>
      <c r="AF54" s="408"/>
      <c r="AG54" s="408"/>
      <c r="AH54" s="579">
        <f t="shared" si="56"/>
        <v>0</v>
      </c>
      <c r="AI54" s="408"/>
      <c r="AJ54" s="408"/>
      <c r="AK54" s="408"/>
      <c r="AL54" s="408"/>
      <c r="AM54" s="408"/>
      <c r="AN54" s="408"/>
      <c r="AO54" s="579">
        <f t="shared" si="57"/>
        <v>0</v>
      </c>
      <c r="AP54" s="408"/>
      <c r="AQ54" s="408"/>
      <c r="AR54" s="408"/>
      <c r="AS54" s="408"/>
      <c r="AT54" s="408"/>
      <c r="AU54" s="408"/>
      <c r="AV54" s="579">
        <f t="shared" si="58"/>
        <v>72</v>
      </c>
      <c r="AW54" s="408">
        <v>32</v>
      </c>
      <c r="AX54" s="408">
        <v>16</v>
      </c>
      <c r="AY54" s="408"/>
      <c r="AZ54" s="408"/>
      <c r="BA54" s="408"/>
      <c r="BB54" s="408">
        <v>24</v>
      </c>
      <c r="BC54" s="579">
        <f t="shared" si="59"/>
        <v>58</v>
      </c>
      <c r="BD54" s="580">
        <v>34</v>
      </c>
      <c r="BE54" s="580">
        <v>8</v>
      </c>
      <c r="BF54" s="580"/>
      <c r="BG54" s="580"/>
      <c r="BH54" s="580"/>
      <c r="BI54" s="580">
        <v>16</v>
      </c>
      <c r="BJ54" s="579">
        <f t="shared" si="60"/>
        <v>48</v>
      </c>
      <c r="BK54" s="408">
        <v>24</v>
      </c>
      <c r="BL54" s="408">
        <v>8</v>
      </c>
      <c r="BM54" s="408"/>
      <c r="BN54" s="408"/>
      <c r="BO54" s="408">
        <v>16</v>
      </c>
      <c r="BP54" s="579">
        <f t="shared" si="61"/>
        <v>65</v>
      </c>
      <c r="BQ54" s="580">
        <v>32</v>
      </c>
      <c r="BR54" s="580">
        <v>11</v>
      </c>
      <c r="BS54" s="580"/>
      <c r="BT54" s="580"/>
      <c r="BU54" s="580">
        <v>22</v>
      </c>
      <c r="BV54" s="579">
        <f t="shared" si="68"/>
        <v>0</v>
      </c>
      <c r="BW54" s="408"/>
      <c r="BX54" s="408"/>
      <c r="BY54" s="408"/>
      <c r="BZ54" s="408"/>
      <c r="CA54" s="408"/>
      <c r="CB54" s="408"/>
      <c r="CC54" s="408"/>
      <c r="CD54" s="579">
        <f t="shared" si="69"/>
        <v>0</v>
      </c>
      <c r="CE54" s="408"/>
      <c r="CF54" s="408"/>
      <c r="CG54" s="408"/>
      <c r="CH54" s="408"/>
      <c r="CI54" s="408"/>
      <c r="CJ54" s="408"/>
      <c r="CK54" s="408"/>
      <c r="CL54" s="577" t="s">
        <v>456</v>
      </c>
      <c r="CM54" s="580" t="s">
        <v>338</v>
      </c>
    </row>
    <row r="55" spans="1:91" s="111" customFormat="1" ht="55.5" customHeight="1">
      <c r="A55" s="386"/>
      <c r="B55" s="387" t="s">
        <v>317</v>
      </c>
      <c r="C55" s="387"/>
      <c r="D55" s="407"/>
      <c r="E55" s="407" t="s">
        <v>40</v>
      </c>
      <c r="F55" s="407"/>
      <c r="G55" s="407"/>
      <c r="H55" s="407"/>
      <c r="I55" s="389"/>
      <c r="J55" s="393"/>
      <c r="K55" s="393"/>
      <c r="L55" s="391">
        <f t="shared" si="64"/>
        <v>50</v>
      </c>
      <c r="M55" s="391">
        <f t="shared" si="70"/>
        <v>34</v>
      </c>
      <c r="N55" s="391">
        <f t="shared" si="65"/>
        <v>34</v>
      </c>
      <c r="O55" s="391">
        <f t="shared" si="65"/>
        <v>0</v>
      </c>
      <c r="P55" s="391">
        <f t="shared" si="65"/>
        <v>0</v>
      </c>
      <c r="Q55" s="391"/>
      <c r="R55" s="391">
        <f t="shared" si="66"/>
        <v>0</v>
      </c>
      <c r="S55" s="391">
        <f t="shared" si="67"/>
        <v>16</v>
      </c>
      <c r="T55" s="392">
        <f t="shared" si="54"/>
        <v>0</v>
      </c>
      <c r="U55" s="393"/>
      <c r="V55" s="393"/>
      <c r="W55" s="393"/>
      <c r="X55" s="393"/>
      <c r="Y55" s="393"/>
      <c r="Z55" s="393"/>
      <c r="AA55" s="392">
        <f t="shared" si="55"/>
        <v>0</v>
      </c>
      <c r="AB55" s="393"/>
      <c r="AC55" s="393"/>
      <c r="AD55" s="393"/>
      <c r="AE55" s="393"/>
      <c r="AF55" s="393"/>
      <c r="AG55" s="393"/>
      <c r="AH55" s="392">
        <f t="shared" si="56"/>
        <v>0</v>
      </c>
      <c r="AI55" s="393"/>
      <c r="AJ55" s="393"/>
      <c r="AK55" s="393"/>
      <c r="AL55" s="393"/>
      <c r="AM55" s="393"/>
      <c r="AN55" s="393"/>
      <c r="AO55" s="392">
        <f t="shared" si="57"/>
        <v>0</v>
      </c>
      <c r="AP55" s="393"/>
      <c r="AQ55" s="393"/>
      <c r="AR55" s="393"/>
      <c r="AS55" s="393"/>
      <c r="AT55" s="393"/>
      <c r="AU55" s="393"/>
      <c r="AV55" s="392">
        <f t="shared" si="58"/>
        <v>0</v>
      </c>
      <c r="AW55" s="393"/>
      <c r="AX55" s="393"/>
      <c r="AY55" s="393"/>
      <c r="AZ55" s="393"/>
      <c r="BA55" s="393"/>
      <c r="BB55" s="393"/>
      <c r="BC55" s="392">
        <f t="shared" si="59"/>
        <v>50</v>
      </c>
      <c r="BD55" s="390">
        <v>34</v>
      </c>
      <c r="BE55" s="390"/>
      <c r="BF55" s="390"/>
      <c r="BG55" s="390"/>
      <c r="BH55" s="390"/>
      <c r="BI55" s="390">
        <v>16</v>
      </c>
      <c r="BJ55" s="392">
        <f t="shared" si="60"/>
        <v>0</v>
      </c>
      <c r="BK55" s="393"/>
      <c r="BL55" s="393"/>
      <c r="BM55" s="393"/>
      <c r="BN55" s="393"/>
      <c r="BO55" s="393"/>
      <c r="BP55" s="392">
        <f t="shared" si="61"/>
        <v>0</v>
      </c>
      <c r="BQ55" s="390"/>
      <c r="BR55" s="390"/>
      <c r="BS55" s="390"/>
      <c r="BT55" s="390"/>
      <c r="BU55" s="390"/>
      <c r="BV55" s="392">
        <f t="shared" si="68"/>
        <v>0</v>
      </c>
      <c r="BW55" s="393"/>
      <c r="BX55" s="393"/>
      <c r="BY55" s="393"/>
      <c r="BZ55" s="393"/>
      <c r="CA55" s="393"/>
      <c r="CB55" s="393"/>
      <c r="CC55" s="393"/>
      <c r="CD55" s="392">
        <f t="shared" si="69"/>
        <v>0</v>
      </c>
      <c r="CE55" s="393"/>
      <c r="CF55" s="393"/>
      <c r="CG55" s="393"/>
      <c r="CH55" s="393"/>
      <c r="CI55" s="393"/>
      <c r="CJ55" s="393"/>
      <c r="CK55" s="393"/>
      <c r="CL55" s="389" t="s">
        <v>455</v>
      </c>
      <c r="CM55" s="390" t="s">
        <v>338</v>
      </c>
    </row>
    <row r="56" spans="1:91" s="111" customFormat="1" ht="36" customHeight="1" hidden="1">
      <c r="A56" s="386"/>
      <c r="B56" s="387"/>
      <c r="C56" s="387"/>
      <c r="D56" s="407"/>
      <c r="E56" s="407"/>
      <c r="F56" s="407"/>
      <c r="G56" s="407"/>
      <c r="H56" s="407"/>
      <c r="I56" s="389"/>
      <c r="J56" s="393"/>
      <c r="K56" s="393"/>
      <c r="L56" s="391">
        <f t="shared" si="64"/>
        <v>0</v>
      </c>
      <c r="M56" s="391">
        <f t="shared" si="70"/>
        <v>0</v>
      </c>
      <c r="N56" s="391">
        <f t="shared" si="65"/>
        <v>0</v>
      </c>
      <c r="O56" s="391">
        <f t="shared" si="65"/>
        <v>0</v>
      </c>
      <c r="P56" s="391">
        <f t="shared" si="65"/>
        <v>0</v>
      </c>
      <c r="Q56" s="391"/>
      <c r="R56" s="391">
        <f t="shared" si="66"/>
        <v>0</v>
      </c>
      <c r="S56" s="391">
        <f t="shared" si="67"/>
        <v>0</v>
      </c>
      <c r="T56" s="392"/>
      <c r="U56" s="393"/>
      <c r="V56" s="393"/>
      <c r="W56" s="393"/>
      <c r="X56" s="393"/>
      <c r="Y56" s="393"/>
      <c r="Z56" s="393"/>
      <c r="AA56" s="392"/>
      <c r="AB56" s="393"/>
      <c r="AC56" s="393"/>
      <c r="AD56" s="393"/>
      <c r="AE56" s="393"/>
      <c r="AF56" s="393"/>
      <c r="AG56" s="393"/>
      <c r="AH56" s="392"/>
      <c r="AI56" s="393"/>
      <c r="AJ56" s="393"/>
      <c r="AK56" s="393"/>
      <c r="AL56" s="393"/>
      <c r="AM56" s="393"/>
      <c r="AN56" s="393"/>
      <c r="AO56" s="392"/>
      <c r="AP56" s="393"/>
      <c r="AQ56" s="393"/>
      <c r="AR56" s="393"/>
      <c r="AS56" s="393"/>
      <c r="AT56" s="393"/>
      <c r="AU56" s="393"/>
      <c r="AV56" s="392"/>
      <c r="AW56" s="393"/>
      <c r="AX56" s="393"/>
      <c r="AY56" s="393"/>
      <c r="AZ56" s="393"/>
      <c r="BA56" s="393"/>
      <c r="BB56" s="393"/>
      <c r="BC56" s="392"/>
      <c r="BD56" s="390"/>
      <c r="BE56" s="390"/>
      <c r="BF56" s="390"/>
      <c r="BG56" s="390"/>
      <c r="BH56" s="390"/>
      <c r="BI56" s="390"/>
      <c r="BJ56" s="392">
        <f t="shared" si="60"/>
        <v>0</v>
      </c>
      <c r="BK56" s="393"/>
      <c r="BL56" s="393"/>
      <c r="BM56" s="393"/>
      <c r="BN56" s="393"/>
      <c r="BO56" s="393"/>
      <c r="BP56" s="392">
        <f t="shared" si="61"/>
        <v>0</v>
      </c>
      <c r="BQ56" s="390"/>
      <c r="BR56" s="390"/>
      <c r="BS56" s="390"/>
      <c r="BT56" s="393"/>
      <c r="BU56" s="393"/>
      <c r="BV56" s="392"/>
      <c r="BW56" s="393"/>
      <c r="BX56" s="393"/>
      <c r="BY56" s="393"/>
      <c r="BZ56" s="393"/>
      <c r="CA56" s="393"/>
      <c r="CB56" s="393"/>
      <c r="CC56" s="393"/>
      <c r="CD56" s="392"/>
      <c r="CE56" s="393"/>
      <c r="CF56" s="393"/>
      <c r="CG56" s="393"/>
      <c r="CH56" s="393"/>
      <c r="CI56" s="393"/>
      <c r="CJ56" s="393"/>
      <c r="CK56" s="393"/>
      <c r="CL56" s="389"/>
      <c r="CM56" s="390"/>
    </row>
    <row r="57" spans="1:91" s="111" customFormat="1" ht="25.5" customHeight="1">
      <c r="A57" s="419" t="s">
        <v>383</v>
      </c>
      <c r="B57" s="420"/>
      <c r="C57" s="420"/>
      <c r="D57" s="421" t="s">
        <v>36</v>
      </c>
      <c r="E57" s="422"/>
      <c r="F57" s="422"/>
      <c r="G57" s="422"/>
      <c r="H57" s="422"/>
      <c r="I57" s="422"/>
      <c r="J57" s="423"/>
      <c r="K57" s="424"/>
      <c r="L57" s="425"/>
      <c r="M57" s="425"/>
      <c r="N57" s="425"/>
      <c r="O57" s="425"/>
      <c r="P57" s="425"/>
      <c r="Q57" s="425"/>
      <c r="R57" s="425"/>
      <c r="S57" s="425"/>
      <c r="T57" s="425"/>
      <c r="U57" s="424"/>
      <c r="V57" s="424"/>
      <c r="W57" s="424"/>
      <c r="X57" s="424"/>
      <c r="Y57" s="424"/>
      <c r="Z57" s="424"/>
      <c r="AA57" s="425"/>
      <c r="AB57" s="424"/>
      <c r="AC57" s="424"/>
      <c r="AD57" s="424"/>
      <c r="AE57" s="424"/>
      <c r="AF57" s="424"/>
      <c r="AG57" s="424"/>
      <c r="AH57" s="425"/>
      <c r="AI57" s="424"/>
      <c r="AJ57" s="424"/>
      <c r="AK57" s="424"/>
      <c r="AL57" s="424"/>
      <c r="AM57" s="424"/>
      <c r="AN57" s="424"/>
      <c r="AO57" s="425"/>
      <c r="AP57" s="424"/>
      <c r="AQ57" s="424"/>
      <c r="AR57" s="424"/>
      <c r="AS57" s="424"/>
      <c r="AT57" s="424"/>
      <c r="AU57" s="424"/>
      <c r="AV57" s="425"/>
      <c r="AW57" s="424"/>
      <c r="AX57" s="424"/>
      <c r="AY57" s="424"/>
      <c r="AZ57" s="424"/>
      <c r="BA57" s="424"/>
      <c r="BB57" s="424"/>
      <c r="BC57" s="425"/>
      <c r="BD57" s="424"/>
      <c r="BE57" s="424"/>
      <c r="BF57" s="424"/>
      <c r="BG57" s="424"/>
      <c r="BH57" s="424"/>
      <c r="BI57" s="424"/>
      <c r="BJ57" s="425"/>
      <c r="BK57" s="424"/>
      <c r="BL57" s="424"/>
      <c r="BM57" s="424"/>
      <c r="BN57" s="424"/>
      <c r="BO57" s="424"/>
      <c r="BP57" s="425"/>
      <c r="BQ57" s="424"/>
      <c r="BR57" s="424"/>
      <c r="BS57" s="424"/>
      <c r="BT57" s="424"/>
      <c r="BU57" s="424"/>
      <c r="BV57" s="425"/>
      <c r="BW57" s="424"/>
      <c r="BX57" s="424"/>
      <c r="BY57" s="424"/>
      <c r="BZ57" s="424"/>
      <c r="CA57" s="424"/>
      <c r="CB57" s="424"/>
      <c r="CC57" s="424"/>
      <c r="CD57" s="425"/>
      <c r="CE57" s="424"/>
      <c r="CF57" s="424"/>
      <c r="CG57" s="424"/>
      <c r="CH57" s="424"/>
      <c r="CI57" s="424"/>
      <c r="CJ57" s="424"/>
      <c r="CK57" s="424"/>
      <c r="CL57" s="426"/>
      <c r="CM57" s="424"/>
    </row>
    <row r="58" spans="1:91" s="111" customFormat="1" ht="25.5" customHeight="1">
      <c r="A58" s="409" t="s">
        <v>511</v>
      </c>
      <c r="B58" s="731" t="s">
        <v>418</v>
      </c>
      <c r="C58" s="732"/>
      <c r="D58" s="732"/>
      <c r="E58" s="732"/>
      <c r="F58" s="732"/>
      <c r="G58" s="732"/>
      <c r="H58" s="732"/>
      <c r="I58" s="733"/>
      <c r="J58" s="410"/>
      <c r="K58" s="410"/>
      <c r="L58" s="411">
        <f>M58+SUM(S58:S58)</f>
        <v>381</v>
      </c>
      <c r="M58" s="411">
        <f>SUM(N58:R58)</f>
        <v>254</v>
      </c>
      <c r="N58" s="411">
        <f>U58+AB58+AI58+AP58+AW58+BD58+BK58+BQ58+BX58+CF58</f>
        <v>254</v>
      </c>
      <c r="O58" s="411">
        <f>V58+AC58+AJ58+AQ58+AX58+BE58+BL58+BR58+BY58+CG58</f>
        <v>0</v>
      </c>
      <c r="P58" s="411">
        <f>W58+AD58+AK58+AR58+AY58+BF58+BM58+BS58+BZ58+CH58</f>
        <v>0</v>
      </c>
      <c r="Q58" s="411"/>
      <c r="R58" s="411">
        <f>Y58+AM58+AT58+BA58+BH58+BN58+BT58+CA58+CI58</f>
        <v>0</v>
      </c>
      <c r="S58" s="411">
        <f>Z58+AG58+AN58+AU58+BB58+BI58+BO58+BU58+CC58+CK58</f>
        <v>127</v>
      </c>
      <c r="T58" s="411">
        <f>SUM(U58:Z58)</f>
        <v>0</v>
      </c>
      <c r="U58" s="411">
        <f aca="true" t="shared" si="71" ref="U58:Z58">SUM(U62:U63)</f>
        <v>0</v>
      </c>
      <c r="V58" s="411">
        <f t="shared" si="71"/>
        <v>0</v>
      </c>
      <c r="W58" s="411">
        <f t="shared" si="71"/>
        <v>0</v>
      </c>
      <c r="X58" s="411"/>
      <c r="Y58" s="411">
        <f t="shared" si="71"/>
        <v>0</v>
      </c>
      <c r="Z58" s="411">
        <f t="shared" si="71"/>
        <v>0</v>
      </c>
      <c r="AA58" s="411">
        <f>SUM(AB58:AG58)</f>
        <v>0</v>
      </c>
      <c r="AB58" s="411">
        <f aca="true" t="shared" si="72" ref="AB58:AG58">SUM(AB62:AB63)</f>
        <v>0</v>
      </c>
      <c r="AC58" s="411">
        <f t="shared" si="72"/>
        <v>0</v>
      </c>
      <c r="AD58" s="411">
        <f t="shared" si="72"/>
        <v>0</v>
      </c>
      <c r="AE58" s="411"/>
      <c r="AF58" s="411"/>
      <c r="AG58" s="411">
        <f t="shared" si="72"/>
        <v>0</v>
      </c>
      <c r="AH58" s="411">
        <f>SUM(AI58:AN58)</f>
        <v>36</v>
      </c>
      <c r="AI58" s="411">
        <f aca="true" t="shared" si="73" ref="AI58:AN58">SUM(AI60:AI63)</f>
        <v>24</v>
      </c>
      <c r="AJ58" s="411">
        <f t="shared" si="73"/>
        <v>0</v>
      </c>
      <c r="AK58" s="411">
        <f t="shared" si="73"/>
        <v>0</v>
      </c>
      <c r="AL58" s="411"/>
      <c r="AM58" s="411">
        <f t="shared" si="73"/>
        <v>0</v>
      </c>
      <c r="AN58" s="411">
        <f t="shared" si="73"/>
        <v>12</v>
      </c>
      <c r="AO58" s="411">
        <f>SUM(AP58:AU58)</f>
        <v>87</v>
      </c>
      <c r="AP58" s="411">
        <f aca="true" t="shared" si="74" ref="AP58:AU58">SUM(AP60:AP63)</f>
        <v>58</v>
      </c>
      <c r="AQ58" s="411">
        <f t="shared" si="74"/>
        <v>0</v>
      </c>
      <c r="AR58" s="411">
        <f t="shared" si="74"/>
        <v>0</v>
      </c>
      <c r="AS58" s="411"/>
      <c r="AT58" s="411">
        <f t="shared" si="74"/>
        <v>0</v>
      </c>
      <c r="AU58" s="411">
        <f t="shared" si="74"/>
        <v>29</v>
      </c>
      <c r="AV58" s="411">
        <f>SUM(AW58:BB58)</f>
        <v>108</v>
      </c>
      <c r="AW58" s="411">
        <f aca="true" t="shared" si="75" ref="AW58:BB58">SUM(AW60:AW63)</f>
        <v>72</v>
      </c>
      <c r="AX58" s="411">
        <f t="shared" si="75"/>
        <v>0</v>
      </c>
      <c r="AY58" s="411">
        <f t="shared" si="75"/>
        <v>0</v>
      </c>
      <c r="AZ58" s="411"/>
      <c r="BA58" s="411">
        <f t="shared" si="75"/>
        <v>0</v>
      </c>
      <c r="BB58" s="411">
        <f t="shared" si="75"/>
        <v>36</v>
      </c>
      <c r="BC58" s="411">
        <f>SUM(BD58:BI58)</f>
        <v>0</v>
      </c>
      <c r="BD58" s="411">
        <f aca="true" t="shared" si="76" ref="BD58:BI58">SUM(BD62:BD63)</f>
        <v>0</v>
      </c>
      <c r="BE58" s="411">
        <f t="shared" si="76"/>
        <v>0</v>
      </c>
      <c r="BF58" s="411">
        <f t="shared" si="76"/>
        <v>0</v>
      </c>
      <c r="BG58" s="411"/>
      <c r="BH58" s="411">
        <f t="shared" si="76"/>
        <v>0</v>
      </c>
      <c r="BI58" s="411">
        <f t="shared" si="76"/>
        <v>0</v>
      </c>
      <c r="BJ58" s="411">
        <f>SUM(BK58:BO58)</f>
        <v>54</v>
      </c>
      <c r="BK58" s="411">
        <f>SUM(BK60:BK63)</f>
        <v>36</v>
      </c>
      <c r="BL58" s="411">
        <f>SUM(BL60:BL63)</f>
        <v>0</v>
      </c>
      <c r="BM58" s="411">
        <f>SUM(BM60:BM63)</f>
        <v>0</v>
      </c>
      <c r="BN58" s="411">
        <f>SUM(BN60:BN63)</f>
        <v>0</v>
      </c>
      <c r="BO58" s="411">
        <f>SUM(BO60:BO63)</f>
        <v>18</v>
      </c>
      <c r="BP58" s="411">
        <f>SUM(BQ58:BU58)</f>
        <v>96</v>
      </c>
      <c r="BQ58" s="411">
        <f>SUM(BQ60:BQ63)</f>
        <v>64</v>
      </c>
      <c r="BR58" s="411">
        <f>SUM(BR60:BR63)</f>
        <v>0</v>
      </c>
      <c r="BS58" s="411">
        <f>SUM(BS60:BS63)</f>
        <v>0</v>
      </c>
      <c r="BT58" s="411">
        <f>SUM(BT60:BT63)</f>
        <v>0</v>
      </c>
      <c r="BU58" s="411">
        <f>SUM(BU60:BU63)</f>
        <v>32</v>
      </c>
      <c r="BV58" s="411">
        <f>SUM(BW58:CC58)</f>
        <v>0</v>
      </c>
      <c r="BW58" s="411">
        <f aca="true" t="shared" si="77" ref="BW58:CC58">SUM(BW62:BW63)</f>
        <v>0</v>
      </c>
      <c r="BX58" s="411">
        <f t="shared" si="77"/>
        <v>0</v>
      </c>
      <c r="BY58" s="411">
        <f t="shared" si="77"/>
        <v>0</v>
      </c>
      <c r="BZ58" s="411">
        <f t="shared" si="77"/>
        <v>0</v>
      </c>
      <c r="CA58" s="411">
        <f t="shared" si="77"/>
        <v>0</v>
      </c>
      <c r="CB58" s="411">
        <f t="shared" si="77"/>
        <v>0</v>
      </c>
      <c r="CC58" s="411">
        <f t="shared" si="77"/>
        <v>0</v>
      </c>
      <c r="CD58" s="411">
        <f>SUM(CE58:CK58)</f>
        <v>0</v>
      </c>
      <c r="CE58" s="411">
        <f aca="true" t="shared" si="78" ref="CE58:CK58">SUM(CE62:CE63)</f>
        <v>0</v>
      </c>
      <c r="CF58" s="411">
        <f t="shared" si="78"/>
        <v>0</v>
      </c>
      <c r="CG58" s="411">
        <f t="shared" si="78"/>
        <v>0</v>
      </c>
      <c r="CH58" s="411">
        <f t="shared" si="78"/>
        <v>0</v>
      </c>
      <c r="CI58" s="411">
        <f t="shared" si="78"/>
        <v>0</v>
      </c>
      <c r="CJ58" s="411">
        <f t="shared" si="78"/>
        <v>0</v>
      </c>
      <c r="CK58" s="411">
        <f t="shared" si="78"/>
        <v>0</v>
      </c>
      <c r="CL58" s="412"/>
      <c r="CM58" s="413"/>
    </row>
    <row r="59" spans="1:91" s="111" customFormat="1" ht="25.5" customHeight="1">
      <c r="A59" s="414" t="s">
        <v>512</v>
      </c>
      <c r="B59" s="725" t="s">
        <v>468</v>
      </c>
      <c r="C59" s="726"/>
      <c r="D59" s="726"/>
      <c r="E59" s="726"/>
      <c r="F59" s="726"/>
      <c r="G59" s="726"/>
      <c r="H59" s="726"/>
      <c r="I59" s="727"/>
      <c r="J59" s="415"/>
      <c r="K59" s="415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AA59" s="416"/>
      <c r="AB59" s="416"/>
      <c r="AC59" s="416"/>
      <c r="AD59" s="416"/>
      <c r="AE59" s="416"/>
      <c r="AF59" s="416"/>
      <c r="AG59" s="416"/>
      <c r="AH59" s="416"/>
      <c r="AI59" s="416"/>
      <c r="AJ59" s="416"/>
      <c r="AK59" s="416"/>
      <c r="AL59" s="416"/>
      <c r="AM59" s="416"/>
      <c r="AN59" s="416"/>
      <c r="AO59" s="416"/>
      <c r="AP59" s="416"/>
      <c r="AQ59" s="416"/>
      <c r="AR59" s="416"/>
      <c r="AS59" s="416"/>
      <c r="AT59" s="416"/>
      <c r="AU59" s="416"/>
      <c r="AV59" s="416"/>
      <c r="AW59" s="416"/>
      <c r="AX59" s="416"/>
      <c r="AY59" s="416"/>
      <c r="AZ59" s="416"/>
      <c r="BA59" s="416"/>
      <c r="BB59" s="416"/>
      <c r="BC59" s="416"/>
      <c r="BD59" s="416"/>
      <c r="BE59" s="416"/>
      <c r="BF59" s="416"/>
      <c r="BG59" s="416"/>
      <c r="BH59" s="416"/>
      <c r="BI59" s="416"/>
      <c r="BJ59" s="416"/>
      <c r="BK59" s="416"/>
      <c r="BL59" s="416"/>
      <c r="BM59" s="416"/>
      <c r="BN59" s="416"/>
      <c r="BO59" s="416"/>
      <c r="BP59" s="416"/>
      <c r="BQ59" s="416"/>
      <c r="BR59" s="416"/>
      <c r="BS59" s="416"/>
      <c r="BT59" s="416"/>
      <c r="BU59" s="416"/>
      <c r="BV59" s="416"/>
      <c r="BW59" s="416"/>
      <c r="BX59" s="416"/>
      <c r="BY59" s="416"/>
      <c r="BZ59" s="416"/>
      <c r="CA59" s="416"/>
      <c r="CB59" s="416"/>
      <c r="CC59" s="416"/>
      <c r="CD59" s="416"/>
      <c r="CE59" s="416"/>
      <c r="CF59" s="416"/>
      <c r="CG59" s="416"/>
      <c r="CH59" s="416"/>
      <c r="CI59" s="416"/>
      <c r="CJ59" s="416"/>
      <c r="CK59" s="416"/>
      <c r="CL59" s="417"/>
      <c r="CM59" s="418"/>
    </row>
    <row r="60" spans="1:91" s="582" customFormat="1" ht="48.75" customHeight="1">
      <c r="A60" s="574"/>
      <c r="B60" s="926" t="s">
        <v>468</v>
      </c>
      <c r="C60" s="576"/>
      <c r="D60" s="577"/>
      <c r="E60" s="577"/>
      <c r="F60" s="577" t="s">
        <v>504</v>
      </c>
      <c r="G60" s="577"/>
      <c r="H60" s="577"/>
      <c r="I60" s="927" t="s">
        <v>625</v>
      </c>
      <c r="J60" s="408"/>
      <c r="K60" s="408">
        <v>273</v>
      </c>
      <c r="L60" s="578">
        <f>M60+SUM(S60:S60)</f>
        <v>273</v>
      </c>
      <c r="M60" s="578">
        <f>SUM(N60:P60)</f>
        <v>182</v>
      </c>
      <c r="N60" s="578">
        <f aca="true" t="shared" si="79" ref="N60:P63">U60+AB60+AI60+AP60+AW60+BD60+BK60+BQ60+BX60+CF60</f>
        <v>182</v>
      </c>
      <c r="O60" s="578">
        <f t="shared" si="79"/>
        <v>0</v>
      </c>
      <c r="P60" s="578">
        <f t="shared" si="79"/>
        <v>0</v>
      </c>
      <c r="Q60" s="578"/>
      <c r="R60" s="578">
        <f>Y60+AM60+AT60+BA60+BH60+BN60+BT60+CA60+CI60</f>
        <v>0</v>
      </c>
      <c r="S60" s="578">
        <f>Z60+AG60+AN60+AU60+BB60+BI60+BO60+BU60+CC60+CK60</f>
        <v>91</v>
      </c>
      <c r="T60" s="579"/>
      <c r="U60" s="408"/>
      <c r="V60" s="408"/>
      <c r="W60" s="408"/>
      <c r="X60" s="408"/>
      <c r="Y60" s="408"/>
      <c r="Z60" s="408"/>
      <c r="AA60" s="579"/>
      <c r="AB60" s="408"/>
      <c r="AC60" s="408"/>
      <c r="AD60" s="408"/>
      <c r="AE60" s="408"/>
      <c r="AF60" s="408"/>
      <c r="AG60" s="408"/>
      <c r="AH60" s="579">
        <f>SUM(AI60:AN60)</f>
        <v>36</v>
      </c>
      <c r="AI60" s="580">
        <v>24</v>
      </c>
      <c r="AJ60" s="580"/>
      <c r="AK60" s="580"/>
      <c r="AL60" s="580"/>
      <c r="AM60" s="580"/>
      <c r="AN60" s="580">
        <v>12</v>
      </c>
      <c r="AO60" s="579">
        <f>SUM(AP60:AU60)</f>
        <v>87</v>
      </c>
      <c r="AP60" s="580">
        <v>58</v>
      </c>
      <c r="AQ60" s="580"/>
      <c r="AR60" s="580"/>
      <c r="AS60" s="580"/>
      <c r="AT60" s="580"/>
      <c r="AU60" s="580">
        <v>29</v>
      </c>
      <c r="AV60" s="579"/>
      <c r="AW60" s="408"/>
      <c r="AX60" s="408"/>
      <c r="AY60" s="408"/>
      <c r="AZ60" s="408"/>
      <c r="BA60" s="408"/>
      <c r="BB60" s="408"/>
      <c r="BC60" s="579"/>
      <c r="BD60" s="408"/>
      <c r="BE60" s="408"/>
      <c r="BF60" s="408"/>
      <c r="BG60" s="408"/>
      <c r="BH60" s="408"/>
      <c r="BI60" s="408"/>
      <c r="BJ60" s="579"/>
      <c r="BK60" s="408">
        <v>36</v>
      </c>
      <c r="BL60" s="408"/>
      <c r="BM60" s="408"/>
      <c r="BN60" s="408"/>
      <c r="BO60" s="408">
        <v>18</v>
      </c>
      <c r="BP60" s="579">
        <f>SUM(BQ60:BU60)</f>
        <v>96</v>
      </c>
      <c r="BQ60" s="580">
        <v>64</v>
      </c>
      <c r="BR60" s="580"/>
      <c r="BS60" s="580"/>
      <c r="BT60" s="580"/>
      <c r="BU60" s="580">
        <v>32</v>
      </c>
      <c r="BV60" s="579"/>
      <c r="BW60" s="408"/>
      <c r="BX60" s="408"/>
      <c r="BY60" s="408"/>
      <c r="BZ60" s="408"/>
      <c r="CA60" s="408"/>
      <c r="CB60" s="408"/>
      <c r="CC60" s="408"/>
      <c r="CD60" s="579"/>
      <c r="CE60" s="408"/>
      <c r="CF60" s="408"/>
      <c r="CG60" s="408"/>
      <c r="CH60" s="408"/>
      <c r="CI60" s="408"/>
      <c r="CJ60" s="408"/>
      <c r="CK60" s="408"/>
      <c r="CL60" s="577" t="s">
        <v>453</v>
      </c>
      <c r="CM60" s="580" t="s">
        <v>339</v>
      </c>
    </row>
    <row r="61" spans="1:91" s="111" customFormat="1" ht="37.5" customHeight="1">
      <c r="A61" s="386"/>
      <c r="B61" s="387" t="s">
        <v>470</v>
      </c>
      <c r="C61" s="387"/>
      <c r="D61" s="387"/>
      <c r="E61" s="599" t="s">
        <v>39</v>
      </c>
      <c r="F61" s="599"/>
      <c r="G61" s="599"/>
      <c r="H61" s="387"/>
      <c r="I61" s="387"/>
      <c r="J61" s="390"/>
      <c r="K61" s="390"/>
      <c r="L61" s="391">
        <f>M61+SUM(S61:S61)</f>
        <v>54</v>
      </c>
      <c r="M61" s="391">
        <f>SUM(N61:P61)</f>
        <v>36</v>
      </c>
      <c r="N61" s="391">
        <f t="shared" si="79"/>
        <v>36</v>
      </c>
      <c r="O61" s="391">
        <f t="shared" si="79"/>
        <v>0</v>
      </c>
      <c r="P61" s="391">
        <f t="shared" si="79"/>
        <v>0</v>
      </c>
      <c r="Q61" s="391"/>
      <c r="R61" s="391">
        <f>Y61+AM61+AT61+BA61+BH61+BN61+BT61+CA61+CI61</f>
        <v>0</v>
      </c>
      <c r="S61" s="391">
        <f>Z61+AG61+AN61+AU61+BB61+BI61+BO61+BU61+CC61+CK61</f>
        <v>18</v>
      </c>
      <c r="T61" s="392">
        <f>SUM(U61:Z61)</f>
        <v>0</v>
      </c>
      <c r="U61" s="397"/>
      <c r="V61" s="397"/>
      <c r="W61" s="390"/>
      <c r="X61" s="390"/>
      <c r="Y61" s="390"/>
      <c r="Z61" s="390"/>
      <c r="AA61" s="392">
        <f>SUM(AB61:AG61)</f>
        <v>0</v>
      </c>
      <c r="AB61" s="390"/>
      <c r="AC61" s="390"/>
      <c r="AD61" s="390"/>
      <c r="AE61" s="390"/>
      <c r="AF61" s="390"/>
      <c r="AG61" s="390"/>
      <c r="AH61" s="392">
        <f>SUM(AI61:AN61)</f>
        <v>0</v>
      </c>
      <c r="AI61" s="390"/>
      <c r="AJ61" s="390"/>
      <c r="AK61" s="390"/>
      <c r="AL61" s="390"/>
      <c r="AM61" s="390"/>
      <c r="AN61" s="390"/>
      <c r="AO61" s="392">
        <f>SUM(AP61:AU61)</f>
        <v>0</v>
      </c>
      <c r="AP61" s="390"/>
      <c r="AQ61" s="390"/>
      <c r="AR61" s="390"/>
      <c r="AS61" s="390"/>
      <c r="AT61" s="390"/>
      <c r="AU61" s="390"/>
      <c r="AV61" s="392">
        <f>SUM(AW61:BB61)</f>
        <v>54</v>
      </c>
      <c r="AW61" s="390">
        <v>36</v>
      </c>
      <c r="AX61" s="390"/>
      <c r="AY61" s="390"/>
      <c r="AZ61" s="390"/>
      <c r="BA61" s="390"/>
      <c r="BB61" s="390">
        <v>18</v>
      </c>
      <c r="BC61" s="392">
        <f>SUM(BD61:BI61)</f>
        <v>0</v>
      </c>
      <c r="BD61" s="390"/>
      <c r="BE61" s="390"/>
      <c r="BF61" s="390"/>
      <c r="BG61" s="390"/>
      <c r="BH61" s="390"/>
      <c r="BI61" s="390"/>
      <c r="BJ61" s="392">
        <f>SUM(BK61:BO61)</f>
        <v>0</v>
      </c>
      <c r="BK61" s="390"/>
      <c r="BL61" s="390"/>
      <c r="BM61" s="390"/>
      <c r="BN61" s="390"/>
      <c r="BO61" s="390"/>
      <c r="BP61" s="392">
        <f>SUM(BQ61:BU61)</f>
        <v>0</v>
      </c>
      <c r="BQ61" s="390"/>
      <c r="BR61" s="390"/>
      <c r="BS61" s="390"/>
      <c r="BT61" s="390"/>
      <c r="BU61" s="390"/>
      <c r="BV61" s="397">
        <f>SUM(BW61:CC61)</f>
        <v>0</v>
      </c>
      <c r="BW61" s="390"/>
      <c r="BX61" s="390"/>
      <c r="BY61" s="390"/>
      <c r="BZ61" s="390"/>
      <c r="CA61" s="390"/>
      <c r="CB61" s="390"/>
      <c r="CC61" s="390"/>
      <c r="CD61" s="397">
        <f>SUM(CE61:CK61)</f>
        <v>0</v>
      </c>
      <c r="CE61" s="390"/>
      <c r="CF61" s="390"/>
      <c r="CG61" s="390"/>
      <c r="CH61" s="390"/>
      <c r="CI61" s="390"/>
      <c r="CJ61" s="390"/>
      <c r="CK61" s="390"/>
      <c r="CL61" s="389" t="s">
        <v>455</v>
      </c>
      <c r="CM61" s="599" t="s">
        <v>591</v>
      </c>
    </row>
    <row r="62" spans="1:91" s="111" customFormat="1" ht="39.75" customHeight="1">
      <c r="A62" s="386"/>
      <c r="B62" s="387" t="s">
        <v>480</v>
      </c>
      <c r="C62" s="387"/>
      <c r="D62" s="407"/>
      <c r="E62" s="407" t="s">
        <v>39</v>
      </c>
      <c r="F62" s="407"/>
      <c r="G62" s="407"/>
      <c r="H62" s="407"/>
      <c r="I62" s="407"/>
      <c r="J62" s="393"/>
      <c r="K62" s="393"/>
      <c r="L62" s="391">
        <f>M62+SUM(S62:S62)</f>
        <v>54</v>
      </c>
      <c r="M62" s="391">
        <f>SUM(N62:P62)</f>
        <v>36</v>
      </c>
      <c r="N62" s="391">
        <f t="shared" si="79"/>
        <v>36</v>
      </c>
      <c r="O62" s="391">
        <f t="shared" si="79"/>
        <v>0</v>
      </c>
      <c r="P62" s="391">
        <f t="shared" si="79"/>
        <v>0</v>
      </c>
      <c r="Q62" s="391"/>
      <c r="R62" s="391">
        <f>Y62+AM62+AT62+BA62+BH62+BN62+BT62+CA62+CI62</f>
        <v>0</v>
      </c>
      <c r="S62" s="391">
        <f>Z62+AG62+AN62+AU62+BB62+BI62+BO62+BU62+CC62+CK62</f>
        <v>18</v>
      </c>
      <c r="T62" s="392"/>
      <c r="U62" s="393"/>
      <c r="V62" s="393"/>
      <c r="W62" s="393"/>
      <c r="X62" s="393"/>
      <c r="Y62" s="393"/>
      <c r="Z62" s="393"/>
      <c r="AA62" s="392"/>
      <c r="AB62" s="393"/>
      <c r="AC62" s="393"/>
      <c r="AD62" s="393"/>
      <c r="AE62" s="393"/>
      <c r="AF62" s="393"/>
      <c r="AG62" s="393"/>
      <c r="AH62" s="392">
        <f>SUM(AI62:AN62)</f>
        <v>0</v>
      </c>
      <c r="AI62" s="393"/>
      <c r="AJ62" s="393"/>
      <c r="AK62" s="393"/>
      <c r="AL62" s="393"/>
      <c r="AM62" s="393"/>
      <c r="AN62" s="393"/>
      <c r="AO62" s="392">
        <f>SUM(AP62:AU62)</f>
        <v>0</v>
      </c>
      <c r="AP62" s="393"/>
      <c r="AQ62" s="393"/>
      <c r="AR62" s="393"/>
      <c r="AS62" s="393"/>
      <c r="AT62" s="393"/>
      <c r="AU62" s="393"/>
      <c r="AV62" s="392">
        <f>SUM(AW62:BB62)</f>
        <v>54</v>
      </c>
      <c r="AW62" s="390">
        <v>36</v>
      </c>
      <c r="AX62" s="390"/>
      <c r="AY62" s="390"/>
      <c r="AZ62" s="390"/>
      <c r="BA62" s="390"/>
      <c r="BB62" s="390">
        <v>18</v>
      </c>
      <c r="BC62" s="392">
        <f>SUM(BD62:BI62)</f>
        <v>0</v>
      </c>
      <c r="BD62" s="393"/>
      <c r="BE62" s="393"/>
      <c r="BF62" s="393"/>
      <c r="BG62" s="393"/>
      <c r="BH62" s="393"/>
      <c r="BI62" s="393"/>
      <c r="BJ62" s="392">
        <f>SUM(BK62:BO62)</f>
        <v>0</v>
      </c>
      <c r="BK62" s="393"/>
      <c r="BL62" s="393"/>
      <c r="BM62" s="393"/>
      <c r="BN62" s="393"/>
      <c r="BO62" s="393"/>
      <c r="BP62" s="392">
        <f>SUM(BQ62:BU62)</f>
        <v>0</v>
      </c>
      <c r="BQ62" s="390"/>
      <c r="BR62" s="390"/>
      <c r="BS62" s="390"/>
      <c r="BT62" s="390"/>
      <c r="BU62" s="390"/>
      <c r="BV62" s="392"/>
      <c r="BW62" s="393"/>
      <c r="BX62" s="393"/>
      <c r="BY62" s="393"/>
      <c r="BZ62" s="393"/>
      <c r="CA62" s="393"/>
      <c r="CB62" s="393"/>
      <c r="CC62" s="393"/>
      <c r="CD62" s="392"/>
      <c r="CE62" s="393"/>
      <c r="CF62" s="393"/>
      <c r="CG62" s="393"/>
      <c r="CH62" s="393"/>
      <c r="CI62" s="393"/>
      <c r="CJ62" s="393"/>
      <c r="CK62" s="393"/>
      <c r="CL62" s="389" t="s">
        <v>453</v>
      </c>
      <c r="CM62" s="390" t="s">
        <v>590</v>
      </c>
    </row>
    <row r="63" spans="1:91" s="111" customFormat="1" ht="25.5" customHeight="1" hidden="1">
      <c r="A63" s="386"/>
      <c r="B63" s="387"/>
      <c r="C63" s="387"/>
      <c r="D63" s="387"/>
      <c r="E63" s="599"/>
      <c r="F63" s="599"/>
      <c r="G63" s="599"/>
      <c r="H63" s="387"/>
      <c r="I63" s="387"/>
      <c r="J63" s="390"/>
      <c r="K63" s="390"/>
      <c r="L63" s="391">
        <f>M63+SUM(S63:S63)</f>
        <v>0</v>
      </c>
      <c r="M63" s="391">
        <f>SUM(N63:R63)</f>
        <v>0</v>
      </c>
      <c r="N63" s="391">
        <f t="shared" si="79"/>
        <v>0</v>
      </c>
      <c r="O63" s="391">
        <f t="shared" si="79"/>
        <v>0</v>
      </c>
      <c r="P63" s="391">
        <f t="shared" si="79"/>
        <v>0</v>
      </c>
      <c r="Q63" s="391"/>
      <c r="R63" s="391">
        <f>Y63+AM63+AT63+BA63+BH63+BN63+BT63+CA63+CI63</f>
        <v>0</v>
      </c>
      <c r="S63" s="391">
        <f>Z63+AG63+AN63+AU63+BB63+BI63+BO63+BU63+CC63+CK63</f>
        <v>0</v>
      </c>
      <c r="T63" s="392"/>
      <c r="U63" s="397"/>
      <c r="V63" s="397"/>
      <c r="W63" s="390"/>
      <c r="X63" s="390"/>
      <c r="Y63" s="390"/>
      <c r="Z63" s="390"/>
      <c r="AA63" s="392"/>
      <c r="AB63" s="390"/>
      <c r="AC63" s="390"/>
      <c r="AD63" s="390"/>
      <c r="AE63" s="390"/>
      <c r="AF63" s="390"/>
      <c r="AG63" s="390"/>
      <c r="AH63" s="392"/>
      <c r="AI63" s="390"/>
      <c r="AJ63" s="390"/>
      <c r="AK63" s="390"/>
      <c r="AL63" s="390"/>
      <c r="AM63" s="390"/>
      <c r="AN63" s="390"/>
      <c r="AO63" s="392">
        <f>SUM(AP63:AU63)</f>
        <v>0</v>
      </c>
      <c r="AP63" s="390"/>
      <c r="AQ63" s="390"/>
      <c r="AR63" s="390"/>
      <c r="AS63" s="390"/>
      <c r="AT63" s="390"/>
      <c r="AU63" s="390"/>
      <c r="AV63" s="392">
        <f>SUM(AW63:BB63)</f>
        <v>0</v>
      </c>
      <c r="AW63" s="390"/>
      <c r="AX63" s="390"/>
      <c r="AY63" s="390"/>
      <c r="AZ63" s="390"/>
      <c r="BA63" s="390"/>
      <c r="BB63" s="390"/>
      <c r="BC63" s="392">
        <f>SUM(BD63:BI63)</f>
        <v>0</v>
      </c>
      <c r="BD63" s="390"/>
      <c r="BE63" s="390"/>
      <c r="BF63" s="390"/>
      <c r="BG63" s="390"/>
      <c r="BH63" s="390"/>
      <c r="BI63" s="390"/>
      <c r="BJ63" s="392">
        <f>SUM(BK63:BO63)</f>
        <v>0</v>
      </c>
      <c r="BK63" s="390"/>
      <c r="BL63" s="390"/>
      <c r="BM63" s="390"/>
      <c r="BN63" s="390"/>
      <c r="BO63" s="390"/>
      <c r="BP63" s="392">
        <f>SUM(BQ63:BU63)</f>
        <v>0</v>
      </c>
      <c r="BQ63" s="390"/>
      <c r="BR63" s="390"/>
      <c r="BS63" s="390"/>
      <c r="BT63" s="390"/>
      <c r="BU63" s="390"/>
      <c r="BV63" s="397"/>
      <c r="BW63" s="390"/>
      <c r="BX63" s="390"/>
      <c r="BY63" s="390"/>
      <c r="BZ63" s="390"/>
      <c r="CA63" s="390"/>
      <c r="CB63" s="390"/>
      <c r="CC63" s="390"/>
      <c r="CD63" s="397"/>
      <c r="CE63" s="390"/>
      <c r="CF63" s="390"/>
      <c r="CG63" s="390"/>
      <c r="CH63" s="390"/>
      <c r="CI63" s="390"/>
      <c r="CJ63" s="390"/>
      <c r="CK63" s="390"/>
      <c r="CL63" s="389"/>
      <c r="CM63" s="390"/>
    </row>
    <row r="64" spans="1:91" s="377" customFormat="1" ht="25.5" customHeight="1">
      <c r="A64" s="490" t="s">
        <v>383</v>
      </c>
      <c r="B64" s="490"/>
      <c r="C64" s="490"/>
      <c r="D64" s="495" t="s">
        <v>36</v>
      </c>
      <c r="E64" s="496"/>
      <c r="F64" s="496"/>
      <c r="G64" s="496"/>
      <c r="H64" s="490"/>
      <c r="I64" s="490"/>
      <c r="J64" s="492"/>
      <c r="K64" s="492"/>
      <c r="L64" s="493"/>
      <c r="M64" s="493"/>
      <c r="N64" s="493"/>
      <c r="O64" s="493"/>
      <c r="P64" s="493"/>
      <c r="Q64" s="493"/>
      <c r="R64" s="493"/>
      <c r="S64" s="493"/>
      <c r="T64" s="493"/>
      <c r="U64" s="492"/>
      <c r="V64" s="492"/>
      <c r="W64" s="492"/>
      <c r="X64" s="492"/>
      <c r="Y64" s="492"/>
      <c r="Z64" s="492"/>
      <c r="AA64" s="493"/>
      <c r="AB64" s="492"/>
      <c r="AC64" s="492"/>
      <c r="AD64" s="492"/>
      <c r="AE64" s="492"/>
      <c r="AF64" s="492"/>
      <c r="AG64" s="492"/>
      <c r="AH64" s="493"/>
      <c r="AI64" s="492"/>
      <c r="AJ64" s="492"/>
      <c r="AK64" s="492"/>
      <c r="AL64" s="492"/>
      <c r="AM64" s="492"/>
      <c r="AN64" s="492"/>
      <c r="AO64" s="493"/>
      <c r="AP64" s="492"/>
      <c r="AQ64" s="492"/>
      <c r="AR64" s="492"/>
      <c r="AS64" s="492"/>
      <c r="AT64" s="492"/>
      <c r="AU64" s="492"/>
      <c r="AV64" s="493"/>
      <c r="AW64" s="492"/>
      <c r="AX64" s="492"/>
      <c r="AY64" s="492"/>
      <c r="AZ64" s="492"/>
      <c r="BA64" s="492"/>
      <c r="BB64" s="492"/>
      <c r="BC64" s="493"/>
      <c r="BD64" s="492"/>
      <c r="BE64" s="492"/>
      <c r="BF64" s="492"/>
      <c r="BG64" s="492"/>
      <c r="BH64" s="492"/>
      <c r="BI64" s="492"/>
      <c r="BJ64" s="493"/>
      <c r="BK64" s="492"/>
      <c r="BL64" s="492"/>
      <c r="BM64" s="492"/>
      <c r="BN64" s="492"/>
      <c r="BO64" s="492"/>
      <c r="BP64" s="493"/>
      <c r="BQ64" s="492"/>
      <c r="BR64" s="492"/>
      <c r="BS64" s="492"/>
      <c r="BT64" s="492"/>
      <c r="BU64" s="492"/>
      <c r="BV64" s="493"/>
      <c r="BW64" s="492"/>
      <c r="BX64" s="492"/>
      <c r="BY64" s="492"/>
      <c r="BZ64" s="492"/>
      <c r="CA64" s="492"/>
      <c r="CB64" s="492"/>
      <c r="CC64" s="492"/>
      <c r="CD64" s="493"/>
      <c r="CE64" s="492"/>
      <c r="CF64" s="492"/>
      <c r="CG64" s="492"/>
      <c r="CH64" s="492"/>
      <c r="CI64" s="492"/>
      <c r="CJ64" s="492"/>
      <c r="CK64" s="492"/>
      <c r="CL64" s="494"/>
      <c r="CM64" s="492"/>
    </row>
    <row r="65" spans="1:91" s="111" customFormat="1" ht="25.5" customHeight="1">
      <c r="A65" s="409" t="s">
        <v>179</v>
      </c>
      <c r="B65" s="731" t="s">
        <v>447</v>
      </c>
      <c r="C65" s="732"/>
      <c r="D65" s="732"/>
      <c r="E65" s="732"/>
      <c r="F65" s="732"/>
      <c r="G65" s="732"/>
      <c r="H65" s="732"/>
      <c r="I65" s="733"/>
      <c r="J65" s="410"/>
      <c r="K65" s="410"/>
      <c r="L65" s="411">
        <f>M65+SUM(S65:S65)</f>
        <v>154</v>
      </c>
      <c r="M65" s="411">
        <f>SUM(N65:R65)</f>
        <v>104</v>
      </c>
      <c r="N65" s="411">
        <f>U65+AB65+AI65+AP65+AW65+BD65+BK65+BQ65+BX65+CF65</f>
        <v>80</v>
      </c>
      <c r="O65" s="411">
        <f>V65+AC65+AJ65+AQ65+AX65+BE65+BL65+BR65+BY65+CG65</f>
        <v>0</v>
      </c>
      <c r="P65" s="411">
        <f>W65+AD65+AK65+AR65+AY65+BF65+BM65+BS65+BZ65+CH65</f>
        <v>24</v>
      </c>
      <c r="Q65" s="411"/>
      <c r="R65" s="411">
        <f>Y65+AM65+AT65+BA65+BH65+BN65+BT65+CA65+CI65</f>
        <v>0</v>
      </c>
      <c r="S65" s="411">
        <f>Z65+AG65+AN65+AU65+BB65+BI65+BO65+BU65+CC65+CK65</f>
        <v>50</v>
      </c>
      <c r="T65" s="411">
        <f>SUM(U65:Z65)</f>
        <v>0</v>
      </c>
      <c r="U65" s="411">
        <f aca="true" t="shared" si="80" ref="U65:Z65">SUM(U67:U68)</f>
        <v>0</v>
      </c>
      <c r="V65" s="411">
        <f t="shared" si="80"/>
        <v>0</v>
      </c>
      <c r="W65" s="411">
        <f t="shared" si="80"/>
        <v>0</v>
      </c>
      <c r="X65" s="411"/>
      <c r="Y65" s="411">
        <f t="shared" si="80"/>
        <v>0</v>
      </c>
      <c r="Z65" s="411">
        <f t="shared" si="80"/>
        <v>0</v>
      </c>
      <c r="AA65" s="411">
        <f>SUM(AB65:AG65)</f>
        <v>0</v>
      </c>
      <c r="AB65" s="411">
        <f aca="true" t="shared" si="81" ref="AB65:AG65">SUM(AB67:AB68)</f>
        <v>0</v>
      </c>
      <c r="AC65" s="411">
        <f t="shared" si="81"/>
        <v>0</v>
      </c>
      <c r="AD65" s="411">
        <f t="shared" si="81"/>
        <v>0</v>
      </c>
      <c r="AE65" s="411"/>
      <c r="AF65" s="411"/>
      <c r="AG65" s="411">
        <f t="shared" si="81"/>
        <v>0</v>
      </c>
      <c r="AH65" s="411">
        <f>SUM(AI65:AN65)</f>
        <v>0</v>
      </c>
      <c r="AI65" s="411">
        <f aca="true" t="shared" si="82" ref="AI65:AN65">SUM(AI67:AI68)</f>
        <v>0</v>
      </c>
      <c r="AJ65" s="411">
        <f t="shared" si="82"/>
        <v>0</v>
      </c>
      <c r="AK65" s="411">
        <f t="shared" si="82"/>
        <v>0</v>
      </c>
      <c r="AL65" s="411"/>
      <c r="AM65" s="411">
        <f t="shared" si="82"/>
        <v>0</v>
      </c>
      <c r="AN65" s="411">
        <f t="shared" si="82"/>
        <v>0</v>
      </c>
      <c r="AO65" s="411">
        <f>SUM(AP65:AU65)</f>
        <v>0</v>
      </c>
      <c r="AP65" s="411">
        <f aca="true" t="shared" si="83" ref="AP65:AU65">SUM(AP67:AP68)</f>
        <v>0</v>
      </c>
      <c r="AQ65" s="411">
        <f t="shared" si="83"/>
        <v>0</v>
      </c>
      <c r="AR65" s="411">
        <f t="shared" si="83"/>
        <v>0</v>
      </c>
      <c r="AS65" s="411"/>
      <c r="AT65" s="411">
        <f t="shared" si="83"/>
        <v>0</v>
      </c>
      <c r="AU65" s="411">
        <f t="shared" si="83"/>
        <v>0</v>
      </c>
      <c r="AV65" s="411">
        <f>SUM(AW65:BB65)</f>
        <v>48</v>
      </c>
      <c r="AW65" s="411">
        <f aca="true" t="shared" si="84" ref="AW65:BB65">SUM(AW67:AW68)</f>
        <v>32</v>
      </c>
      <c r="AX65" s="411">
        <f t="shared" si="84"/>
        <v>0</v>
      </c>
      <c r="AY65" s="411">
        <f t="shared" si="84"/>
        <v>0</v>
      </c>
      <c r="AZ65" s="411"/>
      <c r="BA65" s="411">
        <f t="shared" si="84"/>
        <v>0</v>
      </c>
      <c r="BB65" s="411">
        <f t="shared" si="84"/>
        <v>16</v>
      </c>
      <c r="BC65" s="411">
        <f>SUM(BD65:BI65)</f>
        <v>0</v>
      </c>
      <c r="BD65" s="411">
        <f aca="true" t="shared" si="85" ref="BD65:BI65">SUM(BD67:BD68)</f>
        <v>0</v>
      </c>
      <c r="BE65" s="411">
        <f t="shared" si="85"/>
        <v>0</v>
      </c>
      <c r="BF65" s="411">
        <f t="shared" si="85"/>
        <v>0</v>
      </c>
      <c r="BG65" s="411"/>
      <c r="BH65" s="411">
        <f t="shared" si="85"/>
        <v>0</v>
      </c>
      <c r="BI65" s="411">
        <f t="shared" si="85"/>
        <v>0</v>
      </c>
      <c r="BJ65" s="411">
        <f>SUM(BK65:BO65)</f>
        <v>45</v>
      </c>
      <c r="BK65" s="411">
        <f>SUM(BK67:BK68)</f>
        <v>32</v>
      </c>
      <c r="BL65" s="411">
        <f>SUM(BL67:BL68)</f>
        <v>0</v>
      </c>
      <c r="BM65" s="411">
        <f>SUM(BM67:BM68)</f>
        <v>0</v>
      </c>
      <c r="BN65" s="411">
        <f>SUM(BN67:BN68)</f>
        <v>0</v>
      </c>
      <c r="BO65" s="411">
        <f>SUM(BO67:BO68)</f>
        <v>13</v>
      </c>
      <c r="BP65" s="411">
        <f>SUM(BQ65:BU65)</f>
        <v>61</v>
      </c>
      <c r="BQ65" s="411">
        <f>SUM(BQ67:BQ68)</f>
        <v>16</v>
      </c>
      <c r="BR65" s="411">
        <f>SUM(BR67:BR68)</f>
        <v>0</v>
      </c>
      <c r="BS65" s="411">
        <f>SUM(BS67:BS68)</f>
        <v>24</v>
      </c>
      <c r="BT65" s="411">
        <f>SUM(BT67:BT68)</f>
        <v>0</v>
      </c>
      <c r="BU65" s="411">
        <f>SUM(BU67:BU68)</f>
        <v>21</v>
      </c>
      <c r="BV65" s="411">
        <f>SUM(BW65:CC65)</f>
        <v>0</v>
      </c>
      <c r="BW65" s="411">
        <f aca="true" t="shared" si="86" ref="BW65:CC65">SUM(BW67:BW68)</f>
        <v>0</v>
      </c>
      <c r="BX65" s="411">
        <f t="shared" si="86"/>
        <v>0</v>
      </c>
      <c r="BY65" s="411">
        <f t="shared" si="86"/>
        <v>0</v>
      </c>
      <c r="BZ65" s="411">
        <f t="shared" si="86"/>
        <v>0</v>
      </c>
      <c r="CA65" s="411">
        <f t="shared" si="86"/>
        <v>0</v>
      </c>
      <c r="CB65" s="411">
        <f t="shared" si="86"/>
        <v>0</v>
      </c>
      <c r="CC65" s="411">
        <f t="shared" si="86"/>
        <v>0</v>
      </c>
      <c r="CD65" s="411">
        <f>SUM(CE65:CK65)</f>
        <v>0</v>
      </c>
      <c r="CE65" s="411">
        <f aca="true" t="shared" si="87" ref="CE65:CK65">SUM(CE67:CE68)</f>
        <v>0</v>
      </c>
      <c r="CF65" s="411">
        <f t="shared" si="87"/>
        <v>0</v>
      </c>
      <c r="CG65" s="411">
        <f t="shared" si="87"/>
        <v>0</v>
      </c>
      <c r="CH65" s="411">
        <f t="shared" si="87"/>
        <v>0</v>
      </c>
      <c r="CI65" s="411">
        <f t="shared" si="87"/>
        <v>0</v>
      </c>
      <c r="CJ65" s="411">
        <f t="shared" si="87"/>
        <v>0</v>
      </c>
      <c r="CK65" s="411">
        <f t="shared" si="87"/>
        <v>0</v>
      </c>
      <c r="CL65" s="412"/>
      <c r="CM65" s="413"/>
    </row>
    <row r="66" spans="1:91" s="111" customFormat="1" ht="25.5" customHeight="1">
      <c r="A66" s="414" t="s">
        <v>446</v>
      </c>
      <c r="B66" s="725" t="s">
        <v>513</v>
      </c>
      <c r="C66" s="726"/>
      <c r="D66" s="726"/>
      <c r="E66" s="726"/>
      <c r="F66" s="726"/>
      <c r="G66" s="726"/>
      <c r="H66" s="726"/>
      <c r="I66" s="727"/>
      <c r="J66" s="415"/>
      <c r="K66" s="415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6"/>
      <c r="X66" s="416"/>
      <c r="Y66" s="416"/>
      <c r="Z66" s="416"/>
      <c r="AA66" s="416"/>
      <c r="AB66" s="416"/>
      <c r="AC66" s="416"/>
      <c r="AD66" s="416"/>
      <c r="AE66" s="416"/>
      <c r="AF66" s="416"/>
      <c r="AG66" s="416"/>
      <c r="AH66" s="416"/>
      <c r="AI66" s="416"/>
      <c r="AJ66" s="416"/>
      <c r="AK66" s="416"/>
      <c r="AL66" s="416"/>
      <c r="AM66" s="416"/>
      <c r="AN66" s="416"/>
      <c r="AO66" s="416"/>
      <c r="AP66" s="416"/>
      <c r="AQ66" s="416"/>
      <c r="AR66" s="416"/>
      <c r="AS66" s="416"/>
      <c r="AT66" s="416"/>
      <c r="AU66" s="416"/>
      <c r="AV66" s="416"/>
      <c r="AW66" s="416"/>
      <c r="AX66" s="416"/>
      <c r="AY66" s="416"/>
      <c r="AZ66" s="416"/>
      <c r="BA66" s="416"/>
      <c r="BB66" s="416"/>
      <c r="BC66" s="416"/>
      <c r="BD66" s="416"/>
      <c r="BE66" s="416"/>
      <c r="BF66" s="416"/>
      <c r="BG66" s="416"/>
      <c r="BH66" s="416"/>
      <c r="BI66" s="416"/>
      <c r="BJ66" s="416"/>
      <c r="BK66" s="416"/>
      <c r="BL66" s="416"/>
      <c r="BM66" s="416"/>
      <c r="BN66" s="416"/>
      <c r="BO66" s="416"/>
      <c r="BP66" s="416"/>
      <c r="BQ66" s="416"/>
      <c r="BR66" s="416"/>
      <c r="BS66" s="416"/>
      <c r="BT66" s="416"/>
      <c r="BU66" s="416"/>
      <c r="BV66" s="416"/>
      <c r="BW66" s="416"/>
      <c r="BX66" s="416"/>
      <c r="BY66" s="416"/>
      <c r="BZ66" s="416"/>
      <c r="CA66" s="416"/>
      <c r="CB66" s="416"/>
      <c r="CC66" s="416"/>
      <c r="CD66" s="416"/>
      <c r="CE66" s="416"/>
      <c r="CF66" s="416"/>
      <c r="CG66" s="416"/>
      <c r="CH66" s="416"/>
      <c r="CI66" s="416"/>
      <c r="CJ66" s="416"/>
      <c r="CK66" s="416"/>
      <c r="CL66" s="417"/>
      <c r="CM66" s="418" t="s">
        <v>388</v>
      </c>
    </row>
    <row r="67" spans="1:91" s="111" customFormat="1" ht="32.25" customHeight="1">
      <c r="A67" s="386"/>
      <c r="B67" s="387" t="s">
        <v>472</v>
      </c>
      <c r="C67" s="388"/>
      <c r="D67" s="389"/>
      <c r="E67" s="389" t="s">
        <v>39</v>
      </c>
      <c r="F67" s="389"/>
      <c r="G67" s="389"/>
      <c r="H67" s="389"/>
      <c r="I67" s="389"/>
      <c r="J67" s="393"/>
      <c r="K67" s="393"/>
      <c r="L67" s="391">
        <f>M67+SUM(S67:S67)</f>
        <v>48</v>
      </c>
      <c r="M67" s="391">
        <f>SUM(N67:P67)</f>
        <v>32</v>
      </c>
      <c r="N67" s="391">
        <f aca="true" t="shared" si="88" ref="N67:P68">U67+AB67+AI67+AP67+AW67+BD67+BK67+BQ67+BX67+CF67</f>
        <v>32</v>
      </c>
      <c r="O67" s="391">
        <f t="shared" si="88"/>
        <v>0</v>
      </c>
      <c r="P67" s="391">
        <f t="shared" si="88"/>
        <v>0</v>
      </c>
      <c r="Q67" s="391"/>
      <c r="R67" s="391">
        <f>Y67+AM67+AT67+BA67+BH67+BN67+BT67+CA67+CI67</f>
        <v>0</v>
      </c>
      <c r="S67" s="391">
        <f>Z67+AG67+AN67+AU67+BB67+BI67+BO67+BU67+CC67+CK67</f>
        <v>16</v>
      </c>
      <c r="T67" s="392">
        <f>SUM(U67:Z67)</f>
        <v>0</v>
      </c>
      <c r="U67" s="393"/>
      <c r="V67" s="393"/>
      <c r="W67" s="393"/>
      <c r="X67" s="393"/>
      <c r="Y67" s="393"/>
      <c r="Z67" s="393"/>
      <c r="AA67" s="392">
        <f>SUM(AB67:AG67)</f>
        <v>0</v>
      </c>
      <c r="AB67" s="393"/>
      <c r="AC67" s="393"/>
      <c r="AD67" s="393"/>
      <c r="AE67" s="393"/>
      <c r="AF67" s="393"/>
      <c r="AG67" s="393"/>
      <c r="AH67" s="392">
        <f>SUM(AI67:AN67)</f>
        <v>0</v>
      </c>
      <c r="AI67" s="393"/>
      <c r="AJ67" s="393"/>
      <c r="AK67" s="393"/>
      <c r="AL67" s="393"/>
      <c r="AM67" s="393"/>
      <c r="AN67" s="393"/>
      <c r="AO67" s="392">
        <f>SUM(AP67:AU67)</f>
        <v>0</v>
      </c>
      <c r="AP67" s="393"/>
      <c r="AQ67" s="393"/>
      <c r="AR67" s="393"/>
      <c r="AS67" s="393"/>
      <c r="AT67" s="393"/>
      <c r="AU67" s="393"/>
      <c r="AV67" s="392">
        <f>SUM(AW67:BB67)</f>
        <v>48</v>
      </c>
      <c r="AW67" s="390">
        <v>32</v>
      </c>
      <c r="AX67" s="393"/>
      <c r="AY67" s="393"/>
      <c r="AZ67" s="393"/>
      <c r="BA67" s="393"/>
      <c r="BB67" s="393">
        <v>16</v>
      </c>
      <c r="BC67" s="392">
        <f>SUM(BD67:BI67)</f>
        <v>0</v>
      </c>
      <c r="BD67" s="393"/>
      <c r="BE67" s="393"/>
      <c r="BF67" s="393"/>
      <c r="BG67" s="393"/>
      <c r="BH67" s="393"/>
      <c r="BI67" s="393"/>
      <c r="BJ67" s="392">
        <f>SUM(BK67:BO67)</f>
        <v>0</v>
      </c>
      <c r="BK67" s="393"/>
      <c r="BL67" s="393"/>
      <c r="BM67" s="393"/>
      <c r="BN67" s="393"/>
      <c r="BO67" s="393"/>
      <c r="BP67" s="392">
        <f>SUM(BQ67:BU67)</f>
        <v>0</v>
      </c>
      <c r="BQ67" s="393"/>
      <c r="BR67" s="393"/>
      <c r="BS67" s="393"/>
      <c r="BT67" s="393"/>
      <c r="BU67" s="393"/>
      <c r="BV67" s="392">
        <f>SUM(BW67:CC67)</f>
        <v>0</v>
      </c>
      <c r="BW67" s="393"/>
      <c r="BX67" s="393"/>
      <c r="BY67" s="393"/>
      <c r="BZ67" s="393"/>
      <c r="CA67" s="393"/>
      <c r="CB67" s="393"/>
      <c r="CC67" s="393"/>
      <c r="CD67" s="392">
        <f>SUM(CE67:CK67)</f>
        <v>0</v>
      </c>
      <c r="CE67" s="393"/>
      <c r="CF67" s="393"/>
      <c r="CG67" s="393"/>
      <c r="CH67" s="393"/>
      <c r="CI67" s="393"/>
      <c r="CJ67" s="393"/>
      <c r="CK67" s="393"/>
      <c r="CL67" s="389" t="s">
        <v>451</v>
      </c>
      <c r="CM67" s="390" t="s">
        <v>388</v>
      </c>
    </row>
    <row r="68" spans="1:91" s="582" customFormat="1" ht="35.25" customHeight="1">
      <c r="A68" s="574"/>
      <c r="B68" s="575" t="s">
        <v>473</v>
      </c>
      <c r="C68" s="576"/>
      <c r="D68" s="577"/>
      <c r="E68" s="577" t="s">
        <v>36</v>
      </c>
      <c r="F68" s="577"/>
      <c r="G68" s="577"/>
      <c r="H68" s="583" t="s">
        <v>36</v>
      </c>
      <c r="I68" s="927" t="s">
        <v>41</v>
      </c>
      <c r="J68" s="408"/>
      <c r="K68" s="408">
        <v>106</v>
      </c>
      <c r="L68" s="578">
        <f>M68+SUM(S68:S68)</f>
        <v>106</v>
      </c>
      <c r="M68" s="578">
        <f>SUM(N68:P68)</f>
        <v>72</v>
      </c>
      <c r="N68" s="578">
        <f t="shared" si="88"/>
        <v>48</v>
      </c>
      <c r="O68" s="578">
        <f t="shared" si="88"/>
        <v>0</v>
      </c>
      <c r="P68" s="578">
        <f t="shared" si="88"/>
        <v>24</v>
      </c>
      <c r="Q68" s="578"/>
      <c r="R68" s="578">
        <f>Y68+AM68+AT68+BA68+BH68+BN68+BT68+CA68+CI68</f>
        <v>0</v>
      </c>
      <c r="S68" s="578">
        <f>Z68+AG68+AN68+AU68+BB68+BI68+BO68+BU68+CC68+CK68</f>
        <v>34</v>
      </c>
      <c r="T68" s="579">
        <f>SUM(U68:Z68)</f>
        <v>0</v>
      </c>
      <c r="U68" s="408"/>
      <c r="V68" s="408"/>
      <c r="W68" s="408"/>
      <c r="X68" s="408"/>
      <c r="Y68" s="408"/>
      <c r="Z68" s="408"/>
      <c r="AA68" s="579">
        <f>SUM(AB68:AG68)</f>
        <v>0</v>
      </c>
      <c r="AB68" s="408"/>
      <c r="AC68" s="408"/>
      <c r="AD68" s="408"/>
      <c r="AE68" s="408"/>
      <c r="AF68" s="408"/>
      <c r="AG68" s="408"/>
      <c r="AH68" s="579">
        <f>SUM(AI68:AN68)</f>
        <v>0</v>
      </c>
      <c r="AI68" s="408"/>
      <c r="AJ68" s="408"/>
      <c r="AK68" s="408"/>
      <c r="AL68" s="408"/>
      <c r="AM68" s="408"/>
      <c r="AN68" s="408"/>
      <c r="AO68" s="579">
        <f>SUM(AP68:AU68)</f>
        <v>0</v>
      </c>
      <c r="AP68" s="408"/>
      <c r="AQ68" s="408"/>
      <c r="AR68" s="408"/>
      <c r="AS68" s="408"/>
      <c r="AT68" s="408"/>
      <c r="AU68" s="408"/>
      <c r="AV68" s="579">
        <f>SUM(AW68:BB68)</f>
        <v>0</v>
      </c>
      <c r="AW68" s="408"/>
      <c r="AX68" s="408"/>
      <c r="AY68" s="408"/>
      <c r="AZ68" s="408"/>
      <c r="BA68" s="408"/>
      <c r="BB68" s="408"/>
      <c r="BC68" s="579">
        <f>SUM(BD68:BI68)</f>
        <v>0</v>
      </c>
      <c r="BD68" s="408"/>
      <c r="BE68" s="408"/>
      <c r="BF68" s="408"/>
      <c r="BG68" s="408"/>
      <c r="BH68" s="408"/>
      <c r="BI68" s="408"/>
      <c r="BJ68" s="579">
        <f>SUM(BK68:BO68)</f>
        <v>45</v>
      </c>
      <c r="BK68" s="408">
        <v>32</v>
      </c>
      <c r="BL68" s="408"/>
      <c r="BM68" s="408"/>
      <c r="BN68" s="408"/>
      <c r="BO68" s="408">
        <v>13</v>
      </c>
      <c r="BP68" s="579">
        <f>SUM(BQ68:BU68)</f>
        <v>61</v>
      </c>
      <c r="BQ68" s="580">
        <v>16</v>
      </c>
      <c r="BR68" s="580"/>
      <c r="BS68" s="580">
        <v>24</v>
      </c>
      <c r="BT68" s="580"/>
      <c r="BU68" s="580">
        <v>21</v>
      </c>
      <c r="BV68" s="579">
        <f>SUM(BW68:CC68)</f>
        <v>0</v>
      </c>
      <c r="BW68" s="408"/>
      <c r="BX68" s="408"/>
      <c r="BY68" s="408"/>
      <c r="BZ68" s="408"/>
      <c r="CA68" s="408"/>
      <c r="CB68" s="408"/>
      <c r="CC68" s="408"/>
      <c r="CD68" s="579">
        <f>SUM(CE68:CK68)</f>
        <v>0</v>
      </c>
      <c r="CE68" s="408"/>
      <c r="CF68" s="408"/>
      <c r="CG68" s="408"/>
      <c r="CH68" s="408"/>
      <c r="CI68" s="408"/>
      <c r="CJ68" s="408"/>
      <c r="CK68" s="408"/>
      <c r="CL68" s="577" t="s">
        <v>451</v>
      </c>
      <c r="CM68" s="580" t="s">
        <v>388</v>
      </c>
    </row>
    <row r="69" spans="1:91" s="111" customFormat="1" ht="25.5" customHeight="1">
      <c r="A69" s="419" t="s">
        <v>383</v>
      </c>
      <c r="B69" s="419"/>
      <c r="C69" s="419"/>
      <c r="D69" s="427" t="s">
        <v>36</v>
      </c>
      <c r="E69" s="419"/>
      <c r="F69" s="419"/>
      <c r="G69" s="419"/>
      <c r="H69" s="419"/>
      <c r="I69" s="419"/>
      <c r="J69" s="424"/>
      <c r="K69" s="424"/>
      <c r="L69" s="425"/>
      <c r="M69" s="425"/>
      <c r="N69" s="425"/>
      <c r="O69" s="425"/>
      <c r="P69" s="425"/>
      <c r="Q69" s="425"/>
      <c r="R69" s="425"/>
      <c r="S69" s="425"/>
      <c r="T69" s="425"/>
      <c r="U69" s="424"/>
      <c r="V69" s="424"/>
      <c r="W69" s="424"/>
      <c r="X69" s="424"/>
      <c r="Y69" s="424"/>
      <c r="Z69" s="424"/>
      <c r="AA69" s="425"/>
      <c r="AB69" s="424"/>
      <c r="AC69" s="424"/>
      <c r="AD69" s="424"/>
      <c r="AE69" s="424"/>
      <c r="AF69" s="424"/>
      <c r="AG69" s="424"/>
      <c r="AH69" s="425"/>
      <c r="AI69" s="424"/>
      <c r="AJ69" s="424"/>
      <c r="AK69" s="424"/>
      <c r="AL69" s="424"/>
      <c r="AM69" s="424"/>
      <c r="AN69" s="424"/>
      <c r="AO69" s="425"/>
      <c r="AP69" s="424"/>
      <c r="AQ69" s="424"/>
      <c r="AR69" s="424"/>
      <c r="AS69" s="424"/>
      <c r="AT69" s="424"/>
      <c r="AU69" s="424"/>
      <c r="AV69" s="425"/>
      <c r="AW69" s="424"/>
      <c r="AX69" s="424"/>
      <c r="AY69" s="424"/>
      <c r="AZ69" s="424"/>
      <c r="BA69" s="424"/>
      <c r="BB69" s="424"/>
      <c r="BC69" s="425"/>
      <c r="BD69" s="424"/>
      <c r="BE69" s="424"/>
      <c r="BF69" s="424"/>
      <c r="BG69" s="424"/>
      <c r="BH69" s="424"/>
      <c r="BI69" s="424"/>
      <c r="BJ69" s="425"/>
      <c r="BK69" s="424"/>
      <c r="BL69" s="424"/>
      <c r="BM69" s="424"/>
      <c r="BN69" s="424"/>
      <c r="BO69" s="424"/>
      <c r="BP69" s="425"/>
      <c r="BQ69" s="424"/>
      <c r="BR69" s="424"/>
      <c r="BS69" s="424"/>
      <c r="BT69" s="424"/>
      <c r="BU69" s="424"/>
      <c r="BV69" s="425"/>
      <c r="BW69" s="424"/>
      <c r="BX69" s="424"/>
      <c r="BY69" s="424"/>
      <c r="BZ69" s="424"/>
      <c r="CA69" s="424"/>
      <c r="CB69" s="424"/>
      <c r="CC69" s="424"/>
      <c r="CD69" s="425"/>
      <c r="CE69" s="424"/>
      <c r="CF69" s="424"/>
      <c r="CG69" s="424"/>
      <c r="CH69" s="424"/>
      <c r="CI69" s="424"/>
      <c r="CJ69" s="424"/>
      <c r="CK69" s="424"/>
      <c r="CL69" s="426"/>
      <c r="CM69" s="424"/>
    </row>
    <row r="70" spans="1:91" s="111" customFormat="1" ht="39.75" customHeight="1">
      <c r="A70" s="409" t="s">
        <v>180</v>
      </c>
      <c r="B70" s="428" t="s">
        <v>181</v>
      </c>
      <c r="C70" s="428"/>
      <c r="D70" s="428"/>
      <c r="E70" s="428"/>
      <c r="F70" s="428"/>
      <c r="G70" s="428"/>
      <c r="H70" s="428"/>
      <c r="I70" s="428"/>
      <c r="J70" s="410"/>
      <c r="K70" s="410"/>
      <c r="L70" s="411">
        <f>M70+SUM(S70:S70)</f>
        <v>161</v>
      </c>
      <c r="M70" s="411">
        <f>SUM(N70:R70)</f>
        <v>109</v>
      </c>
      <c r="N70" s="411">
        <f aca="true" t="shared" si="89" ref="N70:P72">U70+AB70+AI70+AP70+AW70+BD70+BK70+BQ70+BX70+CF70</f>
        <v>78</v>
      </c>
      <c r="O70" s="411">
        <f t="shared" si="89"/>
        <v>31</v>
      </c>
      <c r="P70" s="411">
        <f t="shared" si="89"/>
        <v>0</v>
      </c>
      <c r="Q70" s="411"/>
      <c r="R70" s="411">
        <f>Y70+AM70+AT70+BA70+BH70+BN70+BT70+CA70+CI70</f>
        <v>0</v>
      </c>
      <c r="S70" s="411">
        <f>Z70+AG70+AN70+AU70+BB70+BI70+BO70+BU70+CC70+CK70</f>
        <v>52</v>
      </c>
      <c r="T70" s="411">
        <f>SUM(U70:Z70)</f>
        <v>0</v>
      </c>
      <c r="U70" s="411">
        <f aca="true" t="shared" si="90" ref="U70:Z70">SUM(U71:U72)</f>
        <v>0</v>
      </c>
      <c r="V70" s="411">
        <f t="shared" si="90"/>
        <v>0</v>
      </c>
      <c r="W70" s="411">
        <f t="shared" si="90"/>
        <v>0</v>
      </c>
      <c r="X70" s="411"/>
      <c r="Y70" s="411">
        <f t="shared" si="90"/>
        <v>0</v>
      </c>
      <c r="Z70" s="411">
        <f t="shared" si="90"/>
        <v>0</v>
      </c>
      <c r="AA70" s="411">
        <f>SUM(AB70:AG70)</f>
        <v>0</v>
      </c>
      <c r="AB70" s="411">
        <f aca="true" t="shared" si="91" ref="AB70:AG70">SUM(AB71:AB72)</f>
        <v>0</v>
      </c>
      <c r="AC70" s="411">
        <f t="shared" si="91"/>
        <v>0</v>
      </c>
      <c r="AD70" s="411">
        <f t="shared" si="91"/>
        <v>0</v>
      </c>
      <c r="AE70" s="411"/>
      <c r="AF70" s="411"/>
      <c r="AG70" s="411">
        <f t="shared" si="91"/>
        <v>0</v>
      </c>
      <c r="AH70" s="411">
        <f>SUM(AI70:AN70)</f>
        <v>0</v>
      </c>
      <c r="AI70" s="411">
        <f aca="true" t="shared" si="92" ref="AI70:AN70">SUM(AI71:AI72)</f>
        <v>0</v>
      </c>
      <c r="AJ70" s="411">
        <f t="shared" si="92"/>
        <v>0</v>
      </c>
      <c r="AK70" s="411">
        <f t="shared" si="92"/>
        <v>0</v>
      </c>
      <c r="AL70" s="411"/>
      <c r="AM70" s="411">
        <f t="shared" si="92"/>
        <v>0</v>
      </c>
      <c r="AN70" s="411">
        <f t="shared" si="92"/>
        <v>0</v>
      </c>
      <c r="AO70" s="411">
        <f>SUM(AP70:AU70)</f>
        <v>67</v>
      </c>
      <c r="AP70" s="411">
        <f aca="true" t="shared" si="93" ref="AP70:AU70">SUM(AP71:AP72)</f>
        <v>30</v>
      </c>
      <c r="AQ70" s="411">
        <f t="shared" si="93"/>
        <v>15</v>
      </c>
      <c r="AR70" s="411">
        <f t="shared" si="93"/>
        <v>0</v>
      </c>
      <c r="AS70" s="411"/>
      <c r="AT70" s="411">
        <f t="shared" si="93"/>
        <v>0</v>
      </c>
      <c r="AU70" s="411">
        <f t="shared" si="93"/>
        <v>22</v>
      </c>
      <c r="AV70" s="411">
        <f>SUM(AW70:BB70)</f>
        <v>94</v>
      </c>
      <c r="AW70" s="411">
        <f aca="true" t="shared" si="94" ref="AW70:BB70">SUM(AW71:AW72)</f>
        <v>48</v>
      </c>
      <c r="AX70" s="411">
        <f t="shared" si="94"/>
        <v>16</v>
      </c>
      <c r="AY70" s="411">
        <f t="shared" si="94"/>
        <v>0</v>
      </c>
      <c r="AZ70" s="411"/>
      <c r="BA70" s="411">
        <f t="shared" si="94"/>
        <v>0</v>
      </c>
      <c r="BB70" s="411">
        <f t="shared" si="94"/>
        <v>30</v>
      </c>
      <c r="BC70" s="411">
        <f>SUM(BD70:BI70)</f>
        <v>0</v>
      </c>
      <c r="BD70" s="411">
        <f aca="true" t="shared" si="95" ref="BD70:BI70">SUM(BD71:BD72)</f>
        <v>0</v>
      </c>
      <c r="BE70" s="411">
        <f t="shared" si="95"/>
        <v>0</v>
      </c>
      <c r="BF70" s="411">
        <f t="shared" si="95"/>
        <v>0</v>
      </c>
      <c r="BG70" s="411"/>
      <c r="BH70" s="411">
        <f t="shared" si="95"/>
        <v>0</v>
      </c>
      <c r="BI70" s="411">
        <f t="shared" si="95"/>
        <v>0</v>
      </c>
      <c r="BJ70" s="411">
        <f>SUM(BK70:BO70)</f>
        <v>0</v>
      </c>
      <c r="BK70" s="411">
        <f>SUM(BK71:BK72)</f>
        <v>0</v>
      </c>
      <c r="BL70" s="411">
        <f>SUM(BL71:BL72)</f>
        <v>0</v>
      </c>
      <c r="BM70" s="411">
        <f>SUM(BM71:BM72)</f>
        <v>0</v>
      </c>
      <c r="BN70" s="411">
        <f>SUM(BN71:BN72)</f>
        <v>0</v>
      </c>
      <c r="BO70" s="411">
        <f>SUM(BO71:BO72)</f>
        <v>0</v>
      </c>
      <c r="BP70" s="411">
        <f>SUM(BQ70:BU70)</f>
        <v>0</v>
      </c>
      <c r="BQ70" s="411">
        <f>SUM(BQ71:BQ72)</f>
        <v>0</v>
      </c>
      <c r="BR70" s="411">
        <f>SUM(BR71:BR72)</f>
        <v>0</v>
      </c>
      <c r="BS70" s="411">
        <f>SUM(BS71:BS72)</f>
        <v>0</v>
      </c>
      <c r="BT70" s="411">
        <f>SUM(BT71:BT72)</f>
        <v>0</v>
      </c>
      <c r="BU70" s="411">
        <f>SUM(BU71:BU72)</f>
        <v>0</v>
      </c>
      <c r="BV70" s="411">
        <f>SUM(BW70:CC70)</f>
        <v>0</v>
      </c>
      <c r="BW70" s="411">
        <f aca="true" t="shared" si="96" ref="BW70:CC70">SUM(BW71:BW72)</f>
        <v>0</v>
      </c>
      <c r="BX70" s="411">
        <f t="shared" si="96"/>
        <v>0</v>
      </c>
      <c r="BY70" s="411">
        <f t="shared" si="96"/>
        <v>0</v>
      </c>
      <c r="BZ70" s="411">
        <f t="shared" si="96"/>
        <v>0</v>
      </c>
      <c r="CA70" s="411">
        <f t="shared" si="96"/>
        <v>0</v>
      </c>
      <c r="CB70" s="411">
        <f t="shared" si="96"/>
        <v>0</v>
      </c>
      <c r="CC70" s="411">
        <f t="shared" si="96"/>
        <v>0</v>
      </c>
      <c r="CD70" s="411">
        <f>SUM(CE70:CK70)</f>
        <v>0</v>
      </c>
      <c r="CE70" s="411">
        <f aca="true" t="shared" si="97" ref="CE70:CK70">SUM(CE71:CE72)</f>
        <v>0</v>
      </c>
      <c r="CF70" s="411">
        <f t="shared" si="97"/>
        <v>0</v>
      </c>
      <c r="CG70" s="411">
        <f t="shared" si="97"/>
        <v>0</v>
      </c>
      <c r="CH70" s="411">
        <f t="shared" si="97"/>
        <v>0</v>
      </c>
      <c r="CI70" s="411">
        <f t="shared" si="97"/>
        <v>0</v>
      </c>
      <c r="CJ70" s="411">
        <f t="shared" si="97"/>
        <v>0</v>
      </c>
      <c r="CK70" s="411">
        <f t="shared" si="97"/>
        <v>0</v>
      </c>
      <c r="CL70" s="412"/>
      <c r="CM70" s="413"/>
    </row>
    <row r="71" spans="1:91" s="111" customFormat="1" ht="27.75" customHeight="1">
      <c r="A71" s="429"/>
      <c r="B71" s="387" t="s">
        <v>471</v>
      </c>
      <c r="C71" s="388" t="s">
        <v>514</v>
      </c>
      <c r="D71" s="389"/>
      <c r="E71" s="389" t="s">
        <v>39</v>
      </c>
      <c r="F71" s="389"/>
      <c r="G71" s="389"/>
      <c r="H71" s="389"/>
      <c r="I71" s="389" t="s">
        <v>38</v>
      </c>
      <c r="J71" s="393"/>
      <c r="K71" s="390"/>
      <c r="L71" s="508">
        <f>M71+SUM(S71:S71)</f>
        <v>161</v>
      </c>
      <c r="M71" s="391">
        <f>SUM(N71:P71)</f>
        <v>109</v>
      </c>
      <c r="N71" s="391">
        <f t="shared" si="89"/>
        <v>78</v>
      </c>
      <c r="O71" s="391">
        <f t="shared" si="89"/>
        <v>31</v>
      </c>
      <c r="P71" s="391">
        <f t="shared" si="89"/>
        <v>0</v>
      </c>
      <c r="Q71" s="391"/>
      <c r="R71" s="391">
        <f>Y71+AM71+AT71+BA71+BH71+BN71+BT71+CA71+CI71</f>
        <v>0</v>
      </c>
      <c r="S71" s="391">
        <f>Z71+AG71+AN71+AU71+BB71+BI71+BO71+BU71+CC71+CK71</f>
        <v>52</v>
      </c>
      <c r="T71" s="392">
        <f>SUM(U71:Z71)</f>
        <v>0</v>
      </c>
      <c r="U71" s="393"/>
      <c r="V71" s="393"/>
      <c r="W71" s="393"/>
      <c r="X71" s="393"/>
      <c r="Y71" s="393"/>
      <c r="Z71" s="393"/>
      <c r="AA71" s="392">
        <f>SUM(AB71:AG71)</f>
        <v>0</v>
      </c>
      <c r="AB71" s="393"/>
      <c r="AC71" s="393"/>
      <c r="AD71" s="393"/>
      <c r="AE71" s="393"/>
      <c r="AF71" s="393"/>
      <c r="AG71" s="393"/>
      <c r="AH71" s="392">
        <f>SUM(AI71:AN71)</f>
        <v>0</v>
      </c>
      <c r="AI71" s="393"/>
      <c r="AJ71" s="393"/>
      <c r="AK71" s="393"/>
      <c r="AL71" s="393"/>
      <c r="AM71" s="393"/>
      <c r="AN71" s="393"/>
      <c r="AO71" s="392">
        <f>SUM(AP71:AU71)</f>
        <v>67</v>
      </c>
      <c r="AP71" s="390">
        <v>30</v>
      </c>
      <c r="AQ71" s="390">
        <v>15</v>
      </c>
      <c r="AR71" s="390"/>
      <c r="AS71" s="390"/>
      <c r="AT71" s="393"/>
      <c r="AU71" s="393">
        <v>22</v>
      </c>
      <c r="AV71" s="392">
        <f>SUM(AW71:BB71)</f>
        <v>94</v>
      </c>
      <c r="AW71" s="390">
        <v>48</v>
      </c>
      <c r="AX71" s="390">
        <v>16</v>
      </c>
      <c r="AY71" s="390"/>
      <c r="AZ71" s="390"/>
      <c r="BA71" s="390"/>
      <c r="BB71" s="390">
        <v>30</v>
      </c>
      <c r="BC71" s="392">
        <f>SUM(BD71:BI71)</f>
        <v>0</v>
      </c>
      <c r="BD71" s="393"/>
      <c r="BE71" s="393"/>
      <c r="BF71" s="393"/>
      <c r="BG71" s="393"/>
      <c r="BH71" s="393"/>
      <c r="BI71" s="393"/>
      <c r="BJ71" s="392">
        <f>SUM(BK71:BO71)</f>
        <v>0</v>
      </c>
      <c r="BK71" s="393"/>
      <c r="BL71" s="393"/>
      <c r="BM71" s="393"/>
      <c r="BN71" s="393"/>
      <c r="BO71" s="393"/>
      <c r="BP71" s="392">
        <f>SUM(BQ71:BU71)</f>
        <v>0</v>
      </c>
      <c r="BQ71" s="393"/>
      <c r="BR71" s="393"/>
      <c r="BS71" s="393"/>
      <c r="BT71" s="393"/>
      <c r="BU71" s="393"/>
      <c r="BV71" s="392">
        <f>SUM(BW71:CC71)</f>
        <v>0</v>
      </c>
      <c r="BW71" s="393"/>
      <c r="BX71" s="393"/>
      <c r="BY71" s="393"/>
      <c r="BZ71" s="393"/>
      <c r="CA71" s="393"/>
      <c r="CB71" s="393"/>
      <c r="CC71" s="393"/>
      <c r="CD71" s="392">
        <f>SUM(CE71:CK71)</f>
        <v>0</v>
      </c>
      <c r="CE71" s="393"/>
      <c r="CF71" s="393"/>
      <c r="CG71" s="393"/>
      <c r="CH71" s="393"/>
      <c r="CI71" s="393"/>
      <c r="CJ71" s="393"/>
      <c r="CK71" s="393"/>
      <c r="CL71" s="389" t="s">
        <v>455</v>
      </c>
      <c r="CM71" s="393" t="s">
        <v>338</v>
      </c>
    </row>
    <row r="72" spans="1:91" s="111" customFormat="1" ht="25.5" customHeight="1" hidden="1">
      <c r="A72" s="429"/>
      <c r="B72" s="387"/>
      <c r="C72" s="388"/>
      <c r="D72" s="389"/>
      <c r="E72" s="389"/>
      <c r="F72" s="389"/>
      <c r="G72" s="389"/>
      <c r="H72" s="389"/>
      <c r="I72" s="389"/>
      <c r="J72" s="393"/>
      <c r="K72" s="390"/>
      <c r="L72" s="391">
        <f>M72+SUM(S72:S72)</f>
        <v>0</v>
      </c>
      <c r="M72" s="391">
        <f>SUM(N72:R72)</f>
        <v>0</v>
      </c>
      <c r="N72" s="391">
        <f t="shared" si="89"/>
        <v>0</v>
      </c>
      <c r="O72" s="391">
        <f t="shared" si="89"/>
        <v>0</v>
      </c>
      <c r="P72" s="391">
        <f t="shared" si="89"/>
        <v>0</v>
      </c>
      <c r="Q72" s="391"/>
      <c r="R72" s="391">
        <f>Y72+AM72+AT72+BA72+BH72+BN72+BT72+CA72+CI72</f>
        <v>0</v>
      </c>
      <c r="S72" s="391">
        <f>Z72+AG72+AN72+AU72+BB72+BI72+BO72+BU72+CC72+CK72</f>
        <v>0</v>
      </c>
      <c r="T72" s="392">
        <f>SUM(U72:Z72)</f>
        <v>0</v>
      </c>
      <c r="U72" s="393"/>
      <c r="V72" s="393"/>
      <c r="W72" s="393"/>
      <c r="X72" s="393"/>
      <c r="Y72" s="393"/>
      <c r="Z72" s="393"/>
      <c r="AA72" s="392">
        <f>SUM(AB72:AG72)</f>
        <v>0</v>
      </c>
      <c r="AB72" s="393"/>
      <c r="AC72" s="393"/>
      <c r="AD72" s="393"/>
      <c r="AE72" s="393"/>
      <c r="AF72" s="393"/>
      <c r="AG72" s="393"/>
      <c r="AH72" s="392">
        <f>SUM(AI72:AN72)</f>
        <v>0</v>
      </c>
      <c r="AI72" s="393"/>
      <c r="AJ72" s="393"/>
      <c r="AK72" s="393"/>
      <c r="AL72" s="393"/>
      <c r="AM72" s="393"/>
      <c r="AN72" s="393"/>
      <c r="AO72" s="392">
        <f>SUM(AP72:AU72)</f>
        <v>0</v>
      </c>
      <c r="AP72" s="393"/>
      <c r="AQ72" s="393"/>
      <c r="AR72" s="393"/>
      <c r="AS72" s="393"/>
      <c r="AT72" s="393"/>
      <c r="AU72" s="393"/>
      <c r="AV72" s="392">
        <f>SUM(AW72:BB72)</f>
        <v>0</v>
      </c>
      <c r="AW72" s="390"/>
      <c r="AX72" s="390"/>
      <c r="AY72" s="390"/>
      <c r="AZ72" s="390"/>
      <c r="BA72" s="390"/>
      <c r="BB72" s="390"/>
      <c r="BC72" s="392">
        <f>SUM(BD72:BI72)</f>
        <v>0</v>
      </c>
      <c r="BD72" s="393"/>
      <c r="BE72" s="393"/>
      <c r="BF72" s="393"/>
      <c r="BG72" s="393"/>
      <c r="BH72" s="393"/>
      <c r="BI72" s="393"/>
      <c r="BJ72" s="392">
        <f>SUM(BK72:BO72)</f>
        <v>0</v>
      </c>
      <c r="BK72" s="393"/>
      <c r="BL72" s="393"/>
      <c r="BM72" s="393"/>
      <c r="BN72" s="393"/>
      <c r="BO72" s="393"/>
      <c r="BP72" s="392">
        <f>SUM(BQ72:BU72)</f>
        <v>0</v>
      </c>
      <c r="BQ72" s="393"/>
      <c r="BR72" s="393"/>
      <c r="BS72" s="393"/>
      <c r="BT72" s="393"/>
      <c r="BU72" s="393"/>
      <c r="BV72" s="392"/>
      <c r="BW72" s="393"/>
      <c r="BX72" s="393"/>
      <c r="BY72" s="393"/>
      <c r="BZ72" s="393"/>
      <c r="CA72" s="393"/>
      <c r="CB72" s="393"/>
      <c r="CC72" s="393"/>
      <c r="CD72" s="392"/>
      <c r="CE72" s="393"/>
      <c r="CF72" s="393"/>
      <c r="CG72" s="393"/>
      <c r="CH72" s="393"/>
      <c r="CI72" s="393"/>
      <c r="CJ72" s="393"/>
      <c r="CK72" s="393"/>
      <c r="CL72" s="389"/>
      <c r="CM72" s="599"/>
    </row>
    <row r="73" spans="1:91" s="377" customFormat="1" ht="25.5" customHeight="1">
      <c r="A73" s="490" t="s">
        <v>383</v>
      </c>
      <c r="B73" s="490"/>
      <c r="C73" s="490"/>
      <c r="D73" s="491" t="s">
        <v>39</v>
      </c>
      <c r="E73" s="490"/>
      <c r="F73" s="490"/>
      <c r="G73" s="490"/>
      <c r="H73" s="490"/>
      <c r="I73" s="490"/>
      <c r="J73" s="492"/>
      <c r="K73" s="492"/>
      <c r="L73" s="493"/>
      <c r="M73" s="493"/>
      <c r="N73" s="493"/>
      <c r="O73" s="493"/>
      <c r="P73" s="493"/>
      <c r="Q73" s="493"/>
      <c r="R73" s="493"/>
      <c r="S73" s="493"/>
      <c r="T73" s="493"/>
      <c r="U73" s="492"/>
      <c r="V73" s="492"/>
      <c r="W73" s="492"/>
      <c r="X73" s="492"/>
      <c r="Y73" s="492"/>
      <c r="Z73" s="492"/>
      <c r="AA73" s="493"/>
      <c r="AB73" s="492"/>
      <c r="AC73" s="492"/>
      <c r="AD73" s="492"/>
      <c r="AE73" s="492"/>
      <c r="AF73" s="492"/>
      <c r="AG73" s="492"/>
      <c r="AH73" s="493"/>
      <c r="AI73" s="492"/>
      <c r="AJ73" s="492"/>
      <c r="AK73" s="492"/>
      <c r="AL73" s="492"/>
      <c r="AM73" s="492"/>
      <c r="AN73" s="492"/>
      <c r="AO73" s="493"/>
      <c r="AP73" s="492"/>
      <c r="AQ73" s="492"/>
      <c r="AR73" s="492"/>
      <c r="AS73" s="492"/>
      <c r="AT73" s="492"/>
      <c r="AU73" s="492"/>
      <c r="AV73" s="493"/>
      <c r="AW73" s="492"/>
      <c r="AX73" s="492"/>
      <c r="AY73" s="492"/>
      <c r="AZ73" s="492"/>
      <c r="BA73" s="492"/>
      <c r="BB73" s="492"/>
      <c r="BC73" s="493"/>
      <c r="BD73" s="492"/>
      <c r="BE73" s="492"/>
      <c r="BF73" s="492"/>
      <c r="BG73" s="492"/>
      <c r="BH73" s="492"/>
      <c r="BI73" s="492"/>
      <c r="BJ73" s="493"/>
      <c r="BK73" s="492"/>
      <c r="BL73" s="492"/>
      <c r="BM73" s="492"/>
      <c r="BN73" s="492"/>
      <c r="BO73" s="492"/>
      <c r="BP73" s="493"/>
      <c r="BQ73" s="492"/>
      <c r="BR73" s="492"/>
      <c r="BS73" s="492"/>
      <c r="BT73" s="492"/>
      <c r="BU73" s="492"/>
      <c r="BV73" s="493"/>
      <c r="BW73" s="492"/>
      <c r="BX73" s="492"/>
      <c r="BY73" s="492"/>
      <c r="BZ73" s="492"/>
      <c r="CA73" s="492"/>
      <c r="CB73" s="492"/>
      <c r="CC73" s="492"/>
      <c r="CD73" s="493"/>
      <c r="CE73" s="492"/>
      <c r="CF73" s="492"/>
      <c r="CG73" s="492"/>
      <c r="CH73" s="492"/>
      <c r="CI73" s="492"/>
      <c r="CJ73" s="492"/>
      <c r="CK73" s="492"/>
      <c r="CL73" s="494"/>
      <c r="CM73" s="492"/>
    </row>
    <row r="74" spans="1:96" s="116" customFormat="1" ht="32.25" customHeight="1">
      <c r="A74" s="402"/>
      <c r="B74" s="430" t="s">
        <v>372</v>
      </c>
      <c r="C74" s="431"/>
      <c r="D74" s="432" t="s">
        <v>26</v>
      </c>
      <c r="E74" s="432"/>
      <c r="F74" s="432"/>
      <c r="G74" s="432"/>
      <c r="H74" s="432"/>
      <c r="I74" s="432"/>
      <c r="J74" s="399">
        <v>1242</v>
      </c>
      <c r="K74" s="399">
        <v>828</v>
      </c>
      <c r="L74" s="399">
        <f aca="true" t="shared" si="98" ref="L74:AD74">SUM(L75:L77)</f>
        <v>219</v>
      </c>
      <c r="M74" s="399">
        <f t="shared" si="98"/>
        <v>152</v>
      </c>
      <c r="N74" s="399">
        <f t="shared" si="98"/>
        <v>110</v>
      </c>
      <c r="O74" s="399">
        <f t="shared" si="98"/>
        <v>42</v>
      </c>
      <c r="P74" s="399">
        <f t="shared" si="98"/>
        <v>0</v>
      </c>
      <c r="Q74" s="399"/>
      <c r="R74" s="399">
        <f t="shared" si="98"/>
        <v>0</v>
      </c>
      <c r="S74" s="399">
        <f t="shared" si="98"/>
        <v>67</v>
      </c>
      <c r="T74" s="399">
        <f t="shared" si="98"/>
        <v>0</v>
      </c>
      <c r="U74" s="399">
        <f t="shared" si="98"/>
        <v>0</v>
      </c>
      <c r="V74" s="399">
        <f t="shared" si="98"/>
        <v>0</v>
      </c>
      <c r="W74" s="399">
        <f t="shared" si="98"/>
        <v>0</v>
      </c>
      <c r="X74" s="399"/>
      <c r="Y74" s="399">
        <f t="shared" si="98"/>
        <v>0</v>
      </c>
      <c r="Z74" s="399">
        <f t="shared" si="98"/>
        <v>0</v>
      </c>
      <c r="AA74" s="399">
        <f t="shared" si="98"/>
        <v>0</v>
      </c>
      <c r="AB74" s="399">
        <f t="shared" si="98"/>
        <v>0</v>
      </c>
      <c r="AC74" s="399">
        <f t="shared" si="98"/>
        <v>0</v>
      </c>
      <c r="AD74" s="399">
        <f t="shared" si="98"/>
        <v>0</v>
      </c>
      <c r="AE74" s="399"/>
      <c r="AF74" s="399"/>
      <c r="AG74" s="399">
        <f aca="true" t="shared" si="99" ref="AG74:BP74">SUM(AG75:AG77)</f>
        <v>0</v>
      </c>
      <c r="AH74" s="399">
        <f t="shared" si="99"/>
        <v>48</v>
      </c>
      <c r="AI74" s="399">
        <f t="shared" si="99"/>
        <v>32</v>
      </c>
      <c r="AJ74" s="399">
        <f t="shared" si="99"/>
        <v>0</v>
      </c>
      <c r="AK74" s="399">
        <f t="shared" si="99"/>
        <v>0</v>
      </c>
      <c r="AL74" s="399"/>
      <c r="AM74" s="399">
        <f t="shared" si="99"/>
        <v>0</v>
      </c>
      <c r="AN74" s="399">
        <f t="shared" si="99"/>
        <v>16</v>
      </c>
      <c r="AO74" s="399">
        <f t="shared" si="99"/>
        <v>45</v>
      </c>
      <c r="AP74" s="399">
        <f t="shared" si="99"/>
        <v>30</v>
      </c>
      <c r="AQ74" s="399">
        <f t="shared" si="99"/>
        <v>0</v>
      </c>
      <c r="AR74" s="399">
        <f t="shared" si="99"/>
        <v>0</v>
      </c>
      <c r="AS74" s="399"/>
      <c r="AT74" s="399">
        <f t="shared" si="99"/>
        <v>0</v>
      </c>
      <c r="AU74" s="399">
        <f t="shared" si="99"/>
        <v>15</v>
      </c>
      <c r="AV74" s="399">
        <f t="shared" si="99"/>
        <v>72</v>
      </c>
      <c r="AW74" s="399">
        <f t="shared" si="99"/>
        <v>48</v>
      </c>
      <c r="AX74" s="399">
        <f t="shared" si="99"/>
        <v>0</v>
      </c>
      <c r="AY74" s="399">
        <f t="shared" si="99"/>
        <v>0</v>
      </c>
      <c r="AZ74" s="399"/>
      <c r="BA74" s="399">
        <f t="shared" si="99"/>
        <v>0</v>
      </c>
      <c r="BB74" s="399">
        <f t="shared" si="99"/>
        <v>24</v>
      </c>
      <c r="BC74" s="399">
        <f t="shared" si="99"/>
        <v>0</v>
      </c>
      <c r="BD74" s="399">
        <f t="shared" si="99"/>
        <v>0</v>
      </c>
      <c r="BE74" s="399">
        <f t="shared" si="99"/>
        <v>0</v>
      </c>
      <c r="BF74" s="399">
        <f t="shared" si="99"/>
        <v>0</v>
      </c>
      <c r="BG74" s="399"/>
      <c r="BH74" s="399">
        <f t="shared" si="99"/>
        <v>0</v>
      </c>
      <c r="BI74" s="399">
        <f t="shared" si="99"/>
        <v>0</v>
      </c>
      <c r="BJ74" s="399">
        <f t="shared" si="99"/>
        <v>0</v>
      </c>
      <c r="BK74" s="399">
        <f t="shared" si="99"/>
        <v>0</v>
      </c>
      <c r="BL74" s="399">
        <f t="shared" si="99"/>
        <v>0</v>
      </c>
      <c r="BM74" s="399">
        <f t="shared" si="99"/>
        <v>0</v>
      </c>
      <c r="BN74" s="399">
        <f t="shared" si="99"/>
        <v>0</v>
      </c>
      <c r="BO74" s="399">
        <f t="shared" si="99"/>
        <v>0</v>
      </c>
      <c r="BP74" s="399">
        <f t="shared" si="99"/>
        <v>54</v>
      </c>
      <c r="BQ74" s="399">
        <f aca="true" t="shared" si="100" ref="BQ74:CK74">SUM(BQ75:BQ77)</f>
        <v>0</v>
      </c>
      <c r="BR74" s="399">
        <f t="shared" si="100"/>
        <v>42</v>
      </c>
      <c r="BS74" s="399">
        <f t="shared" si="100"/>
        <v>0</v>
      </c>
      <c r="BT74" s="399">
        <f t="shared" si="100"/>
        <v>0</v>
      </c>
      <c r="BU74" s="399">
        <f t="shared" si="100"/>
        <v>12</v>
      </c>
      <c r="BV74" s="399">
        <f t="shared" si="100"/>
        <v>0</v>
      </c>
      <c r="BW74" s="399">
        <f t="shared" si="100"/>
        <v>0</v>
      </c>
      <c r="BX74" s="399">
        <f t="shared" si="100"/>
        <v>0</v>
      </c>
      <c r="BY74" s="399">
        <f t="shared" si="100"/>
        <v>0</v>
      </c>
      <c r="BZ74" s="399">
        <f t="shared" si="100"/>
        <v>0</v>
      </c>
      <c r="CA74" s="399">
        <f t="shared" si="100"/>
        <v>0</v>
      </c>
      <c r="CB74" s="399">
        <f t="shared" si="100"/>
        <v>0</v>
      </c>
      <c r="CC74" s="399">
        <f t="shared" si="100"/>
        <v>0</v>
      </c>
      <c r="CD74" s="399">
        <f t="shared" si="100"/>
        <v>0</v>
      </c>
      <c r="CE74" s="399">
        <f t="shared" si="100"/>
        <v>0</v>
      </c>
      <c r="CF74" s="399">
        <f t="shared" si="100"/>
        <v>0</v>
      </c>
      <c r="CG74" s="399">
        <f t="shared" si="100"/>
        <v>0</v>
      </c>
      <c r="CH74" s="399">
        <f t="shared" si="100"/>
        <v>0</v>
      </c>
      <c r="CI74" s="399">
        <f t="shared" si="100"/>
        <v>0</v>
      </c>
      <c r="CJ74" s="399">
        <f t="shared" si="100"/>
        <v>0</v>
      </c>
      <c r="CK74" s="399">
        <f t="shared" si="100"/>
        <v>0</v>
      </c>
      <c r="CL74" s="432"/>
      <c r="CM74" s="432"/>
      <c r="CR74" s="513">
        <f>SUM(L74-J74)</f>
        <v>-1023</v>
      </c>
    </row>
    <row r="75" spans="1:91" s="582" customFormat="1" ht="30.75" customHeight="1">
      <c r="A75" s="574" t="s">
        <v>190</v>
      </c>
      <c r="B75" s="575" t="s">
        <v>436</v>
      </c>
      <c r="C75" s="576"/>
      <c r="D75" s="577"/>
      <c r="E75" s="577" t="s">
        <v>36</v>
      </c>
      <c r="F75" s="577"/>
      <c r="G75" s="577"/>
      <c r="H75" s="577"/>
      <c r="I75" s="577"/>
      <c r="J75" s="408"/>
      <c r="K75" s="408">
        <v>54</v>
      </c>
      <c r="L75" s="578">
        <f>M75+SUM(S75:S75)</f>
        <v>54</v>
      </c>
      <c r="M75" s="578">
        <f>SUM(N75:P75)</f>
        <v>42</v>
      </c>
      <c r="N75" s="578">
        <f aca="true" t="shared" si="101" ref="N75:P77">U75+AB75+AI75+AP75+AW75+BD75+BK75+BQ75+BX75+CF75</f>
        <v>0</v>
      </c>
      <c r="O75" s="578">
        <f t="shared" si="101"/>
        <v>42</v>
      </c>
      <c r="P75" s="578">
        <f t="shared" si="101"/>
        <v>0</v>
      </c>
      <c r="Q75" s="578"/>
      <c r="R75" s="578">
        <f>Y75+AM75+AT75+BA75+BH75+BN75+BT75+CA75+CI75</f>
        <v>0</v>
      </c>
      <c r="S75" s="578">
        <f>Z75+AG75+AN75+AU75+BB75+BI75+BO75+BU75+CC75+CK75</f>
        <v>12</v>
      </c>
      <c r="T75" s="579"/>
      <c r="U75" s="408"/>
      <c r="V75" s="408"/>
      <c r="W75" s="408"/>
      <c r="X75" s="408"/>
      <c r="Y75" s="408"/>
      <c r="Z75" s="408"/>
      <c r="AA75" s="579"/>
      <c r="AB75" s="408"/>
      <c r="AC75" s="408"/>
      <c r="AD75" s="408"/>
      <c r="AE75" s="408"/>
      <c r="AF75" s="408"/>
      <c r="AG75" s="408"/>
      <c r="AH75" s="579"/>
      <c r="AI75" s="408"/>
      <c r="AJ75" s="408"/>
      <c r="AK75" s="408"/>
      <c r="AL75" s="408"/>
      <c r="AM75" s="408"/>
      <c r="AN75" s="408"/>
      <c r="AO75" s="579"/>
      <c r="AP75" s="408"/>
      <c r="AQ75" s="408"/>
      <c r="AR75" s="408"/>
      <c r="AS75" s="408"/>
      <c r="AT75" s="408"/>
      <c r="AU75" s="408"/>
      <c r="AV75" s="579"/>
      <c r="AW75" s="408"/>
      <c r="AX75" s="408"/>
      <c r="AY75" s="408"/>
      <c r="AZ75" s="408"/>
      <c r="BA75" s="408"/>
      <c r="BB75" s="408"/>
      <c r="BC75" s="579"/>
      <c r="BD75" s="408"/>
      <c r="BE75" s="408"/>
      <c r="BF75" s="408"/>
      <c r="BG75" s="408"/>
      <c r="BH75" s="408"/>
      <c r="BI75" s="408"/>
      <c r="BJ75" s="579">
        <f>SUM(BK75:BO75)</f>
        <v>0</v>
      </c>
      <c r="BK75" s="408"/>
      <c r="BL75" s="408"/>
      <c r="BM75" s="408"/>
      <c r="BN75" s="408"/>
      <c r="BO75" s="408"/>
      <c r="BP75" s="579">
        <f>SUM(BQ75:BU75)</f>
        <v>54</v>
      </c>
      <c r="BQ75" s="408"/>
      <c r="BR75" s="580">
        <v>42</v>
      </c>
      <c r="BS75" s="580"/>
      <c r="BT75" s="580"/>
      <c r="BU75" s="580">
        <v>12</v>
      </c>
      <c r="BV75" s="579"/>
      <c r="BW75" s="408"/>
      <c r="BX75" s="408"/>
      <c r="BY75" s="408"/>
      <c r="BZ75" s="408"/>
      <c r="CA75" s="408"/>
      <c r="CB75" s="408"/>
      <c r="CC75" s="408"/>
      <c r="CD75" s="579"/>
      <c r="CE75" s="408"/>
      <c r="CF75" s="408"/>
      <c r="CG75" s="408"/>
      <c r="CH75" s="408"/>
      <c r="CI75" s="408"/>
      <c r="CJ75" s="408"/>
      <c r="CK75" s="408"/>
      <c r="CL75" s="577" t="s">
        <v>621</v>
      </c>
      <c r="CM75" s="581" t="s">
        <v>333</v>
      </c>
    </row>
    <row r="76" spans="1:91" s="111" customFormat="1" ht="35.25" customHeight="1">
      <c r="A76" s="386" t="s">
        <v>475</v>
      </c>
      <c r="B76" s="387" t="s">
        <v>469</v>
      </c>
      <c r="C76" s="388"/>
      <c r="D76" s="389"/>
      <c r="E76" s="389" t="s">
        <v>39</v>
      </c>
      <c r="F76" s="389"/>
      <c r="G76" s="389"/>
      <c r="H76" s="389"/>
      <c r="I76" s="407" t="s">
        <v>38</v>
      </c>
      <c r="J76" s="393"/>
      <c r="K76" s="390"/>
      <c r="L76" s="391">
        <f>M76+SUM(S76:S76)</f>
        <v>117</v>
      </c>
      <c r="M76" s="391">
        <f>SUM(N76:P76)</f>
        <v>78</v>
      </c>
      <c r="N76" s="391">
        <f t="shared" si="101"/>
        <v>78</v>
      </c>
      <c r="O76" s="391">
        <f t="shared" si="101"/>
        <v>0</v>
      </c>
      <c r="P76" s="391">
        <f t="shared" si="101"/>
        <v>0</v>
      </c>
      <c r="Q76" s="391"/>
      <c r="R76" s="391">
        <f>Y76+AM76+AT76+BA76+BH76+BN76+BT76+CA76+CI76</f>
        <v>0</v>
      </c>
      <c r="S76" s="391">
        <f>Z76+AG76+AN76+AU76+BB76+BI76+BO76+BU76+CC76+CK76</f>
        <v>39</v>
      </c>
      <c r="T76" s="392">
        <f>SUM(U76:Z76)</f>
        <v>0</v>
      </c>
      <c r="U76" s="393"/>
      <c r="V76" s="393"/>
      <c r="W76" s="393"/>
      <c r="X76" s="393"/>
      <c r="Y76" s="393"/>
      <c r="Z76" s="393"/>
      <c r="AA76" s="392">
        <f>SUM(AB76:AG76)</f>
        <v>0</v>
      </c>
      <c r="AB76" s="393"/>
      <c r="AC76" s="393"/>
      <c r="AD76" s="393"/>
      <c r="AE76" s="393"/>
      <c r="AF76" s="393"/>
      <c r="AG76" s="393"/>
      <c r="AH76" s="392">
        <f>SUM(AI76:AN76)</f>
        <v>0</v>
      </c>
      <c r="AI76" s="393"/>
      <c r="AJ76" s="393"/>
      <c r="AK76" s="393"/>
      <c r="AL76" s="393"/>
      <c r="AM76" s="393"/>
      <c r="AN76" s="393"/>
      <c r="AO76" s="392">
        <f>SUM(AP76:AU76)</f>
        <v>45</v>
      </c>
      <c r="AP76" s="393">
        <v>30</v>
      </c>
      <c r="AQ76" s="393"/>
      <c r="AR76" s="393"/>
      <c r="AS76" s="393"/>
      <c r="AT76" s="393"/>
      <c r="AU76" s="393">
        <v>15</v>
      </c>
      <c r="AV76" s="392">
        <f>SUM(AW76:BB76)</f>
        <v>72</v>
      </c>
      <c r="AW76" s="390">
        <v>48</v>
      </c>
      <c r="AX76" s="390"/>
      <c r="AY76" s="390"/>
      <c r="AZ76" s="390"/>
      <c r="BA76" s="390"/>
      <c r="BB76" s="390">
        <v>24</v>
      </c>
      <c r="BC76" s="392">
        <f>SUM(BD76:BI76)</f>
        <v>0</v>
      </c>
      <c r="BD76" s="393"/>
      <c r="BE76" s="393"/>
      <c r="BF76" s="393"/>
      <c r="BG76" s="393"/>
      <c r="BH76" s="393"/>
      <c r="BI76" s="393"/>
      <c r="BJ76" s="392">
        <f>SUM(BK76:BO76)</f>
        <v>0</v>
      </c>
      <c r="BK76" s="393"/>
      <c r="BL76" s="393"/>
      <c r="BM76" s="393"/>
      <c r="BN76" s="393"/>
      <c r="BO76" s="393"/>
      <c r="BP76" s="392">
        <f>SUM(BQ76:BU76)</f>
        <v>0</v>
      </c>
      <c r="BQ76" s="393"/>
      <c r="BR76" s="393"/>
      <c r="BS76" s="393"/>
      <c r="BT76" s="393"/>
      <c r="BU76" s="393"/>
      <c r="BV76" s="392"/>
      <c r="BW76" s="393"/>
      <c r="BX76" s="393"/>
      <c r="BY76" s="393"/>
      <c r="BZ76" s="393"/>
      <c r="CA76" s="393"/>
      <c r="CB76" s="393"/>
      <c r="CC76" s="393"/>
      <c r="CD76" s="392"/>
      <c r="CE76" s="393"/>
      <c r="CF76" s="393"/>
      <c r="CG76" s="393"/>
      <c r="CH76" s="393"/>
      <c r="CI76" s="393"/>
      <c r="CJ76" s="393"/>
      <c r="CK76" s="393"/>
      <c r="CL76" s="407" t="s">
        <v>453</v>
      </c>
      <c r="CM76" s="599" t="s">
        <v>438</v>
      </c>
    </row>
    <row r="77" spans="1:91" s="111" customFormat="1" ht="37.5" customHeight="1">
      <c r="A77" s="386" t="s">
        <v>492</v>
      </c>
      <c r="B77" s="387" t="s">
        <v>278</v>
      </c>
      <c r="C77" s="387"/>
      <c r="D77" s="407"/>
      <c r="E77" s="407" t="s">
        <v>29</v>
      </c>
      <c r="F77" s="407"/>
      <c r="G77" s="407"/>
      <c r="H77" s="389"/>
      <c r="I77" s="389"/>
      <c r="J77" s="393"/>
      <c r="K77" s="393"/>
      <c r="L77" s="508">
        <f>M77+SUM(S77:S77)</f>
        <v>48</v>
      </c>
      <c r="M77" s="391">
        <f>SUM(N77:P77)</f>
        <v>32</v>
      </c>
      <c r="N77" s="391">
        <f t="shared" si="101"/>
        <v>32</v>
      </c>
      <c r="O77" s="391">
        <f t="shared" si="101"/>
        <v>0</v>
      </c>
      <c r="P77" s="391">
        <f t="shared" si="101"/>
        <v>0</v>
      </c>
      <c r="Q77" s="391"/>
      <c r="R77" s="391">
        <f>Y77+AM77+AT77+BA77+BH77+BN77+BT77+CA77+CI77</f>
        <v>0</v>
      </c>
      <c r="S77" s="391">
        <f>Z77+AG77+AN77+AU77+BB77+BI77+BO77+BU77+CC77+CK77</f>
        <v>16</v>
      </c>
      <c r="T77" s="392">
        <f>SUM(U77:Z77)</f>
        <v>0</v>
      </c>
      <c r="U77" s="393"/>
      <c r="V77" s="393"/>
      <c r="W77" s="393"/>
      <c r="X77" s="393"/>
      <c r="Y77" s="393"/>
      <c r="Z77" s="393"/>
      <c r="AA77" s="392">
        <f>SUM(AB77:AG77)</f>
        <v>0</v>
      </c>
      <c r="AB77" s="393"/>
      <c r="AC77" s="393"/>
      <c r="AD77" s="393"/>
      <c r="AE77" s="393"/>
      <c r="AF77" s="393"/>
      <c r="AG77" s="393"/>
      <c r="AH77" s="392">
        <f>SUM(AI77:AN77)</f>
        <v>48</v>
      </c>
      <c r="AI77" s="393">
        <v>32</v>
      </c>
      <c r="AJ77" s="393"/>
      <c r="AK77" s="393"/>
      <c r="AL77" s="393"/>
      <c r="AM77" s="393"/>
      <c r="AN77" s="393">
        <v>16</v>
      </c>
      <c r="AO77" s="392">
        <f>SUM(AP77:AU77)</f>
        <v>0</v>
      </c>
      <c r="AP77" s="393"/>
      <c r="AQ77" s="393"/>
      <c r="AR77" s="393"/>
      <c r="AS77" s="393"/>
      <c r="AT77" s="393"/>
      <c r="AU77" s="393"/>
      <c r="AV77" s="392">
        <f>SUM(AW77:BB77)</f>
        <v>0</v>
      </c>
      <c r="AW77" s="393"/>
      <c r="AX77" s="393"/>
      <c r="AY77" s="393"/>
      <c r="AZ77" s="393"/>
      <c r="BA77" s="393"/>
      <c r="BB77" s="393"/>
      <c r="BC77" s="392">
        <f>SUM(BD77:BI77)</f>
        <v>0</v>
      </c>
      <c r="BD77" s="393"/>
      <c r="BE77" s="393"/>
      <c r="BF77" s="393"/>
      <c r="BG77" s="393"/>
      <c r="BH77" s="393"/>
      <c r="BI77" s="393"/>
      <c r="BJ77" s="392">
        <f>SUM(BK77:BO77)</f>
        <v>0</v>
      </c>
      <c r="BK77" s="393"/>
      <c r="BL77" s="393"/>
      <c r="BM77" s="393"/>
      <c r="BN77" s="393"/>
      <c r="BO77" s="393"/>
      <c r="BP77" s="392">
        <f>SUM(BQ77:BU77)</f>
        <v>0</v>
      </c>
      <c r="BQ77" s="393"/>
      <c r="BR77" s="393"/>
      <c r="BS77" s="393"/>
      <c r="BT77" s="393"/>
      <c r="BU77" s="393"/>
      <c r="BV77" s="392"/>
      <c r="BW77" s="393"/>
      <c r="BX77" s="393"/>
      <c r="BY77" s="393"/>
      <c r="BZ77" s="393"/>
      <c r="CA77" s="393"/>
      <c r="CB77" s="393"/>
      <c r="CC77" s="393"/>
      <c r="CD77" s="392"/>
      <c r="CE77" s="393"/>
      <c r="CF77" s="393"/>
      <c r="CG77" s="393"/>
      <c r="CH77" s="393"/>
      <c r="CI77" s="393"/>
      <c r="CJ77" s="393"/>
      <c r="CK77" s="393"/>
      <c r="CL77" s="389" t="s">
        <v>454</v>
      </c>
      <c r="CM77" s="393" t="s">
        <v>387</v>
      </c>
    </row>
    <row r="78" spans="1:91" s="116" customFormat="1" ht="30.75" customHeight="1">
      <c r="A78" s="402" t="s">
        <v>183</v>
      </c>
      <c r="B78" s="696" t="s">
        <v>6</v>
      </c>
      <c r="C78" s="696"/>
      <c r="D78" s="432"/>
      <c r="E78" s="432" t="s">
        <v>38</v>
      </c>
      <c r="F78" s="432"/>
      <c r="G78" s="432"/>
      <c r="H78" s="432"/>
      <c r="I78" s="432"/>
      <c r="J78" s="399"/>
      <c r="K78" s="399">
        <v>396</v>
      </c>
      <c r="L78" s="399"/>
      <c r="M78" s="399">
        <f aca="true" t="shared" si="102" ref="M78:S78">SUM(M79:M82)</f>
        <v>396</v>
      </c>
      <c r="N78" s="399">
        <f t="shared" si="102"/>
        <v>0</v>
      </c>
      <c r="O78" s="399">
        <f t="shared" si="102"/>
        <v>0</v>
      </c>
      <c r="P78" s="399">
        <f t="shared" si="102"/>
        <v>0</v>
      </c>
      <c r="Q78" s="399"/>
      <c r="R78" s="399">
        <f t="shared" si="102"/>
        <v>396</v>
      </c>
      <c r="S78" s="399">
        <f t="shared" si="102"/>
        <v>0</v>
      </c>
      <c r="T78" s="399">
        <f aca="true" t="shared" si="103" ref="T78:AN78">SUM(T79:T81)</f>
        <v>0</v>
      </c>
      <c r="U78" s="399">
        <f t="shared" si="103"/>
        <v>0</v>
      </c>
      <c r="V78" s="399">
        <f t="shared" si="103"/>
        <v>0</v>
      </c>
      <c r="W78" s="399">
        <f t="shared" si="103"/>
        <v>0</v>
      </c>
      <c r="X78" s="399"/>
      <c r="Y78" s="399">
        <f t="shared" si="103"/>
        <v>0</v>
      </c>
      <c r="Z78" s="399">
        <f t="shared" si="103"/>
        <v>0</v>
      </c>
      <c r="AA78" s="399">
        <f t="shared" si="103"/>
        <v>0</v>
      </c>
      <c r="AB78" s="399">
        <f t="shared" si="103"/>
        <v>0</v>
      </c>
      <c r="AC78" s="399">
        <f t="shared" si="103"/>
        <v>0</v>
      </c>
      <c r="AD78" s="399">
        <f t="shared" si="103"/>
        <v>0</v>
      </c>
      <c r="AE78" s="399"/>
      <c r="AF78" s="399"/>
      <c r="AG78" s="399">
        <f t="shared" si="103"/>
        <v>0</v>
      </c>
      <c r="AH78" s="399">
        <f t="shared" si="103"/>
        <v>0</v>
      </c>
      <c r="AI78" s="399">
        <f t="shared" si="103"/>
        <v>0</v>
      </c>
      <c r="AJ78" s="399">
        <f t="shared" si="103"/>
        <v>0</v>
      </c>
      <c r="AK78" s="399">
        <f t="shared" si="103"/>
        <v>0</v>
      </c>
      <c r="AL78" s="399"/>
      <c r="AM78" s="399">
        <f t="shared" si="103"/>
        <v>0</v>
      </c>
      <c r="AN78" s="399">
        <f t="shared" si="103"/>
        <v>0</v>
      </c>
      <c r="AO78" s="399">
        <f>SUM(AO79:AO82)</f>
        <v>396</v>
      </c>
      <c r="AP78" s="399">
        <f aca="true" t="shared" si="104" ref="AP78:AU78">SUM(AP79:AP82)</f>
        <v>0</v>
      </c>
      <c r="AQ78" s="399">
        <f t="shared" si="104"/>
        <v>0</v>
      </c>
      <c r="AR78" s="399">
        <f t="shared" si="104"/>
        <v>0</v>
      </c>
      <c r="AS78" s="399"/>
      <c r="AT78" s="399">
        <f t="shared" si="104"/>
        <v>396</v>
      </c>
      <c r="AU78" s="399">
        <f t="shared" si="104"/>
        <v>0</v>
      </c>
      <c r="AV78" s="399">
        <f>SUM(AV79:AV82)</f>
        <v>0</v>
      </c>
      <c r="AW78" s="399">
        <f>SUM(AW79:AW82)</f>
        <v>0</v>
      </c>
      <c r="AX78" s="399">
        <f aca="true" t="shared" si="105" ref="AX78:CK78">SUM(AX79:AX81)</f>
        <v>0</v>
      </c>
      <c r="AY78" s="399">
        <f t="shared" si="105"/>
        <v>0</v>
      </c>
      <c r="AZ78" s="399"/>
      <c r="BA78" s="399">
        <f>SUM(BA79:BA82)</f>
        <v>0</v>
      </c>
      <c r="BB78" s="399">
        <f>SUM(BB79:BB82)</f>
        <v>0</v>
      </c>
      <c r="BC78" s="399">
        <f t="shared" si="105"/>
        <v>0</v>
      </c>
      <c r="BD78" s="399">
        <f t="shared" si="105"/>
        <v>0</v>
      </c>
      <c r="BE78" s="399">
        <f t="shared" si="105"/>
        <v>0</v>
      </c>
      <c r="BF78" s="399">
        <f t="shared" si="105"/>
        <v>0</v>
      </c>
      <c r="BG78" s="399"/>
      <c r="BH78" s="399">
        <f t="shared" si="105"/>
        <v>0</v>
      </c>
      <c r="BI78" s="399">
        <f t="shared" si="105"/>
        <v>0</v>
      </c>
      <c r="BJ78" s="399">
        <f t="shared" si="105"/>
        <v>0</v>
      </c>
      <c r="BK78" s="399">
        <f t="shared" si="105"/>
        <v>0</v>
      </c>
      <c r="BL78" s="399">
        <f t="shared" si="105"/>
        <v>0</v>
      </c>
      <c r="BM78" s="399">
        <f t="shared" si="105"/>
        <v>0</v>
      </c>
      <c r="BN78" s="399">
        <f t="shared" si="105"/>
        <v>0</v>
      </c>
      <c r="BO78" s="399">
        <f t="shared" si="105"/>
        <v>0</v>
      </c>
      <c r="BP78" s="399">
        <f t="shared" si="105"/>
        <v>0</v>
      </c>
      <c r="BQ78" s="399">
        <f t="shared" si="105"/>
        <v>0</v>
      </c>
      <c r="BR78" s="399">
        <f t="shared" si="105"/>
        <v>0</v>
      </c>
      <c r="BS78" s="399">
        <f t="shared" si="105"/>
        <v>0</v>
      </c>
      <c r="BT78" s="399">
        <f t="shared" si="105"/>
        <v>0</v>
      </c>
      <c r="BU78" s="399">
        <f t="shared" si="105"/>
        <v>0</v>
      </c>
      <c r="BV78" s="399">
        <f t="shared" si="105"/>
        <v>0</v>
      </c>
      <c r="BW78" s="399">
        <f t="shared" si="105"/>
        <v>0</v>
      </c>
      <c r="BX78" s="399">
        <f t="shared" si="105"/>
        <v>0</v>
      </c>
      <c r="BY78" s="399">
        <f t="shared" si="105"/>
        <v>0</v>
      </c>
      <c r="BZ78" s="399">
        <f t="shared" si="105"/>
        <v>0</v>
      </c>
      <c r="CA78" s="399">
        <f t="shared" si="105"/>
        <v>0</v>
      </c>
      <c r="CB78" s="399">
        <f t="shared" si="105"/>
        <v>0</v>
      </c>
      <c r="CC78" s="399">
        <f t="shared" si="105"/>
        <v>0</v>
      </c>
      <c r="CD78" s="399">
        <f t="shared" si="105"/>
        <v>0</v>
      </c>
      <c r="CE78" s="399">
        <f t="shared" si="105"/>
        <v>0</v>
      </c>
      <c r="CF78" s="399">
        <f t="shared" si="105"/>
        <v>0</v>
      </c>
      <c r="CG78" s="399">
        <f t="shared" si="105"/>
        <v>0</v>
      </c>
      <c r="CH78" s="399">
        <f t="shared" si="105"/>
        <v>0</v>
      </c>
      <c r="CI78" s="399">
        <f t="shared" si="105"/>
        <v>0</v>
      </c>
      <c r="CJ78" s="399">
        <f t="shared" si="105"/>
        <v>0</v>
      </c>
      <c r="CK78" s="399">
        <f t="shared" si="105"/>
        <v>0</v>
      </c>
      <c r="CL78" s="432"/>
      <c r="CM78" s="403" t="s">
        <v>592</v>
      </c>
    </row>
    <row r="79" spans="1:91" s="111" customFormat="1" ht="25.5" customHeight="1" hidden="1">
      <c r="A79" s="386" t="s">
        <v>184</v>
      </c>
      <c r="B79" s="388" t="s">
        <v>307</v>
      </c>
      <c r="C79" s="388"/>
      <c r="D79" s="389"/>
      <c r="E79" s="407" t="s">
        <v>38</v>
      </c>
      <c r="F79" s="407"/>
      <c r="G79" s="407"/>
      <c r="H79" s="389"/>
      <c r="I79" s="389"/>
      <c r="J79" s="393"/>
      <c r="K79" s="393"/>
      <c r="L79" s="391">
        <f aca="true" t="shared" si="106" ref="L79:L84">M79+SUM(S79:S79)</f>
        <v>72</v>
      </c>
      <c r="M79" s="391">
        <f aca="true" t="shared" si="107" ref="M79:M84">SUM(N79:R79)</f>
        <v>72</v>
      </c>
      <c r="N79" s="391">
        <f aca="true" t="shared" si="108" ref="N79:P82">U79+AB79+AI79+AP79+AW79+BD79+BK79+BQ79+BX79+CF79</f>
        <v>0</v>
      </c>
      <c r="O79" s="391">
        <f t="shared" si="108"/>
        <v>0</v>
      </c>
      <c r="P79" s="391">
        <f t="shared" si="108"/>
        <v>0</v>
      </c>
      <c r="Q79" s="391"/>
      <c r="R79" s="391">
        <f>Y79+AM79+AT79+BA79+BH79+BN79+BT79+CA79+CI79</f>
        <v>72</v>
      </c>
      <c r="S79" s="391">
        <f aca="true" t="shared" si="109" ref="S79:S84">Z79+AG79+AN79+AU79+BB79+BI79+BO79+BU79+CC79+CK79</f>
        <v>0</v>
      </c>
      <c r="T79" s="392">
        <f aca="true" t="shared" si="110" ref="T79:T84">SUM(U79:Z79)</f>
        <v>0</v>
      </c>
      <c r="U79" s="393"/>
      <c r="V79" s="393"/>
      <c r="W79" s="393"/>
      <c r="X79" s="393"/>
      <c r="Y79" s="393"/>
      <c r="Z79" s="393"/>
      <c r="AA79" s="392">
        <f aca="true" t="shared" si="111" ref="AA79:AA84">SUM(AB79:AG79)</f>
        <v>0</v>
      </c>
      <c r="AB79" s="393"/>
      <c r="AC79" s="393"/>
      <c r="AD79" s="393"/>
      <c r="AE79" s="393"/>
      <c r="AF79" s="393"/>
      <c r="AG79" s="393"/>
      <c r="AH79" s="392">
        <f aca="true" t="shared" si="112" ref="AH79:AH84">SUM(AI79:AN79)</f>
        <v>0</v>
      </c>
      <c r="AI79" s="393"/>
      <c r="AJ79" s="393"/>
      <c r="AK79" s="393"/>
      <c r="AL79" s="393"/>
      <c r="AM79" s="393"/>
      <c r="AN79" s="393"/>
      <c r="AO79" s="392">
        <f aca="true" t="shared" si="113" ref="AO79:AO84">SUM(AP79:AU79)</f>
        <v>72</v>
      </c>
      <c r="AP79" s="390"/>
      <c r="AQ79" s="390"/>
      <c r="AR79" s="390"/>
      <c r="AS79" s="390"/>
      <c r="AT79" s="390">
        <v>72</v>
      </c>
      <c r="AU79" s="390"/>
      <c r="AV79" s="392">
        <f aca="true" t="shared" si="114" ref="AV79:AV84">SUM(AW79:BB79)</f>
        <v>0</v>
      </c>
      <c r="AW79" s="393"/>
      <c r="AX79" s="393"/>
      <c r="AY79" s="393"/>
      <c r="AZ79" s="393"/>
      <c r="BA79" s="393"/>
      <c r="BB79" s="393"/>
      <c r="BC79" s="392">
        <f aca="true" t="shared" si="115" ref="BC79:BC84">SUM(BD79:BI79)</f>
        <v>0</v>
      </c>
      <c r="BD79" s="393"/>
      <c r="BE79" s="393"/>
      <c r="BF79" s="393"/>
      <c r="BG79" s="393"/>
      <c r="BH79" s="393"/>
      <c r="BI79" s="393"/>
      <c r="BJ79" s="392">
        <f aca="true" t="shared" si="116" ref="BJ79:BJ84">SUM(BK79:BO79)</f>
        <v>0</v>
      </c>
      <c r="BK79" s="393"/>
      <c r="BL79" s="393"/>
      <c r="BM79" s="393"/>
      <c r="BN79" s="393"/>
      <c r="BO79" s="393"/>
      <c r="BP79" s="392">
        <f aca="true" t="shared" si="117" ref="BP79:BP84">SUM(BQ79:BU79)</f>
        <v>0</v>
      </c>
      <c r="BQ79" s="393"/>
      <c r="BR79" s="393"/>
      <c r="BS79" s="393"/>
      <c r="BT79" s="393"/>
      <c r="BU79" s="393"/>
      <c r="BV79" s="392">
        <f>SUM(BW79:CC79)</f>
        <v>0</v>
      </c>
      <c r="BW79" s="393"/>
      <c r="BX79" s="393"/>
      <c r="BY79" s="393"/>
      <c r="BZ79" s="393"/>
      <c r="CA79" s="393"/>
      <c r="CB79" s="393"/>
      <c r="CC79" s="393"/>
      <c r="CD79" s="392">
        <f>SUM(CE79:CK79)</f>
        <v>0</v>
      </c>
      <c r="CE79" s="393"/>
      <c r="CF79" s="393"/>
      <c r="CG79" s="393"/>
      <c r="CH79" s="393"/>
      <c r="CI79" s="393"/>
      <c r="CJ79" s="393"/>
      <c r="CK79" s="393"/>
      <c r="CL79" s="389" t="s">
        <v>456</v>
      </c>
      <c r="CM79" s="599" t="s">
        <v>398</v>
      </c>
    </row>
    <row r="80" spans="1:91" s="111" customFormat="1" ht="25.5" customHeight="1" hidden="1">
      <c r="A80" s="386" t="s">
        <v>379</v>
      </c>
      <c r="B80" s="387" t="s">
        <v>380</v>
      </c>
      <c r="C80" s="388"/>
      <c r="D80" s="389"/>
      <c r="E80" s="407" t="s">
        <v>38</v>
      </c>
      <c r="F80" s="407"/>
      <c r="G80" s="407"/>
      <c r="H80" s="389"/>
      <c r="I80" s="389"/>
      <c r="J80" s="393"/>
      <c r="K80" s="393"/>
      <c r="L80" s="391">
        <f t="shared" si="106"/>
        <v>72</v>
      </c>
      <c r="M80" s="391">
        <f t="shared" si="107"/>
        <v>72</v>
      </c>
      <c r="N80" s="391">
        <f t="shared" si="108"/>
        <v>0</v>
      </c>
      <c r="O80" s="391">
        <f t="shared" si="108"/>
        <v>0</v>
      </c>
      <c r="P80" s="391">
        <f t="shared" si="108"/>
        <v>0</v>
      </c>
      <c r="Q80" s="391"/>
      <c r="R80" s="391">
        <f>Y80+AM80+AT80+BA80+BH80+BN80+BT80+CA80+CI80</f>
        <v>72</v>
      </c>
      <c r="S80" s="391">
        <f t="shared" si="109"/>
        <v>0</v>
      </c>
      <c r="T80" s="392">
        <f t="shared" si="110"/>
        <v>0</v>
      </c>
      <c r="U80" s="393"/>
      <c r="V80" s="393"/>
      <c r="W80" s="393"/>
      <c r="X80" s="393"/>
      <c r="Y80" s="393"/>
      <c r="Z80" s="393"/>
      <c r="AA80" s="392">
        <f t="shared" si="111"/>
        <v>0</v>
      </c>
      <c r="AB80" s="393"/>
      <c r="AC80" s="393"/>
      <c r="AD80" s="393"/>
      <c r="AE80" s="393"/>
      <c r="AF80" s="393"/>
      <c r="AG80" s="393"/>
      <c r="AH80" s="392">
        <f t="shared" si="112"/>
        <v>0</v>
      </c>
      <c r="AI80" s="393"/>
      <c r="AJ80" s="393"/>
      <c r="AK80" s="393"/>
      <c r="AL80" s="393"/>
      <c r="AM80" s="393"/>
      <c r="AN80" s="393"/>
      <c r="AO80" s="392">
        <f t="shared" si="113"/>
        <v>72</v>
      </c>
      <c r="AP80" s="390"/>
      <c r="AQ80" s="390"/>
      <c r="AR80" s="390"/>
      <c r="AS80" s="390"/>
      <c r="AT80" s="390">
        <v>72</v>
      </c>
      <c r="AU80" s="390"/>
      <c r="AV80" s="392">
        <f t="shared" si="114"/>
        <v>0</v>
      </c>
      <c r="AW80" s="393"/>
      <c r="AX80" s="393"/>
      <c r="AY80" s="393"/>
      <c r="AZ80" s="393"/>
      <c r="BA80" s="393"/>
      <c r="BB80" s="393"/>
      <c r="BC80" s="392">
        <f t="shared" si="115"/>
        <v>0</v>
      </c>
      <c r="BD80" s="393"/>
      <c r="BE80" s="393"/>
      <c r="BF80" s="393"/>
      <c r="BG80" s="393"/>
      <c r="BH80" s="393"/>
      <c r="BI80" s="393"/>
      <c r="BJ80" s="392">
        <f t="shared" si="116"/>
        <v>0</v>
      </c>
      <c r="BK80" s="393"/>
      <c r="BL80" s="393"/>
      <c r="BM80" s="393"/>
      <c r="BN80" s="393"/>
      <c r="BO80" s="393"/>
      <c r="BP80" s="392">
        <f t="shared" si="117"/>
        <v>0</v>
      </c>
      <c r="BQ80" s="393"/>
      <c r="BR80" s="393"/>
      <c r="BS80" s="393"/>
      <c r="BT80" s="393"/>
      <c r="BU80" s="393"/>
      <c r="BV80" s="392"/>
      <c r="BW80" s="393"/>
      <c r="BX80" s="393"/>
      <c r="BY80" s="393"/>
      <c r="BZ80" s="393"/>
      <c r="CA80" s="393"/>
      <c r="CB80" s="393"/>
      <c r="CC80" s="393"/>
      <c r="CD80" s="392"/>
      <c r="CE80" s="393"/>
      <c r="CF80" s="393"/>
      <c r="CG80" s="393"/>
      <c r="CH80" s="393"/>
      <c r="CI80" s="393"/>
      <c r="CJ80" s="393"/>
      <c r="CK80" s="393"/>
      <c r="CL80" s="389" t="s">
        <v>456</v>
      </c>
      <c r="CM80" s="599" t="s">
        <v>399</v>
      </c>
    </row>
    <row r="81" spans="1:91" s="111" customFormat="1" ht="25.5" customHeight="1" hidden="1">
      <c r="A81" s="386" t="s">
        <v>381</v>
      </c>
      <c r="B81" s="387" t="s">
        <v>382</v>
      </c>
      <c r="C81" s="388"/>
      <c r="D81" s="389"/>
      <c r="E81" s="407" t="s">
        <v>38</v>
      </c>
      <c r="F81" s="407"/>
      <c r="G81" s="407"/>
      <c r="H81" s="389"/>
      <c r="I81" s="389"/>
      <c r="J81" s="393"/>
      <c r="K81" s="393"/>
      <c r="L81" s="391">
        <f t="shared" si="106"/>
        <v>252</v>
      </c>
      <c r="M81" s="391">
        <f t="shared" si="107"/>
        <v>252</v>
      </c>
      <c r="N81" s="391">
        <f t="shared" si="108"/>
        <v>0</v>
      </c>
      <c r="O81" s="391">
        <f t="shared" si="108"/>
        <v>0</v>
      </c>
      <c r="P81" s="391">
        <f t="shared" si="108"/>
        <v>0</v>
      </c>
      <c r="Q81" s="391"/>
      <c r="R81" s="391">
        <f>Y81+AM81+AT81+BA81+BH81+BN81+BT81+CA81+CI81</f>
        <v>252</v>
      </c>
      <c r="S81" s="391">
        <f t="shared" si="109"/>
        <v>0</v>
      </c>
      <c r="T81" s="392">
        <f t="shared" si="110"/>
        <v>0</v>
      </c>
      <c r="U81" s="393"/>
      <c r="V81" s="393"/>
      <c r="W81" s="393"/>
      <c r="X81" s="393"/>
      <c r="Y81" s="393"/>
      <c r="Z81" s="393"/>
      <c r="AA81" s="392">
        <f t="shared" si="111"/>
        <v>0</v>
      </c>
      <c r="AB81" s="393"/>
      <c r="AC81" s="393"/>
      <c r="AD81" s="393"/>
      <c r="AE81" s="393"/>
      <c r="AF81" s="393"/>
      <c r="AG81" s="393"/>
      <c r="AH81" s="392">
        <f t="shared" si="112"/>
        <v>0</v>
      </c>
      <c r="AI81" s="393"/>
      <c r="AJ81" s="393"/>
      <c r="AK81" s="393"/>
      <c r="AL81" s="393"/>
      <c r="AM81" s="393"/>
      <c r="AN81" s="393"/>
      <c r="AO81" s="392">
        <f t="shared" si="113"/>
        <v>252</v>
      </c>
      <c r="AP81" s="390"/>
      <c r="AQ81" s="390"/>
      <c r="AR81" s="390"/>
      <c r="AS81" s="390"/>
      <c r="AT81" s="390">
        <v>252</v>
      </c>
      <c r="AU81" s="390"/>
      <c r="AV81" s="392">
        <f t="shared" si="114"/>
        <v>0</v>
      </c>
      <c r="AW81" s="393"/>
      <c r="AX81" s="393"/>
      <c r="AY81" s="393"/>
      <c r="AZ81" s="393"/>
      <c r="BA81" s="393"/>
      <c r="BB81" s="393"/>
      <c r="BC81" s="392">
        <f t="shared" si="115"/>
        <v>0</v>
      </c>
      <c r="BD81" s="393"/>
      <c r="BE81" s="393"/>
      <c r="BF81" s="393"/>
      <c r="BG81" s="393"/>
      <c r="BH81" s="393"/>
      <c r="BI81" s="393"/>
      <c r="BJ81" s="392">
        <f t="shared" si="116"/>
        <v>0</v>
      </c>
      <c r="BK81" s="393"/>
      <c r="BL81" s="393"/>
      <c r="BM81" s="393"/>
      <c r="BN81" s="393"/>
      <c r="BO81" s="393"/>
      <c r="BP81" s="392">
        <f t="shared" si="117"/>
        <v>0</v>
      </c>
      <c r="BQ81" s="393"/>
      <c r="BR81" s="393"/>
      <c r="BS81" s="393"/>
      <c r="BT81" s="393"/>
      <c r="BU81" s="393"/>
      <c r="BV81" s="392"/>
      <c r="BW81" s="393"/>
      <c r="BX81" s="393"/>
      <c r="BY81" s="393"/>
      <c r="BZ81" s="393"/>
      <c r="CA81" s="393"/>
      <c r="CB81" s="393"/>
      <c r="CC81" s="393"/>
      <c r="CD81" s="392"/>
      <c r="CE81" s="393"/>
      <c r="CF81" s="393"/>
      <c r="CG81" s="393"/>
      <c r="CH81" s="393"/>
      <c r="CI81" s="393"/>
      <c r="CJ81" s="393"/>
      <c r="CK81" s="393"/>
      <c r="CL81" s="389" t="s">
        <v>456</v>
      </c>
      <c r="CM81" s="599" t="s">
        <v>384</v>
      </c>
    </row>
    <row r="82" spans="1:91" s="111" customFormat="1" ht="25.5" customHeight="1" hidden="1">
      <c r="A82" s="429" t="s">
        <v>393</v>
      </c>
      <c r="B82" s="388" t="s">
        <v>465</v>
      </c>
      <c r="C82" s="387"/>
      <c r="D82" s="407"/>
      <c r="E82" s="407"/>
      <c r="F82" s="407"/>
      <c r="G82" s="407"/>
      <c r="H82" s="407"/>
      <c r="I82" s="407"/>
      <c r="J82" s="390"/>
      <c r="K82" s="390"/>
      <c r="L82" s="391">
        <f t="shared" si="106"/>
        <v>0</v>
      </c>
      <c r="M82" s="391">
        <f t="shared" si="107"/>
        <v>0</v>
      </c>
      <c r="N82" s="391">
        <f t="shared" si="108"/>
        <v>0</v>
      </c>
      <c r="O82" s="391">
        <f t="shared" si="108"/>
        <v>0</v>
      </c>
      <c r="P82" s="391">
        <f t="shared" si="108"/>
        <v>0</v>
      </c>
      <c r="Q82" s="391"/>
      <c r="R82" s="391">
        <f>Y82+AM82+AT82+BA82+BH82+BN82+BT82+CA82+CI82</f>
        <v>0</v>
      </c>
      <c r="S82" s="391">
        <f t="shared" si="109"/>
        <v>0</v>
      </c>
      <c r="T82" s="392">
        <f t="shared" si="110"/>
        <v>0</v>
      </c>
      <c r="U82" s="390"/>
      <c r="V82" s="390"/>
      <c r="W82" s="390"/>
      <c r="X82" s="390"/>
      <c r="Y82" s="390"/>
      <c r="Z82" s="390"/>
      <c r="AA82" s="392">
        <f t="shared" si="111"/>
        <v>0</v>
      </c>
      <c r="AB82" s="390"/>
      <c r="AC82" s="390"/>
      <c r="AD82" s="390"/>
      <c r="AE82" s="390"/>
      <c r="AF82" s="390"/>
      <c r="AG82" s="390"/>
      <c r="AH82" s="392">
        <f t="shared" si="112"/>
        <v>0</v>
      </c>
      <c r="AI82" s="390"/>
      <c r="AJ82" s="390"/>
      <c r="AK82" s="390"/>
      <c r="AL82" s="390"/>
      <c r="AM82" s="390"/>
      <c r="AN82" s="390"/>
      <c r="AO82" s="392">
        <f t="shared" si="113"/>
        <v>0</v>
      </c>
      <c r="AP82" s="397">
        <f aca="true" t="shared" si="118" ref="AP82:AU82">SUM(AP83:AP84)</f>
        <v>0</v>
      </c>
      <c r="AQ82" s="397">
        <f t="shared" si="118"/>
        <v>0</v>
      </c>
      <c r="AR82" s="397">
        <f t="shared" si="118"/>
        <v>0</v>
      </c>
      <c r="AS82" s="397"/>
      <c r="AT82" s="397">
        <f t="shared" si="118"/>
        <v>0</v>
      </c>
      <c r="AU82" s="397">
        <f t="shared" si="118"/>
        <v>0</v>
      </c>
      <c r="AV82" s="392">
        <f t="shared" si="114"/>
        <v>0</v>
      </c>
      <c r="AW82" s="390"/>
      <c r="AX82" s="390"/>
      <c r="AY82" s="390"/>
      <c r="AZ82" s="390"/>
      <c r="BA82" s="390"/>
      <c r="BB82" s="390"/>
      <c r="BC82" s="392">
        <f t="shared" si="115"/>
        <v>0</v>
      </c>
      <c r="BD82" s="390"/>
      <c r="BE82" s="390"/>
      <c r="BF82" s="390"/>
      <c r="BG82" s="390"/>
      <c r="BH82" s="390"/>
      <c r="BI82" s="390"/>
      <c r="BJ82" s="392">
        <f t="shared" si="116"/>
        <v>0</v>
      </c>
      <c r="BK82" s="390"/>
      <c r="BL82" s="390"/>
      <c r="BM82" s="390"/>
      <c r="BN82" s="390"/>
      <c r="BO82" s="390"/>
      <c r="BP82" s="392">
        <f t="shared" si="117"/>
        <v>0</v>
      </c>
      <c r="BQ82" s="390"/>
      <c r="BR82" s="390"/>
      <c r="BS82" s="390"/>
      <c r="BT82" s="390"/>
      <c r="BU82" s="390"/>
      <c r="BV82" s="397"/>
      <c r="BW82" s="390"/>
      <c r="BX82" s="390"/>
      <c r="BY82" s="390"/>
      <c r="BZ82" s="390"/>
      <c r="CA82" s="390"/>
      <c r="CB82" s="390"/>
      <c r="CC82" s="390"/>
      <c r="CD82" s="397"/>
      <c r="CE82" s="390"/>
      <c r="CF82" s="390"/>
      <c r="CG82" s="390"/>
      <c r="CH82" s="390"/>
      <c r="CI82" s="390"/>
      <c r="CJ82" s="390"/>
      <c r="CK82" s="390"/>
      <c r="CL82" s="407" t="s">
        <v>456</v>
      </c>
      <c r="CM82" s="599" t="s">
        <v>396</v>
      </c>
    </row>
    <row r="83" spans="1:91" s="111" customFormat="1" ht="25.5" customHeight="1" hidden="1">
      <c r="A83" s="429"/>
      <c r="B83" s="433" t="s">
        <v>385</v>
      </c>
      <c r="C83" s="434"/>
      <c r="D83" s="434"/>
      <c r="E83" s="708"/>
      <c r="F83" s="599"/>
      <c r="G83" s="599"/>
      <c r="H83" s="434"/>
      <c r="I83" s="434"/>
      <c r="J83" s="393"/>
      <c r="K83" s="393"/>
      <c r="L83" s="391">
        <f t="shared" si="106"/>
        <v>0</v>
      </c>
      <c r="M83" s="391">
        <f t="shared" si="107"/>
        <v>0</v>
      </c>
      <c r="N83" s="391">
        <f>U83+AB83+AI83+AP83+AW83+BD83+BK83+BQ83+BX83+CF83</f>
        <v>0</v>
      </c>
      <c r="O83" s="391">
        <f>V83+AC83+AJ83+AQ83+AX83+BE83+BL83+BR83+BY83+CG83</f>
        <v>0</v>
      </c>
      <c r="P83" s="391"/>
      <c r="Q83" s="391"/>
      <c r="R83" s="391"/>
      <c r="S83" s="391">
        <f t="shared" si="109"/>
        <v>0</v>
      </c>
      <c r="T83" s="392">
        <f t="shared" si="110"/>
        <v>0</v>
      </c>
      <c r="U83" s="393"/>
      <c r="V83" s="393"/>
      <c r="W83" s="393"/>
      <c r="X83" s="393"/>
      <c r="Y83" s="393"/>
      <c r="Z83" s="393"/>
      <c r="AA83" s="392">
        <f t="shared" si="111"/>
        <v>0</v>
      </c>
      <c r="AB83" s="393"/>
      <c r="AC83" s="393"/>
      <c r="AD83" s="393"/>
      <c r="AE83" s="393"/>
      <c r="AF83" s="393"/>
      <c r="AG83" s="393"/>
      <c r="AH83" s="392">
        <f t="shared" si="112"/>
        <v>0</v>
      </c>
      <c r="AI83" s="393"/>
      <c r="AJ83" s="393"/>
      <c r="AK83" s="393"/>
      <c r="AL83" s="393"/>
      <c r="AM83" s="393"/>
      <c r="AN83" s="393"/>
      <c r="AO83" s="392">
        <f t="shared" si="113"/>
        <v>0</v>
      </c>
      <c r="AP83" s="390"/>
      <c r="AQ83" s="390"/>
      <c r="AR83" s="390"/>
      <c r="AS83" s="390"/>
      <c r="AT83" s="390"/>
      <c r="AU83" s="390"/>
      <c r="AV83" s="392">
        <f t="shared" si="114"/>
        <v>0</v>
      </c>
      <c r="AW83" s="390"/>
      <c r="AX83" s="390"/>
      <c r="AY83" s="393"/>
      <c r="AZ83" s="393"/>
      <c r="BA83" s="393"/>
      <c r="BB83" s="393"/>
      <c r="BC83" s="392">
        <f t="shared" si="115"/>
        <v>0</v>
      </c>
      <c r="BD83" s="393"/>
      <c r="BE83" s="393"/>
      <c r="BF83" s="393"/>
      <c r="BG83" s="393"/>
      <c r="BH83" s="393"/>
      <c r="BI83" s="393"/>
      <c r="BJ83" s="392">
        <f t="shared" si="116"/>
        <v>0</v>
      </c>
      <c r="BK83" s="393"/>
      <c r="BL83" s="393"/>
      <c r="BM83" s="393"/>
      <c r="BN83" s="393"/>
      <c r="BO83" s="393"/>
      <c r="BP83" s="392">
        <f t="shared" si="117"/>
        <v>0</v>
      </c>
      <c r="BQ83" s="393"/>
      <c r="BR83" s="393"/>
      <c r="BS83" s="393"/>
      <c r="BT83" s="393"/>
      <c r="BU83" s="393"/>
      <c r="BV83" s="392"/>
      <c r="BW83" s="393"/>
      <c r="BX83" s="393"/>
      <c r="BY83" s="393"/>
      <c r="BZ83" s="393"/>
      <c r="CA83" s="393"/>
      <c r="CB83" s="393"/>
      <c r="CC83" s="393"/>
      <c r="CD83" s="392"/>
      <c r="CE83" s="393"/>
      <c r="CF83" s="393"/>
      <c r="CG83" s="393"/>
      <c r="CH83" s="393"/>
      <c r="CI83" s="393"/>
      <c r="CJ83" s="393"/>
      <c r="CK83" s="393"/>
      <c r="CL83" s="389" t="s">
        <v>392</v>
      </c>
      <c r="CM83" s="435" t="s">
        <v>396</v>
      </c>
    </row>
    <row r="84" spans="1:91" s="111" customFormat="1" ht="25.5" customHeight="1" hidden="1">
      <c r="A84" s="429"/>
      <c r="B84" s="387" t="s">
        <v>386</v>
      </c>
      <c r="C84" s="434"/>
      <c r="D84" s="434"/>
      <c r="E84" s="708"/>
      <c r="F84" s="599"/>
      <c r="G84" s="599"/>
      <c r="H84" s="434"/>
      <c r="I84" s="434"/>
      <c r="J84" s="393"/>
      <c r="K84" s="393"/>
      <c r="L84" s="391">
        <f t="shared" si="106"/>
        <v>0</v>
      </c>
      <c r="M84" s="391">
        <f t="shared" si="107"/>
        <v>0</v>
      </c>
      <c r="N84" s="391">
        <f>U84+AB84+AI84+AP84+AW84+BD84+BK84+BQ84+BX84+CF84</f>
        <v>0</v>
      </c>
      <c r="O84" s="391">
        <f>V84+AC84+AJ84+AQ84+AX84+BE84+BL84+BR84+BY84+CG84</f>
        <v>0</v>
      </c>
      <c r="P84" s="391"/>
      <c r="Q84" s="391"/>
      <c r="R84" s="391"/>
      <c r="S84" s="391">
        <f t="shared" si="109"/>
        <v>0</v>
      </c>
      <c r="T84" s="392">
        <f t="shared" si="110"/>
        <v>0</v>
      </c>
      <c r="U84" s="393"/>
      <c r="V84" s="393"/>
      <c r="W84" s="393"/>
      <c r="X84" s="393"/>
      <c r="Y84" s="393"/>
      <c r="Z84" s="393"/>
      <c r="AA84" s="392">
        <f t="shared" si="111"/>
        <v>0</v>
      </c>
      <c r="AB84" s="393"/>
      <c r="AC84" s="393"/>
      <c r="AD84" s="393"/>
      <c r="AE84" s="393"/>
      <c r="AF84" s="393"/>
      <c r="AG84" s="393"/>
      <c r="AH84" s="392">
        <f t="shared" si="112"/>
        <v>0</v>
      </c>
      <c r="AI84" s="393"/>
      <c r="AJ84" s="393"/>
      <c r="AK84" s="393"/>
      <c r="AL84" s="393"/>
      <c r="AM84" s="393"/>
      <c r="AN84" s="393"/>
      <c r="AO84" s="392">
        <f t="shared" si="113"/>
        <v>0</v>
      </c>
      <c r="AP84" s="390"/>
      <c r="AQ84" s="390"/>
      <c r="AR84" s="390"/>
      <c r="AS84" s="390"/>
      <c r="AT84" s="390"/>
      <c r="AU84" s="390"/>
      <c r="AV84" s="392">
        <f t="shared" si="114"/>
        <v>0</v>
      </c>
      <c r="AW84" s="393"/>
      <c r="AX84" s="393"/>
      <c r="AY84" s="393"/>
      <c r="AZ84" s="393"/>
      <c r="BA84" s="393"/>
      <c r="BB84" s="393"/>
      <c r="BC84" s="392">
        <f t="shared" si="115"/>
        <v>0</v>
      </c>
      <c r="BD84" s="393"/>
      <c r="BE84" s="393"/>
      <c r="BF84" s="393"/>
      <c r="BG84" s="393"/>
      <c r="BH84" s="393"/>
      <c r="BI84" s="393"/>
      <c r="BJ84" s="392">
        <f t="shared" si="116"/>
        <v>0</v>
      </c>
      <c r="BK84" s="393"/>
      <c r="BL84" s="393"/>
      <c r="BM84" s="393"/>
      <c r="BN84" s="393"/>
      <c r="BO84" s="393"/>
      <c r="BP84" s="392">
        <f t="shared" si="117"/>
        <v>0</v>
      </c>
      <c r="BQ84" s="393"/>
      <c r="BR84" s="393"/>
      <c r="BS84" s="393"/>
      <c r="BT84" s="393"/>
      <c r="BU84" s="393"/>
      <c r="BV84" s="392"/>
      <c r="BW84" s="393"/>
      <c r="BX84" s="393"/>
      <c r="BY84" s="393"/>
      <c r="BZ84" s="393"/>
      <c r="CA84" s="393"/>
      <c r="CB84" s="393"/>
      <c r="CC84" s="393"/>
      <c r="CD84" s="392"/>
      <c r="CE84" s="393"/>
      <c r="CF84" s="393"/>
      <c r="CG84" s="393"/>
      <c r="CH84" s="393"/>
      <c r="CI84" s="393"/>
      <c r="CJ84" s="393"/>
      <c r="CK84" s="393"/>
      <c r="CL84" s="389" t="s">
        <v>392</v>
      </c>
      <c r="CM84" s="435" t="s">
        <v>397</v>
      </c>
    </row>
    <row r="85" spans="1:91" s="116" customFormat="1" ht="25.5" customHeight="1">
      <c r="A85" s="402" t="s">
        <v>185</v>
      </c>
      <c r="B85" s="696" t="s">
        <v>125</v>
      </c>
      <c r="C85" s="696"/>
      <c r="D85" s="432"/>
      <c r="E85" s="432"/>
      <c r="F85" s="432"/>
      <c r="G85" s="432"/>
      <c r="H85" s="432"/>
      <c r="I85" s="432"/>
      <c r="J85" s="399"/>
      <c r="K85" s="399">
        <v>1116</v>
      </c>
      <c r="L85" s="399">
        <f aca="true" t="shared" si="119" ref="L85:AM85">SUM(L86:L87)</f>
        <v>0</v>
      </c>
      <c r="M85" s="399">
        <f t="shared" si="119"/>
        <v>1116</v>
      </c>
      <c r="N85" s="399">
        <f t="shared" si="119"/>
        <v>0</v>
      </c>
      <c r="O85" s="399">
        <f t="shared" si="119"/>
        <v>0</v>
      </c>
      <c r="P85" s="399">
        <f t="shared" si="119"/>
        <v>0</v>
      </c>
      <c r="Q85" s="399"/>
      <c r="R85" s="399">
        <f t="shared" si="119"/>
        <v>1116</v>
      </c>
      <c r="S85" s="399">
        <f t="shared" si="119"/>
        <v>0</v>
      </c>
      <c r="T85" s="399">
        <f t="shared" si="119"/>
        <v>0</v>
      </c>
      <c r="U85" s="399">
        <f t="shared" si="119"/>
        <v>0</v>
      </c>
      <c r="V85" s="399">
        <f t="shared" si="119"/>
        <v>0</v>
      </c>
      <c r="W85" s="399">
        <f t="shared" si="119"/>
        <v>0</v>
      </c>
      <c r="X85" s="399"/>
      <c r="Y85" s="399">
        <f t="shared" si="119"/>
        <v>0</v>
      </c>
      <c r="Z85" s="399">
        <f t="shared" si="119"/>
        <v>0</v>
      </c>
      <c r="AA85" s="399">
        <f t="shared" si="119"/>
        <v>0</v>
      </c>
      <c r="AB85" s="399">
        <f t="shared" si="119"/>
        <v>0</v>
      </c>
      <c r="AC85" s="399">
        <f t="shared" si="119"/>
        <v>0</v>
      </c>
      <c r="AD85" s="399">
        <f t="shared" si="119"/>
        <v>0</v>
      </c>
      <c r="AE85" s="399"/>
      <c r="AF85" s="399"/>
      <c r="AG85" s="399">
        <f t="shared" si="119"/>
        <v>0</v>
      </c>
      <c r="AH85" s="399">
        <f t="shared" si="119"/>
        <v>0</v>
      </c>
      <c r="AI85" s="399">
        <f t="shared" si="119"/>
        <v>0</v>
      </c>
      <c r="AJ85" s="399">
        <f t="shared" si="119"/>
        <v>0</v>
      </c>
      <c r="AK85" s="399">
        <f t="shared" si="119"/>
        <v>0</v>
      </c>
      <c r="AL85" s="399"/>
      <c r="AM85" s="399">
        <f t="shared" si="119"/>
        <v>0</v>
      </c>
      <c r="AN85" s="399">
        <f aca="true" t="shared" si="120" ref="AN85:BN85">SUM(AN86:AN87)</f>
        <v>0</v>
      </c>
      <c r="AO85" s="399">
        <f t="shared" si="120"/>
        <v>0</v>
      </c>
      <c r="AP85" s="399">
        <f t="shared" si="120"/>
        <v>0</v>
      </c>
      <c r="AQ85" s="399">
        <f t="shared" si="120"/>
        <v>0</v>
      </c>
      <c r="AR85" s="399">
        <f t="shared" si="120"/>
        <v>0</v>
      </c>
      <c r="AS85" s="399"/>
      <c r="AT85" s="399">
        <f t="shared" si="120"/>
        <v>0</v>
      </c>
      <c r="AU85" s="399">
        <f t="shared" si="120"/>
        <v>0</v>
      </c>
      <c r="AV85" s="399">
        <f t="shared" si="120"/>
        <v>0</v>
      </c>
      <c r="AW85" s="399">
        <f t="shared" si="120"/>
        <v>0</v>
      </c>
      <c r="AX85" s="399">
        <f t="shared" si="120"/>
        <v>0</v>
      </c>
      <c r="AY85" s="399">
        <f t="shared" si="120"/>
        <v>0</v>
      </c>
      <c r="AZ85" s="399"/>
      <c r="BA85" s="399">
        <f t="shared" si="120"/>
        <v>0</v>
      </c>
      <c r="BB85" s="399">
        <f t="shared" si="120"/>
        <v>0</v>
      </c>
      <c r="BC85" s="399">
        <f t="shared" si="120"/>
        <v>648</v>
      </c>
      <c r="BD85" s="399">
        <f t="shared" si="120"/>
        <v>0</v>
      </c>
      <c r="BE85" s="399">
        <f t="shared" si="120"/>
        <v>0</v>
      </c>
      <c r="BF85" s="399">
        <f t="shared" si="120"/>
        <v>0</v>
      </c>
      <c r="BG85" s="399"/>
      <c r="BH85" s="399">
        <f t="shared" si="120"/>
        <v>648</v>
      </c>
      <c r="BI85" s="399">
        <f t="shared" si="120"/>
        <v>0</v>
      </c>
      <c r="BJ85" s="399">
        <f t="shared" si="120"/>
        <v>468</v>
      </c>
      <c r="BK85" s="399">
        <f t="shared" si="120"/>
        <v>0</v>
      </c>
      <c r="BL85" s="399">
        <f t="shared" si="120"/>
        <v>0</v>
      </c>
      <c r="BM85" s="399">
        <f t="shared" si="120"/>
        <v>0</v>
      </c>
      <c r="BN85" s="399">
        <f t="shared" si="120"/>
        <v>468</v>
      </c>
      <c r="BO85" s="399">
        <f aca="true" t="shared" si="121" ref="BO85:CK85">SUM(BO86:BO87)</f>
        <v>0</v>
      </c>
      <c r="BP85" s="399">
        <f t="shared" si="121"/>
        <v>0</v>
      </c>
      <c r="BQ85" s="399">
        <f t="shared" si="121"/>
        <v>0</v>
      </c>
      <c r="BR85" s="399">
        <f t="shared" si="121"/>
        <v>0</v>
      </c>
      <c r="BS85" s="399">
        <f t="shared" si="121"/>
        <v>0</v>
      </c>
      <c r="BT85" s="399">
        <f t="shared" si="121"/>
        <v>0</v>
      </c>
      <c r="BU85" s="399">
        <f t="shared" si="121"/>
        <v>0</v>
      </c>
      <c r="BV85" s="399">
        <f t="shared" si="121"/>
        <v>0</v>
      </c>
      <c r="BW85" s="399">
        <f t="shared" si="121"/>
        <v>0</v>
      </c>
      <c r="BX85" s="399">
        <f t="shared" si="121"/>
        <v>0</v>
      </c>
      <c r="BY85" s="399">
        <f t="shared" si="121"/>
        <v>0</v>
      </c>
      <c r="BZ85" s="399">
        <f t="shared" si="121"/>
        <v>0</v>
      </c>
      <c r="CA85" s="399">
        <f t="shared" si="121"/>
        <v>0</v>
      </c>
      <c r="CB85" s="399">
        <f t="shared" si="121"/>
        <v>0</v>
      </c>
      <c r="CC85" s="399">
        <f t="shared" si="121"/>
        <v>0</v>
      </c>
      <c r="CD85" s="399">
        <f t="shared" si="121"/>
        <v>0</v>
      </c>
      <c r="CE85" s="399">
        <f t="shared" si="121"/>
        <v>0</v>
      </c>
      <c r="CF85" s="399">
        <f t="shared" si="121"/>
        <v>0</v>
      </c>
      <c r="CG85" s="399">
        <f t="shared" si="121"/>
        <v>0</v>
      </c>
      <c r="CH85" s="399">
        <f t="shared" si="121"/>
        <v>0</v>
      </c>
      <c r="CI85" s="399">
        <f t="shared" si="121"/>
        <v>0</v>
      </c>
      <c r="CJ85" s="399">
        <f t="shared" si="121"/>
        <v>0</v>
      </c>
      <c r="CK85" s="399">
        <f t="shared" si="121"/>
        <v>0</v>
      </c>
      <c r="CL85" s="432"/>
      <c r="CM85" s="403"/>
    </row>
    <row r="86" spans="1:91" s="111" customFormat="1" ht="35.25" customHeight="1">
      <c r="A86" s="386" t="s">
        <v>186</v>
      </c>
      <c r="B86" s="388" t="s">
        <v>628</v>
      </c>
      <c r="C86" s="388"/>
      <c r="D86" s="389"/>
      <c r="E86" s="389" t="s">
        <v>41</v>
      </c>
      <c r="F86" s="389"/>
      <c r="G86" s="389"/>
      <c r="H86" s="389"/>
      <c r="I86" s="389"/>
      <c r="J86" s="393"/>
      <c r="K86" s="393"/>
      <c r="L86" s="391"/>
      <c r="M86" s="391">
        <f>R86</f>
        <v>972</v>
      </c>
      <c r="N86" s="391">
        <f aca="true" t="shared" si="122" ref="N86:P87">U86+AB86+AI86+AP86+AW86+BD86+BK86+BQ86+BX86+CF86</f>
        <v>0</v>
      </c>
      <c r="O86" s="391">
        <f t="shared" si="122"/>
        <v>0</v>
      </c>
      <c r="P86" s="391">
        <f t="shared" si="122"/>
        <v>0</v>
      </c>
      <c r="Q86" s="391"/>
      <c r="R86" s="391">
        <f>Y86+AM86+AT86+BA86+BH86+BN86+BT86+CA86+CI86</f>
        <v>972</v>
      </c>
      <c r="S86" s="391">
        <f>Z86+AG86+AN86+AU86+BB86+BI86+BO86+BU86+CC86+CK86</f>
        <v>0</v>
      </c>
      <c r="T86" s="392">
        <f>SUM(U86:Z86)</f>
        <v>0</v>
      </c>
      <c r="U86" s="393"/>
      <c r="V86" s="393"/>
      <c r="W86" s="393"/>
      <c r="X86" s="393"/>
      <c r="Y86" s="393"/>
      <c r="Z86" s="393"/>
      <c r="AA86" s="392">
        <f>SUM(AB86:AG86)</f>
        <v>0</v>
      </c>
      <c r="AB86" s="393"/>
      <c r="AC86" s="393"/>
      <c r="AD86" s="393"/>
      <c r="AE86" s="393"/>
      <c r="AF86" s="393"/>
      <c r="AG86" s="393"/>
      <c r="AH86" s="392">
        <f>SUM(AI86:AN86)</f>
        <v>0</v>
      </c>
      <c r="AI86" s="393"/>
      <c r="AJ86" s="393"/>
      <c r="AK86" s="393"/>
      <c r="AL86" s="393"/>
      <c r="AM86" s="393"/>
      <c r="AN86" s="393"/>
      <c r="AO86" s="392">
        <f>SUM(AP86:AU86)</f>
        <v>0</v>
      </c>
      <c r="AP86" s="393"/>
      <c r="AQ86" s="393"/>
      <c r="AR86" s="393"/>
      <c r="AS86" s="393"/>
      <c r="AT86" s="393"/>
      <c r="AU86" s="393"/>
      <c r="AV86" s="392">
        <f>SUM(AW86:BB86)</f>
        <v>0</v>
      </c>
      <c r="AW86" s="393"/>
      <c r="AX86" s="393"/>
      <c r="AY86" s="393"/>
      <c r="AZ86" s="393"/>
      <c r="BA86" s="393"/>
      <c r="BB86" s="393"/>
      <c r="BC86" s="392">
        <f>SUM(BD86:BI86)</f>
        <v>648</v>
      </c>
      <c r="BD86" s="393"/>
      <c r="BE86" s="393"/>
      <c r="BF86" s="393"/>
      <c r="BG86" s="393"/>
      <c r="BH86" s="393">
        <v>648</v>
      </c>
      <c r="BI86" s="393"/>
      <c r="BJ86" s="392">
        <f>SUM(BK86:BO86)</f>
        <v>324</v>
      </c>
      <c r="BK86" s="393"/>
      <c r="BL86" s="393"/>
      <c r="BM86" s="393"/>
      <c r="BN86" s="393">
        <v>324</v>
      </c>
      <c r="BO86" s="393"/>
      <c r="BP86" s="392">
        <f>SUM(BQ86:BU86)</f>
        <v>0</v>
      </c>
      <c r="BQ86" s="393"/>
      <c r="BR86" s="393"/>
      <c r="BS86" s="393"/>
      <c r="BT86" s="393"/>
      <c r="BU86" s="393"/>
      <c r="BV86" s="393"/>
      <c r="BW86" s="393"/>
      <c r="BX86" s="393"/>
      <c r="BY86" s="393"/>
      <c r="BZ86" s="393"/>
      <c r="CA86" s="393"/>
      <c r="CB86" s="393"/>
      <c r="CC86" s="393"/>
      <c r="CD86" s="393"/>
      <c r="CE86" s="393"/>
      <c r="CF86" s="393"/>
      <c r="CG86" s="393"/>
      <c r="CH86" s="393"/>
      <c r="CI86" s="393"/>
      <c r="CJ86" s="393"/>
      <c r="CK86" s="393"/>
      <c r="CL86" s="393" t="s">
        <v>455</v>
      </c>
      <c r="CM86" s="406" t="s">
        <v>519</v>
      </c>
    </row>
    <row r="87" spans="1:91" s="111" customFormat="1" ht="32.25" customHeight="1">
      <c r="A87" s="386" t="s">
        <v>432</v>
      </c>
      <c r="B87" s="388" t="s">
        <v>584</v>
      </c>
      <c r="C87" s="388"/>
      <c r="D87" s="389"/>
      <c r="E87" s="389" t="s">
        <v>41</v>
      </c>
      <c r="F87" s="389"/>
      <c r="G87" s="389"/>
      <c r="H87" s="389"/>
      <c r="I87" s="389"/>
      <c r="J87" s="393"/>
      <c r="K87" s="393"/>
      <c r="L87" s="391"/>
      <c r="M87" s="391">
        <f>R87</f>
        <v>144</v>
      </c>
      <c r="N87" s="391">
        <f t="shared" si="122"/>
        <v>0</v>
      </c>
      <c r="O87" s="391">
        <f t="shared" si="122"/>
        <v>0</v>
      </c>
      <c r="P87" s="391">
        <f t="shared" si="122"/>
        <v>0</v>
      </c>
      <c r="Q87" s="391"/>
      <c r="R87" s="391">
        <f>Y87+AM87+AT87+BA87+BH87+BN87+BT87+CA87+CI87</f>
        <v>144</v>
      </c>
      <c r="S87" s="391">
        <f>Z87+AG87+AN87+AU87+BB87+BI87+BO87+BU87+CC87+CK87</f>
        <v>0</v>
      </c>
      <c r="T87" s="392">
        <f>SUM(U87:Z87)</f>
        <v>0</v>
      </c>
      <c r="U87" s="393"/>
      <c r="V87" s="393"/>
      <c r="W87" s="393"/>
      <c r="X87" s="393"/>
      <c r="Y87" s="393"/>
      <c r="Z87" s="393"/>
      <c r="AA87" s="392">
        <f>SUM(AB87:AG87)</f>
        <v>0</v>
      </c>
      <c r="AB87" s="393"/>
      <c r="AC87" s="393"/>
      <c r="AD87" s="393"/>
      <c r="AE87" s="393"/>
      <c r="AF87" s="393"/>
      <c r="AG87" s="393"/>
      <c r="AH87" s="392">
        <f>SUM(AI87:AN87)</f>
        <v>0</v>
      </c>
      <c r="AI87" s="393"/>
      <c r="AJ87" s="393"/>
      <c r="AK87" s="393"/>
      <c r="AL87" s="393"/>
      <c r="AM87" s="393"/>
      <c r="AN87" s="393"/>
      <c r="AO87" s="392">
        <f>SUM(AP87:AU87)</f>
        <v>0</v>
      </c>
      <c r="AP87" s="393"/>
      <c r="AQ87" s="393"/>
      <c r="AR87" s="393"/>
      <c r="AS87" s="393"/>
      <c r="AT87" s="393"/>
      <c r="AU87" s="393"/>
      <c r="AV87" s="392">
        <f>SUM(AW87:BB87)</f>
        <v>0</v>
      </c>
      <c r="AW87" s="393"/>
      <c r="AX87" s="393"/>
      <c r="AY87" s="393"/>
      <c r="AZ87" s="393"/>
      <c r="BA87" s="393"/>
      <c r="BB87" s="393"/>
      <c r="BC87" s="392">
        <f>SUM(BD87:BI87)</f>
        <v>0</v>
      </c>
      <c r="BD87" s="393"/>
      <c r="BE87" s="393"/>
      <c r="BF87" s="393"/>
      <c r="BG87" s="393"/>
      <c r="BH87" s="393"/>
      <c r="BI87" s="393"/>
      <c r="BJ87" s="392">
        <f>SUM(BK87:BO87)</f>
        <v>144</v>
      </c>
      <c r="BK87" s="393"/>
      <c r="BL87" s="393"/>
      <c r="BM87" s="393"/>
      <c r="BN87" s="393">
        <v>144</v>
      </c>
      <c r="BO87" s="393"/>
      <c r="BP87" s="392">
        <f>SUM(BQ87:BU87)</f>
        <v>0</v>
      </c>
      <c r="BQ87" s="393"/>
      <c r="BR87" s="393"/>
      <c r="BS87" s="393"/>
      <c r="BT87" s="393"/>
      <c r="BU87" s="393"/>
      <c r="BV87" s="393"/>
      <c r="BW87" s="393"/>
      <c r="BX87" s="393"/>
      <c r="BY87" s="393"/>
      <c r="BZ87" s="393"/>
      <c r="CA87" s="393"/>
      <c r="CB87" s="393"/>
      <c r="CC87" s="393"/>
      <c r="CD87" s="393"/>
      <c r="CE87" s="393"/>
      <c r="CF87" s="393"/>
      <c r="CG87" s="393"/>
      <c r="CH87" s="393"/>
      <c r="CI87" s="393"/>
      <c r="CJ87" s="393"/>
      <c r="CK87" s="393"/>
      <c r="CL87" s="393" t="s">
        <v>455</v>
      </c>
      <c r="CM87" s="406" t="s">
        <v>519</v>
      </c>
    </row>
    <row r="88" spans="1:91" s="116" customFormat="1" ht="36.75" customHeight="1">
      <c r="A88" s="402" t="s">
        <v>187</v>
      </c>
      <c r="B88" s="696" t="s">
        <v>495</v>
      </c>
      <c r="C88" s="696"/>
      <c r="D88" s="432"/>
      <c r="E88" s="432"/>
      <c r="F88" s="432"/>
      <c r="G88" s="432"/>
      <c r="H88" s="432"/>
      <c r="I88" s="432"/>
      <c r="J88" s="399">
        <v>216</v>
      </c>
      <c r="K88" s="399"/>
      <c r="L88" s="399">
        <v>216</v>
      </c>
      <c r="M88" s="399"/>
      <c r="N88" s="399">
        <f aca="true" t="shared" si="123" ref="N88:BO88">SUM(N90)</f>
        <v>0</v>
      </c>
      <c r="O88" s="399">
        <f t="shared" si="123"/>
        <v>0</v>
      </c>
      <c r="P88" s="399">
        <f t="shared" si="123"/>
        <v>0</v>
      </c>
      <c r="Q88" s="399">
        <f t="shared" si="123"/>
        <v>0</v>
      </c>
      <c r="R88" s="399">
        <f t="shared" si="123"/>
        <v>0</v>
      </c>
      <c r="S88" s="399">
        <f t="shared" si="123"/>
        <v>0</v>
      </c>
      <c r="T88" s="399">
        <f t="shared" si="123"/>
        <v>0</v>
      </c>
      <c r="U88" s="399">
        <f t="shared" si="123"/>
        <v>0</v>
      </c>
      <c r="V88" s="399">
        <f t="shared" si="123"/>
        <v>0</v>
      </c>
      <c r="W88" s="399">
        <f t="shared" si="123"/>
        <v>0</v>
      </c>
      <c r="X88" s="399">
        <f t="shared" si="123"/>
        <v>0</v>
      </c>
      <c r="Y88" s="399">
        <f t="shared" si="123"/>
        <v>0</v>
      </c>
      <c r="Z88" s="399">
        <f t="shared" si="123"/>
        <v>0</v>
      </c>
      <c r="AA88" s="399">
        <f t="shared" si="123"/>
        <v>0</v>
      </c>
      <c r="AB88" s="399">
        <f t="shared" si="123"/>
        <v>0</v>
      </c>
      <c r="AC88" s="399">
        <f t="shared" si="123"/>
        <v>0</v>
      </c>
      <c r="AD88" s="399">
        <f t="shared" si="123"/>
        <v>0</v>
      </c>
      <c r="AE88" s="399">
        <f t="shared" si="123"/>
        <v>0</v>
      </c>
      <c r="AF88" s="399">
        <f t="shared" si="123"/>
        <v>0</v>
      </c>
      <c r="AG88" s="399">
        <f t="shared" si="123"/>
        <v>0</v>
      </c>
      <c r="AH88" s="399">
        <f t="shared" si="123"/>
        <v>0</v>
      </c>
      <c r="AI88" s="399">
        <f t="shared" si="123"/>
        <v>0</v>
      </c>
      <c r="AJ88" s="399">
        <f t="shared" si="123"/>
        <v>0</v>
      </c>
      <c r="AK88" s="399">
        <f t="shared" si="123"/>
        <v>0</v>
      </c>
      <c r="AL88" s="399">
        <f t="shared" si="123"/>
        <v>0</v>
      </c>
      <c r="AM88" s="399">
        <f t="shared" si="123"/>
        <v>0</v>
      </c>
      <c r="AN88" s="399">
        <f t="shared" si="123"/>
        <v>0</v>
      </c>
      <c r="AO88" s="399">
        <f t="shared" si="123"/>
        <v>0</v>
      </c>
      <c r="AP88" s="399">
        <f t="shared" si="123"/>
        <v>0</v>
      </c>
      <c r="AQ88" s="399">
        <f t="shared" si="123"/>
        <v>0</v>
      </c>
      <c r="AR88" s="399">
        <f t="shared" si="123"/>
        <v>0</v>
      </c>
      <c r="AS88" s="399">
        <f t="shared" si="123"/>
        <v>0</v>
      </c>
      <c r="AT88" s="399">
        <f t="shared" si="123"/>
        <v>0</v>
      </c>
      <c r="AU88" s="399">
        <f t="shared" si="123"/>
        <v>0</v>
      </c>
      <c r="AV88" s="399">
        <f t="shared" si="123"/>
        <v>0</v>
      </c>
      <c r="AW88" s="399">
        <f t="shared" si="123"/>
        <v>0</v>
      </c>
      <c r="AX88" s="399">
        <f t="shared" si="123"/>
        <v>0</v>
      </c>
      <c r="AY88" s="399">
        <f t="shared" si="123"/>
        <v>0</v>
      </c>
      <c r="AZ88" s="399">
        <f t="shared" si="123"/>
        <v>0</v>
      </c>
      <c r="BA88" s="399">
        <f t="shared" si="123"/>
        <v>0</v>
      </c>
      <c r="BB88" s="399">
        <f t="shared" si="123"/>
        <v>0</v>
      </c>
      <c r="BC88" s="399">
        <f t="shared" si="123"/>
        <v>0</v>
      </c>
      <c r="BD88" s="399">
        <f t="shared" si="123"/>
        <v>0</v>
      </c>
      <c r="BE88" s="399">
        <f t="shared" si="123"/>
        <v>0</v>
      </c>
      <c r="BF88" s="399">
        <f t="shared" si="123"/>
        <v>0</v>
      </c>
      <c r="BG88" s="399">
        <f t="shared" si="123"/>
        <v>0</v>
      </c>
      <c r="BH88" s="399">
        <f t="shared" si="123"/>
        <v>0</v>
      </c>
      <c r="BI88" s="399">
        <f t="shared" si="123"/>
        <v>0</v>
      </c>
      <c r="BJ88" s="399">
        <f t="shared" si="123"/>
        <v>0</v>
      </c>
      <c r="BK88" s="399">
        <f t="shared" si="123"/>
        <v>0</v>
      </c>
      <c r="BL88" s="399">
        <f t="shared" si="123"/>
        <v>0</v>
      </c>
      <c r="BM88" s="399">
        <f t="shared" si="123"/>
        <v>0</v>
      </c>
      <c r="BN88" s="399">
        <f t="shared" si="123"/>
        <v>0</v>
      </c>
      <c r="BO88" s="399">
        <f t="shared" si="123"/>
        <v>0</v>
      </c>
      <c r="BP88" s="399">
        <f aca="true" t="shared" si="124" ref="BP88:BU88">SUM(BP90)</f>
        <v>0</v>
      </c>
      <c r="BQ88" s="399">
        <f t="shared" si="124"/>
        <v>0</v>
      </c>
      <c r="BR88" s="399">
        <f t="shared" si="124"/>
        <v>0</v>
      </c>
      <c r="BS88" s="399">
        <f t="shared" si="124"/>
        <v>0</v>
      </c>
      <c r="BT88" s="399">
        <f t="shared" si="124"/>
        <v>0</v>
      </c>
      <c r="BU88" s="399">
        <f t="shared" si="124"/>
        <v>0</v>
      </c>
      <c r="BV88" s="399">
        <f aca="true" t="shared" si="125" ref="BV88:CH88">SUM(BV89:BV90)</f>
        <v>0</v>
      </c>
      <c r="BW88" s="399">
        <f t="shared" si="125"/>
        <v>0</v>
      </c>
      <c r="BX88" s="399">
        <f t="shared" si="125"/>
        <v>0</v>
      </c>
      <c r="BY88" s="399">
        <f t="shared" si="125"/>
        <v>0</v>
      </c>
      <c r="BZ88" s="399">
        <f t="shared" si="125"/>
        <v>0</v>
      </c>
      <c r="CA88" s="399">
        <f t="shared" si="125"/>
        <v>0</v>
      </c>
      <c r="CB88" s="399">
        <f t="shared" si="125"/>
        <v>0</v>
      </c>
      <c r="CC88" s="399">
        <f t="shared" si="125"/>
        <v>0</v>
      </c>
      <c r="CD88" s="399">
        <f t="shared" si="125"/>
        <v>0</v>
      </c>
      <c r="CE88" s="399">
        <f t="shared" si="125"/>
        <v>0</v>
      </c>
      <c r="CF88" s="399">
        <f t="shared" si="125"/>
        <v>0</v>
      </c>
      <c r="CG88" s="399">
        <f t="shared" si="125"/>
        <v>0</v>
      </c>
      <c r="CH88" s="399">
        <f t="shared" si="125"/>
        <v>0</v>
      </c>
      <c r="CI88" s="399">
        <f>SUM(CI89:CI90)</f>
        <v>0</v>
      </c>
      <c r="CJ88" s="399">
        <f>SUM(CJ89:CJ90)</f>
        <v>0</v>
      </c>
      <c r="CK88" s="399">
        <f>SUM(CK89:CK90)</f>
        <v>0</v>
      </c>
      <c r="CL88" s="432"/>
      <c r="CM88" s="432" t="s">
        <v>519</v>
      </c>
    </row>
    <row r="89" spans="1:91" s="111" customFormat="1" ht="39" customHeight="1">
      <c r="A89" s="436" t="s">
        <v>188</v>
      </c>
      <c r="B89" s="388" t="s">
        <v>585</v>
      </c>
      <c r="C89" s="388"/>
      <c r="D89" s="389"/>
      <c r="E89" s="389"/>
      <c r="F89" s="389"/>
      <c r="G89" s="389"/>
      <c r="H89" s="389"/>
      <c r="I89" s="437"/>
      <c r="J89" s="438"/>
      <c r="K89" s="439"/>
      <c r="L89" s="440">
        <v>216</v>
      </c>
      <c r="M89" s="391"/>
      <c r="N89" s="391">
        <f>U89+AB89+AI89+AP89+AW89+BD89+BK89+BQ89+BX89+CF89</f>
        <v>0</v>
      </c>
      <c r="O89" s="391">
        <f>V89+AC89+AJ89+AQ89+AX89+BE89+BL89+BR89+BY89+CG89</f>
        <v>0</v>
      </c>
      <c r="P89" s="391">
        <f>W89+AD89+AK89+AR89+AY89+BF89+BM89+BS89+BZ89+CH89</f>
        <v>0</v>
      </c>
      <c r="Q89" s="391"/>
      <c r="R89" s="391">
        <f>Y89+AM89+AT89+BA89+BH89+BN89+BT89+CA89+CI89</f>
        <v>0</v>
      </c>
      <c r="S89" s="391">
        <f>Z89+AG89+AN89+AU89+BB89+BI89+BO89+BU89+CC89+CK89</f>
        <v>0</v>
      </c>
      <c r="T89" s="392">
        <f>SUM(U89:Z89)</f>
        <v>0</v>
      </c>
      <c r="U89" s="393"/>
      <c r="V89" s="393"/>
      <c r="W89" s="393"/>
      <c r="X89" s="393"/>
      <c r="Y89" s="393"/>
      <c r="Z89" s="393"/>
      <c r="AA89" s="392">
        <f>SUM(AB89:AG89)</f>
        <v>0</v>
      </c>
      <c r="AB89" s="393"/>
      <c r="AC89" s="393"/>
      <c r="AD89" s="393"/>
      <c r="AE89" s="393"/>
      <c r="AF89" s="393"/>
      <c r="AG89" s="393"/>
      <c r="AH89" s="392">
        <f>SUM(AI89:AN89)</f>
        <v>0</v>
      </c>
      <c r="AI89" s="393"/>
      <c r="AJ89" s="393"/>
      <c r="AK89" s="393"/>
      <c r="AL89" s="393"/>
      <c r="AM89" s="393"/>
      <c r="AN89" s="393"/>
      <c r="AO89" s="392">
        <f>SUM(AP89:AU89)</f>
        <v>0</v>
      </c>
      <c r="AP89" s="393"/>
      <c r="AQ89" s="393"/>
      <c r="AR89" s="393"/>
      <c r="AS89" s="393"/>
      <c r="AT89" s="393"/>
      <c r="AU89" s="393"/>
      <c r="AV89" s="392">
        <f>SUM(AW89:BB89)</f>
        <v>0</v>
      </c>
      <c r="AW89" s="393"/>
      <c r="AX89" s="393"/>
      <c r="AY89" s="393"/>
      <c r="AZ89" s="393"/>
      <c r="BA89" s="393"/>
      <c r="BB89" s="393"/>
      <c r="BC89" s="392">
        <f>SUM(BD89:BI89)</f>
        <v>0</v>
      </c>
      <c r="BD89" s="393"/>
      <c r="BE89" s="393"/>
      <c r="BF89" s="393"/>
      <c r="BG89" s="393"/>
      <c r="BH89" s="393"/>
      <c r="BI89" s="393"/>
      <c r="BJ89" s="392">
        <f>SUM(BK89:BO89)</f>
        <v>0</v>
      </c>
      <c r="BK89" s="393"/>
      <c r="BL89" s="393"/>
      <c r="BM89" s="393"/>
      <c r="BN89" s="393"/>
      <c r="BO89" s="393"/>
      <c r="BP89" s="392">
        <f>SUM(BQ89:BU89)</f>
        <v>0</v>
      </c>
      <c r="BQ89" s="393"/>
      <c r="BR89" s="393"/>
      <c r="BS89" s="393"/>
      <c r="BT89" s="393"/>
      <c r="BU89" s="393"/>
      <c r="BV89" s="392">
        <f>SUM(BW89:CC89)</f>
        <v>0</v>
      </c>
      <c r="BW89" s="393"/>
      <c r="BX89" s="393"/>
      <c r="BY89" s="393"/>
      <c r="BZ89" s="393"/>
      <c r="CA89" s="393"/>
      <c r="CB89" s="393"/>
      <c r="CC89" s="393"/>
      <c r="CD89" s="392">
        <f>SUM(CE89:CK89)</f>
        <v>0</v>
      </c>
      <c r="CE89" s="393"/>
      <c r="CF89" s="393"/>
      <c r="CG89" s="393"/>
      <c r="CH89" s="393"/>
      <c r="CI89" s="393"/>
      <c r="CJ89" s="393"/>
      <c r="CK89" s="393"/>
      <c r="CL89" s="389" t="s">
        <v>455</v>
      </c>
      <c r="CM89" s="393" t="s">
        <v>337</v>
      </c>
    </row>
    <row r="90" spans="1:91" s="111" customFormat="1" ht="39.75" customHeight="1" hidden="1">
      <c r="A90" s="436"/>
      <c r="B90" s="509"/>
      <c r="C90" s="388"/>
      <c r="D90" s="394"/>
      <c r="E90" s="389"/>
      <c r="F90" s="389"/>
      <c r="G90" s="389"/>
      <c r="H90" s="389"/>
      <c r="I90" s="437"/>
      <c r="J90" s="438"/>
      <c r="K90" s="439"/>
      <c r="L90" s="440"/>
      <c r="M90" s="391"/>
      <c r="N90" s="391"/>
      <c r="O90" s="391"/>
      <c r="P90" s="391"/>
      <c r="Q90" s="391"/>
      <c r="R90" s="391"/>
      <c r="S90" s="441"/>
      <c r="T90" s="442"/>
      <c r="U90" s="393"/>
      <c r="V90" s="393"/>
      <c r="W90" s="393"/>
      <c r="X90" s="393"/>
      <c r="Y90" s="393"/>
      <c r="Z90" s="439"/>
      <c r="AA90" s="443"/>
      <c r="AB90" s="393"/>
      <c r="AC90" s="393"/>
      <c r="AD90" s="393"/>
      <c r="AE90" s="444"/>
      <c r="AF90" s="444"/>
      <c r="AG90" s="444"/>
      <c r="AH90" s="442"/>
      <c r="AI90" s="393"/>
      <c r="AJ90" s="393"/>
      <c r="AK90" s="393"/>
      <c r="AL90" s="393"/>
      <c r="AM90" s="393"/>
      <c r="AN90" s="439"/>
      <c r="AO90" s="442"/>
      <c r="AP90" s="393"/>
      <c r="AQ90" s="393"/>
      <c r="AR90" s="393"/>
      <c r="AS90" s="393"/>
      <c r="AT90" s="393"/>
      <c r="AU90" s="439"/>
      <c r="AV90" s="442"/>
      <c r="AW90" s="393"/>
      <c r="AX90" s="393"/>
      <c r="AY90" s="393"/>
      <c r="AZ90" s="393"/>
      <c r="BA90" s="393"/>
      <c r="BB90" s="439"/>
      <c r="BC90" s="442"/>
      <c r="BD90" s="393"/>
      <c r="BE90" s="393"/>
      <c r="BF90" s="393"/>
      <c r="BG90" s="393"/>
      <c r="BH90" s="393"/>
      <c r="BI90" s="439"/>
      <c r="BJ90" s="442"/>
      <c r="BK90" s="393"/>
      <c r="BL90" s="393"/>
      <c r="BM90" s="393"/>
      <c r="BN90" s="393"/>
      <c r="BO90" s="439"/>
      <c r="BP90" s="442"/>
      <c r="BQ90" s="393"/>
      <c r="BR90" s="393"/>
      <c r="BS90" s="393"/>
      <c r="BT90" s="393"/>
      <c r="BU90" s="393"/>
      <c r="BV90" s="393"/>
      <c r="BW90" s="393"/>
      <c r="BX90" s="393"/>
      <c r="BY90" s="393"/>
      <c r="BZ90" s="393"/>
      <c r="CA90" s="393"/>
      <c r="CB90" s="393"/>
      <c r="CC90" s="393"/>
      <c r="CD90" s="393"/>
      <c r="CE90" s="393"/>
      <c r="CF90" s="393"/>
      <c r="CG90" s="393"/>
      <c r="CH90" s="393"/>
      <c r="CI90" s="393"/>
      <c r="CJ90" s="393"/>
      <c r="CK90" s="393"/>
      <c r="CL90" s="393"/>
      <c r="CM90" s="439"/>
    </row>
    <row r="91" spans="1:91" s="116" customFormat="1" ht="15.75" hidden="1">
      <c r="A91" s="445"/>
      <c r="B91" s="402" t="s">
        <v>165</v>
      </c>
      <c r="C91" s="596"/>
      <c r="D91" s="432"/>
      <c r="E91" s="432"/>
      <c r="F91" s="432"/>
      <c r="G91" s="432"/>
      <c r="H91" s="432"/>
      <c r="I91" s="446"/>
      <c r="J91" s="447"/>
      <c r="K91" s="448" t="s">
        <v>22</v>
      </c>
      <c r="L91" s="447">
        <f>SUM(M91:S91)</f>
        <v>0</v>
      </c>
      <c r="M91" s="399"/>
      <c r="N91" s="399"/>
      <c r="O91" s="399"/>
      <c r="P91" s="399"/>
      <c r="Q91" s="399"/>
      <c r="R91" s="399"/>
      <c r="S91" s="448"/>
      <c r="T91" s="447">
        <f>SUM(U91:Z91)</f>
        <v>0</v>
      </c>
      <c r="U91" s="399"/>
      <c r="V91" s="399"/>
      <c r="W91" s="399"/>
      <c r="X91" s="399"/>
      <c r="Y91" s="399"/>
      <c r="Z91" s="448"/>
      <c r="AA91" s="449">
        <f>SUM(AB91:AG91)</f>
        <v>0</v>
      </c>
      <c r="AB91" s="399"/>
      <c r="AC91" s="399"/>
      <c r="AD91" s="399"/>
      <c r="AE91" s="450"/>
      <c r="AF91" s="450"/>
      <c r="AG91" s="450"/>
      <c r="AH91" s="447">
        <f>SUM(AI91:AN91)</f>
        <v>0</v>
      </c>
      <c r="AI91" s="399"/>
      <c r="AJ91" s="399"/>
      <c r="AK91" s="399"/>
      <c r="AL91" s="399"/>
      <c r="AM91" s="399"/>
      <c r="AN91" s="448"/>
      <c r="AO91" s="447">
        <f>SUM(AP91:AU91)</f>
        <v>0</v>
      </c>
      <c r="AP91" s="399"/>
      <c r="AQ91" s="399"/>
      <c r="AR91" s="399"/>
      <c r="AS91" s="399"/>
      <c r="AT91" s="399"/>
      <c r="AU91" s="448"/>
      <c r="AV91" s="447">
        <f>SUM(AW91:BB91)</f>
        <v>0</v>
      </c>
      <c r="AW91" s="399"/>
      <c r="AX91" s="399"/>
      <c r="AY91" s="399"/>
      <c r="AZ91" s="399"/>
      <c r="BA91" s="399"/>
      <c r="BB91" s="448"/>
      <c r="BC91" s="447">
        <f>SUM(BD91:BI91)</f>
        <v>0</v>
      </c>
      <c r="BD91" s="399"/>
      <c r="BE91" s="399"/>
      <c r="BF91" s="399"/>
      <c r="BG91" s="399"/>
      <c r="BH91" s="399"/>
      <c r="BI91" s="448"/>
      <c r="BJ91" s="447">
        <f>SUM(BK91:BO91)</f>
        <v>0</v>
      </c>
      <c r="BK91" s="399"/>
      <c r="BL91" s="399"/>
      <c r="BM91" s="399"/>
      <c r="BN91" s="399"/>
      <c r="BO91" s="448"/>
      <c r="BP91" s="447">
        <f>SUM(BQ91:BU91)</f>
        <v>0</v>
      </c>
      <c r="BQ91" s="399"/>
      <c r="BR91" s="399"/>
      <c r="BS91" s="399"/>
      <c r="BT91" s="399"/>
      <c r="BU91" s="448"/>
      <c r="BV91" s="449" t="e">
        <f>SUM(BW91:CC91)</f>
        <v>#REF!</v>
      </c>
      <c r="BW91" s="399"/>
      <c r="BX91" s="399"/>
      <c r="BY91" s="399"/>
      <c r="BZ91" s="399"/>
      <c r="CA91" s="399"/>
      <c r="CB91" s="399" t="e">
        <f>CB10+CB27+CB74+CB78+CB85+CB88</f>
        <v>#REF!</v>
      </c>
      <c r="CC91" s="399"/>
      <c r="CD91" s="399" t="e">
        <f>SUM(CE91:CK91)</f>
        <v>#REF!</v>
      </c>
      <c r="CE91" s="399"/>
      <c r="CF91" s="399"/>
      <c r="CG91" s="399"/>
      <c r="CH91" s="399"/>
      <c r="CI91" s="399"/>
      <c r="CJ91" s="399" t="e">
        <f>CJ10+CJ27+CJ74+CJ78+CJ85+CJ88</f>
        <v>#REF!</v>
      </c>
      <c r="CK91" s="450"/>
      <c r="CL91" s="451"/>
      <c r="CM91" s="446"/>
    </row>
    <row r="92" spans="1:91" s="98" customFormat="1" ht="26.25" customHeight="1" hidden="1">
      <c r="A92" s="452"/>
      <c r="B92" s="453"/>
      <c r="C92" s="453"/>
      <c r="D92" s="454"/>
      <c r="E92" s="454"/>
      <c r="F92" s="454"/>
      <c r="G92" s="454"/>
      <c r="H92" s="454"/>
      <c r="I92" s="454"/>
      <c r="J92" s="455"/>
      <c r="K92" s="455"/>
      <c r="L92" s="455"/>
      <c r="M92" s="455"/>
      <c r="N92" s="455"/>
      <c r="O92" s="455"/>
      <c r="P92" s="455"/>
      <c r="Q92" s="455"/>
      <c r="R92" s="455"/>
      <c r="S92" s="455"/>
      <c r="T92" s="455"/>
      <c r="U92" s="455"/>
      <c r="V92" s="455"/>
      <c r="W92" s="455"/>
      <c r="X92" s="455"/>
      <c r="Y92" s="455"/>
      <c r="Z92" s="455"/>
      <c r="AA92" s="455"/>
      <c r="AB92" s="455"/>
      <c r="AC92" s="455"/>
      <c r="AD92" s="455"/>
      <c r="AE92" s="455"/>
      <c r="AF92" s="455"/>
      <c r="AG92" s="455"/>
      <c r="AH92" s="455"/>
      <c r="AI92" s="455"/>
      <c r="AJ92" s="455"/>
      <c r="AK92" s="455"/>
      <c r="AL92" s="455"/>
      <c r="AM92" s="455"/>
      <c r="AN92" s="455"/>
      <c r="AO92" s="455"/>
      <c r="AP92" s="455"/>
      <c r="AQ92" s="455"/>
      <c r="AR92" s="455"/>
      <c r="AS92" s="455"/>
      <c r="AT92" s="455"/>
      <c r="AU92" s="455"/>
      <c r="AV92" s="455"/>
      <c r="AW92" s="455"/>
      <c r="AX92" s="455"/>
      <c r="AY92" s="455"/>
      <c r="AZ92" s="455"/>
      <c r="BA92" s="455"/>
      <c r="BB92" s="455"/>
      <c r="BC92" s="455"/>
      <c r="BD92" s="455"/>
      <c r="BE92" s="455"/>
      <c r="BF92" s="455"/>
      <c r="BG92" s="455"/>
      <c r="BH92" s="455"/>
      <c r="BI92" s="455"/>
      <c r="BJ92" s="455"/>
      <c r="BK92" s="455"/>
      <c r="BL92" s="455"/>
      <c r="BM92" s="455"/>
      <c r="BN92" s="455"/>
      <c r="BO92" s="455"/>
      <c r="BP92" s="455"/>
      <c r="BQ92" s="455"/>
      <c r="BR92" s="455"/>
      <c r="BS92" s="455"/>
      <c r="BT92" s="455"/>
      <c r="BU92" s="455"/>
      <c r="BV92" s="455"/>
      <c r="BW92" s="455"/>
      <c r="BX92" s="455"/>
      <c r="BY92" s="455"/>
      <c r="BZ92" s="455"/>
      <c r="CA92" s="455"/>
      <c r="CB92" s="455"/>
      <c r="CC92" s="455"/>
      <c r="CD92" s="455"/>
      <c r="CE92" s="455"/>
      <c r="CF92" s="455"/>
      <c r="CG92" s="455"/>
      <c r="CH92" s="455"/>
      <c r="CI92" s="455"/>
      <c r="CJ92" s="455"/>
      <c r="CK92" s="455"/>
      <c r="CL92" s="456"/>
      <c r="CM92" s="456"/>
    </row>
    <row r="93" spans="1:91" s="98" customFormat="1" ht="27.75" customHeight="1" hidden="1">
      <c r="A93" s="721" t="str">
        <f>'Титульный лист'!A12:N12</f>
        <v>Специфика:</v>
      </c>
      <c r="B93" s="722"/>
      <c r="C93" s="722"/>
      <c r="D93" s="457"/>
      <c r="E93" s="457"/>
      <c r="F93" s="457"/>
      <c r="G93" s="457"/>
      <c r="H93" s="457"/>
      <c r="I93" s="457"/>
      <c r="J93" s="458"/>
      <c r="K93" s="458"/>
      <c r="L93" s="457"/>
      <c r="M93" s="457"/>
      <c r="N93" s="457"/>
      <c r="O93" s="457"/>
      <c r="P93" s="457"/>
      <c r="Q93" s="457"/>
      <c r="R93" s="457"/>
      <c r="S93" s="457"/>
      <c r="T93" s="458"/>
      <c r="U93" s="459"/>
      <c r="V93" s="459"/>
      <c r="W93" s="459"/>
      <c r="X93" s="459"/>
      <c r="Y93" s="459"/>
      <c r="Z93" s="459"/>
      <c r="AA93" s="458"/>
      <c r="AB93" s="459"/>
      <c r="AC93" s="459"/>
      <c r="AD93" s="459"/>
      <c r="AE93" s="459"/>
      <c r="AF93" s="459"/>
      <c r="AG93" s="459"/>
      <c r="AH93" s="458"/>
      <c r="AI93" s="459"/>
      <c r="AJ93" s="459"/>
      <c r="AK93" s="459"/>
      <c r="AL93" s="459"/>
      <c r="AM93" s="459"/>
      <c r="AN93" s="459"/>
      <c r="AO93" s="458"/>
      <c r="AP93" s="459"/>
      <c r="AQ93" s="459"/>
      <c r="AR93" s="459"/>
      <c r="AS93" s="459"/>
      <c r="AT93" s="459"/>
      <c r="AU93" s="459"/>
      <c r="AV93" s="458"/>
      <c r="AW93" s="459"/>
      <c r="AX93" s="459"/>
      <c r="AY93" s="459"/>
      <c r="AZ93" s="459"/>
      <c r="BA93" s="459"/>
      <c r="BB93" s="459"/>
      <c r="BC93" s="458"/>
      <c r="BD93" s="459"/>
      <c r="BE93" s="459"/>
      <c r="BF93" s="459"/>
      <c r="BG93" s="459"/>
      <c r="BH93" s="459"/>
      <c r="BI93" s="459"/>
      <c r="BJ93" s="458"/>
      <c r="BK93" s="459"/>
      <c r="BL93" s="459"/>
      <c r="BM93" s="459"/>
      <c r="BN93" s="459"/>
      <c r="BO93" s="459"/>
      <c r="BP93" s="458"/>
      <c r="BQ93" s="459"/>
      <c r="BR93" s="459"/>
      <c r="BS93" s="459"/>
      <c r="BT93" s="459"/>
      <c r="BU93" s="459"/>
      <c r="BV93" s="458"/>
      <c r="BW93" s="459"/>
      <c r="BX93" s="459"/>
      <c r="BY93" s="459"/>
      <c r="BZ93" s="459"/>
      <c r="CA93" s="459"/>
      <c r="CB93" s="459"/>
      <c r="CC93" s="459"/>
      <c r="CD93" s="458"/>
      <c r="CE93" s="459"/>
      <c r="CF93" s="459"/>
      <c r="CG93" s="459"/>
      <c r="CH93" s="459"/>
      <c r="CI93" s="459"/>
      <c r="CJ93" s="459"/>
      <c r="CK93" s="459"/>
      <c r="CL93" s="456"/>
      <c r="CM93" s="456"/>
    </row>
    <row r="94" spans="1:91" s="98" customFormat="1" ht="27.75" customHeight="1" hidden="1">
      <c r="A94" s="723">
        <f>'Титульный лист'!O12:O12</f>
        <v>0</v>
      </c>
      <c r="B94" s="724"/>
      <c r="C94" s="724"/>
      <c r="D94" s="460"/>
      <c r="E94" s="460"/>
      <c r="F94" s="460"/>
      <c r="G94" s="460"/>
      <c r="H94" s="460"/>
      <c r="I94" s="460"/>
      <c r="J94" s="461"/>
      <c r="K94" s="461"/>
      <c r="L94" s="460"/>
      <c r="M94" s="460"/>
      <c r="N94" s="460"/>
      <c r="O94" s="460"/>
      <c r="P94" s="460"/>
      <c r="Q94" s="460"/>
      <c r="R94" s="460"/>
      <c r="S94" s="460"/>
      <c r="T94" s="462"/>
      <c r="U94" s="463"/>
      <c r="V94" s="463"/>
      <c r="W94" s="463"/>
      <c r="X94" s="463"/>
      <c r="Y94" s="463"/>
      <c r="Z94" s="463"/>
      <c r="AA94" s="462"/>
      <c r="AB94" s="463"/>
      <c r="AC94" s="463"/>
      <c r="AD94" s="463"/>
      <c r="AE94" s="463"/>
      <c r="AF94" s="463"/>
      <c r="AG94" s="463"/>
      <c r="AH94" s="462"/>
      <c r="AI94" s="463"/>
      <c r="AJ94" s="463"/>
      <c r="AK94" s="463"/>
      <c r="AL94" s="463"/>
      <c r="AM94" s="463"/>
      <c r="AN94" s="463"/>
      <c r="AO94" s="462"/>
      <c r="AP94" s="463"/>
      <c r="AQ94" s="463"/>
      <c r="AR94" s="463"/>
      <c r="AS94" s="463"/>
      <c r="AT94" s="463"/>
      <c r="AU94" s="463"/>
      <c r="AV94" s="462"/>
      <c r="AW94" s="463"/>
      <c r="AX94" s="463"/>
      <c r="AY94" s="463"/>
      <c r="AZ94" s="463"/>
      <c r="BA94" s="463"/>
      <c r="BB94" s="463"/>
      <c r="BC94" s="462"/>
      <c r="BD94" s="463"/>
      <c r="BE94" s="463"/>
      <c r="BF94" s="463"/>
      <c r="BG94" s="463"/>
      <c r="BH94" s="463"/>
      <c r="BI94" s="463"/>
      <c r="BJ94" s="462"/>
      <c r="BK94" s="463"/>
      <c r="BL94" s="463"/>
      <c r="BM94" s="463"/>
      <c r="BN94" s="463"/>
      <c r="BO94" s="463"/>
      <c r="BP94" s="462"/>
      <c r="BQ94" s="463"/>
      <c r="BR94" s="463"/>
      <c r="BS94" s="463"/>
      <c r="BT94" s="463"/>
      <c r="BU94" s="463"/>
      <c r="BV94" s="461"/>
      <c r="BW94" s="464"/>
      <c r="BX94" s="464"/>
      <c r="BY94" s="464"/>
      <c r="BZ94" s="464"/>
      <c r="CA94" s="464"/>
      <c r="CB94" s="464"/>
      <c r="CC94" s="464"/>
      <c r="CD94" s="461"/>
      <c r="CE94" s="464"/>
      <c r="CF94" s="464"/>
      <c r="CG94" s="464"/>
      <c r="CH94" s="464"/>
      <c r="CI94" s="464"/>
      <c r="CJ94" s="464"/>
      <c r="CK94" s="464"/>
      <c r="CL94" s="456"/>
      <c r="CM94" s="456"/>
    </row>
    <row r="95" spans="1:91" s="98" customFormat="1" ht="15.75">
      <c r="A95" s="465"/>
      <c r="B95" s="702" t="s">
        <v>500</v>
      </c>
      <c r="C95" s="703"/>
      <c r="D95" s="703"/>
      <c r="E95" s="703"/>
      <c r="F95" s="703"/>
      <c r="G95" s="703"/>
      <c r="H95" s="703"/>
      <c r="I95" s="704"/>
      <c r="J95" s="466">
        <f aca="true" t="shared" si="126" ref="J95:P95">J10+J27+J74</f>
        <v>6318</v>
      </c>
      <c r="K95" s="466">
        <f t="shared" si="126"/>
        <v>4212</v>
      </c>
      <c r="L95" s="467">
        <f t="shared" si="126"/>
        <v>6318</v>
      </c>
      <c r="M95" s="467">
        <f t="shared" si="126"/>
        <v>4212</v>
      </c>
      <c r="N95" s="467">
        <f t="shared" si="126"/>
        <v>3358</v>
      </c>
      <c r="O95" s="467">
        <f t="shared" si="126"/>
        <v>801</v>
      </c>
      <c r="P95" s="467">
        <f t="shared" si="126"/>
        <v>53</v>
      </c>
      <c r="Q95" s="467"/>
      <c r="R95" s="467">
        <f>R10+R27+R74</f>
        <v>0</v>
      </c>
      <c r="S95" s="468">
        <f>S10+S27+S74</f>
        <v>2106</v>
      </c>
      <c r="T95" s="469">
        <f>SUM(U95:Z95)</f>
        <v>918</v>
      </c>
      <c r="U95" s="470">
        <f>U10+U27+U74</f>
        <v>527</v>
      </c>
      <c r="V95" s="470">
        <f>V10+V27+V74</f>
        <v>85</v>
      </c>
      <c r="W95" s="470">
        <f>W10+W27+W74</f>
        <v>0</v>
      </c>
      <c r="X95" s="470"/>
      <c r="Y95" s="470">
        <f>Y10+Y27+Y74</f>
        <v>0</v>
      </c>
      <c r="Z95" s="471">
        <f>Z10+Z27+Z74</f>
        <v>306</v>
      </c>
      <c r="AA95" s="469">
        <f>SUM(AB95:AG95)</f>
        <v>1188</v>
      </c>
      <c r="AB95" s="470">
        <f>AB10+AB27+AB74</f>
        <v>671</v>
      </c>
      <c r="AC95" s="470">
        <f>AC10+AC27+AC74</f>
        <v>121</v>
      </c>
      <c r="AD95" s="470">
        <f>AD10+AD27+AD74</f>
        <v>0</v>
      </c>
      <c r="AE95" s="471"/>
      <c r="AF95" s="471"/>
      <c r="AG95" s="471">
        <f>AG10+AG27+AG74</f>
        <v>396</v>
      </c>
      <c r="AH95" s="469">
        <f>SUM(AI95:AN95)</f>
        <v>864</v>
      </c>
      <c r="AI95" s="470">
        <f>AI10+AI27+AI74</f>
        <v>488</v>
      </c>
      <c r="AJ95" s="470">
        <f>AJ10+AJ27+AJ74</f>
        <v>88</v>
      </c>
      <c r="AK95" s="470">
        <f>AK10+AK27+AK74</f>
        <v>0</v>
      </c>
      <c r="AL95" s="470"/>
      <c r="AM95" s="470">
        <f>AM10+AM27+AM74</f>
        <v>0</v>
      </c>
      <c r="AN95" s="471">
        <f>AN10+AN27+AN74</f>
        <v>288</v>
      </c>
      <c r="AO95" s="469">
        <f>SUM(AP95:AU95)</f>
        <v>810</v>
      </c>
      <c r="AP95" s="470">
        <f>AP10+AP27+AP74</f>
        <v>457</v>
      </c>
      <c r="AQ95" s="470">
        <f>AQ10+AQ27+AQ74</f>
        <v>83</v>
      </c>
      <c r="AR95" s="470">
        <f>AR10+AR27+AR74</f>
        <v>0</v>
      </c>
      <c r="AS95" s="470"/>
      <c r="AT95" s="470">
        <f>AT10+AT27+AT74</f>
        <v>0</v>
      </c>
      <c r="AU95" s="471">
        <f>AU10+AU27+AU74</f>
        <v>270</v>
      </c>
      <c r="AV95" s="469">
        <f>SUM(AW95:BB95)</f>
        <v>864</v>
      </c>
      <c r="AW95" s="470">
        <f>AW10+AW27+AW74</f>
        <v>480</v>
      </c>
      <c r="AX95" s="470">
        <f>AX10+AX27+AX74</f>
        <v>96</v>
      </c>
      <c r="AY95" s="470">
        <f>AY10+AY27+AY74</f>
        <v>0</v>
      </c>
      <c r="AZ95" s="470"/>
      <c r="BA95" s="470">
        <f>BA10+BA27+BA74</f>
        <v>0</v>
      </c>
      <c r="BB95" s="471">
        <f>BB10+BB27+BB74</f>
        <v>288</v>
      </c>
      <c r="BC95" s="469">
        <f>SUM(BD95:BI95)</f>
        <v>459</v>
      </c>
      <c r="BD95" s="470">
        <f>BD10+BD27+BD74</f>
        <v>204</v>
      </c>
      <c r="BE95" s="470">
        <f>BE10+BE27+BE74</f>
        <v>73</v>
      </c>
      <c r="BF95" s="470">
        <f>BF10+BF27+BF74</f>
        <v>29</v>
      </c>
      <c r="BG95" s="470"/>
      <c r="BH95" s="470">
        <f>BH10+BH27+BH74</f>
        <v>0</v>
      </c>
      <c r="BI95" s="471">
        <f>BI10+BI27+BI74</f>
        <v>153</v>
      </c>
      <c r="BJ95" s="469">
        <f>SUM(BK95:BO95)</f>
        <v>432</v>
      </c>
      <c r="BK95" s="470">
        <f>BK10+BK27+BK74</f>
        <v>208</v>
      </c>
      <c r="BL95" s="470">
        <f>BL10+BL27+BL74</f>
        <v>80</v>
      </c>
      <c r="BM95" s="470">
        <f>BM10+BM27+BM74</f>
        <v>0</v>
      </c>
      <c r="BN95" s="470">
        <f>BN10+BN27+BN74</f>
        <v>0</v>
      </c>
      <c r="BO95" s="471">
        <f>BO10+BO27+BO74</f>
        <v>144</v>
      </c>
      <c r="BP95" s="469">
        <f>SUM(BQ95:BU95)</f>
        <v>783</v>
      </c>
      <c r="BQ95" s="470">
        <f>BQ10+BQ27+BQ74</f>
        <v>323</v>
      </c>
      <c r="BR95" s="470">
        <f>BR10+BR27+BR74</f>
        <v>175</v>
      </c>
      <c r="BS95" s="470">
        <f>BS10+BS27+BS74</f>
        <v>24</v>
      </c>
      <c r="BT95" s="470">
        <f>BT10+BT27+BT74</f>
        <v>0</v>
      </c>
      <c r="BU95" s="471">
        <f>BU10+BU27+BU74</f>
        <v>261</v>
      </c>
      <c r="BV95" s="469" t="e">
        <f>SUM(BW95:CC95)</f>
        <v>#REF!</v>
      </c>
      <c r="BW95" s="470" t="e">
        <f aca="true" t="shared" si="127" ref="BW95:CC95">BW10+BW27+BW74</f>
        <v>#REF!</v>
      </c>
      <c r="BX95" s="470" t="e">
        <f t="shared" si="127"/>
        <v>#REF!</v>
      </c>
      <c r="BY95" s="470" t="e">
        <f t="shared" si="127"/>
        <v>#REF!</v>
      </c>
      <c r="BZ95" s="470" t="e">
        <f t="shared" si="127"/>
        <v>#REF!</v>
      </c>
      <c r="CA95" s="470" t="e">
        <f t="shared" si="127"/>
        <v>#REF!</v>
      </c>
      <c r="CB95" s="470" t="e">
        <f t="shared" si="127"/>
        <v>#REF!</v>
      </c>
      <c r="CC95" s="471" t="e">
        <f t="shared" si="127"/>
        <v>#REF!</v>
      </c>
      <c r="CD95" s="469" t="e">
        <f>SUM(CE95:CK95)</f>
        <v>#REF!</v>
      </c>
      <c r="CE95" s="470" t="e">
        <f aca="true" t="shared" si="128" ref="CE95:CK95">CE10+CE27+CE74</f>
        <v>#REF!</v>
      </c>
      <c r="CF95" s="470" t="e">
        <f t="shared" si="128"/>
        <v>#REF!</v>
      </c>
      <c r="CG95" s="470" t="e">
        <f t="shared" si="128"/>
        <v>#REF!</v>
      </c>
      <c r="CH95" s="470" t="e">
        <f t="shared" si="128"/>
        <v>#REF!</v>
      </c>
      <c r="CI95" s="470" t="e">
        <f t="shared" si="128"/>
        <v>#REF!</v>
      </c>
      <c r="CJ95" s="470" t="e">
        <f t="shared" si="128"/>
        <v>#REF!</v>
      </c>
      <c r="CK95" s="470" t="e">
        <f t="shared" si="128"/>
        <v>#REF!</v>
      </c>
      <c r="CL95" s="472"/>
      <c r="CM95" s="456"/>
    </row>
    <row r="96" spans="1:91" s="98" customFormat="1" ht="15.75">
      <c r="A96" s="465"/>
      <c r="B96" s="702" t="s">
        <v>215</v>
      </c>
      <c r="C96" s="703"/>
      <c r="D96" s="703"/>
      <c r="E96" s="703"/>
      <c r="F96" s="703"/>
      <c r="G96" s="703"/>
      <c r="H96" s="703"/>
      <c r="I96" s="704"/>
      <c r="J96" s="466">
        <f>J78+J85</f>
        <v>0</v>
      </c>
      <c r="K96" s="466">
        <v>1512</v>
      </c>
      <c r="L96" s="467">
        <f aca="true" t="shared" si="129" ref="L96:S96">L78+L85</f>
        <v>0</v>
      </c>
      <c r="M96" s="467">
        <f t="shared" si="129"/>
        <v>1512</v>
      </c>
      <c r="N96" s="467">
        <f t="shared" si="129"/>
        <v>0</v>
      </c>
      <c r="O96" s="467">
        <f t="shared" si="129"/>
        <v>0</v>
      </c>
      <c r="P96" s="467">
        <f t="shared" si="129"/>
        <v>0</v>
      </c>
      <c r="Q96" s="467"/>
      <c r="R96" s="467">
        <f t="shared" si="129"/>
        <v>1512</v>
      </c>
      <c r="S96" s="473">
        <f t="shared" si="129"/>
        <v>0</v>
      </c>
      <c r="T96" s="469">
        <f>SUM(U96:Z96)</f>
        <v>0</v>
      </c>
      <c r="U96" s="470">
        <f aca="true" t="shared" si="130" ref="U96:Z96">U78+U85</f>
        <v>0</v>
      </c>
      <c r="V96" s="470">
        <f t="shared" si="130"/>
        <v>0</v>
      </c>
      <c r="W96" s="470">
        <f t="shared" si="130"/>
        <v>0</v>
      </c>
      <c r="X96" s="470"/>
      <c r="Y96" s="470">
        <f t="shared" si="130"/>
        <v>0</v>
      </c>
      <c r="Z96" s="474">
        <f t="shared" si="130"/>
        <v>0</v>
      </c>
      <c r="AA96" s="469">
        <f>SUM(AB96:AG96)</f>
        <v>0</v>
      </c>
      <c r="AB96" s="470">
        <f aca="true" t="shared" si="131" ref="AB96:AG96">AB78+AB85</f>
        <v>0</v>
      </c>
      <c r="AC96" s="470">
        <f t="shared" si="131"/>
        <v>0</v>
      </c>
      <c r="AD96" s="470">
        <f t="shared" si="131"/>
        <v>0</v>
      </c>
      <c r="AE96" s="474"/>
      <c r="AF96" s="474"/>
      <c r="AG96" s="474">
        <f t="shared" si="131"/>
        <v>0</v>
      </c>
      <c r="AH96" s="469">
        <f>SUM(AI96:AN96)</f>
        <v>0</v>
      </c>
      <c r="AI96" s="470">
        <f aca="true" t="shared" si="132" ref="AI96:AN96">AI78+AI85</f>
        <v>0</v>
      </c>
      <c r="AJ96" s="470">
        <f t="shared" si="132"/>
        <v>0</v>
      </c>
      <c r="AK96" s="470">
        <f t="shared" si="132"/>
        <v>0</v>
      </c>
      <c r="AL96" s="470"/>
      <c r="AM96" s="470">
        <f t="shared" si="132"/>
        <v>0</v>
      </c>
      <c r="AN96" s="474">
        <f t="shared" si="132"/>
        <v>0</v>
      </c>
      <c r="AO96" s="469">
        <f>SUM(AP96:AU96)</f>
        <v>396</v>
      </c>
      <c r="AP96" s="470">
        <f aca="true" t="shared" si="133" ref="AP96:AU96">AP78+AP85</f>
        <v>0</v>
      </c>
      <c r="AQ96" s="470">
        <f t="shared" si="133"/>
        <v>0</v>
      </c>
      <c r="AR96" s="470">
        <f t="shared" si="133"/>
        <v>0</v>
      </c>
      <c r="AS96" s="470"/>
      <c r="AT96" s="470">
        <f t="shared" si="133"/>
        <v>396</v>
      </c>
      <c r="AU96" s="474">
        <f t="shared" si="133"/>
        <v>0</v>
      </c>
      <c r="AV96" s="469">
        <f>SUM(AW96:BB96)</f>
        <v>0</v>
      </c>
      <c r="AW96" s="470">
        <f aca="true" t="shared" si="134" ref="AW96:BB96">AW78+AW85</f>
        <v>0</v>
      </c>
      <c r="AX96" s="470">
        <f t="shared" si="134"/>
        <v>0</v>
      </c>
      <c r="AY96" s="470">
        <f t="shared" si="134"/>
        <v>0</v>
      </c>
      <c r="AZ96" s="470"/>
      <c r="BA96" s="470">
        <f t="shared" si="134"/>
        <v>0</v>
      </c>
      <c r="BB96" s="474">
        <f t="shared" si="134"/>
        <v>0</v>
      </c>
      <c r="BC96" s="469">
        <f>SUM(BD96:BI96)</f>
        <v>648</v>
      </c>
      <c r="BD96" s="470">
        <f aca="true" t="shared" si="135" ref="BD96:BI96">BD78+BD85</f>
        <v>0</v>
      </c>
      <c r="BE96" s="470">
        <f t="shared" si="135"/>
        <v>0</v>
      </c>
      <c r="BF96" s="470">
        <f t="shared" si="135"/>
        <v>0</v>
      </c>
      <c r="BG96" s="470"/>
      <c r="BH96" s="470">
        <f t="shared" si="135"/>
        <v>648</v>
      </c>
      <c r="BI96" s="474">
        <f t="shared" si="135"/>
        <v>0</v>
      </c>
      <c r="BJ96" s="469">
        <f>SUM(BK96:BO96)</f>
        <v>468</v>
      </c>
      <c r="BK96" s="470">
        <f>BK78+BK85</f>
        <v>0</v>
      </c>
      <c r="BL96" s="470">
        <f>BL78+BL85</f>
        <v>0</v>
      </c>
      <c r="BM96" s="470">
        <f>BM78+BM85</f>
        <v>0</v>
      </c>
      <c r="BN96" s="470">
        <f>BN78+BN85</f>
        <v>468</v>
      </c>
      <c r="BO96" s="474">
        <f>BO78+BO85</f>
        <v>0</v>
      </c>
      <c r="BP96" s="469">
        <f>SUM(BQ96:BU96)</f>
        <v>0</v>
      </c>
      <c r="BQ96" s="470">
        <f>BQ78+BQ85</f>
        <v>0</v>
      </c>
      <c r="BR96" s="470">
        <f>BR78+BR85</f>
        <v>0</v>
      </c>
      <c r="BS96" s="470">
        <f>BS78+BS85</f>
        <v>0</v>
      </c>
      <c r="BT96" s="470">
        <f>BT78+BT85</f>
        <v>0</v>
      </c>
      <c r="BU96" s="474">
        <f>BU78+BU85</f>
        <v>0</v>
      </c>
      <c r="BV96" s="469">
        <f>SUM(BW96:CC96)</f>
        <v>0</v>
      </c>
      <c r="BW96" s="470">
        <f aca="true" t="shared" si="136" ref="BW96:CC96">BW78+BW85</f>
        <v>0</v>
      </c>
      <c r="BX96" s="470">
        <f t="shared" si="136"/>
        <v>0</v>
      </c>
      <c r="BY96" s="470">
        <f t="shared" si="136"/>
        <v>0</v>
      </c>
      <c r="BZ96" s="470">
        <f t="shared" si="136"/>
        <v>0</v>
      </c>
      <c r="CA96" s="470">
        <f t="shared" si="136"/>
        <v>0</v>
      </c>
      <c r="CB96" s="470">
        <f t="shared" si="136"/>
        <v>0</v>
      </c>
      <c r="CC96" s="474">
        <f t="shared" si="136"/>
        <v>0</v>
      </c>
      <c r="CD96" s="469">
        <f>SUM(CE96:CK96)</f>
        <v>0</v>
      </c>
      <c r="CE96" s="470">
        <f aca="true" t="shared" si="137" ref="CE96:CK96">CE78+CE85</f>
        <v>0</v>
      </c>
      <c r="CF96" s="470">
        <f t="shared" si="137"/>
        <v>0</v>
      </c>
      <c r="CG96" s="470">
        <f t="shared" si="137"/>
        <v>0</v>
      </c>
      <c r="CH96" s="470">
        <f t="shared" si="137"/>
        <v>0</v>
      </c>
      <c r="CI96" s="470">
        <f t="shared" si="137"/>
        <v>0</v>
      </c>
      <c r="CJ96" s="470">
        <f t="shared" si="137"/>
        <v>0</v>
      </c>
      <c r="CK96" s="475">
        <f t="shared" si="137"/>
        <v>0</v>
      </c>
      <c r="CL96" s="472"/>
      <c r="CM96" s="456"/>
    </row>
    <row r="97" spans="1:91" s="98" customFormat="1" ht="15.75">
      <c r="A97" s="465"/>
      <c r="B97" s="702" t="s">
        <v>497</v>
      </c>
      <c r="C97" s="703"/>
      <c r="D97" s="703"/>
      <c r="E97" s="703"/>
      <c r="F97" s="703"/>
      <c r="G97" s="703"/>
      <c r="H97" s="703"/>
      <c r="I97" s="704"/>
      <c r="J97" s="466">
        <f>J88</f>
        <v>216</v>
      </c>
      <c r="K97" s="466">
        <f>K88</f>
        <v>0</v>
      </c>
      <c r="L97" s="467">
        <f>L88</f>
        <v>216</v>
      </c>
      <c r="M97" s="467">
        <f aca="true" t="shared" si="138" ref="M97:R97">M88</f>
        <v>0</v>
      </c>
      <c r="N97" s="467">
        <f t="shared" si="138"/>
        <v>0</v>
      </c>
      <c r="O97" s="467">
        <f t="shared" si="138"/>
        <v>0</v>
      </c>
      <c r="P97" s="467">
        <f t="shared" si="138"/>
        <v>0</v>
      </c>
      <c r="Q97" s="467"/>
      <c r="R97" s="467">
        <f t="shared" si="138"/>
        <v>0</v>
      </c>
      <c r="S97" s="473">
        <f>S88</f>
        <v>0</v>
      </c>
      <c r="T97" s="469">
        <f>SUM(U97:Z97)</f>
        <v>0</v>
      </c>
      <c r="U97" s="470">
        <f aca="true" t="shared" si="139" ref="U97:BV97">U88</f>
        <v>0</v>
      </c>
      <c r="V97" s="470">
        <f t="shared" si="139"/>
        <v>0</v>
      </c>
      <c r="W97" s="470">
        <f t="shared" si="139"/>
        <v>0</v>
      </c>
      <c r="X97" s="470"/>
      <c r="Y97" s="470">
        <f t="shared" si="139"/>
        <v>0</v>
      </c>
      <c r="Z97" s="474">
        <f t="shared" si="139"/>
        <v>0</v>
      </c>
      <c r="AA97" s="469">
        <f t="shared" si="139"/>
        <v>0</v>
      </c>
      <c r="AB97" s="470">
        <f t="shared" si="139"/>
        <v>0</v>
      </c>
      <c r="AC97" s="470">
        <f t="shared" si="139"/>
        <v>0</v>
      </c>
      <c r="AD97" s="470">
        <f t="shared" si="139"/>
        <v>0</v>
      </c>
      <c r="AE97" s="474"/>
      <c r="AF97" s="474"/>
      <c r="AG97" s="474">
        <f t="shared" si="139"/>
        <v>0</v>
      </c>
      <c r="AH97" s="469">
        <f t="shared" si="139"/>
        <v>0</v>
      </c>
      <c r="AI97" s="470">
        <f t="shared" si="139"/>
        <v>0</v>
      </c>
      <c r="AJ97" s="470">
        <f t="shared" si="139"/>
        <v>0</v>
      </c>
      <c r="AK97" s="470">
        <f t="shared" si="139"/>
        <v>0</v>
      </c>
      <c r="AL97" s="470"/>
      <c r="AM97" s="470">
        <f t="shared" si="139"/>
        <v>0</v>
      </c>
      <c r="AN97" s="474">
        <f t="shared" si="139"/>
        <v>0</v>
      </c>
      <c r="AO97" s="469">
        <f t="shared" si="139"/>
        <v>0</v>
      </c>
      <c r="AP97" s="470">
        <f t="shared" si="139"/>
        <v>0</v>
      </c>
      <c r="AQ97" s="470">
        <f t="shared" si="139"/>
        <v>0</v>
      </c>
      <c r="AR97" s="470">
        <f t="shared" si="139"/>
        <v>0</v>
      </c>
      <c r="AS97" s="470"/>
      <c r="AT97" s="470">
        <f t="shared" si="139"/>
        <v>0</v>
      </c>
      <c r="AU97" s="474">
        <f t="shared" si="139"/>
        <v>0</v>
      </c>
      <c r="AV97" s="469">
        <f t="shared" si="139"/>
        <v>0</v>
      </c>
      <c r="AW97" s="470">
        <f t="shared" si="139"/>
        <v>0</v>
      </c>
      <c r="AX97" s="470">
        <f t="shared" si="139"/>
        <v>0</v>
      </c>
      <c r="AY97" s="470">
        <f t="shared" si="139"/>
        <v>0</v>
      </c>
      <c r="AZ97" s="470"/>
      <c r="BA97" s="470">
        <f t="shared" si="139"/>
        <v>0</v>
      </c>
      <c r="BB97" s="474">
        <f t="shared" si="139"/>
        <v>0</v>
      </c>
      <c r="BC97" s="469">
        <f t="shared" si="139"/>
        <v>0</v>
      </c>
      <c r="BD97" s="470">
        <f t="shared" si="139"/>
        <v>0</v>
      </c>
      <c r="BE97" s="470">
        <f t="shared" si="139"/>
        <v>0</v>
      </c>
      <c r="BF97" s="470">
        <f t="shared" si="139"/>
        <v>0</v>
      </c>
      <c r="BG97" s="470"/>
      <c r="BH97" s="470">
        <f t="shared" si="139"/>
        <v>0</v>
      </c>
      <c r="BI97" s="474">
        <f t="shared" si="139"/>
        <v>0</v>
      </c>
      <c r="BJ97" s="469">
        <f t="shared" si="139"/>
        <v>0</v>
      </c>
      <c r="BK97" s="470">
        <f t="shared" si="139"/>
        <v>0</v>
      </c>
      <c r="BL97" s="470">
        <f t="shared" si="139"/>
        <v>0</v>
      </c>
      <c r="BM97" s="470">
        <f t="shared" si="139"/>
        <v>0</v>
      </c>
      <c r="BN97" s="470">
        <f t="shared" si="139"/>
        <v>0</v>
      </c>
      <c r="BO97" s="474">
        <f t="shared" si="139"/>
        <v>0</v>
      </c>
      <c r="BP97" s="469">
        <f t="shared" si="139"/>
        <v>0</v>
      </c>
      <c r="BQ97" s="470">
        <f t="shared" si="139"/>
        <v>0</v>
      </c>
      <c r="BR97" s="470">
        <f t="shared" si="139"/>
        <v>0</v>
      </c>
      <c r="BS97" s="470">
        <f t="shared" si="139"/>
        <v>0</v>
      </c>
      <c r="BT97" s="470">
        <f t="shared" si="139"/>
        <v>0</v>
      </c>
      <c r="BU97" s="474">
        <f t="shared" si="139"/>
        <v>0</v>
      </c>
      <c r="BV97" s="469">
        <f t="shared" si="139"/>
        <v>0</v>
      </c>
      <c r="BW97" s="470">
        <f aca="true" t="shared" si="140" ref="BW97:CK97">BW88</f>
        <v>0</v>
      </c>
      <c r="BX97" s="470">
        <f t="shared" si="140"/>
        <v>0</v>
      </c>
      <c r="BY97" s="470">
        <f t="shared" si="140"/>
        <v>0</v>
      </c>
      <c r="BZ97" s="470">
        <f t="shared" si="140"/>
        <v>0</v>
      </c>
      <c r="CA97" s="470">
        <f t="shared" si="140"/>
        <v>0</v>
      </c>
      <c r="CB97" s="470">
        <f t="shared" si="140"/>
        <v>0</v>
      </c>
      <c r="CC97" s="474">
        <f t="shared" si="140"/>
        <v>0</v>
      </c>
      <c r="CD97" s="469">
        <f t="shared" si="140"/>
        <v>0</v>
      </c>
      <c r="CE97" s="470">
        <f t="shared" si="140"/>
        <v>0</v>
      </c>
      <c r="CF97" s="470">
        <f t="shared" si="140"/>
        <v>0</v>
      </c>
      <c r="CG97" s="470">
        <f t="shared" si="140"/>
        <v>0</v>
      </c>
      <c r="CH97" s="470">
        <f t="shared" si="140"/>
        <v>0</v>
      </c>
      <c r="CI97" s="470">
        <f t="shared" si="140"/>
        <v>0</v>
      </c>
      <c r="CJ97" s="470">
        <f t="shared" si="140"/>
        <v>0</v>
      </c>
      <c r="CK97" s="475">
        <f t="shared" si="140"/>
        <v>0</v>
      </c>
      <c r="CL97" s="472"/>
      <c r="CM97" s="456"/>
    </row>
    <row r="98" spans="1:91" s="98" customFormat="1" ht="12.75" customHeight="1" hidden="1">
      <c r="A98" s="476"/>
      <c r="B98" s="678" t="s">
        <v>258</v>
      </c>
      <c r="C98" s="679"/>
      <c r="D98" s="679"/>
      <c r="E98" s="679"/>
      <c r="F98" s="679"/>
      <c r="G98" s="679"/>
      <c r="H98" s="679"/>
      <c r="I98" s="739"/>
      <c r="J98" s="477">
        <f>J91</f>
        <v>0</v>
      </c>
      <c r="K98" s="477" t="str">
        <f>K91</f>
        <v>-</v>
      </c>
      <c r="L98" s="475">
        <f>L91</f>
        <v>0</v>
      </c>
      <c r="M98" s="475">
        <f aca="true" t="shared" si="141" ref="M98:R98">M91</f>
        <v>0</v>
      </c>
      <c r="N98" s="475">
        <f t="shared" si="141"/>
        <v>0</v>
      </c>
      <c r="O98" s="475">
        <f t="shared" si="141"/>
        <v>0</v>
      </c>
      <c r="P98" s="475">
        <f t="shared" si="141"/>
        <v>0</v>
      </c>
      <c r="Q98" s="475"/>
      <c r="R98" s="475">
        <f t="shared" si="141"/>
        <v>0</v>
      </c>
      <c r="S98" s="474">
        <f>S91</f>
        <v>0</v>
      </c>
      <c r="T98" s="478">
        <f aca="true" t="shared" si="142" ref="T98:BU98">T91</f>
        <v>0</v>
      </c>
      <c r="U98" s="470">
        <f t="shared" si="142"/>
        <v>0</v>
      </c>
      <c r="V98" s="470">
        <f t="shared" si="142"/>
        <v>0</v>
      </c>
      <c r="W98" s="470">
        <f t="shared" si="142"/>
        <v>0</v>
      </c>
      <c r="X98" s="470"/>
      <c r="Y98" s="470">
        <f t="shared" si="142"/>
        <v>0</v>
      </c>
      <c r="Z98" s="474">
        <f t="shared" si="142"/>
        <v>0</v>
      </c>
      <c r="AA98" s="478">
        <f t="shared" si="142"/>
        <v>0</v>
      </c>
      <c r="AB98" s="470">
        <f t="shared" si="142"/>
        <v>0</v>
      </c>
      <c r="AC98" s="470">
        <f t="shared" si="142"/>
        <v>0</v>
      </c>
      <c r="AD98" s="470">
        <f t="shared" si="142"/>
        <v>0</v>
      </c>
      <c r="AE98" s="474"/>
      <c r="AF98" s="474"/>
      <c r="AG98" s="474">
        <f t="shared" si="142"/>
        <v>0</v>
      </c>
      <c r="AH98" s="478">
        <f t="shared" si="142"/>
        <v>0</v>
      </c>
      <c r="AI98" s="470">
        <f t="shared" si="142"/>
        <v>0</v>
      </c>
      <c r="AJ98" s="470">
        <f t="shared" si="142"/>
        <v>0</v>
      </c>
      <c r="AK98" s="470">
        <f t="shared" si="142"/>
        <v>0</v>
      </c>
      <c r="AL98" s="470"/>
      <c r="AM98" s="470">
        <f t="shared" si="142"/>
        <v>0</v>
      </c>
      <c r="AN98" s="474">
        <f t="shared" si="142"/>
        <v>0</v>
      </c>
      <c r="AO98" s="478">
        <f t="shared" si="142"/>
        <v>0</v>
      </c>
      <c r="AP98" s="470">
        <f t="shared" si="142"/>
        <v>0</v>
      </c>
      <c r="AQ98" s="470">
        <f t="shared" si="142"/>
        <v>0</v>
      </c>
      <c r="AR98" s="470">
        <f t="shared" si="142"/>
        <v>0</v>
      </c>
      <c r="AS98" s="470"/>
      <c r="AT98" s="470">
        <f t="shared" si="142"/>
        <v>0</v>
      </c>
      <c r="AU98" s="474">
        <f t="shared" si="142"/>
        <v>0</v>
      </c>
      <c r="AV98" s="478">
        <f t="shared" si="142"/>
        <v>0</v>
      </c>
      <c r="AW98" s="470">
        <f t="shared" si="142"/>
        <v>0</v>
      </c>
      <c r="AX98" s="470">
        <f t="shared" si="142"/>
        <v>0</v>
      </c>
      <c r="AY98" s="470">
        <f t="shared" si="142"/>
        <v>0</v>
      </c>
      <c r="AZ98" s="470"/>
      <c r="BA98" s="470">
        <f t="shared" si="142"/>
        <v>0</v>
      </c>
      <c r="BB98" s="474">
        <f t="shared" si="142"/>
        <v>0</v>
      </c>
      <c r="BC98" s="478">
        <f t="shared" si="142"/>
        <v>0</v>
      </c>
      <c r="BD98" s="470">
        <f t="shared" si="142"/>
        <v>0</v>
      </c>
      <c r="BE98" s="470">
        <f t="shared" si="142"/>
        <v>0</v>
      </c>
      <c r="BF98" s="470">
        <f t="shared" si="142"/>
        <v>0</v>
      </c>
      <c r="BG98" s="470"/>
      <c r="BH98" s="470">
        <f t="shared" si="142"/>
        <v>0</v>
      </c>
      <c r="BI98" s="474">
        <f t="shared" si="142"/>
        <v>0</v>
      </c>
      <c r="BJ98" s="478">
        <f t="shared" si="142"/>
        <v>0</v>
      </c>
      <c r="BK98" s="470">
        <f t="shared" si="142"/>
        <v>0</v>
      </c>
      <c r="BL98" s="470">
        <f t="shared" si="142"/>
        <v>0</v>
      </c>
      <c r="BM98" s="470">
        <f t="shared" si="142"/>
        <v>0</v>
      </c>
      <c r="BN98" s="470">
        <f t="shared" si="142"/>
        <v>0</v>
      </c>
      <c r="BO98" s="474">
        <f t="shared" si="142"/>
        <v>0</v>
      </c>
      <c r="BP98" s="478">
        <f t="shared" si="142"/>
        <v>0</v>
      </c>
      <c r="BQ98" s="470">
        <f t="shared" si="142"/>
        <v>0</v>
      </c>
      <c r="BR98" s="470">
        <f t="shared" si="142"/>
        <v>0</v>
      </c>
      <c r="BS98" s="470">
        <f t="shared" si="142"/>
        <v>0</v>
      </c>
      <c r="BT98" s="470">
        <f t="shared" si="142"/>
        <v>0</v>
      </c>
      <c r="BU98" s="474">
        <f t="shared" si="142"/>
        <v>0</v>
      </c>
      <c r="BV98" s="478" t="e">
        <f aca="true" t="shared" si="143" ref="BV98:CK98">BV91</f>
        <v>#REF!</v>
      </c>
      <c r="BW98" s="470">
        <f t="shared" si="143"/>
        <v>0</v>
      </c>
      <c r="BX98" s="470">
        <f t="shared" si="143"/>
        <v>0</v>
      </c>
      <c r="BY98" s="470">
        <f t="shared" si="143"/>
        <v>0</v>
      </c>
      <c r="BZ98" s="470">
        <f t="shared" si="143"/>
        <v>0</v>
      </c>
      <c r="CA98" s="470">
        <f t="shared" si="143"/>
        <v>0</v>
      </c>
      <c r="CB98" s="470" t="e">
        <f t="shared" si="143"/>
        <v>#REF!</v>
      </c>
      <c r="CC98" s="474">
        <f t="shared" si="143"/>
        <v>0</v>
      </c>
      <c r="CD98" s="478" t="e">
        <f t="shared" si="143"/>
        <v>#REF!</v>
      </c>
      <c r="CE98" s="470">
        <f t="shared" si="143"/>
        <v>0</v>
      </c>
      <c r="CF98" s="470">
        <f t="shared" si="143"/>
        <v>0</v>
      </c>
      <c r="CG98" s="470">
        <f t="shared" si="143"/>
        <v>0</v>
      </c>
      <c r="CH98" s="470">
        <f t="shared" si="143"/>
        <v>0</v>
      </c>
      <c r="CI98" s="470">
        <f t="shared" si="143"/>
        <v>0</v>
      </c>
      <c r="CJ98" s="470" t="e">
        <f t="shared" si="143"/>
        <v>#REF!</v>
      </c>
      <c r="CK98" s="475">
        <f t="shared" si="143"/>
        <v>0</v>
      </c>
      <c r="CL98" s="472"/>
      <c r="CM98" s="456"/>
    </row>
    <row r="99" spans="1:91" s="98" customFormat="1" ht="15.75" hidden="1">
      <c r="A99" s="479"/>
      <c r="B99" s="702" t="s">
        <v>199</v>
      </c>
      <c r="C99" s="703"/>
      <c r="D99" s="703"/>
      <c r="E99" s="703"/>
      <c r="F99" s="703"/>
      <c r="G99" s="703"/>
      <c r="H99" s="703"/>
      <c r="I99" s="703"/>
      <c r="J99" s="480">
        <f>SUM(J95:J97)</f>
        <v>6534</v>
      </c>
      <c r="K99" s="480">
        <f>SUM(K95:K97)</f>
        <v>5724</v>
      </c>
      <c r="L99" s="481">
        <f>SUM(L95:L97)</f>
        <v>6534</v>
      </c>
      <c r="M99" s="481">
        <f aca="true" t="shared" si="144" ref="M99:R99">SUM(M95:M97)</f>
        <v>5724</v>
      </c>
      <c r="N99" s="481">
        <f t="shared" si="144"/>
        <v>3358</v>
      </c>
      <c r="O99" s="481">
        <f t="shared" si="144"/>
        <v>801</v>
      </c>
      <c r="P99" s="481">
        <f t="shared" si="144"/>
        <v>53</v>
      </c>
      <c r="Q99" s="481"/>
      <c r="R99" s="481">
        <f t="shared" si="144"/>
        <v>1512</v>
      </c>
      <c r="S99" s="473">
        <f>SUM(S95:S97)</f>
        <v>2106</v>
      </c>
      <c r="T99" s="469">
        <f aca="true" t="shared" si="145" ref="T99:BU99">SUM(T95:T97)</f>
        <v>918</v>
      </c>
      <c r="U99" s="470">
        <f t="shared" si="145"/>
        <v>527</v>
      </c>
      <c r="V99" s="470">
        <f t="shared" si="145"/>
        <v>85</v>
      </c>
      <c r="W99" s="470">
        <f t="shared" si="145"/>
        <v>0</v>
      </c>
      <c r="X99" s="470"/>
      <c r="Y99" s="470">
        <f t="shared" si="145"/>
        <v>0</v>
      </c>
      <c r="Z99" s="471">
        <f t="shared" si="145"/>
        <v>306</v>
      </c>
      <c r="AA99" s="482">
        <f t="shared" si="145"/>
        <v>1188</v>
      </c>
      <c r="AB99" s="483">
        <f t="shared" si="145"/>
        <v>671</v>
      </c>
      <c r="AC99" s="483">
        <f t="shared" si="145"/>
        <v>121</v>
      </c>
      <c r="AD99" s="483">
        <f t="shared" si="145"/>
        <v>0</v>
      </c>
      <c r="AE99" s="484"/>
      <c r="AF99" s="484"/>
      <c r="AG99" s="484">
        <f t="shared" si="145"/>
        <v>396</v>
      </c>
      <c r="AH99" s="482">
        <f t="shared" si="145"/>
        <v>864</v>
      </c>
      <c r="AI99" s="483">
        <f t="shared" si="145"/>
        <v>488</v>
      </c>
      <c r="AJ99" s="483">
        <f t="shared" si="145"/>
        <v>88</v>
      </c>
      <c r="AK99" s="483">
        <f t="shared" si="145"/>
        <v>0</v>
      </c>
      <c r="AL99" s="483"/>
      <c r="AM99" s="483">
        <f t="shared" si="145"/>
        <v>0</v>
      </c>
      <c r="AN99" s="484">
        <f t="shared" si="145"/>
        <v>288</v>
      </c>
      <c r="AO99" s="469">
        <f t="shared" si="145"/>
        <v>1206</v>
      </c>
      <c r="AP99" s="470">
        <f t="shared" si="145"/>
        <v>457</v>
      </c>
      <c r="AQ99" s="470">
        <f t="shared" si="145"/>
        <v>83</v>
      </c>
      <c r="AR99" s="470">
        <f t="shared" si="145"/>
        <v>0</v>
      </c>
      <c r="AS99" s="470"/>
      <c r="AT99" s="470">
        <f t="shared" si="145"/>
        <v>396</v>
      </c>
      <c r="AU99" s="471">
        <f t="shared" si="145"/>
        <v>270</v>
      </c>
      <c r="AV99" s="469">
        <f t="shared" si="145"/>
        <v>864</v>
      </c>
      <c r="AW99" s="470">
        <f t="shared" si="145"/>
        <v>480</v>
      </c>
      <c r="AX99" s="470">
        <f t="shared" si="145"/>
        <v>96</v>
      </c>
      <c r="AY99" s="470">
        <f t="shared" si="145"/>
        <v>0</v>
      </c>
      <c r="AZ99" s="470"/>
      <c r="BA99" s="470">
        <f t="shared" si="145"/>
        <v>0</v>
      </c>
      <c r="BB99" s="471">
        <f t="shared" si="145"/>
        <v>288</v>
      </c>
      <c r="BC99" s="482">
        <f t="shared" si="145"/>
        <v>1107</v>
      </c>
      <c r="BD99" s="483">
        <f t="shared" si="145"/>
        <v>204</v>
      </c>
      <c r="BE99" s="483">
        <f t="shared" si="145"/>
        <v>73</v>
      </c>
      <c r="BF99" s="483">
        <f t="shared" si="145"/>
        <v>29</v>
      </c>
      <c r="BG99" s="483"/>
      <c r="BH99" s="483">
        <f t="shared" si="145"/>
        <v>648</v>
      </c>
      <c r="BI99" s="484">
        <f t="shared" si="145"/>
        <v>153</v>
      </c>
      <c r="BJ99" s="469">
        <f t="shared" si="145"/>
        <v>900</v>
      </c>
      <c r="BK99" s="470">
        <f t="shared" si="145"/>
        <v>208</v>
      </c>
      <c r="BL99" s="470">
        <f t="shared" si="145"/>
        <v>80</v>
      </c>
      <c r="BM99" s="470">
        <f t="shared" si="145"/>
        <v>0</v>
      </c>
      <c r="BN99" s="470">
        <f t="shared" si="145"/>
        <v>468</v>
      </c>
      <c r="BO99" s="471">
        <f t="shared" si="145"/>
        <v>144</v>
      </c>
      <c r="BP99" s="482">
        <f t="shared" si="145"/>
        <v>783</v>
      </c>
      <c r="BQ99" s="483">
        <f t="shared" si="145"/>
        <v>323</v>
      </c>
      <c r="BR99" s="483">
        <f t="shared" si="145"/>
        <v>175</v>
      </c>
      <c r="BS99" s="483">
        <f t="shared" si="145"/>
        <v>24</v>
      </c>
      <c r="BT99" s="483">
        <f t="shared" si="145"/>
        <v>0</v>
      </c>
      <c r="BU99" s="484">
        <f t="shared" si="145"/>
        <v>261</v>
      </c>
      <c r="BV99" s="469" t="e">
        <f aca="true" t="shared" si="146" ref="BV99:CK99">SUM(BV95:BV97)</f>
        <v>#REF!</v>
      </c>
      <c r="BW99" s="470" t="e">
        <f t="shared" si="146"/>
        <v>#REF!</v>
      </c>
      <c r="BX99" s="470" t="e">
        <f t="shared" si="146"/>
        <v>#REF!</v>
      </c>
      <c r="BY99" s="470" t="e">
        <f t="shared" si="146"/>
        <v>#REF!</v>
      </c>
      <c r="BZ99" s="470" t="e">
        <f t="shared" si="146"/>
        <v>#REF!</v>
      </c>
      <c r="CA99" s="470" t="e">
        <f t="shared" si="146"/>
        <v>#REF!</v>
      </c>
      <c r="CB99" s="470" t="e">
        <f t="shared" si="146"/>
        <v>#REF!</v>
      </c>
      <c r="CC99" s="471" t="e">
        <f t="shared" si="146"/>
        <v>#REF!</v>
      </c>
      <c r="CD99" s="469" t="e">
        <f t="shared" si="146"/>
        <v>#REF!</v>
      </c>
      <c r="CE99" s="470" t="e">
        <f t="shared" si="146"/>
        <v>#REF!</v>
      </c>
      <c r="CF99" s="470" t="e">
        <f t="shared" si="146"/>
        <v>#REF!</v>
      </c>
      <c r="CG99" s="470" t="e">
        <f t="shared" si="146"/>
        <v>#REF!</v>
      </c>
      <c r="CH99" s="470" t="e">
        <f t="shared" si="146"/>
        <v>#REF!</v>
      </c>
      <c r="CI99" s="470" t="e">
        <f t="shared" si="146"/>
        <v>#REF!</v>
      </c>
      <c r="CJ99" s="470" t="e">
        <f t="shared" si="146"/>
        <v>#REF!</v>
      </c>
      <c r="CK99" s="470" t="e">
        <f t="shared" si="146"/>
        <v>#REF!</v>
      </c>
      <c r="CL99" s="472"/>
      <c r="CM99" s="456"/>
    </row>
    <row r="100" spans="1:91" s="98" customFormat="1" ht="15.75" hidden="1">
      <c r="A100" s="479"/>
      <c r="B100" s="678" t="s">
        <v>216</v>
      </c>
      <c r="C100" s="679"/>
      <c r="D100" s="679"/>
      <c r="E100" s="679"/>
      <c r="F100" s="679"/>
      <c r="G100" s="679"/>
      <c r="H100" s="679"/>
      <c r="I100" s="679"/>
      <c r="J100" s="679"/>
      <c r="K100" s="679"/>
      <c r="L100" s="681" t="e">
        <f>COUNTIF(L12:L22,"&gt;0")+COUNTIF(#REF!,"&gt;0")+COUNTIF(L29:L32,"&gt;0")+COUNTIF(L34:L36,"&gt;0")+COUNTIF(L39:L46,"&gt;0")+COUNTIF(L75:L77,"&gt;0")+COUNTIF(L50:L56,"&gt;0")+COUNTIF(L60:L63,"&gt;0")+COUNTIF(L67:L68,"&gt;0")+COUNTIF(L71:L72,"&gt;0")</f>
        <v>#REF!</v>
      </c>
      <c r="M100" s="682"/>
      <c r="N100" s="682"/>
      <c r="O100" s="682"/>
      <c r="P100" s="682"/>
      <c r="Q100" s="682"/>
      <c r="R100" s="682"/>
      <c r="S100" s="682"/>
      <c r="T100" s="737" t="e">
        <f>COUNTIF(T12:T22,"&gt;0")+COUNTIF(#REF!,"&gt;0")+COUNTIF(T29:T32,"&gt;0")+COUNTIF(T34:T36,"&gt;0")+COUNTIF(T39:T46,"&gt;0")+DCOUNT(A9:CK72,"21",A113:B114)+COUNTIF(T75:T77,"&gt;0")</f>
        <v>#REF!</v>
      </c>
      <c r="U100" s="738"/>
      <c r="V100" s="738"/>
      <c r="W100" s="738"/>
      <c r="X100" s="738"/>
      <c r="Y100" s="738"/>
      <c r="Z100" s="738"/>
      <c r="AA100" s="670" t="e">
        <f>COUNTIF(AA12:AA22,"&gt;0")+COUNTIF(#REF!,"&gt;0")+COUNTIF(AA29:AA32,"&gt;0")+COUNTIF(AA34:AA36,"&gt;0")+COUNTIF(AA39:AA46,"&gt;0")+DCOUNT(A9:CK72,"21",A115:B116)+COUNTIF(AA75:AA77,"&gt;0")</f>
        <v>#REF!</v>
      </c>
      <c r="AB100" s="671"/>
      <c r="AC100" s="671"/>
      <c r="AD100" s="671"/>
      <c r="AE100" s="671"/>
      <c r="AF100" s="671"/>
      <c r="AG100" s="671"/>
      <c r="AH100" s="670" t="e">
        <f>COUNTIF(AH12:AH22,"&gt;0")+COUNTIF(#REF!,"&gt;0")+COUNTIF(AH29:AH32,"&gt;0")+COUNTIF(AH34:AH36,"&gt;0")+COUNTIF(AH71:AH72,"&gt;0")+COUNTIF(AH67:AH68,"&gt;0")+COUNTIF(AH60:AH63,"&gt;0")+COUNTIF(AH50:AH56,"&gt;0")+COUNTIF(AH39:AH46,"&gt;0")+COUNTIF(AH75:AH77,"&gt;0")+DCOUNT($A$9:$CK$77,"21",$A$117:$B$118)</f>
        <v>#REF!</v>
      </c>
      <c r="AI100" s="671"/>
      <c r="AJ100" s="671"/>
      <c r="AK100" s="671"/>
      <c r="AL100" s="671"/>
      <c r="AM100" s="671"/>
      <c r="AN100" s="671"/>
      <c r="AO100" s="670" t="e">
        <f>COUNTIF(AO12:AO22,"&gt;0")+COUNTIF(#REF!,"&gt;0")+COUNTIF(AO29:AO32,"&gt;0")+COUNTIF(AO34:AO36,"&gt;0")+COUNTIF(AO71:AO72,"&gt;0")+COUNTIF(AO67:AO68,"&gt;0")+COUNTIF(AO60:AO63,"&gt;0")+COUNTIF(AO50:AO56,"&gt;0")+COUNTIF(AO39:AO46,"&gt;0")+COUNTIF(AO75:AO77,"&gt;0")+DCOUNT($A$9:$CK$77,"21",$A$117:$B$118)</f>
        <v>#REF!</v>
      </c>
      <c r="AP100" s="671"/>
      <c r="AQ100" s="671"/>
      <c r="AR100" s="671"/>
      <c r="AS100" s="671"/>
      <c r="AT100" s="671"/>
      <c r="AU100" s="671"/>
      <c r="AV100" s="670" t="e">
        <f>COUNTIF(AV12:AV22,"&gt;0")+COUNTIF(#REF!,"&gt;0")+COUNTIF(AV29:AV32,"&gt;0")+COUNTIF(AV34:AV36,"&gt;0")+COUNTIF(AV71:AV72,"&gt;0")+COUNTIF(AV67:AV68,"&gt;0")+COUNTIF(AV60:AV63,"&gt;0")+COUNTIF(AV50:AV56,"&gt;0")+COUNTIF(AV39:AV46,"&gt;0")+COUNTIF(AV75:AV77,"&gt;0")+DCOUNT($A$9:$CK$77,"21",$A$117:$B$118)</f>
        <v>#REF!</v>
      </c>
      <c r="AW100" s="671"/>
      <c r="AX100" s="671"/>
      <c r="AY100" s="671"/>
      <c r="AZ100" s="671"/>
      <c r="BA100" s="671"/>
      <c r="BB100" s="671"/>
      <c r="BC100" s="670" t="e">
        <f>COUNTIF(BC12:BC22,"&gt;0")+COUNTIF(#REF!,"&gt;0")+COUNTIF(BC29:BC32,"&gt;0")+COUNTIF(BC34:BC36,"&gt;0")+COUNTIF(BC71:BC72,"&gt;0")+COUNTIF(BC67:BC68,"&gt;0")+COUNTIF(BC60:BC63,"&gt;0")+COUNTIF(BC50:BC56,"&gt;0")+COUNTIF(BC39:BC46,"&gt;0")+COUNTIF(BC75:BC77,"&gt;0")+DCOUNT($A$9:$CK$77,"21",$A$117:$B$118)</f>
        <v>#REF!</v>
      </c>
      <c r="BD100" s="671"/>
      <c r="BE100" s="671"/>
      <c r="BF100" s="671"/>
      <c r="BG100" s="671"/>
      <c r="BH100" s="671"/>
      <c r="BI100" s="671"/>
      <c r="BJ100" s="670" t="e">
        <f>COUNTIF(BJ12:BJ22,"&gt;0")+COUNTIF(#REF!,"&gt;0")+COUNTIF(BJ29:BJ32,"&gt;0")+COUNTIF(BJ34:BJ36,"&gt;0")+COUNTIF(BJ71:BJ72,"&gt;0")+COUNTIF(BJ67:BJ68,"&gt;0")+COUNTIF(BJ60:BJ63,"&gt;0")+COUNTIF(BJ50:BJ56,"&gt;0")+COUNTIF(BJ39:BJ46,"&gt;0")+COUNTIF(BJ75:BJ77,"&gt;0")+DCOUNT($A$9:$CK$77,"21",$A$117:$B$118)</f>
        <v>#REF!</v>
      </c>
      <c r="BK100" s="671"/>
      <c r="BL100" s="671"/>
      <c r="BM100" s="671"/>
      <c r="BN100" s="671"/>
      <c r="BO100" s="671"/>
      <c r="BP100" s="670" t="e">
        <f>COUNTIF(BP12:BP22,"&gt;0")+COUNTIF(#REF!,"&gt;0")+COUNTIF(BP29:BP32,"&gt;0")+COUNTIF(BP34:BP36,"&gt;0")+COUNTIF(BP71:BP72,"&gt;0")+COUNTIF(BP67:BP68,"&gt;0")+COUNTIF(BP60:BP63,"&gt;0")+COUNTIF(BP50:BP56,"&gt;0")+COUNTIF(BP39:BP46,"&gt;0")+COUNTIF(BP75:BP77,"&gt;0")+DCOUNT($A$9:$CK$77,"21",$A$117:$B$118)</f>
        <v>#REF!</v>
      </c>
      <c r="BQ100" s="671"/>
      <c r="BR100" s="671"/>
      <c r="BS100" s="671"/>
      <c r="BT100" s="671"/>
      <c r="BU100" s="671"/>
      <c r="BV100" s="670" t="e">
        <f>COUNTIF(BV12:BV22,"&gt;0")+COUNTIF(#REF!,"&gt;0")+COUNTIF(BV29:BV32,"&gt;0")+COUNTIF(BV34:BV36,"&gt;0")+COUNTIF(BV39:BV46,"&gt;0")+DCOUNT(A9:CK72,"21",A129:B130)+COUNTIF(BV75:BV77,"&gt;0")</f>
        <v>#REF!</v>
      </c>
      <c r="BW100" s="671"/>
      <c r="BX100" s="671"/>
      <c r="BY100" s="671"/>
      <c r="BZ100" s="671"/>
      <c r="CA100" s="671"/>
      <c r="CB100" s="671"/>
      <c r="CC100" s="671"/>
      <c r="CD100" s="670" t="e">
        <f>COUNTIF(CD12:CD22,"&gt;0")+COUNTIF(#REF!,"&gt;0")+COUNTIF(CD29:CD32,"&gt;0")+COUNTIF(CD34:CD36,"&gt;0")+COUNTIF(CD39:CD46,"&gt;0")+DCOUNT(A9:CK72,"21",A131:B132)+COUNTIF(CD75:CD77,"&gt;0")</f>
        <v>#REF!</v>
      </c>
      <c r="CE100" s="671"/>
      <c r="CF100" s="671"/>
      <c r="CG100" s="671"/>
      <c r="CH100" s="671"/>
      <c r="CI100" s="671"/>
      <c r="CJ100" s="671"/>
      <c r="CK100" s="687"/>
      <c r="CL100" s="472"/>
      <c r="CM100" s="456"/>
    </row>
    <row r="101" spans="1:91" s="98" customFormat="1" ht="15.75">
      <c r="A101" s="479"/>
      <c r="B101" s="678" t="s">
        <v>74</v>
      </c>
      <c r="C101" s="679"/>
      <c r="D101" s="679"/>
      <c r="E101" s="679"/>
      <c r="F101" s="679"/>
      <c r="G101" s="679"/>
      <c r="H101" s="679"/>
      <c r="I101" s="679"/>
      <c r="J101" s="679"/>
      <c r="K101" s="679"/>
      <c r="L101" s="705">
        <f>COUNTIF(L78:L79,"&gt;0")+COUNTIF(L86:L87,"&gt;0")</f>
        <v>1</v>
      </c>
      <c r="M101" s="706"/>
      <c r="N101" s="706"/>
      <c r="O101" s="706"/>
      <c r="P101" s="706"/>
      <c r="Q101" s="706"/>
      <c r="R101" s="706"/>
      <c r="S101" s="707"/>
      <c r="T101" s="692">
        <f>COUNTIF(T79:T82,"&gt;0")+COUNTIF(T86:T87,"&gt;0")</f>
        <v>0</v>
      </c>
      <c r="U101" s="693"/>
      <c r="V101" s="693"/>
      <c r="W101" s="693"/>
      <c r="X101" s="693"/>
      <c r="Y101" s="693"/>
      <c r="Z101" s="695"/>
      <c r="AA101" s="692">
        <f>COUNTIF(AA79:AA82,"&gt;0")+COUNTIF(AA86:AA87,"&gt;0")</f>
        <v>0</v>
      </c>
      <c r="AB101" s="693"/>
      <c r="AC101" s="693"/>
      <c r="AD101" s="693"/>
      <c r="AE101" s="695"/>
      <c r="AF101" s="695"/>
      <c r="AG101" s="695"/>
      <c r="AH101" s="692">
        <f>COUNTIF(AH79:AH82,"&gt;0")+COUNTIF(AH86:AH87,"&gt;0")</f>
        <v>0</v>
      </c>
      <c r="AI101" s="693"/>
      <c r="AJ101" s="693"/>
      <c r="AK101" s="693"/>
      <c r="AL101" s="693"/>
      <c r="AM101" s="693"/>
      <c r="AN101" s="695"/>
      <c r="AO101" s="692">
        <v>1</v>
      </c>
      <c r="AP101" s="693"/>
      <c r="AQ101" s="693"/>
      <c r="AR101" s="693"/>
      <c r="AS101" s="693"/>
      <c r="AT101" s="693"/>
      <c r="AU101" s="695"/>
      <c r="AV101" s="692">
        <f>COUNTIF(AV79:AV82,"&gt;0")+COUNTIF(AV86:AV87,"&gt;0")</f>
        <v>0</v>
      </c>
      <c r="AW101" s="693"/>
      <c r="AX101" s="693"/>
      <c r="AY101" s="693"/>
      <c r="AZ101" s="693"/>
      <c r="BA101" s="693"/>
      <c r="BB101" s="695"/>
      <c r="BC101" s="692">
        <f>COUNTIF(BC79:BC82,"&gt;0")+COUNTIF(BC86:BC87,"&gt;0")</f>
        <v>1</v>
      </c>
      <c r="BD101" s="693"/>
      <c r="BE101" s="693"/>
      <c r="BF101" s="693"/>
      <c r="BG101" s="693"/>
      <c r="BH101" s="693"/>
      <c r="BI101" s="695"/>
      <c r="BJ101" s="692">
        <f>COUNTIF(BJ79:BJ82,"&gt;0")+COUNTIF(BJ86:BJ87,"&gt;0")</f>
        <v>2</v>
      </c>
      <c r="BK101" s="693"/>
      <c r="BL101" s="693"/>
      <c r="BM101" s="693"/>
      <c r="BN101" s="693"/>
      <c r="BO101" s="695"/>
      <c r="BP101" s="692">
        <f>COUNTIF(BP79:BP82,"&gt;0")+COUNTIF(BP86:BP87,"&gt;0")</f>
        <v>0</v>
      </c>
      <c r="BQ101" s="693"/>
      <c r="BR101" s="693"/>
      <c r="BS101" s="693"/>
      <c r="BT101" s="693"/>
      <c r="BU101" s="695"/>
      <c r="BV101" s="692" t="e">
        <f>COUNTIF(BV79:BV81,"&gt;0")+COUNTIF(#REF!,"&gt;0")</f>
        <v>#REF!</v>
      </c>
      <c r="BW101" s="693"/>
      <c r="BX101" s="693"/>
      <c r="BY101" s="693"/>
      <c r="BZ101" s="693"/>
      <c r="CA101" s="693"/>
      <c r="CB101" s="693"/>
      <c r="CC101" s="695"/>
      <c r="CD101" s="692" t="e">
        <f>COUNTIF(CD79:CD81,"&gt;0")+COUNTIF(#REF!,"&gt;0")</f>
        <v>#REF!</v>
      </c>
      <c r="CE101" s="693"/>
      <c r="CF101" s="693"/>
      <c r="CG101" s="693"/>
      <c r="CH101" s="693"/>
      <c r="CI101" s="693"/>
      <c r="CJ101" s="693"/>
      <c r="CK101" s="694"/>
      <c r="CL101" s="472"/>
      <c r="CM101" s="456"/>
    </row>
    <row r="102" spans="1:91" s="98" customFormat="1" ht="15.75">
      <c r="A102" s="485"/>
      <c r="B102" s="678" t="s">
        <v>501</v>
      </c>
      <c r="C102" s="679"/>
      <c r="D102" s="679"/>
      <c r="E102" s="679"/>
      <c r="F102" s="679"/>
      <c r="G102" s="679"/>
      <c r="H102" s="679"/>
      <c r="I102" s="679"/>
      <c r="J102" s="679"/>
      <c r="K102" s="679"/>
      <c r="L102" s="689">
        <v>54</v>
      </c>
      <c r="M102" s="690"/>
      <c r="N102" s="690"/>
      <c r="O102" s="690"/>
      <c r="P102" s="690"/>
      <c r="Q102" s="690"/>
      <c r="R102" s="690"/>
      <c r="S102" s="691"/>
      <c r="T102" s="672">
        <f>T95/Y4</f>
        <v>54</v>
      </c>
      <c r="U102" s="673"/>
      <c r="V102" s="673"/>
      <c r="W102" s="673"/>
      <c r="X102" s="673"/>
      <c r="Y102" s="673"/>
      <c r="Z102" s="674"/>
      <c r="AA102" s="672">
        <f>AA95/AF4</f>
        <v>54</v>
      </c>
      <c r="AB102" s="673"/>
      <c r="AC102" s="673"/>
      <c r="AD102" s="673"/>
      <c r="AE102" s="673"/>
      <c r="AF102" s="673"/>
      <c r="AG102" s="674"/>
      <c r="AH102" s="672">
        <f>AH95/AM4</f>
        <v>54</v>
      </c>
      <c r="AI102" s="673"/>
      <c r="AJ102" s="673"/>
      <c r="AK102" s="673"/>
      <c r="AL102" s="673"/>
      <c r="AM102" s="673"/>
      <c r="AN102" s="674"/>
      <c r="AO102" s="672">
        <f>AO95/AT4</f>
        <v>54</v>
      </c>
      <c r="AP102" s="673"/>
      <c r="AQ102" s="673"/>
      <c r="AR102" s="673"/>
      <c r="AS102" s="673"/>
      <c r="AT102" s="673"/>
      <c r="AU102" s="674"/>
      <c r="AV102" s="672">
        <f>AV95/BA4</f>
        <v>54</v>
      </c>
      <c r="AW102" s="673"/>
      <c r="AX102" s="673"/>
      <c r="AY102" s="673"/>
      <c r="AZ102" s="673"/>
      <c r="BA102" s="673"/>
      <c r="BB102" s="674"/>
      <c r="BC102" s="672">
        <f>BC95/BH4</f>
        <v>54</v>
      </c>
      <c r="BD102" s="673"/>
      <c r="BE102" s="673"/>
      <c r="BF102" s="673"/>
      <c r="BG102" s="673"/>
      <c r="BH102" s="673"/>
      <c r="BI102" s="674"/>
      <c r="BJ102" s="672">
        <f>BJ95/BN4</f>
        <v>54</v>
      </c>
      <c r="BK102" s="673"/>
      <c r="BL102" s="673"/>
      <c r="BM102" s="673"/>
      <c r="BN102" s="673"/>
      <c r="BO102" s="674"/>
      <c r="BP102" s="672">
        <f>BP95/BT4</f>
        <v>54</v>
      </c>
      <c r="BQ102" s="673"/>
      <c r="BR102" s="673"/>
      <c r="BS102" s="673"/>
      <c r="BT102" s="673"/>
      <c r="BU102" s="674"/>
      <c r="BV102" s="675">
        <f>IF(AND(CA4=0,CB6=0,CB7=0),0,IF(BV99=0,0,BV99/(CA4+CB6+CB7)))</f>
        <v>0</v>
      </c>
      <c r="BW102" s="676"/>
      <c r="BX102" s="676"/>
      <c r="BY102" s="676"/>
      <c r="BZ102" s="676"/>
      <c r="CA102" s="676"/>
      <c r="CB102" s="676"/>
      <c r="CC102" s="677"/>
      <c r="CD102" s="675">
        <f>IF(AND(CI4=0,CJ6=0,CJ7=0),0,IF(CD99=0,0,CD99/(CI4+CJ6+CJ7)))</f>
        <v>0</v>
      </c>
      <c r="CE102" s="676"/>
      <c r="CF102" s="676"/>
      <c r="CG102" s="676"/>
      <c r="CH102" s="676"/>
      <c r="CI102" s="676"/>
      <c r="CJ102" s="676"/>
      <c r="CK102" s="688"/>
      <c r="CL102" s="472"/>
      <c r="CM102" s="456"/>
    </row>
    <row r="103" spans="1:91" s="98" customFormat="1" ht="15.75">
      <c r="A103" s="486"/>
      <c r="B103" s="678" t="s">
        <v>214</v>
      </c>
      <c r="C103" s="679"/>
      <c r="D103" s="679"/>
      <c r="E103" s="679"/>
      <c r="F103" s="679"/>
      <c r="G103" s="679"/>
      <c r="H103" s="679"/>
      <c r="I103" s="679"/>
      <c r="J103" s="679"/>
      <c r="K103" s="679"/>
      <c r="L103" s="689">
        <v>36</v>
      </c>
      <c r="M103" s="690"/>
      <c r="N103" s="690"/>
      <c r="O103" s="690"/>
      <c r="P103" s="690"/>
      <c r="Q103" s="690"/>
      <c r="R103" s="690"/>
      <c r="S103" s="691"/>
      <c r="T103" s="672">
        <f>IF(Y4=0,0,IF(SUM(U95:W95)=0,0,SUM(U95:Y95)/Y4))</f>
        <v>36</v>
      </c>
      <c r="U103" s="673"/>
      <c r="V103" s="673"/>
      <c r="W103" s="673"/>
      <c r="X103" s="673"/>
      <c r="Y103" s="673"/>
      <c r="Z103" s="674"/>
      <c r="AA103" s="672">
        <f>IF(AF4=0,0,IF(SUM(AB95:AD95)=0,0,SUM(AB95:AF95)/AF4))</f>
        <v>36</v>
      </c>
      <c r="AB103" s="673"/>
      <c r="AC103" s="673"/>
      <c r="AD103" s="673"/>
      <c r="AE103" s="673"/>
      <c r="AF103" s="673"/>
      <c r="AG103" s="674"/>
      <c r="AH103" s="672">
        <f>IF(AM4=0,0,IF(SUM(AI95:AK95)=0,0,SUM(AI95:AM95)/AM4))</f>
        <v>36</v>
      </c>
      <c r="AI103" s="673"/>
      <c r="AJ103" s="673"/>
      <c r="AK103" s="673"/>
      <c r="AL103" s="673"/>
      <c r="AM103" s="673"/>
      <c r="AN103" s="674"/>
      <c r="AO103" s="672">
        <f>IF(AT4=0,0,IF(SUM(AP95:AR95)=0,0,SUM(AP95:AT95)/AT4))</f>
        <v>36</v>
      </c>
      <c r="AP103" s="673"/>
      <c r="AQ103" s="673"/>
      <c r="AR103" s="673"/>
      <c r="AS103" s="673"/>
      <c r="AT103" s="673"/>
      <c r="AU103" s="674"/>
      <c r="AV103" s="672">
        <f>IF(BA4=0,0,IF(SUM(AW95:AY95)=0,0,SUM(AW95:BA95)/BA4))</f>
        <v>36</v>
      </c>
      <c r="AW103" s="673"/>
      <c r="AX103" s="673"/>
      <c r="AY103" s="673"/>
      <c r="AZ103" s="673"/>
      <c r="BA103" s="673"/>
      <c r="BB103" s="674"/>
      <c r="BC103" s="672">
        <f>IF(BH4=0,0,IF(SUM(BD95:BF95)=0,0,SUM(BD95:BH95)/BH4))</f>
        <v>36</v>
      </c>
      <c r="BD103" s="673"/>
      <c r="BE103" s="673"/>
      <c r="BF103" s="673"/>
      <c r="BG103" s="673"/>
      <c r="BH103" s="673"/>
      <c r="BI103" s="674"/>
      <c r="BJ103" s="672">
        <f>IF(BN4=0,0,IF(SUM(BK95:BM95)=0,0,SUM(BK95:BN95)/BN4))</f>
        <v>36</v>
      </c>
      <c r="BK103" s="673"/>
      <c r="BL103" s="673"/>
      <c r="BM103" s="673"/>
      <c r="BN103" s="673"/>
      <c r="BO103" s="674"/>
      <c r="BP103" s="672">
        <f>IF(BT4=0,0,IF(SUM(BQ95:BS95)=0,0,SUM(BQ95:BT95)/BT4))</f>
        <v>36</v>
      </c>
      <c r="BQ103" s="673"/>
      <c r="BR103" s="673"/>
      <c r="BS103" s="673"/>
      <c r="BT103" s="673"/>
      <c r="BU103" s="674"/>
      <c r="BV103" s="675">
        <f>IF(CA4=0,0,IF(SUM(BW95:CA95)=0,0,SUM(BW95:CA95)/CA4))</f>
        <v>0</v>
      </c>
      <c r="BW103" s="676"/>
      <c r="BX103" s="676"/>
      <c r="BY103" s="676"/>
      <c r="BZ103" s="676"/>
      <c r="CA103" s="676"/>
      <c r="CB103" s="676"/>
      <c r="CC103" s="677"/>
      <c r="CD103" s="675">
        <f>IF(CI4=0,0,IF(SUM(CE95:CI95)=0,0,SUM(CE95:CI95)/CI4))</f>
        <v>0</v>
      </c>
      <c r="CE103" s="676"/>
      <c r="CF103" s="676"/>
      <c r="CG103" s="676"/>
      <c r="CH103" s="676"/>
      <c r="CI103" s="676"/>
      <c r="CJ103" s="676"/>
      <c r="CK103" s="688"/>
      <c r="CL103" s="472"/>
      <c r="CM103" s="456"/>
    </row>
    <row r="104" spans="1:91" s="98" customFormat="1" ht="15.75" customHeight="1">
      <c r="A104" s="486"/>
      <c r="B104" s="678" t="s">
        <v>213</v>
      </c>
      <c r="C104" s="679"/>
      <c r="D104" s="679"/>
      <c r="E104" s="679"/>
      <c r="F104" s="679"/>
      <c r="G104" s="679"/>
      <c r="H104" s="679"/>
      <c r="I104" s="679"/>
      <c r="J104" s="679"/>
      <c r="K104" s="679"/>
      <c r="L104" s="681">
        <f>T104+AA104+AH104+AO104+AV104+BC104+BJ104+BP104+BV104+CD104</f>
        <v>13</v>
      </c>
      <c r="M104" s="682"/>
      <c r="N104" s="682" t="s">
        <v>242</v>
      </c>
      <c r="O104" s="682"/>
      <c r="P104" s="682"/>
      <c r="Q104" s="487"/>
      <c r="R104" s="682">
        <f>AM104+AT104+BA104+BH104+BN104+BT104+CA104+CI104+AF104+Y104</f>
        <v>13</v>
      </c>
      <c r="S104" s="682"/>
      <c r="T104" s="670">
        <f>COUNTIF($D$10:$D$77,"*1*")</f>
        <v>0</v>
      </c>
      <c r="U104" s="671"/>
      <c r="V104" s="671" t="s">
        <v>242</v>
      </c>
      <c r="W104" s="671"/>
      <c r="X104" s="488"/>
      <c r="Y104" s="671">
        <f>COUNTIF($D$10:$D$77,"*1*")-DCOUNTA($A$9:$I$77,"5",E111:H112)</f>
        <v>0</v>
      </c>
      <c r="Z104" s="671"/>
      <c r="AA104" s="670">
        <f>COUNTIF($D$10:$D$77,"*2*")</f>
        <v>3</v>
      </c>
      <c r="AB104" s="671"/>
      <c r="AC104" s="671" t="s">
        <v>242</v>
      </c>
      <c r="AD104" s="671"/>
      <c r="AE104" s="488"/>
      <c r="AF104" s="671">
        <f>COUNTIF($D$10:$D$77,"*2*")-DCOUNTA($A$9:$I$77,"5",E111:H112)</f>
        <v>3</v>
      </c>
      <c r="AG104" s="687"/>
      <c r="AH104" s="670">
        <f>COUNTIF($D$10:$D$77,"*3*")</f>
        <v>2</v>
      </c>
      <c r="AI104" s="671"/>
      <c r="AJ104" s="671" t="s">
        <v>242</v>
      </c>
      <c r="AK104" s="671"/>
      <c r="AL104" s="488"/>
      <c r="AM104" s="671">
        <f>COUNTIF($D$10:$D$77,"*3*")-DCOUNTA($A$9:$I$77,"5",E115:H116)</f>
        <v>2</v>
      </c>
      <c r="AN104" s="671"/>
      <c r="AO104" s="670">
        <f>COUNTIF($D$10:$D$77,"*4*")</f>
        <v>2</v>
      </c>
      <c r="AP104" s="671"/>
      <c r="AQ104" s="671" t="s">
        <v>242</v>
      </c>
      <c r="AR104" s="671"/>
      <c r="AS104" s="488"/>
      <c r="AT104" s="671">
        <f>COUNTIF($D$10:$D$77,"*4*")-DCOUNTA($A$9:$I$77,"5",E117:H118)</f>
        <v>2</v>
      </c>
      <c r="AU104" s="671"/>
      <c r="AV104" s="670">
        <f>COUNTIF($D$10:$D$77,"*5*")</f>
        <v>2</v>
      </c>
      <c r="AW104" s="671"/>
      <c r="AX104" s="671" t="s">
        <v>242</v>
      </c>
      <c r="AY104" s="671"/>
      <c r="AZ104" s="488"/>
      <c r="BA104" s="671">
        <f>COUNTIF($D$10:$D$77,"*5*")-DCOUNTA($A$9:$I$77,"5",E119:H120)</f>
        <v>2</v>
      </c>
      <c r="BB104" s="671"/>
      <c r="BC104" s="670">
        <f>COUNTIF($D$10:$D$77,"*6*")</f>
        <v>1</v>
      </c>
      <c r="BD104" s="671"/>
      <c r="BE104" s="671" t="s">
        <v>242</v>
      </c>
      <c r="BF104" s="671"/>
      <c r="BG104" s="488"/>
      <c r="BH104" s="671">
        <f>COUNTIF($D$10:$D$77,"*6*")-DCOUNTA($A$9:$I$77,"5",E121:H122)</f>
        <v>1</v>
      </c>
      <c r="BI104" s="671"/>
      <c r="BJ104" s="670">
        <f>COUNTIF($D$10:$D$77,"*7*")</f>
        <v>0</v>
      </c>
      <c r="BK104" s="671"/>
      <c r="BL104" s="671" t="s">
        <v>242</v>
      </c>
      <c r="BM104" s="671"/>
      <c r="BN104" s="671">
        <f>COUNTIF($D$10:$D$77,"*7*")-DCOUNTA($A$9:$I$77,"5",E123:H124)</f>
        <v>0</v>
      </c>
      <c r="BO104" s="671"/>
      <c r="BP104" s="670">
        <f>COUNTIF($D$10:$D$77,"*8*")</f>
        <v>3</v>
      </c>
      <c r="BQ104" s="671"/>
      <c r="BR104" s="671" t="s">
        <v>242</v>
      </c>
      <c r="BS104" s="671"/>
      <c r="BT104" s="671">
        <f>COUNTIF($D$10:$D$77,"*8*")-DCOUNTA($A$9:$I$77,"5",E125:H126)</f>
        <v>3</v>
      </c>
      <c r="BU104" s="671"/>
      <c r="BV104" s="670">
        <f>COUNTIF($D$10:$D$77,"*9*")</f>
        <v>0</v>
      </c>
      <c r="BW104" s="671"/>
      <c r="BX104" s="671"/>
      <c r="BY104" s="671" t="s">
        <v>242</v>
      </c>
      <c r="BZ104" s="671"/>
      <c r="CA104" s="671">
        <f>COUNTIF($D$10:$D$77,"*9*")-DCOUNTA($A$9:$I$77,"5",E127:H128)</f>
        <v>0</v>
      </c>
      <c r="CB104" s="671"/>
      <c r="CC104" s="671"/>
      <c r="CD104" s="670">
        <f>COUNTIF($D$10:$D$77,"*{*")</f>
        <v>0</v>
      </c>
      <c r="CE104" s="671"/>
      <c r="CF104" s="671"/>
      <c r="CG104" s="671" t="s">
        <v>242</v>
      </c>
      <c r="CH104" s="671"/>
      <c r="CI104" s="671">
        <f>COUNTIF($D$10:$D$77,"*{*")-DCOUNTA($A$9:$I$77,"5",E129:H130)</f>
        <v>0</v>
      </c>
      <c r="CJ104" s="671"/>
      <c r="CK104" s="687"/>
      <c r="CL104" s="472"/>
      <c r="CM104" s="456"/>
    </row>
    <row r="105" spans="1:91" s="98" customFormat="1" ht="15.75" customHeight="1">
      <c r="A105" s="479"/>
      <c r="B105" s="678" t="s">
        <v>212</v>
      </c>
      <c r="C105" s="679"/>
      <c r="D105" s="679"/>
      <c r="E105" s="679"/>
      <c r="F105" s="679"/>
      <c r="G105" s="679"/>
      <c r="H105" s="679"/>
      <c r="I105" s="679"/>
      <c r="J105" s="679"/>
      <c r="K105" s="679"/>
      <c r="L105" s="681">
        <f>T105+AA105+AH105+AO105+AV105+BC105+BJ105+BP105+BV105+CD105</f>
        <v>45</v>
      </c>
      <c r="M105" s="682"/>
      <c r="N105" s="682" t="s">
        <v>242</v>
      </c>
      <c r="O105" s="682"/>
      <c r="P105" s="682"/>
      <c r="Q105" s="487"/>
      <c r="R105" s="682">
        <f>Y105+AM105+AT105+BA105+BH105+BN105+BT105+CA105+CI105</f>
        <v>32</v>
      </c>
      <c r="S105" s="682"/>
      <c r="T105" s="670">
        <f>COUNTIF($E$10:$F$77,"*1*")</f>
        <v>3</v>
      </c>
      <c r="U105" s="671"/>
      <c r="V105" s="671" t="s">
        <v>242</v>
      </c>
      <c r="W105" s="671"/>
      <c r="X105" s="488"/>
      <c r="Y105" s="671">
        <f>COUNTIF($E$10:$F$77,"*1*")-DCOUNTA($A$9:$I$77,"5",C111:D112)</f>
        <v>2</v>
      </c>
      <c r="Z105" s="671"/>
      <c r="AA105" s="670">
        <f>COUNTIF($E$10:$F$77,"*2*")</f>
        <v>9</v>
      </c>
      <c r="AB105" s="671"/>
      <c r="AC105" s="671" t="s">
        <v>242</v>
      </c>
      <c r="AD105" s="671"/>
      <c r="AE105" s="488"/>
      <c r="AF105" s="671">
        <f>COUNTIF($E$10:$F$77,"*2*")-DCOUNTA($A$9:$I$77,"5",D111:E112)</f>
        <v>8</v>
      </c>
      <c r="AG105" s="671"/>
      <c r="AH105" s="670">
        <f>COUNTIF($E$10:$F$77,"*3*")</f>
        <v>5</v>
      </c>
      <c r="AI105" s="671"/>
      <c r="AJ105" s="671" t="s">
        <v>242</v>
      </c>
      <c r="AK105" s="671"/>
      <c r="AL105" s="488"/>
      <c r="AM105" s="671">
        <f>COUNTIF($E$10:$F$77,"*3*")-DCOUNTA($A$9:$I$77,"6",C115:D116)</f>
        <v>4</v>
      </c>
      <c r="AN105" s="671"/>
      <c r="AO105" s="670">
        <f>COUNTIF($E$10:$F$77,"*4*")</f>
        <v>6</v>
      </c>
      <c r="AP105" s="671"/>
      <c r="AQ105" s="671" t="s">
        <v>242</v>
      </c>
      <c r="AR105" s="671"/>
      <c r="AS105" s="488"/>
      <c r="AT105" s="680">
        <v>6</v>
      </c>
      <c r="AU105" s="680"/>
      <c r="AV105" s="670">
        <f>COUNTIF($E$10:$F$77,"*5*")</f>
        <v>8</v>
      </c>
      <c r="AW105" s="671"/>
      <c r="AX105" s="671" t="s">
        <v>242</v>
      </c>
      <c r="AY105" s="671"/>
      <c r="AZ105" s="488"/>
      <c r="BA105" s="671">
        <f>COUNTIF($E$10:$F$77,"*5*")-DCOUNTA($A$9:$I$77,"6",C119:D120)</f>
        <v>7</v>
      </c>
      <c r="BB105" s="671"/>
      <c r="BC105" s="670">
        <f>COUNTIF($E$10:$F$77,"*6*")</f>
        <v>4</v>
      </c>
      <c r="BD105" s="671"/>
      <c r="BE105" s="671" t="s">
        <v>242</v>
      </c>
      <c r="BF105" s="671"/>
      <c r="BG105" s="488"/>
      <c r="BH105" s="671">
        <f>COUNTIF($E$10:$F$77,"*6*")-DCOUNTA($A$9:$I$77,"6",C121:D122)</f>
        <v>3</v>
      </c>
      <c r="BI105" s="671"/>
      <c r="BJ105" s="670">
        <f>COUNTIF($E$10:$F$77,"*7*")</f>
        <v>1</v>
      </c>
      <c r="BK105" s="671"/>
      <c r="BL105" s="671" t="s">
        <v>242</v>
      </c>
      <c r="BM105" s="671"/>
      <c r="BN105" s="671">
        <f>COUNTIF($E$10:$F$87,"*7*")-DCOUNTA($A$9:$I$87,"6",C123:D124)</f>
        <v>2</v>
      </c>
      <c r="BO105" s="671"/>
      <c r="BP105" s="670">
        <f>COUNTIF($E$10:$F$77,"*8*")</f>
        <v>9</v>
      </c>
      <c r="BQ105" s="671"/>
      <c r="BR105" s="671" t="s">
        <v>242</v>
      </c>
      <c r="BS105" s="671"/>
      <c r="BT105" s="671">
        <f>COUNTIF($E$10:$F$87,"*8*")-DCOUNTA($A$9:$I$87,"6",C125:D126)</f>
        <v>8</v>
      </c>
      <c r="BU105" s="671"/>
      <c r="BV105" s="670">
        <f>COUNTIF($E$10:$E$77,"*9*")</f>
        <v>0</v>
      </c>
      <c r="BW105" s="671"/>
      <c r="BX105" s="671"/>
      <c r="BY105" s="671" t="s">
        <v>242</v>
      </c>
      <c r="BZ105" s="671"/>
      <c r="CA105" s="671">
        <f>COUNTIF($E$10:$E$77,"*9*")-DCOUNTA($A$9:$I$77,"5",C127:D128)</f>
        <v>0</v>
      </c>
      <c r="CB105" s="671"/>
      <c r="CC105" s="671"/>
      <c r="CD105" s="670">
        <f>COUNTIF($E$10:$E$77,"*{*")</f>
        <v>0</v>
      </c>
      <c r="CE105" s="671"/>
      <c r="CF105" s="671"/>
      <c r="CG105" s="671" t="s">
        <v>242</v>
      </c>
      <c r="CH105" s="671"/>
      <c r="CI105" s="671">
        <f>COUNTIF($E$10:$E$77,"*{*")-DCOUNTA($A$9:$I$77,"5",C129:D130)</f>
        <v>0</v>
      </c>
      <c r="CJ105" s="671"/>
      <c r="CK105" s="687"/>
      <c r="CL105" s="472"/>
      <c r="CM105" s="456"/>
    </row>
    <row r="106" spans="1:91" s="98" customFormat="1" ht="17.25" customHeight="1">
      <c r="A106" s="479"/>
      <c r="B106" s="678" t="s">
        <v>494</v>
      </c>
      <c r="C106" s="679"/>
      <c r="D106" s="679"/>
      <c r="E106" s="679"/>
      <c r="F106" s="679"/>
      <c r="G106" s="679"/>
      <c r="H106" s="679"/>
      <c r="I106" s="679"/>
      <c r="J106" s="679"/>
      <c r="K106" s="679"/>
      <c r="L106" s="685">
        <f>T106+AA106+AH106+AO106+AV106+BC106+BJ106+BP106+BV106+CD106</f>
        <v>2</v>
      </c>
      <c r="M106" s="686"/>
      <c r="N106" s="686"/>
      <c r="O106" s="686"/>
      <c r="P106" s="686"/>
      <c r="Q106" s="686"/>
      <c r="R106" s="686"/>
      <c r="S106" s="686"/>
      <c r="T106" s="670">
        <f>COUNTIF($H$10:$H$77,"*1*")</f>
        <v>0</v>
      </c>
      <c r="U106" s="671"/>
      <c r="V106" s="671"/>
      <c r="W106" s="671"/>
      <c r="X106" s="671"/>
      <c r="Y106" s="671"/>
      <c r="Z106" s="671"/>
      <c r="AA106" s="670">
        <f>COUNTIF($H$10:$H$77,"*2*")</f>
        <v>0</v>
      </c>
      <c r="AB106" s="671"/>
      <c r="AC106" s="671"/>
      <c r="AD106" s="671"/>
      <c r="AE106" s="671"/>
      <c r="AF106" s="671"/>
      <c r="AG106" s="671"/>
      <c r="AH106" s="670">
        <f>COUNTIF($H$10:$H$77,"*3*")</f>
        <v>0</v>
      </c>
      <c r="AI106" s="671"/>
      <c r="AJ106" s="671"/>
      <c r="AK106" s="671"/>
      <c r="AL106" s="671"/>
      <c r="AM106" s="671"/>
      <c r="AN106" s="671"/>
      <c r="AO106" s="670">
        <f>COUNTIF($H$10:$H$77,"*4*")</f>
        <v>0</v>
      </c>
      <c r="AP106" s="671"/>
      <c r="AQ106" s="671"/>
      <c r="AR106" s="671"/>
      <c r="AS106" s="671"/>
      <c r="AT106" s="671"/>
      <c r="AU106" s="671"/>
      <c r="AV106" s="670">
        <f>COUNTIF($H$10:$H$77,"*5*")</f>
        <v>0</v>
      </c>
      <c r="AW106" s="671"/>
      <c r="AX106" s="671"/>
      <c r="AY106" s="671"/>
      <c r="AZ106" s="671"/>
      <c r="BA106" s="671"/>
      <c r="BB106" s="671"/>
      <c r="BC106" s="670">
        <f>COUNTIF($H$10:$H$77,"*6*")</f>
        <v>1</v>
      </c>
      <c r="BD106" s="671"/>
      <c r="BE106" s="671"/>
      <c r="BF106" s="671"/>
      <c r="BG106" s="671"/>
      <c r="BH106" s="671"/>
      <c r="BI106" s="671"/>
      <c r="BJ106" s="670">
        <f>COUNTIF($H$10:$H$77,"*7*")</f>
        <v>0</v>
      </c>
      <c r="BK106" s="671"/>
      <c r="BL106" s="671"/>
      <c r="BM106" s="671"/>
      <c r="BN106" s="671"/>
      <c r="BO106" s="671"/>
      <c r="BP106" s="670">
        <f>COUNTIF($H$10:$H$77,"*8*")</f>
        <v>1</v>
      </c>
      <c r="BQ106" s="671"/>
      <c r="BR106" s="671"/>
      <c r="BS106" s="671"/>
      <c r="BT106" s="671"/>
      <c r="BU106" s="671"/>
      <c r="BV106" s="670">
        <f>COUNTIF($H$10:$H$77,"*9*")</f>
        <v>0</v>
      </c>
      <c r="BW106" s="671"/>
      <c r="BX106" s="671"/>
      <c r="BY106" s="671"/>
      <c r="BZ106" s="671"/>
      <c r="CA106" s="671"/>
      <c r="CB106" s="671"/>
      <c r="CC106" s="671"/>
      <c r="CD106" s="670">
        <f>COUNTIF($H$10:$H$77,"*Х*")</f>
        <v>0</v>
      </c>
      <c r="CE106" s="671"/>
      <c r="CF106" s="671"/>
      <c r="CG106" s="671"/>
      <c r="CH106" s="671"/>
      <c r="CI106" s="671"/>
      <c r="CJ106" s="671"/>
      <c r="CK106" s="687"/>
      <c r="CL106" s="472"/>
      <c r="CM106" s="456"/>
    </row>
    <row r="107" spans="1:91" s="98" customFormat="1" ht="20.25" customHeight="1">
      <c r="A107" s="489"/>
      <c r="B107" s="678" t="s">
        <v>496</v>
      </c>
      <c r="C107" s="679"/>
      <c r="D107" s="679"/>
      <c r="E107" s="679"/>
      <c r="F107" s="679"/>
      <c r="G107" s="679"/>
      <c r="H107" s="679"/>
      <c r="I107" s="679"/>
      <c r="J107" s="679"/>
      <c r="K107" s="679"/>
      <c r="L107" s="681">
        <f>T107+AA107+AH107+AO107+AV107+BC107+BJ107+BP107+BV107+CD107</f>
        <v>36</v>
      </c>
      <c r="M107" s="682"/>
      <c r="N107" s="682"/>
      <c r="O107" s="682"/>
      <c r="P107" s="682"/>
      <c r="Q107" s="682"/>
      <c r="R107" s="682"/>
      <c r="S107" s="682"/>
      <c r="T107" s="670">
        <f>COUNTIF($I$10:$I$77,"*1*")</f>
        <v>10</v>
      </c>
      <c r="U107" s="671"/>
      <c r="V107" s="671"/>
      <c r="W107" s="671"/>
      <c r="X107" s="671"/>
      <c r="Y107" s="671"/>
      <c r="Z107" s="671"/>
      <c r="AA107" s="670">
        <f>COUNTIF($I$10:$I$77,"*2*")</f>
        <v>0</v>
      </c>
      <c r="AB107" s="671"/>
      <c r="AC107" s="671"/>
      <c r="AD107" s="671"/>
      <c r="AE107" s="671"/>
      <c r="AF107" s="671"/>
      <c r="AG107" s="671"/>
      <c r="AH107" s="670">
        <f>COUNTIF($I$10:$I$77,"*3*")</f>
        <v>8</v>
      </c>
      <c r="AI107" s="671"/>
      <c r="AJ107" s="671"/>
      <c r="AK107" s="671"/>
      <c r="AL107" s="671"/>
      <c r="AM107" s="671"/>
      <c r="AN107" s="671"/>
      <c r="AO107" s="670">
        <f>COUNTIF($I$10:$I$77,"*4*")</f>
        <v>4</v>
      </c>
      <c r="AP107" s="671"/>
      <c r="AQ107" s="671"/>
      <c r="AR107" s="671"/>
      <c r="AS107" s="671"/>
      <c r="AT107" s="671"/>
      <c r="AU107" s="671"/>
      <c r="AV107" s="670">
        <f>COUNTIF($I$10:$I$77,"*5*")</f>
        <v>4</v>
      </c>
      <c r="AW107" s="671"/>
      <c r="AX107" s="671"/>
      <c r="AY107" s="671"/>
      <c r="AZ107" s="671"/>
      <c r="BA107" s="671"/>
      <c r="BB107" s="671"/>
      <c r="BC107" s="670">
        <f>COUNTIF($I$10:$I$77,"*6*")</f>
        <v>3</v>
      </c>
      <c r="BD107" s="671"/>
      <c r="BE107" s="671"/>
      <c r="BF107" s="671"/>
      <c r="BG107" s="671"/>
      <c r="BH107" s="671"/>
      <c r="BI107" s="671"/>
      <c r="BJ107" s="670">
        <f>COUNTIF($I$10:$I$77,"*7*")</f>
        <v>7</v>
      </c>
      <c r="BK107" s="671"/>
      <c r="BL107" s="671"/>
      <c r="BM107" s="671"/>
      <c r="BN107" s="671"/>
      <c r="BO107" s="671"/>
      <c r="BP107" s="670">
        <f>COUNTIF($I$10:$I$77,"*8*")</f>
        <v>0</v>
      </c>
      <c r="BQ107" s="671"/>
      <c r="BR107" s="671"/>
      <c r="BS107" s="671"/>
      <c r="BT107" s="671"/>
      <c r="BU107" s="671"/>
      <c r="BV107" s="670">
        <f>COUNTIF($I$10:$I$77,"*9*")</f>
        <v>0</v>
      </c>
      <c r="BW107" s="671"/>
      <c r="BX107" s="671"/>
      <c r="BY107" s="671"/>
      <c r="BZ107" s="671"/>
      <c r="CA107" s="671"/>
      <c r="CB107" s="671"/>
      <c r="CC107" s="671"/>
      <c r="CD107" s="670">
        <f>COUNTIF($I$10:$I$77,"*Х*")</f>
        <v>0</v>
      </c>
      <c r="CE107" s="671"/>
      <c r="CF107" s="671"/>
      <c r="CG107" s="671"/>
      <c r="CH107" s="671"/>
      <c r="CI107" s="671"/>
      <c r="CJ107" s="671"/>
      <c r="CK107" s="687"/>
      <c r="CL107" s="472"/>
      <c r="CM107" s="456"/>
    </row>
    <row r="109" spans="66:72" ht="15.75">
      <c r="BN109" s="517"/>
      <c r="BT109" s="517"/>
    </row>
    <row r="110" spans="1:8" ht="12.75" hidden="1">
      <c r="A110" s="683" t="s">
        <v>240</v>
      </c>
      <c r="B110" s="683"/>
      <c r="C110" s="684" t="s">
        <v>241</v>
      </c>
      <c r="D110" s="684"/>
      <c r="E110" s="684" t="s">
        <v>262</v>
      </c>
      <c r="F110" s="684"/>
      <c r="G110" s="684"/>
      <c r="H110" s="684"/>
    </row>
    <row r="111" spans="1:8" ht="12.75" hidden="1">
      <c r="A111" s="316">
        <v>1</v>
      </c>
      <c r="B111" s="316">
        <v>11</v>
      </c>
      <c r="C111" s="317">
        <v>2</v>
      </c>
      <c r="D111" s="318" t="s">
        <v>39</v>
      </c>
      <c r="E111" s="317">
        <v>2</v>
      </c>
      <c r="F111" s="317"/>
      <c r="G111" s="317"/>
      <c r="H111" s="318" t="s">
        <v>38</v>
      </c>
    </row>
    <row r="112" spans="1:8" ht="51" hidden="1">
      <c r="A112" s="316" t="s">
        <v>219</v>
      </c>
      <c r="B112" s="316" t="s">
        <v>135</v>
      </c>
      <c r="C112" s="316" t="s">
        <v>7</v>
      </c>
      <c r="D112" s="319" t="s">
        <v>243</v>
      </c>
      <c r="E112" s="316" t="s">
        <v>7</v>
      </c>
      <c r="F112" s="316"/>
      <c r="G112" s="316"/>
      <c r="H112" s="319" t="s">
        <v>243</v>
      </c>
    </row>
    <row r="113" spans="1:8" ht="12.75" hidden="1">
      <c r="A113" s="316">
        <v>1</v>
      </c>
      <c r="B113" s="316">
        <v>21</v>
      </c>
      <c r="C113" s="317">
        <v>2</v>
      </c>
      <c r="D113" s="318" t="s">
        <v>39</v>
      </c>
      <c r="E113" s="317">
        <v>2</v>
      </c>
      <c r="F113" s="317"/>
      <c r="G113" s="317"/>
      <c r="H113" s="318" t="s">
        <v>38</v>
      </c>
    </row>
    <row r="114" spans="1:8" ht="51" hidden="1">
      <c r="A114" s="316" t="s">
        <v>219</v>
      </c>
      <c r="B114" s="316" t="s">
        <v>135</v>
      </c>
      <c r="C114" s="316" t="s">
        <v>7</v>
      </c>
      <c r="D114" s="319" t="s">
        <v>244</v>
      </c>
      <c r="E114" s="316" t="s">
        <v>7</v>
      </c>
      <c r="F114" s="316"/>
      <c r="G114" s="316"/>
      <c r="H114" s="319" t="s">
        <v>244</v>
      </c>
    </row>
    <row r="115" spans="1:8" ht="12.75" hidden="1">
      <c r="A115" s="316">
        <v>1</v>
      </c>
      <c r="B115" s="316">
        <v>30</v>
      </c>
      <c r="C115" s="317">
        <v>2</v>
      </c>
      <c r="D115" s="318" t="s">
        <v>40</v>
      </c>
      <c r="E115" s="317">
        <v>2</v>
      </c>
      <c r="F115" s="317"/>
      <c r="G115" s="317"/>
      <c r="H115" s="318" t="s">
        <v>38</v>
      </c>
    </row>
    <row r="116" spans="1:8" ht="51" hidden="1">
      <c r="A116" s="316" t="s">
        <v>219</v>
      </c>
      <c r="B116" s="316" t="s">
        <v>135</v>
      </c>
      <c r="C116" s="316" t="s">
        <v>7</v>
      </c>
      <c r="D116" s="319" t="s">
        <v>245</v>
      </c>
      <c r="E116" s="316" t="s">
        <v>7</v>
      </c>
      <c r="F116" s="316"/>
      <c r="G116" s="316"/>
      <c r="H116" s="319" t="s">
        <v>245</v>
      </c>
    </row>
    <row r="117" spans="1:8" ht="12.75" hidden="1">
      <c r="A117" s="316">
        <v>1</v>
      </c>
      <c r="B117" s="316">
        <v>39</v>
      </c>
      <c r="C117" s="317">
        <v>2</v>
      </c>
      <c r="D117" s="318" t="s">
        <v>40</v>
      </c>
      <c r="E117" s="317">
        <v>2</v>
      </c>
      <c r="F117" s="317"/>
      <c r="G117" s="317"/>
      <c r="H117" s="318" t="s">
        <v>38</v>
      </c>
    </row>
    <row r="118" spans="1:8" ht="51" hidden="1">
      <c r="A118" s="316" t="s">
        <v>219</v>
      </c>
      <c r="B118" s="316" t="s">
        <v>135</v>
      </c>
      <c r="C118" s="316" t="s">
        <v>7</v>
      </c>
      <c r="D118" s="319" t="s">
        <v>246</v>
      </c>
      <c r="E118" s="316" t="s">
        <v>7</v>
      </c>
      <c r="F118" s="316"/>
      <c r="G118" s="316"/>
      <c r="H118" s="319" t="s">
        <v>246</v>
      </c>
    </row>
    <row r="119" spans="1:8" ht="12.75" hidden="1">
      <c r="A119" s="316">
        <v>1</v>
      </c>
      <c r="B119" s="316">
        <v>48</v>
      </c>
      <c r="C119" s="317">
        <v>2</v>
      </c>
      <c r="D119" s="318" t="s">
        <v>40</v>
      </c>
      <c r="E119" s="317">
        <v>2</v>
      </c>
      <c r="F119" s="317"/>
      <c r="G119" s="317"/>
      <c r="H119" s="318" t="s">
        <v>38</v>
      </c>
    </row>
    <row r="120" spans="1:8" ht="51" hidden="1">
      <c r="A120" s="316" t="s">
        <v>219</v>
      </c>
      <c r="B120" s="316" t="s">
        <v>135</v>
      </c>
      <c r="C120" s="316" t="s">
        <v>7</v>
      </c>
      <c r="D120" s="319" t="s">
        <v>247</v>
      </c>
      <c r="E120" s="316" t="s">
        <v>7</v>
      </c>
      <c r="F120" s="316"/>
      <c r="G120" s="316"/>
      <c r="H120" s="319" t="s">
        <v>247</v>
      </c>
    </row>
    <row r="121" spans="1:8" ht="12.75" hidden="1">
      <c r="A121" s="316">
        <v>1</v>
      </c>
      <c r="B121" s="316">
        <v>57</v>
      </c>
      <c r="C121" s="317">
        <v>2</v>
      </c>
      <c r="D121" s="318" t="s">
        <v>40</v>
      </c>
      <c r="E121" s="317">
        <v>2</v>
      </c>
      <c r="F121" s="317"/>
      <c r="G121" s="317"/>
      <c r="H121" s="318" t="s">
        <v>38</v>
      </c>
    </row>
    <row r="122" spans="1:8" ht="51" hidden="1">
      <c r="A122" s="316" t="s">
        <v>219</v>
      </c>
      <c r="B122" s="316" t="s">
        <v>135</v>
      </c>
      <c r="C122" s="316" t="s">
        <v>7</v>
      </c>
      <c r="D122" s="319" t="s">
        <v>248</v>
      </c>
      <c r="E122" s="316" t="s">
        <v>7</v>
      </c>
      <c r="F122" s="316"/>
      <c r="G122" s="316"/>
      <c r="H122" s="319" t="s">
        <v>248</v>
      </c>
    </row>
    <row r="123" spans="1:8" ht="12.75" hidden="1">
      <c r="A123" s="316">
        <v>1</v>
      </c>
      <c r="B123" s="316">
        <v>66</v>
      </c>
      <c r="C123" s="317">
        <v>2</v>
      </c>
      <c r="D123" s="318" t="s">
        <v>40</v>
      </c>
      <c r="E123" s="317">
        <v>2</v>
      </c>
      <c r="F123" s="317"/>
      <c r="G123" s="317"/>
      <c r="H123" s="318" t="s">
        <v>38</v>
      </c>
    </row>
    <row r="124" spans="1:8" ht="51" hidden="1">
      <c r="A124" s="316" t="s">
        <v>219</v>
      </c>
      <c r="B124" s="316" t="s">
        <v>135</v>
      </c>
      <c r="C124" s="316" t="s">
        <v>7</v>
      </c>
      <c r="D124" s="319" t="s">
        <v>249</v>
      </c>
      <c r="E124" s="316" t="s">
        <v>7</v>
      </c>
      <c r="F124" s="316"/>
      <c r="G124" s="316"/>
      <c r="H124" s="319" t="s">
        <v>249</v>
      </c>
    </row>
    <row r="125" spans="1:8" ht="12.75" hidden="1">
      <c r="A125" s="316">
        <v>1</v>
      </c>
      <c r="B125" s="316">
        <v>75</v>
      </c>
      <c r="C125" s="317">
        <v>2</v>
      </c>
      <c r="D125" s="318" t="s">
        <v>40</v>
      </c>
      <c r="E125" s="317">
        <v>2</v>
      </c>
      <c r="F125" s="317"/>
      <c r="G125" s="317"/>
      <c r="H125" s="318" t="s">
        <v>38</v>
      </c>
    </row>
    <row r="126" spans="1:8" ht="51" hidden="1">
      <c r="A126" s="316" t="s">
        <v>219</v>
      </c>
      <c r="B126" s="316" t="s">
        <v>135</v>
      </c>
      <c r="C126" s="316" t="s">
        <v>7</v>
      </c>
      <c r="D126" s="319" t="s">
        <v>250</v>
      </c>
      <c r="E126" s="316" t="s">
        <v>7</v>
      </c>
      <c r="F126" s="316"/>
      <c r="G126" s="316"/>
      <c r="H126" s="319" t="s">
        <v>250</v>
      </c>
    </row>
    <row r="127" spans="1:8" ht="12.75" hidden="1">
      <c r="A127" s="316">
        <v>1</v>
      </c>
      <c r="B127" s="316">
        <v>84</v>
      </c>
      <c r="C127" s="317">
        <v>2</v>
      </c>
      <c r="D127" s="318" t="s">
        <v>40</v>
      </c>
      <c r="E127" s="317">
        <v>2</v>
      </c>
      <c r="F127" s="317"/>
      <c r="G127" s="317"/>
      <c r="H127" s="318" t="s">
        <v>38</v>
      </c>
    </row>
    <row r="128" spans="1:8" ht="51" hidden="1">
      <c r="A128" s="316" t="s">
        <v>219</v>
      </c>
      <c r="B128" s="316" t="s">
        <v>135</v>
      </c>
      <c r="C128" s="316" t="s">
        <v>7</v>
      </c>
      <c r="D128" s="319" t="s">
        <v>251</v>
      </c>
      <c r="E128" s="316" t="s">
        <v>7</v>
      </c>
      <c r="F128" s="316"/>
      <c r="G128" s="316"/>
      <c r="H128" s="319" t="s">
        <v>251</v>
      </c>
    </row>
    <row r="129" spans="1:8" ht="12.75" hidden="1">
      <c r="A129" s="316">
        <v>1</v>
      </c>
      <c r="B129" s="316">
        <v>93</v>
      </c>
      <c r="C129" s="317">
        <v>2</v>
      </c>
      <c r="D129" s="318" t="s">
        <v>40</v>
      </c>
      <c r="E129" s="317">
        <v>2</v>
      </c>
      <c r="F129" s="317"/>
      <c r="G129" s="317"/>
      <c r="H129" s="318" t="s">
        <v>38</v>
      </c>
    </row>
    <row r="130" spans="1:8" ht="51" hidden="1">
      <c r="A130" s="316" t="s">
        <v>219</v>
      </c>
      <c r="B130" s="316" t="s">
        <v>135</v>
      </c>
      <c r="C130" s="316" t="s">
        <v>7</v>
      </c>
      <c r="D130" s="319" t="s">
        <v>252</v>
      </c>
      <c r="E130" s="316" t="s">
        <v>7</v>
      </c>
      <c r="F130" s="316"/>
      <c r="G130" s="316"/>
      <c r="H130" s="319" t="s">
        <v>252</v>
      </c>
    </row>
    <row r="131" spans="1:3" ht="12.75" hidden="1">
      <c r="A131" s="316">
        <v>1</v>
      </c>
      <c r="B131" s="316">
        <v>102</v>
      </c>
      <c r="C131" s="314"/>
    </row>
    <row r="132" spans="1:3" ht="12.75" hidden="1">
      <c r="A132" s="316" t="s">
        <v>219</v>
      </c>
      <c r="B132" s="316" t="s">
        <v>135</v>
      </c>
      <c r="C132" s="314"/>
    </row>
    <row r="133" ht="12.75" hidden="1"/>
    <row r="134" spans="2:64" ht="38.25" customHeight="1" hidden="1">
      <c r="B134" s="320" t="s">
        <v>444</v>
      </c>
      <c r="C134" s="320"/>
      <c r="D134" s="321">
        <f>SUM(U134:BP134)</f>
        <v>300</v>
      </c>
      <c r="V134" s="322">
        <v>90</v>
      </c>
      <c r="AI134" s="302">
        <v>90</v>
      </c>
      <c r="AW134" s="302">
        <v>60</v>
      </c>
      <c r="BL134" s="302">
        <v>60</v>
      </c>
    </row>
    <row r="135" ht="12.75" hidden="1"/>
    <row r="136" ht="12.75" hidden="1"/>
    <row r="137" ht="12.75" hidden="1"/>
    <row r="138" spans="2:69" ht="15.75" hidden="1">
      <c r="B138" s="289" t="s">
        <v>442</v>
      </c>
      <c r="U138" s="323">
        <f>U95*3+AB95*3+(V95+AC95)*6</f>
        <v>4830</v>
      </c>
      <c r="AI138" s="323">
        <f>AI95*3+AP95*3+AP96*6+(AJ95+AQ95)*6</f>
        <v>3861</v>
      </c>
      <c r="AW138" s="323">
        <f>AW95*2+BD95*2+(AX95+BE95)*4+AW96*4+AW134</f>
        <v>2104</v>
      </c>
      <c r="BD138" s="323"/>
      <c r="BL138" s="323">
        <f>BK95*3+BQ95*3+(BL95+BR95)*6+BL134</f>
        <v>3183</v>
      </c>
      <c r="BQ138" s="323"/>
    </row>
    <row r="139" spans="2:69" ht="15.75" hidden="1">
      <c r="B139" s="289" t="s">
        <v>443</v>
      </c>
      <c r="U139" s="323">
        <f>U138/720</f>
        <v>6.70833333333333</v>
      </c>
      <c r="AI139" s="323">
        <f>AI138/720</f>
        <v>5.3625</v>
      </c>
      <c r="AW139" s="323">
        <f>AW138/720</f>
        <v>2.92222222222222</v>
      </c>
      <c r="BD139" s="323"/>
      <c r="BL139" s="323">
        <f>BL138/720</f>
        <v>4.42083333333333</v>
      </c>
      <c r="BQ139" s="323"/>
    </row>
    <row r="140" spans="2:69" ht="25.5" hidden="1">
      <c r="B140" s="289" t="s">
        <v>441</v>
      </c>
      <c r="U140" s="288">
        <f>V134/U139</f>
        <v>13.416149068323</v>
      </c>
      <c r="AI140" s="288">
        <f>AI134/AI139</f>
        <v>16.7832167832168</v>
      </c>
      <c r="AW140" s="288">
        <f>AW134/AW139</f>
        <v>20.532319391635</v>
      </c>
      <c r="BD140" s="323"/>
      <c r="BL140" s="288">
        <f>BL134/BL139</f>
        <v>13.5721017907634</v>
      </c>
      <c r="BQ140" s="323"/>
    </row>
    <row r="141" spans="21:69" ht="15.75" hidden="1">
      <c r="U141" s="323"/>
      <c r="AI141" s="323"/>
      <c r="AW141" s="323"/>
      <c r="BD141" s="323"/>
      <c r="BL141" s="323"/>
      <c r="BQ141" s="323"/>
    </row>
    <row r="142" spans="21:69" ht="15.75" hidden="1">
      <c r="U142" s="323"/>
      <c r="AI142" s="323"/>
      <c r="AW142" s="323"/>
      <c r="BD142" s="323"/>
      <c r="BL142" s="323"/>
      <c r="BQ142" s="323"/>
    </row>
    <row r="143" ht="12.75" hidden="1"/>
    <row r="144" ht="12.75" hidden="1"/>
    <row r="145" spans="2:4" ht="12.75" hidden="1">
      <c r="B145" s="320" t="s">
        <v>439</v>
      </c>
      <c r="C145" s="320"/>
      <c r="D145" s="324">
        <f>SUM(U138,AI138,AW138,BL138)</f>
        <v>13978</v>
      </c>
    </row>
    <row r="146" spans="2:4" ht="12.75" hidden="1">
      <c r="B146" s="320" t="s">
        <v>440</v>
      </c>
      <c r="C146" s="320"/>
      <c r="D146" s="324">
        <f>D145/720</f>
        <v>19.4138888888889</v>
      </c>
    </row>
    <row r="147" spans="2:4" ht="12.75" hidden="1">
      <c r="B147" s="320"/>
      <c r="C147" s="320"/>
      <c r="D147" s="325"/>
    </row>
    <row r="148" spans="2:4" ht="25.5" hidden="1">
      <c r="B148" s="320" t="s">
        <v>441</v>
      </c>
      <c r="C148" s="320"/>
      <c r="D148" s="326">
        <f>D134/D146</f>
        <v>15.45</v>
      </c>
    </row>
    <row r="149" ht="12.75" hidden="1"/>
  </sheetData>
  <sheetProtection selectLockedCells="1" sort="0" autoFilter="0" pivotTables="0" selectUnlockedCells="1"/>
  <mergeCells count="242">
    <mergeCell ref="B59:I59"/>
    <mergeCell ref="B65:I65"/>
    <mergeCell ref="AF104:AG104"/>
    <mergeCell ref="CL2:CL8"/>
    <mergeCell ref="B10:I10"/>
    <mergeCell ref="B2:B8"/>
    <mergeCell ref="C2:C8"/>
    <mergeCell ref="B33:I33"/>
    <mergeCell ref="B28:I28"/>
    <mergeCell ref="N5:N8"/>
    <mergeCell ref="AA4:AB4"/>
    <mergeCell ref="B48:I48"/>
    <mergeCell ref="AA5:AB5"/>
    <mergeCell ref="S4:S8"/>
    <mergeCell ref="AH3:AU3"/>
    <mergeCell ref="AH5:AI5"/>
    <mergeCell ref="AA7:AC7"/>
    <mergeCell ref="T6:U6"/>
    <mergeCell ref="T7:V7"/>
    <mergeCell ref="P5:P8"/>
    <mergeCell ref="CM2:CM8"/>
    <mergeCell ref="BV3:CK3"/>
    <mergeCell ref="D4:D8"/>
    <mergeCell ref="E4:E8"/>
    <mergeCell ref="H4:H8"/>
    <mergeCell ref="I4:I8"/>
    <mergeCell ref="CE6:CF6"/>
    <mergeCell ref="AH4:AI4"/>
    <mergeCell ref="T5:U5"/>
    <mergeCell ref="V5:Y5"/>
    <mergeCell ref="BP5:BQ5"/>
    <mergeCell ref="AV5:AW5"/>
    <mergeCell ref="BV4:BX4"/>
    <mergeCell ref="BV5:BX5"/>
    <mergeCell ref="CI5:CJ5"/>
    <mergeCell ref="AV3:BI3"/>
    <mergeCell ref="BJ3:BU3"/>
    <mergeCell ref="CA5:CB5"/>
    <mergeCell ref="BW7:CA7"/>
    <mergeCell ref="CE7:CI7"/>
    <mergeCell ref="CI4:CJ4"/>
    <mergeCell ref="BP4:BQ4"/>
    <mergeCell ref="T3:AG3"/>
    <mergeCell ref="U2:CK2"/>
    <mergeCell ref="BJ4:BK4"/>
    <mergeCell ref="BW6:BX6"/>
    <mergeCell ref="AH7:AJ7"/>
    <mergeCell ref="AA6:AB6"/>
    <mergeCell ref="O5:O8"/>
    <mergeCell ref="BC4:BD4"/>
    <mergeCell ref="CA4:CB4"/>
    <mergeCell ref="CD4:CF4"/>
    <mergeCell ref="BC5:BD5"/>
    <mergeCell ref="AV4:AW4"/>
    <mergeCell ref="CD5:CF5"/>
    <mergeCell ref="AO5:AP5"/>
    <mergeCell ref="AH6:AI6"/>
    <mergeCell ref="Q4:Q8"/>
    <mergeCell ref="D2:I3"/>
    <mergeCell ref="M4:M8"/>
    <mergeCell ref="BP6:BQ6"/>
    <mergeCell ref="BP7:BR7"/>
    <mergeCell ref="BJ6:BK6"/>
    <mergeCell ref="BJ7:BL7"/>
    <mergeCell ref="BC6:BD6"/>
    <mergeCell ref="BC7:BE7"/>
    <mergeCell ref="AV6:AW6"/>
    <mergeCell ref="N4:P4"/>
    <mergeCell ref="A2:A8"/>
    <mergeCell ref="J2:K7"/>
    <mergeCell ref="L2:S2"/>
    <mergeCell ref="BP100:BU100"/>
    <mergeCell ref="BV100:CC100"/>
    <mergeCell ref="B99:I99"/>
    <mergeCell ref="B100:K100"/>
    <mergeCell ref="L100:S100"/>
    <mergeCell ref="T100:Z100"/>
    <mergeCell ref="B98:I98"/>
    <mergeCell ref="B38:C38"/>
    <mergeCell ref="B78:C78"/>
    <mergeCell ref="B85:C85"/>
    <mergeCell ref="B88:C88"/>
    <mergeCell ref="A93:C93"/>
    <mergeCell ref="A94:C94"/>
    <mergeCell ref="B66:I66"/>
    <mergeCell ref="B49:I49"/>
    <mergeCell ref="B47:I47"/>
    <mergeCell ref="B58:I58"/>
    <mergeCell ref="B95:I95"/>
    <mergeCell ref="B96:I96"/>
    <mergeCell ref="E83:E84"/>
    <mergeCell ref="T4:U4"/>
    <mergeCell ref="AO4:AP4"/>
    <mergeCell ref="BJ5:BK5"/>
    <mergeCell ref="AV7:AX7"/>
    <mergeCell ref="B11:I11"/>
    <mergeCell ref="AO6:AP6"/>
    <mergeCell ref="AO7:AQ7"/>
    <mergeCell ref="B97:I97"/>
    <mergeCell ref="B37:C37"/>
    <mergeCell ref="CD100:CK100"/>
    <mergeCell ref="B101:K101"/>
    <mergeCell ref="L101:S101"/>
    <mergeCell ref="T101:Z101"/>
    <mergeCell ref="AA101:AG101"/>
    <mergeCell ref="AH101:AN101"/>
    <mergeCell ref="AO101:AU101"/>
    <mergeCell ref="AV101:BB101"/>
    <mergeCell ref="AA100:AG100"/>
    <mergeCell ref="AH100:AN100"/>
    <mergeCell ref="AO100:AU100"/>
    <mergeCell ref="AV100:BB100"/>
    <mergeCell ref="BC100:BI100"/>
    <mergeCell ref="BJ100:BO100"/>
    <mergeCell ref="B27:C27"/>
    <mergeCell ref="L3:L8"/>
    <mergeCell ref="M3:S3"/>
    <mergeCell ref="CD103:CK103"/>
    <mergeCell ref="AO103:AU103"/>
    <mergeCell ref="AV103:BB103"/>
    <mergeCell ref="BC103:BI103"/>
    <mergeCell ref="BJ103:BO103"/>
    <mergeCell ref="BC101:BI101"/>
    <mergeCell ref="BJ101:BO101"/>
    <mergeCell ref="AA103:AG103"/>
    <mergeCell ref="AH103:AN103"/>
    <mergeCell ref="CD101:CK101"/>
    <mergeCell ref="L102:S102"/>
    <mergeCell ref="T102:Z102"/>
    <mergeCell ref="AA102:AG102"/>
    <mergeCell ref="AH102:AN102"/>
    <mergeCell ref="AO102:AU102"/>
    <mergeCell ref="BP101:BU101"/>
    <mergeCell ref="BV101:CC101"/>
    <mergeCell ref="AV102:BB102"/>
    <mergeCell ref="BP102:BU102"/>
    <mergeCell ref="BV102:CC102"/>
    <mergeCell ref="CD102:CK102"/>
    <mergeCell ref="B103:K103"/>
    <mergeCell ref="B102:K102"/>
    <mergeCell ref="BC102:BI102"/>
    <mergeCell ref="BJ102:BO102"/>
    <mergeCell ref="L103:S103"/>
    <mergeCell ref="T103:Z103"/>
    <mergeCell ref="BH105:BI105"/>
    <mergeCell ref="CI104:CK104"/>
    <mergeCell ref="AX104:AY104"/>
    <mergeCell ref="BA104:BB104"/>
    <mergeCell ref="CD104:CF104"/>
    <mergeCell ref="CG104:CH104"/>
    <mergeCell ref="BH104:BI104"/>
    <mergeCell ref="BJ104:BK104"/>
    <mergeCell ref="BL104:BM104"/>
    <mergeCell ref="BR104:BS104"/>
    <mergeCell ref="CA104:CC104"/>
    <mergeCell ref="CD106:CK106"/>
    <mergeCell ref="BJ106:BO106"/>
    <mergeCell ref="CD107:CK107"/>
    <mergeCell ref="CI105:CK105"/>
    <mergeCell ref="BV106:CC106"/>
    <mergeCell ref="BT105:BU105"/>
    <mergeCell ref="BY105:BZ105"/>
    <mergeCell ref="BP104:BQ104"/>
    <mergeCell ref="BT104:BU104"/>
    <mergeCell ref="AV107:BB107"/>
    <mergeCell ref="BP106:BU106"/>
    <mergeCell ref="B106:K106"/>
    <mergeCell ref="L106:S106"/>
    <mergeCell ref="T106:Z106"/>
    <mergeCell ref="AA106:AG106"/>
    <mergeCell ref="AH106:AN106"/>
    <mergeCell ref="AO106:AU106"/>
    <mergeCell ref="V105:W105"/>
    <mergeCell ref="Y105:Z105"/>
    <mergeCell ref="AV106:BB106"/>
    <mergeCell ref="CD105:CF105"/>
    <mergeCell ref="CG105:CH105"/>
    <mergeCell ref="BP107:BU107"/>
    <mergeCell ref="BV107:CC107"/>
    <mergeCell ref="AO107:AU107"/>
    <mergeCell ref="BC107:BI107"/>
    <mergeCell ref="BJ107:BO107"/>
    <mergeCell ref="A110:B110"/>
    <mergeCell ref="C110:D110"/>
    <mergeCell ref="E110:H110"/>
    <mergeCell ref="L107:S107"/>
    <mergeCell ref="T107:Z107"/>
    <mergeCell ref="AA107:AG107"/>
    <mergeCell ref="BC105:BD105"/>
    <mergeCell ref="BE105:BF105"/>
    <mergeCell ref="AV105:AW105"/>
    <mergeCell ref="AX105:AY105"/>
    <mergeCell ref="BA105:BB105"/>
    <mergeCell ref="AH104:AI104"/>
    <mergeCell ref="AH105:AI105"/>
    <mergeCell ref="BE104:BF104"/>
    <mergeCell ref="BC104:BD104"/>
    <mergeCell ref="AV104:AW104"/>
    <mergeCell ref="AA105:AB105"/>
    <mergeCell ref="AC105:AD105"/>
    <mergeCell ref="AH107:AN107"/>
    <mergeCell ref="B107:K107"/>
    <mergeCell ref="B105:K105"/>
    <mergeCell ref="L105:M105"/>
    <mergeCell ref="N105:P105"/>
    <mergeCell ref="R105:S105"/>
    <mergeCell ref="T105:U105"/>
    <mergeCell ref="AF105:AG105"/>
    <mergeCell ref="B104:K104"/>
    <mergeCell ref="BC106:BI106"/>
    <mergeCell ref="AQ105:AR105"/>
    <mergeCell ref="AT105:AU105"/>
    <mergeCell ref="L104:M104"/>
    <mergeCell ref="N104:P104"/>
    <mergeCell ref="R104:S104"/>
    <mergeCell ref="T104:U104"/>
    <mergeCell ref="V104:W104"/>
    <mergeCell ref="Y104:Z104"/>
    <mergeCell ref="AJ105:AK105"/>
    <mergeCell ref="AM105:AN105"/>
    <mergeCell ref="AQ104:AR104"/>
    <mergeCell ref="AT104:AU104"/>
    <mergeCell ref="AC104:AD104"/>
    <mergeCell ref="AO105:AP105"/>
    <mergeCell ref="AO104:AP104"/>
    <mergeCell ref="BV104:BX104"/>
    <mergeCell ref="BY104:BZ104"/>
    <mergeCell ref="BL105:BM105"/>
    <mergeCell ref="BN105:BO105"/>
    <mergeCell ref="BP105:BQ105"/>
    <mergeCell ref="BR105:BS105"/>
    <mergeCell ref="BN104:BO104"/>
    <mergeCell ref="B23:I23"/>
    <mergeCell ref="R4:R8"/>
    <mergeCell ref="BJ105:BK105"/>
    <mergeCell ref="BP103:BU103"/>
    <mergeCell ref="BV103:CC103"/>
    <mergeCell ref="CA105:CC105"/>
    <mergeCell ref="BV105:BX105"/>
    <mergeCell ref="AA104:AB104"/>
    <mergeCell ref="AJ104:AK104"/>
    <mergeCell ref="AM104:AN104"/>
  </mergeCells>
  <conditionalFormatting sqref="CL34:CL36 CL29:CL32 CL12:CL19 CL83:CL84 CL79:CL81 CL71:CL73 CL67:CL69 CL39:CL46 CL50:CL57 CL75:CL77 CL60:CL64 CL21 CL89 CL26">
    <cfRule type="expression" priority="401" dxfId="20" stopIfTrue="1">
      <formula>AND(L12&gt;0,CL12=0)</formula>
    </cfRule>
    <cfRule type="expression" priority="402" dxfId="20" stopIfTrue="1">
      <formula>AND(L12=0,CL12&lt;&gt;0)</formula>
    </cfRule>
  </conditionalFormatting>
  <conditionalFormatting sqref="CL29:CL32">
    <cfRule type="expression" priority="395" dxfId="20" stopIfTrue="1">
      <formula>AND(L29&gt;0,CL29=0)</formula>
    </cfRule>
    <cfRule type="expression" priority="396" dxfId="20" stopIfTrue="1">
      <formula>AND(L29=0,CL29&lt;&gt;0)</formula>
    </cfRule>
  </conditionalFormatting>
  <conditionalFormatting sqref="CL34:CL36">
    <cfRule type="expression" priority="393" dxfId="20" stopIfTrue="1">
      <formula>AND(L34&gt;0,CL34=0)</formula>
    </cfRule>
    <cfRule type="expression" priority="394" dxfId="20" stopIfTrue="1">
      <formula>AND(L34=0,CL34&lt;&gt;0)</formula>
    </cfRule>
  </conditionalFormatting>
  <conditionalFormatting sqref="CL79">
    <cfRule type="expression" priority="387" dxfId="20" stopIfTrue="1">
      <formula>AND(L79&gt;0,CL79=0)</formula>
    </cfRule>
    <cfRule type="expression" priority="388" dxfId="20" stopIfTrue="1">
      <formula>AND(L79=0,CL79&lt;&gt;0)</formula>
    </cfRule>
  </conditionalFormatting>
  <conditionalFormatting sqref="CL81">
    <cfRule type="expression" priority="383" dxfId="20" stopIfTrue="1">
      <formula>AND(L81&gt;0,CL81=0)</formula>
    </cfRule>
    <cfRule type="expression" priority="384" dxfId="20" stopIfTrue="1">
      <formula>AND(L81=0,CL81&lt;&gt;0)</formula>
    </cfRule>
  </conditionalFormatting>
  <conditionalFormatting sqref="CL79">
    <cfRule type="expression" priority="365" dxfId="20" stopIfTrue="1">
      <formula>AND(L79&gt;0,CL79=0)</formula>
    </cfRule>
    <cfRule type="expression" priority="366" dxfId="20" stopIfTrue="1">
      <formula>AND(L79=0,CL79&lt;&gt;0)</formula>
    </cfRule>
  </conditionalFormatting>
  <conditionalFormatting sqref="CL81">
    <cfRule type="expression" priority="361" dxfId="20" stopIfTrue="1">
      <formula>AND(L81&gt;0,CL81=0)</formula>
    </cfRule>
    <cfRule type="expression" priority="362" dxfId="20" stopIfTrue="1">
      <formula>AND(L81=0,CL81&lt;&gt;0)</formula>
    </cfRule>
  </conditionalFormatting>
  <conditionalFormatting sqref="CL83">
    <cfRule type="expression" priority="359" dxfId="20" stopIfTrue="1">
      <formula>AND(L83&gt;0,CL83=0)</formula>
    </cfRule>
    <cfRule type="expression" priority="360" dxfId="20" stopIfTrue="1">
      <formula>AND(L83=0,CL83&lt;&gt;0)</formula>
    </cfRule>
  </conditionalFormatting>
  <conditionalFormatting sqref="CL84">
    <cfRule type="expression" priority="357" dxfId="20" stopIfTrue="1">
      <formula>AND(L84&gt;0,CL84=0)</formula>
    </cfRule>
    <cfRule type="expression" priority="358" dxfId="20" stopIfTrue="1">
      <formula>AND(L84=0,CL84&lt;&gt;0)</formula>
    </cfRule>
  </conditionalFormatting>
  <conditionalFormatting sqref="CL32">
    <cfRule type="expression" priority="325" dxfId="20" stopIfTrue="1">
      <formula>AND(L32&gt;0,CL32=0)</formula>
    </cfRule>
    <cfRule type="expression" priority="326" dxfId="20" stopIfTrue="1">
      <formula>AND(L32=0,CL32&lt;&gt;0)</formula>
    </cfRule>
  </conditionalFormatting>
  <conditionalFormatting sqref="CL82">
    <cfRule type="expression" priority="319" dxfId="20" stopIfTrue="1">
      <formula>AND(L82&gt;0,CL82=0)</formula>
    </cfRule>
    <cfRule type="expression" priority="320" dxfId="20" stopIfTrue="1">
      <formula>AND(L82=0,CL82&lt;&gt;0)</formula>
    </cfRule>
  </conditionalFormatting>
  <conditionalFormatting sqref="CL82">
    <cfRule type="expression" priority="317" dxfId="20" stopIfTrue="1">
      <formula>AND(L82&gt;0,CL82=0)</formula>
    </cfRule>
    <cfRule type="expression" priority="318" dxfId="20" stopIfTrue="1">
      <formula>AND(L82=0,CL82&lt;&gt;0)</formula>
    </cfRule>
  </conditionalFormatting>
  <conditionalFormatting sqref="CL63">
    <cfRule type="expression" priority="315" dxfId="20" stopIfTrue="1">
      <formula>AND(L63&gt;0,CL63=0)</formula>
    </cfRule>
    <cfRule type="expression" priority="316" dxfId="20" stopIfTrue="1">
      <formula>AND(L63=0,CL63&lt;&gt;0)</formula>
    </cfRule>
  </conditionalFormatting>
  <conditionalFormatting sqref="CL63">
    <cfRule type="expression" priority="313" dxfId="20" stopIfTrue="1">
      <formula>AND(L63&gt;0,CL63=0)</formula>
    </cfRule>
    <cfRule type="expression" priority="314" dxfId="20" stopIfTrue="1">
      <formula>AND(L63=0,CL63&lt;&gt;0)</formula>
    </cfRule>
  </conditionalFormatting>
  <conditionalFormatting sqref="CL29:CL32">
    <cfRule type="expression" priority="281" dxfId="20" stopIfTrue="1">
      <formula>AND(L29&gt;0,CL29=0)</formula>
    </cfRule>
    <cfRule type="expression" priority="282" dxfId="20" stopIfTrue="1">
      <formula>AND(L29=0,CL29&lt;&gt;0)</formula>
    </cfRule>
  </conditionalFormatting>
  <conditionalFormatting sqref="CL29:CL32">
    <cfRule type="expression" priority="279" dxfId="20" stopIfTrue="1">
      <formula>AND(L29&gt;0,CL29=0)</formula>
    </cfRule>
    <cfRule type="expression" priority="280" dxfId="20" stopIfTrue="1">
      <formula>AND(L29=0,CL29&lt;&gt;0)</formula>
    </cfRule>
  </conditionalFormatting>
  <conditionalFormatting sqref="CL32">
    <cfRule type="expression" priority="277" dxfId="20" stopIfTrue="1">
      <formula>AND(L32&gt;0,CL32=0)</formula>
    </cfRule>
    <cfRule type="expression" priority="278" dxfId="20" stopIfTrue="1">
      <formula>AND(L32=0,CL32&lt;&gt;0)</formula>
    </cfRule>
  </conditionalFormatting>
  <conditionalFormatting sqref="CL34:CL36">
    <cfRule type="expression" priority="275" dxfId="20" stopIfTrue="1">
      <formula>AND(L34&gt;0,CL34=0)</formula>
    </cfRule>
    <cfRule type="expression" priority="276" dxfId="20" stopIfTrue="1">
      <formula>AND(L34=0,CL34&lt;&gt;0)</formula>
    </cfRule>
  </conditionalFormatting>
  <conditionalFormatting sqref="CL34:CL36">
    <cfRule type="expression" priority="273" dxfId="20" stopIfTrue="1">
      <formula>AND(L34&gt;0,CL34=0)</formula>
    </cfRule>
    <cfRule type="expression" priority="274" dxfId="20" stopIfTrue="1">
      <formula>AND(L34=0,CL34&lt;&gt;0)</formula>
    </cfRule>
  </conditionalFormatting>
  <conditionalFormatting sqref="CL39:CL46">
    <cfRule type="expression" priority="271" dxfId="20" stopIfTrue="1">
      <formula>AND(L39&gt;0,CL39=0)</formula>
    </cfRule>
    <cfRule type="expression" priority="272" dxfId="20" stopIfTrue="1">
      <formula>AND(L39=0,CL39&lt;&gt;0)</formula>
    </cfRule>
  </conditionalFormatting>
  <conditionalFormatting sqref="CL63">
    <cfRule type="expression" priority="265" dxfId="20" stopIfTrue="1">
      <formula>AND(L63&gt;0,CL63=0)</formula>
    </cfRule>
    <cfRule type="expression" priority="266" dxfId="20" stopIfTrue="1">
      <formula>AND(L63=0,CL63&lt;&gt;0)</formula>
    </cfRule>
  </conditionalFormatting>
  <conditionalFormatting sqref="CL63">
    <cfRule type="expression" priority="263" dxfId="20" stopIfTrue="1">
      <formula>AND(L63&gt;0,CL63=0)</formula>
    </cfRule>
    <cfRule type="expression" priority="264" dxfId="20" stopIfTrue="1">
      <formula>AND(L63=0,CL63&lt;&gt;0)</formula>
    </cfRule>
  </conditionalFormatting>
  <conditionalFormatting sqref="CL67:CL68">
    <cfRule type="expression" priority="261" dxfId="20" stopIfTrue="1">
      <formula>AND(L67&gt;0,CL67=0)</formula>
    </cfRule>
    <cfRule type="expression" priority="262" dxfId="20" stopIfTrue="1">
      <formula>AND(L67=0,CL67&lt;&gt;0)</formula>
    </cfRule>
  </conditionalFormatting>
  <conditionalFormatting sqref="CL71:CL72">
    <cfRule type="expression" priority="259" dxfId="20" stopIfTrue="1">
      <formula>AND(L71&gt;0,CL71=0)</formula>
    </cfRule>
    <cfRule type="expression" priority="260" dxfId="20" stopIfTrue="1">
      <formula>AND(L71=0,CL71&lt;&gt;0)</formula>
    </cfRule>
  </conditionalFormatting>
  <conditionalFormatting sqref="CL79:CL81">
    <cfRule type="expression" priority="255" dxfId="20" stopIfTrue="1">
      <formula>AND(L79&gt;0,CL79=0)</formula>
    </cfRule>
    <cfRule type="expression" priority="256" dxfId="20" stopIfTrue="1">
      <formula>AND(L79=0,CL79&lt;&gt;0)</formula>
    </cfRule>
  </conditionalFormatting>
  <conditionalFormatting sqref="CL79">
    <cfRule type="expression" priority="253" dxfId="20" stopIfTrue="1">
      <formula>AND(L79&gt;0,CL79=0)</formula>
    </cfRule>
    <cfRule type="expression" priority="254" dxfId="20" stopIfTrue="1">
      <formula>AND(L79=0,CL79&lt;&gt;0)</formula>
    </cfRule>
  </conditionalFormatting>
  <conditionalFormatting sqref="CL81">
    <cfRule type="expression" priority="251" dxfId="20" stopIfTrue="1">
      <formula>AND(L81&gt;0,CL81=0)</formula>
    </cfRule>
    <cfRule type="expression" priority="252" dxfId="20" stopIfTrue="1">
      <formula>AND(L81=0,CL81&lt;&gt;0)</formula>
    </cfRule>
  </conditionalFormatting>
  <conditionalFormatting sqref="CL79">
    <cfRule type="expression" priority="249" dxfId="20" stopIfTrue="1">
      <formula>AND(L79&gt;0,CL79=0)</formula>
    </cfRule>
    <cfRule type="expression" priority="250" dxfId="20" stopIfTrue="1">
      <formula>AND(L79=0,CL79&lt;&gt;0)</formula>
    </cfRule>
  </conditionalFormatting>
  <conditionalFormatting sqref="CL81">
    <cfRule type="expression" priority="247" dxfId="20" stopIfTrue="1">
      <formula>AND(L81&gt;0,CL81=0)</formula>
    </cfRule>
    <cfRule type="expression" priority="248" dxfId="20" stopIfTrue="1">
      <formula>AND(L81=0,CL81&lt;&gt;0)</formula>
    </cfRule>
  </conditionalFormatting>
  <conditionalFormatting sqref="CL82">
    <cfRule type="expression" priority="245" dxfId="20" stopIfTrue="1">
      <formula>AND(L82&gt;0,CL82=0)</formula>
    </cfRule>
    <cfRule type="expression" priority="246" dxfId="20" stopIfTrue="1">
      <formula>AND(L82=0,CL82&lt;&gt;0)</formula>
    </cfRule>
  </conditionalFormatting>
  <conditionalFormatting sqref="CL82">
    <cfRule type="expression" priority="243" dxfId="20" stopIfTrue="1">
      <formula>AND(L82&gt;0,CL82=0)</formula>
    </cfRule>
    <cfRule type="expression" priority="244" dxfId="20" stopIfTrue="1">
      <formula>AND(L82=0,CL82&lt;&gt;0)</formula>
    </cfRule>
  </conditionalFormatting>
  <conditionalFormatting sqref="CL89">
    <cfRule type="expression" priority="239" dxfId="20" stopIfTrue="1">
      <formula>AND(L89&gt;0,CL89=0)</formula>
    </cfRule>
    <cfRule type="expression" priority="240" dxfId="20" stopIfTrue="1">
      <formula>AND(L89=0,CL89&lt;&gt;0)</formula>
    </cfRule>
  </conditionalFormatting>
  <conditionalFormatting sqref="CL14">
    <cfRule type="expression" priority="225" dxfId="20" stopIfTrue="1">
      <formula>AND(L14&gt;0,CL14=0)</formula>
    </cfRule>
    <cfRule type="expression" priority="226" dxfId="20" stopIfTrue="1">
      <formula>AND(L14=0,CL14&lt;&gt;0)</formula>
    </cfRule>
  </conditionalFormatting>
  <conditionalFormatting sqref="CL14">
    <cfRule type="expression" priority="235" dxfId="20" stopIfTrue="1">
      <formula>AND(L14&gt;0,CL14=0)</formula>
    </cfRule>
    <cfRule type="expression" priority="236" dxfId="20" stopIfTrue="1">
      <formula>AND(L14=0,CL14&lt;&gt;0)</formula>
    </cfRule>
  </conditionalFormatting>
  <conditionalFormatting sqref="CL14">
    <cfRule type="expression" priority="233" dxfId="20" stopIfTrue="1">
      <formula>AND(L14&gt;0,CL14=0)</formula>
    </cfRule>
    <cfRule type="expression" priority="234" dxfId="20" stopIfTrue="1">
      <formula>AND(L14=0,CL14&lt;&gt;0)</formula>
    </cfRule>
  </conditionalFormatting>
  <conditionalFormatting sqref="CL14">
    <cfRule type="expression" priority="231" dxfId="20" stopIfTrue="1">
      <formula>AND(L14&gt;0,CL14=0)</formula>
    </cfRule>
    <cfRule type="expression" priority="232" dxfId="20" stopIfTrue="1">
      <formula>AND(L14=0,CL14&lt;&gt;0)</formula>
    </cfRule>
  </conditionalFormatting>
  <conditionalFormatting sqref="CL14">
    <cfRule type="expression" priority="229" dxfId="20" stopIfTrue="1">
      <formula>AND(L14&gt;0,CL14=0)</formula>
    </cfRule>
    <cfRule type="expression" priority="230" dxfId="20" stopIfTrue="1">
      <formula>AND(L14=0,CL14&lt;&gt;0)</formula>
    </cfRule>
  </conditionalFormatting>
  <conditionalFormatting sqref="CL14">
    <cfRule type="expression" priority="227" dxfId="20" stopIfTrue="1">
      <formula>AND(L14&gt;0,CL14=0)</formula>
    </cfRule>
    <cfRule type="expression" priority="228" dxfId="20" stopIfTrue="1">
      <formula>AND(L14=0,CL14&lt;&gt;0)</formula>
    </cfRule>
  </conditionalFormatting>
  <conditionalFormatting sqref="CL76">
    <cfRule type="expression" priority="189" dxfId="20" stopIfTrue="1">
      <formula>AND(L76&gt;0,CL76=0)</formula>
    </cfRule>
    <cfRule type="expression" priority="190" dxfId="20" stopIfTrue="1">
      <formula>AND(L76=0,CL76&lt;&gt;0)</formula>
    </cfRule>
  </conditionalFormatting>
  <conditionalFormatting sqref="CL19">
    <cfRule type="expression" priority="181" dxfId="20" stopIfTrue="1">
      <formula>AND(L19&gt;0,CL19=0)</formula>
    </cfRule>
    <cfRule type="expression" priority="182" dxfId="20" stopIfTrue="1">
      <formula>AND(L19=0,CL19&lt;&gt;0)</formula>
    </cfRule>
  </conditionalFormatting>
  <conditionalFormatting sqref="CL19">
    <cfRule type="expression" priority="179" dxfId="20" stopIfTrue="1">
      <formula>AND(L19&gt;0,CL19=0)</formula>
    </cfRule>
    <cfRule type="expression" priority="180" dxfId="20" stopIfTrue="1">
      <formula>AND(L19=0,CL19&lt;&gt;0)</formula>
    </cfRule>
  </conditionalFormatting>
  <conditionalFormatting sqref="CL26">
    <cfRule type="expression" priority="173" dxfId="20" stopIfTrue="1">
      <formula>AND(L26&gt;0,CL26=0)</formula>
    </cfRule>
    <cfRule type="expression" priority="174" dxfId="20" stopIfTrue="1">
      <formula>AND(L26=0,CL26&lt;&gt;0)</formula>
    </cfRule>
  </conditionalFormatting>
  <conditionalFormatting sqref="CL12:CL15">
    <cfRule type="expression" priority="171" dxfId="20" stopIfTrue="1">
      <formula>AND(B12&gt;0,CL12=0)</formula>
    </cfRule>
    <cfRule type="expression" priority="172" dxfId="20" stopIfTrue="1">
      <formula>AND(B12=0,CL12&lt;&gt;0)</formula>
    </cfRule>
  </conditionalFormatting>
  <conditionalFormatting sqref="CL16">
    <cfRule type="expression" priority="169" dxfId="20" stopIfTrue="1">
      <formula>AND(B16&gt;0,CL16=0)</formula>
    </cfRule>
    <cfRule type="expression" priority="170" dxfId="20" stopIfTrue="1">
      <formula>AND(B16=0,CL16&lt;&gt;0)</formula>
    </cfRule>
  </conditionalFormatting>
  <conditionalFormatting sqref="CL17">
    <cfRule type="expression" priority="167" dxfId="20" stopIfTrue="1">
      <formula>AND(B17&gt;0,CL17=0)</formula>
    </cfRule>
    <cfRule type="expression" priority="168" dxfId="20" stopIfTrue="1">
      <formula>AND(B17=0,CL17&lt;&gt;0)</formula>
    </cfRule>
  </conditionalFormatting>
  <conditionalFormatting sqref="CL18">
    <cfRule type="expression" priority="165" dxfId="20" stopIfTrue="1">
      <formula>AND(B18&gt;0,CL18=0)</formula>
    </cfRule>
    <cfRule type="expression" priority="166" dxfId="20" stopIfTrue="1">
      <formula>AND(B18=0,CL18&lt;&gt;0)</formula>
    </cfRule>
  </conditionalFormatting>
  <conditionalFormatting sqref="CL18">
    <cfRule type="expression" priority="163" dxfId="20" stopIfTrue="1">
      <formula>AND(B18&gt;0,CL18=0)</formula>
    </cfRule>
    <cfRule type="expression" priority="164" dxfId="20" stopIfTrue="1">
      <formula>AND(B18=0,CL18&lt;&gt;0)</formula>
    </cfRule>
  </conditionalFormatting>
  <conditionalFormatting sqref="CL19">
    <cfRule type="expression" priority="161" dxfId="20" stopIfTrue="1">
      <formula>AND(B19&gt;0,CL19=0)</formula>
    </cfRule>
    <cfRule type="expression" priority="162" dxfId="20" stopIfTrue="1">
      <formula>AND(B19=0,CL19&lt;&gt;0)</formula>
    </cfRule>
  </conditionalFormatting>
  <conditionalFormatting sqref="CL21">
    <cfRule type="expression" priority="153" dxfId="20" stopIfTrue="1">
      <formula>AND(B21&gt;0,CL21=0)</formula>
    </cfRule>
    <cfRule type="expression" priority="154" dxfId="20" stopIfTrue="1">
      <formula>AND(B21=0,CL21&lt;&gt;0)</formula>
    </cfRule>
  </conditionalFormatting>
  <conditionalFormatting sqref="CL26">
    <cfRule type="expression" priority="151" dxfId="20" stopIfTrue="1">
      <formula>AND(L26&gt;0,CL26=0)</formula>
    </cfRule>
    <cfRule type="expression" priority="152" dxfId="20" stopIfTrue="1">
      <formula>AND(L26=0,CL26&lt;&gt;0)</formula>
    </cfRule>
  </conditionalFormatting>
  <conditionalFormatting sqref="CL26">
    <cfRule type="expression" priority="149" dxfId="20" stopIfTrue="1">
      <formula>AND(L26&gt;0,CL26=0)</formula>
    </cfRule>
    <cfRule type="expression" priority="150" dxfId="20" stopIfTrue="1">
      <formula>AND(L26=0,CL26&lt;&gt;0)</formula>
    </cfRule>
  </conditionalFormatting>
  <conditionalFormatting sqref="CL26">
    <cfRule type="expression" priority="147" dxfId="20" stopIfTrue="1">
      <formula>AND(B26&gt;0,CL26=0)</formula>
    </cfRule>
    <cfRule type="expression" priority="148" dxfId="20" stopIfTrue="1">
      <formula>AND(B26=0,CL26&lt;&gt;0)</formula>
    </cfRule>
  </conditionalFormatting>
  <conditionalFormatting sqref="CL61">
    <cfRule type="expression" priority="129" dxfId="20" stopIfTrue="1">
      <formula>AND(L61&gt;0,CL61=0)</formula>
    </cfRule>
    <cfRule type="expression" priority="130" dxfId="20" stopIfTrue="1">
      <formula>AND(L61=0,CL61&lt;&gt;0)</formula>
    </cfRule>
  </conditionalFormatting>
  <conditionalFormatting sqref="CL61">
    <cfRule type="expression" priority="127" dxfId="20" stopIfTrue="1">
      <formula>AND(L61&gt;0,CL61=0)</formula>
    </cfRule>
    <cfRule type="expression" priority="128" dxfId="20" stopIfTrue="1">
      <formula>AND(L61=0,CL61&lt;&gt;0)</formula>
    </cfRule>
  </conditionalFormatting>
  <conditionalFormatting sqref="CL12">
    <cfRule type="expression" priority="125" dxfId="20" stopIfTrue="1">
      <formula>AND(L12&gt;0,CL12=0)</formula>
    </cfRule>
    <cfRule type="expression" priority="126" dxfId="20" stopIfTrue="1">
      <formula>AND(L12=0,CL12&lt;&gt;0)</formula>
    </cfRule>
  </conditionalFormatting>
  <conditionalFormatting sqref="CL12">
    <cfRule type="expression" priority="123" dxfId="20" stopIfTrue="1">
      <formula>AND(N12&gt;0,CL12=0)</formula>
    </cfRule>
    <cfRule type="expression" priority="124" dxfId="20" stopIfTrue="1">
      <formula>AND(N12=0,CL12&lt;&gt;0)</formula>
    </cfRule>
  </conditionalFormatting>
  <conditionalFormatting sqref="CL12">
    <cfRule type="expression" priority="121" dxfId="20" stopIfTrue="1">
      <formula>AND(N12&gt;0,CL12=0)</formula>
    </cfRule>
    <cfRule type="expression" priority="122" dxfId="20" stopIfTrue="1">
      <formula>AND(N12=0,CL12&lt;&gt;0)</formula>
    </cfRule>
  </conditionalFormatting>
  <conditionalFormatting sqref="CL12">
    <cfRule type="expression" priority="119" dxfId="20" stopIfTrue="1">
      <formula>AND(N12&gt;0,CL12=0)</formula>
    </cfRule>
    <cfRule type="expression" priority="120" dxfId="20" stopIfTrue="1">
      <formula>AND(N12=0,CL12&lt;&gt;0)</formula>
    </cfRule>
  </conditionalFormatting>
  <conditionalFormatting sqref="CL12">
    <cfRule type="expression" priority="117" dxfId="20" stopIfTrue="1">
      <formula>AND(N12&gt;0,CL12=0)</formula>
    </cfRule>
    <cfRule type="expression" priority="118" dxfId="20" stopIfTrue="1">
      <formula>AND(N12=0,CL12&lt;&gt;0)</formula>
    </cfRule>
  </conditionalFormatting>
  <conditionalFormatting sqref="CL12">
    <cfRule type="expression" priority="115" dxfId="20" stopIfTrue="1">
      <formula>AND(N12&gt;0,CL12=0)</formula>
    </cfRule>
    <cfRule type="expression" priority="116" dxfId="20" stopIfTrue="1">
      <formula>AND(N12=0,CL12&lt;&gt;0)</formula>
    </cfRule>
  </conditionalFormatting>
  <conditionalFormatting sqref="CL12">
    <cfRule type="expression" priority="113" dxfId="20" stopIfTrue="1">
      <formula>AND(N12&gt;0,CL12=0)</formula>
    </cfRule>
    <cfRule type="expression" priority="114" dxfId="20" stopIfTrue="1">
      <formula>AND(N12=0,CL12&lt;&gt;0)</formula>
    </cfRule>
  </conditionalFormatting>
  <conditionalFormatting sqref="CL12">
    <cfRule type="expression" priority="111" dxfId="20" stopIfTrue="1">
      <formula>AND(N12&gt;0,CL12=0)</formula>
    </cfRule>
    <cfRule type="expression" priority="112" dxfId="20" stopIfTrue="1">
      <formula>AND(N12=0,CL12&lt;&gt;0)</formula>
    </cfRule>
  </conditionalFormatting>
  <conditionalFormatting sqref="CL12">
    <cfRule type="expression" priority="109" dxfId="20" stopIfTrue="1">
      <formula>AND(N12&gt;0,CL12=0)</formula>
    </cfRule>
    <cfRule type="expression" priority="110" dxfId="20" stopIfTrue="1">
      <formula>AND(N12=0,CL12&lt;&gt;0)</formula>
    </cfRule>
  </conditionalFormatting>
  <conditionalFormatting sqref="CL12">
    <cfRule type="expression" priority="107" dxfId="20" stopIfTrue="1">
      <formula>AND(N12&gt;0,CL12=0)</formula>
    </cfRule>
    <cfRule type="expression" priority="108" dxfId="20" stopIfTrue="1">
      <formula>AND(N12=0,CL12&lt;&gt;0)</formula>
    </cfRule>
  </conditionalFormatting>
  <conditionalFormatting sqref="CL12">
    <cfRule type="expression" priority="105" dxfId="20" stopIfTrue="1">
      <formula>AND(N12&gt;0,CL12=0)</formula>
    </cfRule>
    <cfRule type="expression" priority="106" dxfId="20" stopIfTrue="1">
      <formula>AND(N12=0,CL12&lt;&gt;0)</formula>
    </cfRule>
  </conditionalFormatting>
  <conditionalFormatting sqref="CL12">
    <cfRule type="expression" priority="103" dxfId="20" stopIfTrue="1">
      <formula>AND(N12&gt;0,CL12=0)</formula>
    </cfRule>
    <cfRule type="expression" priority="104" dxfId="20" stopIfTrue="1">
      <formula>AND(N12=0,CL12&lt;&gt;0)</formula>
    </cfRule>
  </conditionalFormatting>
  <conditionalFormatting sqref="CL12">
    <cfRule type="expression" priority="101" dxfId="20" stopIfTrue="1">
      <formula>AND(N12&gt;0,CL12=0)</formula>
    </cfRule>
    <cfRule type="expression" priority="102" dxfId="20" stopIfTrue="1">
      <formula>AND(N12=0,CL12&lt;&gt;0)</formula>
    </cfRule>
  </conditionalFormatting>
  <conditionalFormatting sqref="CL12">
    <cfRule type="expression" priority="99" dxfId="20" stopIfTrue="1">
      <formula>AND(N12&gt;0,CL12=0)</formula>
    </cfRule>
    <cfRule type="expression" priority="100" dxfId="20" stopIfTrue="1">
      <formula>AND(N12=0,CL12&lt;&gt;0)</formula>
    </cfRule>
  </conditionalFormatting>
  <conditionalFormatting sqref="CL12">
    <cfRule type="expression" priority="97" dxfId="20" stopIfTrue="1">
      <formula>AND(N12&gt;0,CL12=0)</formula>
    </cfRule>
    <cfRule type="expression" priority="98" dxfId="20" stopIfTrue="1">
      <formula>AND(N12=0,CL12&lt;&gt;0)</formula>
    </cfRule>
  </conditionalFormatting>
  <conditionalFormatting sqref="CL12">
    <cfRule type="expression" priority="95" dxfId="20" stopIfTrue="1">
      <formula>AND(N12&gt;0,CL12=0)</formula>
    </cfRule>
    <cfRule type="expression" priority="96" dxfId="20" stopIfTrue="1">
      <formula>AND(N12=0,CL12&lt;&gt;0)</formula>
    </cfRule>
  </conditionalFormatting>
  <conditionalFormatting sqref="CL12">
    <cfRule type="expression" priority="93" dxfId="20" stopIfTrue="1">
      <formula>AND(N12&gt;0,CL12=0)</formula>
    </cfRule>
    <cfRule type="expression" priority="94" dxfId="20" stopIfTrue="1">
      <formula>AND(N12=0,CL12&lt;&gt;0)</formula>
    </cfRule>
  </conditionalFormatting>
  <conditionalFormatting sqref="CL12">
    <cfRule type="expression" priority="91" dxfId="20" stopIfTrue="1">
      <formula>AND(N12&gt;0,CL12=0)</formula>
    </cfRule>
    <cfRule type="expression" priority="92" dxfId="20" stopIfTrue="1">
      <formula>AND(N12=0,CL12&lt;&gt;0)</formula>
    </cfRule>
  </conditionalFormatting>
  <conditionalFormatting sqref="CL12">
    <cfRule type="expression" priority="89" dxfId="20" stopIfTrue="1">
      <formula>AND(N12&gt;0,CL12=0)</formula>
    </cfRule>
    <cfRule type="expression" priority="90" dxfId="20" stopIfTrue="1">
      <formula>AND(N12=0,CL12&lt;&gt;0)</formula>
    </cfRule>
  </conditionalFormatting>
  <conditionalFormatting sqref="CL12">
    <cfRule type="expression" priority="87" dxfId="20" stopIfTrue="1">
      <formula>AND(N12&gt;0,CL12=0)</formula>
    </cfRule>
    <cfRule type="expression" priority="88" dxfId="20" stopIfTrue="1">
      <formula>AND(N12=0,CL12&lt;&gt;0)</formula>
    </cfRule>
  </conditionalFormatting>
  <conditionalFormatting sqref="CL12">
    <cfRule type="expression" priority="85" dxfId="20" stopIfTrue="1">
      <formula>AND(N12&gt;0,CL12=0)</formula>
    </cfRule>
    <cfRule type="expression" priority="86" dxfId="20" stopIfTrue="1">
      <formula>AND(N12=0,CL12&lt;&gt;0)</formula>
    </cfRule>
  </conditionalFormatting>
  <conditionalFormatting sqref="CL12">
    <cfRule type="expression" priority="83" dxfId="20" stopIfTrue="1">
      <formula>AND(N12&gt;0,CL12=0)</formula>
    </cfRule>
    <cfRule type="expression" priority="84" dxfId="20" stopIfTrue="1">
      <formula>AND(N12=0,CL12&lt;&gt;0)</formula>
    </cfRule>
  </conditionalFormatting>
  <conditionalFormatting sqref="CL12">
    <cfRule type="expression" priority="81" dxfId="20" stopIfTrue="1">
      <formula>AND(N12&gt;0,CL12=0)</formula>
    </cfRule>
    <cfRule type="expression" priority="82" dxfId="20" stopIfTrue="1">
      <formula>AND(N12=0,CL12&lt;&gt;0)</formula>
    </cfRule>
  </conditionalFormatting>
  <conditionalFormatting sqref="CL12">
    <cfRule type="expression" priority="79" dxfId="20" stopIfTrue="1">
      <formula>AND(N12&gt;0,CL12=0)</formula>
    </cfRule>
    <cfRule type="expression" priority="80" dxfId="20" stopIfTrue="1">
      <formula>AND(N12=0,CL12&lt;&gt;0)</formula>
    </cfRule>
  </conditionalFormatting>
  <conditionalFormatting sqref="CL12">
    <cfRule type="expression" priority="77" dxfId="20" stopIfTrue="1">
      <formula>AND(N12&gt;0,CL12=0)</formula>
    </cfRule>
    <cfRule type="expression" priority="78" dxfId="20" stopIfTrue="1">
      <formula>AND(N12=0,CL12&lt;&gt;0)</formula>
    </cfRule>
  </conditionalFormatting>
  <conditionalFormatting sqref="CL12">
    <cfRule type="expression" priority="75" dxfId="20" stopIfTrue="1">
      <formula>AND(N12&gt;0,CL12=0)</formula>
    </cfRule>
    <cfRule type="expression" priority="76" dxfId="20" stopIfTrue="1">
      <formula>AND(N12=0,CL12&lt;&gt;0)</formula>
    </cfRule>
  </conditionalFormatting>
  <conditionalFormatting sqref="CL12">
    <cfRule type="expression" priority="73" dxfId="20" stopIfTrue="1">
      <formula>AND(D12&gt;0,CL12=0)</formula>
    </cfRule>
    <cfRule type="expression" priority="74" dxfId="20" stopIfTrue="1">
      <formula>AND(D12=0,CL12&lt;&gt;0)</formula>
    </cfRule>
  </conditionalFormatting>
  <conditionalFormatting sqref="CL12">
    <cfRule type="expression" priority="71" dxfId="20" stopIfTrue="1">
      <formula>AND(L12&gt;0,CL12=0)</formula>
    </cfRule>
    <cfRule type="expression" priority="72" dxfId="20" stopIfTrue="1">
      <formula>AND(L12=0,CL12&lt;&gt;0)</formula>
    </cfRule>
  </conditionalFormatting>
  <conditionalFormatting sqref="CL12">
    <cfRule type="expression" priority="69" dxfId="20" stopIfTrue="1">
      <formula>AND(N12&gt;0,CL12=0)</formula>
    </cfRule>
    <cfRule type="expression" priority="70" dxfId="20" stopIfTrue="1">
      <formula>AND(N12=0,CL12&lt;&gt;0)</formula>
    </cfRule>
  </conditionalFormatting>
  <conditionalFormatting sqref="CL12">
    <cfRule type="expression" priority="67" dxfId="20" stopIfTrue="1">
      <formula>AND(N12&gt;0,CL12=0)</formula>
    </cfRule>
    <cfRule type="expression" priority="68" dxfId="20" stopIfTrue="1">
      <formula>AND(N12=0,CL12&lt;&gt;0)</formula>
    </cfRule>
  </conditionalFormatting>
  <conditionalFormatting sqref="CL12">
    <cfRule type="expression" priority="65" dxfId="20" stopIfTrue="1">
      <formula>AND(N12&gt;0,CL12=0)</formula>
    </cfRule>
    <cfRule type="expression" priority="66" dxfId="20" stopIfTrue="1">
      <formula>AND(N12=0,CL12&lt;&gt;0)</formula>
    </cfRule>
  </conditionalFormatting>
  <conditionalFormatting sqref="CL12">
    <cfRule type="expression" priority="63" dxfId="20" stopIfTrue="1">
      <formula>AND(N12&gt;0,CL12=0)</formula>
    </cfRule>
    <cfRule type="expression" priority="64" dxfId="20" stopIfTrue="1">
      <formula>AND(N12=0,CL12&lt;&gt;0)</formula>
    </cfRule>
  </conditionalFormatting>
  <conditionalFormatting sqref="CL12">
    <cfRule type="expression" priority="61" dxfId="20" stopIfTrue="1">
      <formula>AND(N12&gt;0,CL12=0)</formula>
    </cfRule>
    <cfRule type="expression" priority="62" dxfId="20" stopIfTrue="1">
      <formula>AND(N12=0,CL12&lt;&gt;0)</formula>
    </cfRule>
  </conditionalFormatting>
  <conditionalFormatting sqref="CL12">
    <cfRule type="expression" priority="59" dxfId="20" stopIfTrue="1">
      <formula>AND(N12&gt;0,CL12=0)</formula>
    </cfRule>
    <cfRule type="expression" priority="60" dxfId="20" stopIfTrue="1">
      <formula>AND(N12=0,CL12&lt;&gt;0)</formula>
    </cfRule>
  </conditionalFormatting>
  <conditionalFormatting sqref="CL12">
    <cfRule type="expression" priority="57" dxfId="20" stopIfTrue="1">
      <formula>AND(N12&gt;0,CL12=0)</formula>
    </cfRule>
    <cfRule type="expression" priority="58" dxfId="20" stopIfTrue="1">
      <formula>AND(N12=0,CL12&lt;&gt;0)</formula>
    </cfRule>
  </conditionalFormatting>
  <conditionalFormatting sqref="CL12">
    <cfRule type="expression" priority="55" dxfId="20" stopIfTrue="1">
      <formula>AND(N12&gt;0,CL12=0)</formula>
    </cfRule>
    <cfRule type="expression" priority="56" dxfId="20" stopIfTrue="1">
      <formula>AND(N12=0,CL12&lt;&gt;0)</formula>
    </cfRule>
  </conditionalFormatting>
  <conditionalFormatting sqref="CL12">
    <cfRule type="expression" priority="53" dxfId="20" stopIfTrue="1">
      <formula>AND(N12&gt;0,CL12=0)</formula>
    </cfRule>
    <cfRule type="expression" priority="54" dxfId="20" stopIfTrue="1">
      <formula>AND(N12=0,CL12&lt;&gt;0)</formula>
    </cfRule>
  </conditionalFormatting>
  <conditionalFormatting sqref="CL12">
    <cfRule type="expression" priority="51" dxfId="20" stopIfTrue="1">
      <formula>AND(N12&gt;0,CL12=0)</formula>
    </cfRule>
    <cfRule type="expression" priority="52" dxfId="20" stopIfTrue="1">
      <formula>AND(N12=0,CL12&lt;&gt;0)</formula>
    </cfRule>
  </conditionalFormatting>
  <conditionalFormatting sqref="CL12">
    <cfRule type="expression" priority="49" dxfId="20" stopIfTrue="1">
      <formula>AND(N12&gt;0,CL12=0)</formula>
    </cfRule>
    <cfRule type="expression" priority="50" dxfId="20" stopIfTrue="1">
      <formula>AND(N12=0,CL12&lt;&gt;0)</formula>
    </cfRule>
  </conditionalFormatting>
  <conditionalFormatting sqref="CL12">
    <cfRule type="expression" priority="47" dxfId="20" stopIfTrue="1">
      <formula>AND(N12&gt;0,CL12=0)</formula>
    </cfRule>
    <cfRule type="expression" priority="48" dxfId="20" stopIfTrue="1">
      <formula>AND(N12=0,CL12&lt;&gt;0)</formula>
    </cfRule>
  </conditionalFormatting>
  <conditionalFormatting sqref="CL12">
    <cfRule type="expression" priority="45" dxfId="20" stopIfTrue="1">
      <formula>AND(N12&gt;0,CL12=0)</formula>
    </cfRule>
    <cfRule type="expression" priority="46" dxfId="20" stopIfTrue="1">
      <formula>AND(N12=0,CL12&lt;&gt;0)</formula>
    </cfRule>
  </conditionalFormatting>
  <conditionalFormatting sqref="CL12">
    <cfRule type="expression" priority="43" dxfId="20" stopIfTrue="1">
      <formula>AND(N12&gt;0,CL12=0)</formula>
    </cfRule>
    <cfRule type="expression" priority="44" dxfId="20" stopIfTrue="1">
      <formula>AND(N12=0,CL12&lt;&gt;0)</formula>
    </cfRule>
  </conditionalFormatting>
  <conditionalFormatting sqref="CL12">
    <cfRule type="expression" priority="41" dxfId="20" stopIfTrue="1">
      <formula>AND(N12&gt;0,CL12=0)</formula>
    </cfRule>
    <cfRule type="expression" priority="42" dxfId="20" stopIfTrue="1">
      <formula>AND(N12=0,CL12&lt;&gt;0)</formula>
    </cfRule>
  </conditionalFormatting>
  <conditionalFormatting sqref="CL12">
    <cfRule type="expression" priority="39" dxfId="20" stopIfTrue="1">
      <formula>AND(N12&gt;0,CL12=0)</formula>
    </cfRule>
    <cfRule type="expression" priority="40" dxfId="20" stopIfTrue="1">
      <formula>AND(N12=0,CL12&lt;&gt;0)</formula>
    </cfRule>
  </conditionalFormatting>
  <conditionalFormatting sqref="CL12">
    <cfRule type="expression" priority="37" dxfId="20" stopIfTrue="1">
      <formula>AND(N12&gt;0,CL12=0)</formula>
    </cfRule>
    <cfRule type="expression" priority="38" dxfId="20" stopIfTrue="1">
      <formula>AND(N12=0,CL12&lt;&gt;0)</formula>
    </cfRule>
  </conditionalFormatting>
  <conditionalFormatting sqref="CL12">
    <cfRule type="expression" priority="35" dxfId="20" stopIfTrue="1">
      <formula>AND(N12&gt;0,CL12=0)</formula>
    </cfRule>
    <cfRule type="expression" priority="36" dxfId="20" stopIfTrue="1">
      <formula>AND(N12=0,CL12&lt;&gt;0)</formula>
    </cfRule>
  </conditionalFormatting>
  <conditionalFormatting sqref="CL12">
    <cfRule type="expression" priority="33" dxfId="20" stopIfTrue="1">
      <formula>AND(N12&gt;0,CL12=0)</formula>
    </cfRule>
    <cfRule type="expression" priority="34" dxfId="20" stopIfTrue="1">
      <formula>AND(N12=0,CL12&lt;&gt;0)</formula>
    </cfRule>
  </conditionalFormatting>
  <conditionalFormatting sqref="CL12">
    <cfRule type="expression" priority="31" dxfId="20" stopIfTrue="1">
      <formula>AND(N12&gt;0,CL12=0)</formula>
    </cfRule>
    <cfRule type="expression" priority="32" dxfId="20" stopIfTrue="1">
      <formula>AND(N12=0,CL12&lt;&gt;0)</formula>
    </cfRule>
  </conditionalFormatting>
  <conditionalFormatting sqref="CL12">
    <cfRule type="expression" priority="29" dxfId="20" stopIfTrue="1">
      <formula>AND(N12&gt;0,CL12=0)</formula>
    </cfRule>
    <cfRule type="expression" priority="30" dxfId="20" stopIfTrue="1">
      <formula>AND(N12=0,CL12&lt;&gt;0)</formula>
    </cfRule>
  </conditionalFormatting>
  <conditionalFormatting sqref="CL12">
    <cfRule type="expression" priority="27" dxfId="20" stopIfTrue="1">
      <formula>AND(N12&gt;0,CL12=0)</formula>
    </cfRule>
    <cfRule type="expression" priority="28" dxfId="20" stopIfTrue="1">
      <formula>AND(N12=0,CL12&lt;&gt;0)</formula>
    </cfRule>
  </conditionalFormatting>
  <conditionalFormatting sqref="CL12">
    <cfRule type="expression" priority="25" dxfId="20" stopIfTrue="1">
      <formula>AND(N12&gt;0,CL12=0)</formula>
    </cfRule>
    <cfRule type="expression" priority="26" dxfId="20" stopIfTrue="1">
      <formula>AND(N12=0,CL12&lt;&gt;0)</formula>
    </cfRule>
  </conditionalFormatting>
  <conditionalFormatting sqref="CL12">
    <cfRule type="expression" priority="23" dxfId="20" stopIfTrue="1">
      <formula>AND(N12&gt;0,CL12=0)</formula>
    </cfRule>
    <cfRule type="expression" priority="24" dxfId="20" stopIfTrue="1">
      <formula>AND(N12=0,CL12&lt;&gt;0)</formula>
    </cfRule>
  </conditionalFormatting>
  <conditionalFormatting sqref="CL12">
    <cfRule type="expression" priority="21" dxfId="20" stopIfTrue="1">
      <formula>AND(N12&gt;0,CL12=0)</formula>
    </cfRule>
    <cfRule type="expression" priority="22" dxfId="20" stopIfTrue="1">
      <formula>AND(N12=0,CL12&lt;&gt;0)</formula>
    </cfRule>
  </conditionalFormatting>
  <conditionalFormatting sqref="CL12">
    <cfRule type="expression" priority="19" dxfId="20" stopIfTrue="1">
      <formula>AND(D12&gt;0,CL12=0)</formula>
    </cfRule>
    <cfRule type="expression" priority="20" dxfId="20" stopIfTrue="1">
      <formula>AND(D12=0,CL12&lt;&gt;0)</formula>
    </cfRule>
  </conditionalFormatting>
  <conditionalFormatting sqref="CL20">
    <cfRule type="expression" priority="3" dxfId="20" stopIfTrue="1">
      <formula>AND(L20&gt;0,CL20=0)</formula>
    </cfRule>
    <cfRule type="expression" priority="4" dxfId="20" stopIfTrue="1">
      <formula>AND(L20=0,CL20&lt;&gt;0)</formula>
    </cfRule>
  </conditionalFormatting>
  <conditionalFormatting sqref="CL20">
    <cfRule type="expression" priority="1" dxfId="20" stopIfTrue="1">
      <formula>AND(B20&gt;0,CL20=0)</formula>
    </cfRule>
    <cfRule type="expression" priority="2" dxfId="20" stopIfTrue="1">
      <formula>AND(B20=0,CL20&lt;&gt;0)</formula>
    </cfRule>
  </conditionalFormatting>
  <printOptions horizontalCentered="1"/>
  <pageMargins left="0" right="0" top="0.5905511811023623" bottom="0.3937007874015748" header="0.11811023622047245" footer="0.11811023622047245"/>
  <pageSetup fitToHeight="100" fitToWidth="1" horizontalDpi="600" verticalDpi="600" orientation="landscape" paperSize="8" scale="28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6"/>
  <sheetViews>
    <sheetView showZeros="0" zoomScalePageLayoutView="0" workbookViewId="0" topLeftCell="A1">
      <selection activeCell="A7" sqref="A7:BM7"/>
    </sheetView>
  </sheetViews>
  <sheetFormatPr defaultColWidth="2.83203125" defaultRowHeight="12.75"/>
  <cols>
    <col min="1" max="55" width="3.33203125" style="6" customWidth="1"/>
    <col min="56" max="56" width="5" style="6" customWidth="1"/>
    <col min="57" max="60" width="3.33203125" style="6" customWidth="1"/>
    <col min="61" max="61" width="4.5" style="6" customWidth="1"/>
    <col min="62" max="62" width="2.33203125" style="6" hidden="1" customWidth="1"/>
    <col min="63" max="63" width="5.5" style="6" customWidth="1"/>
    <col min="64" max="64" width="3.33203125" style="6" customWidth="1"/>
    <col min="65" max="65" width="5" style="6" customWidth="1"/>
    <col min="66" max="66" width="2.83203125" style="6" customWidth="1"/>
    <col min="67" max="67" width="7.16015625" style="6" customWidth="1"/>
    <col min="68" max="16384" width="2.83203125" style="6" customWidth="1"/>
  </cols>
  <sheetData>
    <row r="1" spans="1:65" ht="15.75" customHeight="1">
      <c r="A1" s="38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636" t="s">
        <v>33</v>
      </c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  <c r="AP1" s="636"/>
      <c r="AQ1" s="636"/>
      <c r="AR1" s="636"/>
      <c r="AS1" s="636"/>
      <c r="AT1" s="636"/>
      <c r="AU1" s="636"/>
      <c r="AV1" s="636"/>
      <c r="AW1" s="636"/>
      <c r="AX1" s="636"/>
      <c r="AY1" s="636"/>
      <c r="AZ1" s="636"/>
      <c r="BA1" s="636"/>
      <c r="BB1" s="636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</row>
    <row r="2" spans="1:65" ht="15.75" customHeight="1">
      <c r="A2" s="646" t="s">
        <v>367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37" t="s">
        <v>368</v>
      </c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7"/>
      <c r="AH2" s="637"/>
      <c r="AI2" s="637"/>
      <c r="AJ2" s="637"/>
      <c r="AK2" s="637"/>
      <c r="AL2" s="637"/>
      <c r="AM2" s="637"/>
      <c r="AN2" s="637"/>
      <c r="AO2" s="637"/>
      <c r="AP2" s="637"/>
      <c r="AQ2" s="637"/>
      <c r="AR2" s="637"/>
      <c r="AS2" s="637"/>
      <c r="AT2" s="637"/>
      <c r="AU2" s="637"/>
      <c r="AV2" s="637"/>
      <c r="AW2" s="637"/>
      <c r="AX2" s="637"/>
      <c r="AY2" s="637"/>
      <c r="AZ2" s="637"/>
      <c r="BA2" s="637"/>
      <c r="BB2" s="637"/>
      <c r="BC2" s="658" t="s">
        <v>44</v>
      </c>
      <c r="BD2" s="658"/>
      <c r="BE2" s="658"/>
      <c r="BF2" s="658"/>
      <c r="BG2" s="658"/>
      <c r="BH2" s="658"/>
      <c r="BI2" s="658"/>
      <c r="BJ2" s="658"/>
      <c r="BK2" s="658"/>
      <c r="BL2" s="658"/>
      <c r="BM2" s="658"/>
    </row>
    <row r="3" spans="1:65" ht="15.75" customHeight="1">
      <c r="A3" s="652">
        <v>43552</v>
      </c>
      <c r="B3" s="652"/>
      <c r="C3" s="652"/>
      <c r="D3" s="652"/>
      <c r="E3" s="652"/>
      <c r="F3" s="652"/>
      <c r="G3" s="652"/>
      <c r="H3" s="651" t="s">
        <v>547</v>
      </c>
      <c r="I3" s="651"/>
      <c r="J3" s="651"/>
      <c r="K3" s="651"/>
      <c r="L3" s="651"/>
      <c r="M3" s="651"/>
      <c r="N3" s="651"/>
      <c r="O3" s="637" t="s">
        <v>328</v>
      </c>
      <c r="P3" s="637"/>
      <c r="Q3" s="637"/>
      <c r="R3" s="637"/>
      <c r="S3" s="637"/>
      <c r="T3" s="637"/>
      <c r="U3" s="637"/>
      <c r="V3" s="637"/>
      <c r="W3" s="637"/>
      <c r="X3" s="637"/>
      <c r="Y3" s="637"/>
      <c r="Z3" s="637"/>
      <c r="AA3" s="637"/>
      <c r="AB3" s="637"/>
      <c r="AC3" s="637"/>
      <c r="AD3" s="637"/>
      <c r="AE3" s="637"/>
      <c r="AF3" s="637"/>
      <c r="AG3" s="637"/>
      <c r="AH3" s="637"/>
      <c r="AI3" s="637"/>
      <c r="AJ3" s="637"/>
      <c r="AK3" s="637"/>
      <c r="AL3" s="637"/>
      <c r="AM3" s="637"/>
      <c r="AN3" s="637"/>
      <c r="AO3" s="637"/>
      <c r="AP3" s="637"/>
      <c r="AQ3" s="637"/>
      <c r="AR3" s="637"/>
      <c r="AS3" s="637"/>
      <c r="AT3" s="637"/>
      <c r="AU3" s="637"/>
      <c r="AV3" s="637"/>
      <c r="AW3" s="637"/>
      <c r="AX3" s="637"/>
      <c r="AY3" s="637"/>
      <c r="AZ3" s="637"/>
      <c r="BA3" s="637"/>
      <c r="BB3" s="637"/>
      <c r="BC3" s="769" t="s">
        <v>319</v>
      </c>
      <c r="BD3" s="769"/>
      <c r="BE3" s="769"/>
      <c r="BF3" s="769"/>
      <c r="BG3" s="769"/>
      <c r="BH3" s="769"/>
      <c r="BI3" s="769"/>
      <c r="BJ3" s="769"/>
      <c r="BK3" s="769"/>
      <c r="BL3" s="769"/>
      <c r="BM3" s="769"/>
    </row>
    <row r="4" spans="1:65" ht="15.75" customHeight="1">
      <c r="A4" s="647" t="str">
        <f>'Титульный лист'!A4:N4</f>
        <v>в ред.30.03.2021 Протокол №7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 t="s">
        <v>26</v>
      </c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766" t="s">
        <v>620</v>
      </c>
      <c r="BD4" s="766"/>
      <c r="BE4" s="766"/>
      <c r="BF4" s="766"/>
      <c r="BG4" s="766"/>
      <c r="BH4" s="766"/>
      <c r="BI4" s="766"/>
      <c r="BJ4" s="766"/>
      <c r="BK4" s="766"/>
      <c r="BL4" s="766"/>
      <c r="BM4" s="766"/>
    </row>
    <row r="5" spans="1:65" ht="15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1"/>
      <c r="P5" s="101"/>
      <c r="Q5" s="101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61"/>
      <c r="BD5" s="162"/>
      <c r="BE5" s="162"/>
      <c r="BF5" s="163"/>
      <c r="BG5" s="164"/>
      <c r="BH5" s="164"/>
      <c r="BI5" s="164"/>
      <c r="BJ5" s="164"/>
      <c r="BK5" s="164"/>
      <c r="BL5" s="164"/>
      <c r="BM5" s="162"/>
    </row>
    <row r="6" spans="1:65" ht="15.7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101"/>
      <c r="P6" s="101"/>
      <c r="Q6" s="101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605">
        <f>'Титульный лист'!BC6:BM6</f>
        <v>44286</v>
      </c>
      <c r="BD6" s="605"/>
      <c r="BE6" s="605"/>
      <c r="BF6" s="605"/>
      <c r="BG6" s="605"/>
      <c r="BH6" s="605"/>
      <c r="BI6" s="605"/>
      <c r="BJ6" s="605"/>
      <c r="BK6" s="605"/>
      <c r="BL6" s="605"/>
      <c r="BM6" s="605"/>
    </row>
    <row r="7" spans="1:65" ht="25.5">
      <c r="A7" s="648" t="s">
        <v>369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8"/>
      <c r="AH7" s="648"/>
      <c r="AI7" s="648"/>
      <c r="AJ7" s="648"/>
      <c r="AK7" s="648"/>
      <c r="AL7" s="648"/>
      <c r="AM7" s="648"/>
      <c r="AN7" s="648"/>
      <c r="AO7" s="648"/>
      <c r="AP7" s="648"/>
      <c r="AQ7" s="648"/>
      <c r="AR7" s="648"/>
      <c r="AS7" s="648"/>
      <c r="AT7" s="648"/>
      <c r="AU7" s="648"/>
      <c r="AV7" s="648"/>
      <c r="AW7" s="648"/>
      <c r="AX7" s="648"/>
      <c r="AY7" s="648"/>
      <c r="AZ7" s="648"/>
      <c r="BA7" s="648"/>
      <c r="BB7" s="648"/>
      <c r="BC7" s="648"/>
      <c r="BD7" s="648"/>
      <c r="BE7" s="648"/>
      <c r="BF7" s="648"/>
      <c r="BG7" s="648"/>
      <c r="BH7" s="648"/>
      <c r="BI7" s="648"/>
      <c r="BJ7" s="648"/>
      <c r="BK7" s="648"/>
      <c r="BL7" s="648"/>
      <c r="BM7" s="648"/>
    </row>
    <row r="8" spans="1:65" s="3" customFormat="1" ht="15.7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3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65"/>
      <c r="AA8" s="767" t="s">
        <v>370</v>
      </c>
      <c r="AB8" s="636"/>
      <c r="AC8" s="636"/>
      <c r="AD8" s="636"/>
      <c r="AE8" s="636"/>
      <c r="AF8" s="636"/>
      <c r="AG8" s="636"/>
      <c r="AH8" s="636"/>
      <c r="AI8" s="636"/>
      <c r="AJ8" s="636"/>
      <c r="AK8" s="636"/>
      <c r="AL8" s="636"/>
      <c r="AM8" s="636"/>
      <c r="AN8" s="636"/>
      <c r="AO8" s="636"/>
      <c r="AP8" s="636"/>
      <c r="AQ8" s="636"/>
      <c r="AR8" s="636"/>
      <c r="AS8" s="636"/>
      <c r="AT8" s="636"/>
      <c r="AU8" s="636"/>
      <c r="AV8" s="100"/>
      <c r="AW8" s="100"/>
      <c r="AX8" s="100"/>
      <c r="AY8" s="100"/>
      <c r="AZ8" s="100"/>
      <c r="BA8" s="100"/>
      <c r="BB8" s="100"/>
      <c r="BC8" s="100"/>
      <c r="BD8" s="103"/>
      <c r="BE8" s="103"/>
      <c r="BF8" s="103"/>
      <c r="BG8" s="103"/>
      <c r="BH8" s="103"/>
      <c r="BI8" s="103"/>
      <c r="BJ8" s="103"/>
      <c r="BK8" s="103"/>
      <c r="BL8" s="103"/>
      <c r="BM8" s="103"/>
    </row>
    <row r="9" spans="1:65" s="3" customFormat="1" ht="15.75" customHeight="1">
      <c r="A9" s="657" t="s">
        <v>45</v>
      </c>
      <c r="B9" s="658"/>
      <c r="C9" s="658"/>
      <c r="D9" s="658"/>
      <c r="E9" s="658"/>
      <c r="F9" s="658"/>
      <c r="G9" s="658"/>
      <c r="H9" s="658"/>
      <c r="I9" s="658"/>
      <c r="J9" s="658"/>
      <c r="K9" s="658"/>
      <c r="L9" s="658"/>
      <c r="M9" s="658"/>
      <c r="N9" s="658"/>
      <c r="O9" s="768" t="s">
        <v>545</v>
      </c>
      <c r="P9" s="768"/>
      <c r="Q9" s="768"/>
      <c r="R9" s="768"/>
      <c r="S9" s="768"/>
      <c r="T9" s="768"/>
      <c r="U9" s="768"/>
      <c r="V9" s="768"/>
      <c r="W9" s="768"/>
      <c r="X9" s="768"/>
      <c r="Y9" s="768"/>
      <c r="Z9" s="768"/>
      <c r="AA9" s="768"/>
      <c r="AB9" s="768"/>
      <c r="AC9" s="768"/>
      <c r="AD9" s="768"/>
      <c r="AE9" s="768"/>
      <c r="AF9" s="768"/>
      <c r="AG9" s="768"/>
      <c r="AH9" s="768"/>
      <c r="AI9" s="768"/>
      <c r="AJ9" s="768"/>
      <c r="AK9" s="768"/>
      <c r="AL9" s="768"/>
      <c r="AM9" s="768"/>
      <c r="AN9" s="768"/>
      <c r="AO9" s="768"/>
      <c r="AP9" s="768"/>
      <c r="AQ9" s="768"/>
      <c r="AR9" s="768"/>
      <c r="AS9" s="768"/>
      <c r="AT9" s="768"/>
      <c r="AU9" s="768"/>
      <c r="AV9" s="768"/>
      <c r="AW9" s="768"/>
      <c r="AX9" s="768"/>
      <c r="AY9" s="768"/>
      <c r="AZ9" s="768"/>
      <c r="BA9" s="768"/>
      <c r="BB9" s="768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</row>
    <row r="10" spans="1:65" s="3" customFormat="1" ht="15.75" customHeight="1">
      <c r="A10" s="642" t="s">
        <v>145</v>
      </c>
      <c r="B10" s="642"/>
      <c r="C10" s="642"/>
      <c r="D10" s="642"/>
      <c r="E10" s="642"/>
      <c r="F10" s="642"/>
      <c r="G10" s="642"/>
      <c r="H10" s="642"/>
      <c r="I10" s="642"/>
      <c r="J10" s="642"/>
      <c r="K10" s="642"/>
      <c r="L10" s="642"/>
      <c r="M10" s="642"/>
      <c r="N10" s="642"/>
      <c r="O10" s="768" t="s">
        <v>419</v>
      </c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8"/>
      <c r="AB10" s="768"/>
      <c r="AC10" s="768"/>
      <c r="AD10" s="768"/>
      <c r="AE10" s="768"/>
      <c r="AF10" s="768"/>
      <c r="AG10" s="768"/>
      <c r="AH10" s="768"/>
      <c r="AI10" s="768"/>
      <c r="AJ10" s="768"/>
      <c r="AK10" s="768"/>
      <c r="AL10" s="768"/>
      <c r="AM10" s="768"/>
      <c r="AN10" s="768"/>
      <c r="AO10" s="768"/>
      <c r="AP10" s="768"/>
      <c r="AQ10" s="768"/>
      <c r="AR10" s="768"/>
      <c r="AS10" s="768"/>
      <c r="AT10" s="768"/>
      <c r="AU10" s="768"/>
      <c r="AV10" s="768"/>
      <c r="AW10" s="768"/>
      <c r="AX10" s="768"/>
      <c r="AY10" s="768"/>
      <c r="AZ10" s="768"/>
      <c r="BA10" s="768"/>
      <c r="BB10" s="768"/>
      <c r="BC10" s="640" t="s">
        <v>47</v>
      </c>
      <c r="BD10" s="640"/>
      <c r="BE10" s="640"/>
      <c r="BF10" s="640"/>
      <c r="BG10" s="640"/>
      <c r="BH10" s="640"/>
      <c r="BI10" s="640"/>
      <c r="BJ10" s="640"/>
      <c r="BK10" s="640"/>
      <c r="BL10" s="640"/>
      <c r="BM10" s="640"/>
    </row>
    <row r="11" spans="1:65" s="3" customFormat="1" ht="15.75" customHeight="1">
      <c r="A11" s="642" t="s">
        <v>142</v>
      </c>
      <c r="B11" s="642"/>
      <c r="C11" s="642"/>
      <c r="D11" s="642"/>
      <c r="E11" s="642"/>
      <c r="F11" s="642"/>
      <c r="G11" s="642"/>
      <c r="H11" s="642"/>
      <c r="I11" s="642"/>
      <c r="J11" s="642"/>
      <c r="K11" s="642"/>
      <c r="L11" s="642"/>
      <c r="M11" s="642"/>
      <c r="N11" s="642"/>
      <c r="O11" s="643" t="s">
        <v>420</v>
      </c>
      <c r="P11" s="643"/>
      <c r="Q11" s="643"/>
      <c r="R11" s="643"/>
      <c r="S11" s="643"/>
      <c r="T11" s="643"/>
      <c r="U11" s="643"/>
      <c r="V11" s="643"/>
      <c r="W11" s="643"/>
      <c r="X11" s="643"/>
      <c r="Y11" s="643"/>
      <c r="Z11" s="643"/>
      <c r="AA11" s="643"/>
      <c r="AB11" s="643"/>
      <c r="AC11" s="643"/>
      <c r="AD11" s="643"/>
      <c r="AE11" s="643"/>
      <c r="AF11" s="643"/>
      <c r="AG11" s="643"/>
      <c r="AH11" s="643"/>
      <c r="AI11" s="643"/>
      <c r="AJ11" s="643"/>
      <c r="AK11" s="643"/>
      <c r="AL11" s="643"/>
      <c r="AM11" s="643"/>
      <c r="AN11" s="643"/>
      <c r="AO11" s="643"/>
      <c r="AP11" s="643"/>
      <c r="AQ11" s="643"/>
      <c r="AR11" s="643"/>
      <c r="AS11" s="643"/>
      <c r="AT11" s="643"/>
      <c r="AU11" s="643"/>
      <c r="AV11" s="643"/>
      <c r="AW11" s="643"/>
      <c r="AX11" s="643"/>
      <c r="AY11" s="643"/>
      <c r="AZ11" s="643"/>
      <c r="BA11" s="643"/>
      <c r="BB11" s="643"/>
      <c r="BC11" s="640"/>
      <c r="BD11" s="640"/>
      <c r="BE11" s="640"/>
      <c r="BF11" s="640"/>
      <c r="BG11" s="640"/>
      <c r="BH11" s="640"/>
      <c r="BI11" s="640"/>
      <c r="BJ11" s="640"/>
      <c r="BK11" s="640"/>
      <c r="BL11" s="640"/>
      <c r="BM11" s="640"/>
    </row>
    <row r="12" spans="1:65" s="3" customFormat="1" ht="15.75" customHeight="1">
      <c r="A12" s="642" t="s">
        <v>182</v>
      </c>
      <c r="B12" s="642"/>
      <c r="C12" s="642"/>
      <c r="D12" s="642"/>
      <c r="E12" s="642"/>
      <c r="F12" s="642"/>
      <c r="G12" s="642"/>
      <c r="H12" s="642"/>
      <c r="I12" s="642"/>
      <c r="J12" s="642"/>
      <c r="K12" s="642"/>
      <c r="L12" s="642"/>
      <c r="M12" s="642"/>
      <c r="N12" s="642"/>
      <c r="O12" s="643"/>
      <c r="P12" s="643"/>
      <c r="Q12" s="643"/>
      <c r="R12" s="643"/>
      <c r="S12" s="643"/>
      <c r="T12" s="643"/>
      <c r="U12" s="643"/>
      <c r="V12" s="643"/>
      <c r="W12" s="643"/>
      <c r="X12" s="643"/>
      <c r="Y12" s="643"/>
      <c r="Z12" s="643"/>
      <c r="AA12" s="643"/>
      <c r="AB12" s="643"/>
      <c r="AC12" s="643"/>
      <c r="AD12" s="643"/>
      <c r="AE12" s="643"/>
      <c r="AF12" s="643"/>
      <c r="AG12" s="643"/>
      <c r="AH12" s="643"/>
      <c r="AI12" s="643"/>
      <c r="AJ12" s="643"/>
      <c r="AK12" s="643"/>
      <c r="AL12" s="643"/>
      <c r="AM12" s="643"/>
      <c r="AN12" s="643"/>
      <c r="AO12" s="643"/>
      <c r="AP12" s="643"/>
      <c r="AQ12" s="643"/>
      <c r="AR12" s="643"/>
      <c r="AS12" s="643"/>
      <c r="AT12" s="643"/>
      <c r="AU12" s="643"/>
      <c r="AV12" s="643"/>
      <c r="AW12" s="643"/>
      <c r="AX12" s="643"/>
      <c r="AY12" s="643"/>
      <c r="AZ12" s="643"/>
      <c r="BA12" s="643"/>
      <c r="BB12" s="643"/>
      <c r="BC12" s="640"/>
      <c r="BD12" s="640"/>
      <c r="BE12" s="640"/>
      <c r="BF12" s="640"/>
      <c r="BG12" s="640"/>
      <c r="BH12" s="640"/>
      <c r="BI12" s="640"/>
      <c r="BJ12" s="640"/>
      <c r="BK12" s="640"/>
      <c r="BL12" s="640"/>
      <c r="BM12" s="640"/>
    </row>
    <row r="13" spans="1:65" s="3" customFormat="1" ht="15.75" customHeight="1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643"/>
      <c r="P13" s="643"/>
      <c r="Q13" s="643"/>
      <c r="R13" s="643"/>
      <c r="S13" s="643"/>
      <c r="T13" s="643"/>
      <c r="U13" s="643"/>
      <c r="V13" s="643"/>
      <c r="W13" s="643"/>
      <c r="X13" s="643"/>
      <c r="Y13" s="643"/>
      <c r="Z13" s="643"/>
      <c r="AA13" s="643"/>
      <c r="AB13" s="643"/>
      <c r="AC13" s="643"/>
      <c r="AD13" s="643"/>
      <c r="AE13" s="643"/>
      <c r="AF13" s="643"/>
      <c r="AG13" s="643"/>
      <c r="AH13" s="643"/>
      <c r="AI13" s="643"/>
      <c r="AJ13" s="643"/>
      <c r="AK13" s="643"/>
      <c r="AL13" s="643"/>
      <c r="AM13" s="643"/>
      <c r="AN13" s="643"/>
      <c r="AO13" s="643"/>
      <c r="AP13" s="643"/>
      <c r="AQ13" s="643"/>
      <c r="AR13" s="643"/>
      <c r="AS13" s="643"/>
      <c r="AT13" s="643"/>
      <c r="AU13" s="643"/>
      <c r="AV13" s="643"/>
      <c r="AW13" s="643"/>
      <c r="AX13" s="643"/>
      <c r="AY13" s="643"/>
      <c r="AZ13" s="643"/>
      <c r="BA13" s="643"/>
      <c r="BB13" s="643"/>
      <c r="BC13" s="640"/>
      <c r="BD13" s="640"/>
      <c r="BE13" s="640"/>
      <c r="BF13" s="640"/>
      <c r="BG13" s="640"/>
      <c r="BH13" s="640"/>
      <c r="BI13" s="640"/>
      <c r="BJ13" s="640"/>
      <c r="BK13" s="640"/>
      <c r="BL13" s="640"/>
      <c r="BM13" s="640"/>
    </row>
    <row r="14" spans="1:65" s="3" customFormat="1" ht="15.75" customHeight="1">
      <c r="A14" s="641"/>
      <c r="B14" s="642"/>
      <c r="C14" s="642"/>
      <c r="D14" s="642"/>
      <c r="E14" s="642"/>
      <c r="F14" s="642"/>
      <c r="G14" s="642"/>
      <c r="H14" s="642"/>
      <c r="I14" s="642"/>
      <c r="J14" s="642"/>
      <c r="K14" s="642"/>
      <c r="L14" s="642"/>
      <c r="M14" s="642"/>
      <c r="N14" s="642"/>
      <c r="O14" s="643"/>
      <c r="P14" s="643"/>
      <c r="Q14" s="643"/>
      <c r="R14" s="643"/>
      <c r="S14" s="643"/>
      <c r="T14" s="643"/>
      <c r="U14" s="643"/>
      <c r="V14" s="643"/>
      <c r="W14" s="643"/>
      <c r="X14" s="643"/>
      <c r="Y14" s="643"/>
      <c r="Z14" s="643"/>
      <c r="AA14" s="643"/>
      <c r="AB14" s="643"/>
      <c r="AC14" s="643"/>
      <c r="AD14" s="643"/>
      <c r="AE14" s="643"/>
      <c r="AF14" s="643"/>
      <c r="AG14" s="643"/>
      <c r="AH14" s="643"/>
      <c r="AI14" s="643"/>
      <c r="AJ14" s="643"/>
      <c r="AK14" s="643"/>
      <c r="AL14" s="643"/>
      <c r="AM14" s="643"/>
      <c r="AN14" s="643"/>
      <c r="AO14" s="643"/>
      <c r="AP14" s="643"/>
      <c r="AQ14" s="643"/>
      <c r="AR14" s="643"/>
      <c r="AS14" s="643"/>
      <c r="AT14" s="643"/>
      <c r="AU14" s="643"/>
      <c r="AV14" s="643"/>
      <c r="AW14" s="643"/>
      <c r="AX14" s="643"/>
      <c r="AY14" s="643"/>
      <c r="AZ14" s="643"/>
      <c r="BA14" s="643"/>
      <c r="BB14" s="643"/>
      <c r="BC14" s="644" t="s">
        <v>421</v>
      </c>
      <c r="BD14" s="645"/>
      <c r="BE14" s="645"/>
      <c r="BF14" s="645"/>
      <c r="BG14" s="645"/>
      <c r="BH14" s="645"/>
      <c r="BI14" s="645"/>
      <c r="BJ14" s="645"/>
      <c r="BK14" s="645"/>
      <c r="BL14" s="645"/>
      <c r="BM14" s="645"/>
    </row>
    <row r="15" spans="1:65" s="3" customFormat="1" ht="15.75" customHeight="1">
      <c r="A15" s="642" t="s">
        <v>146</v>
      </c>
      <c r="B15" s="642"/>
      <c r="C15" s="642"/>
      <c r="D15" s="642"/>
      <c r="E15" s="642"/>
      <c r="F15" s="642"/>
      <c r="G15" s="642"/>
      <c r="H15" s="642"/>
      <c r="I15" s="642"/>
      <c r="J15" s="642"/>
      <c r="K15" s="642"/>
      <c r="L15" s="642"/>
      <c r="M15" s="642"/>
      <c r="N15" s="642"/>
      <c r="O15" s="643" t="s">
        <v>569</v>
      </c>
      <c r="P15" s="643"/>
      <c r="Q15" s="643"/>
      <c r="R15" s="643"/>
      <c r="S15" s="643"/>
      <c r="T15" s="643"/>
      <c r="U15" s="643"/>
      <c r="V15" s="643"/>
      <c r="W15" s="643"/>
      <c r="X15" s="643"/>
      <c r="Y15" s="643"/>
      <c r="Z15" s="643"/>
      <c r="AA15" s="643"/>
      <c r="AB15" s="643"/>
      <c r="AC15" s="643"/>
      <c r="AD15" s="643"/>
      <c r="AE15" s="643"/>
      <c r="AF15" s="643"/>
      <c r="AG15" s="643"/>
      <c r="AH15" s="643"/>
      <c r="AI15" s="643"/>
      <c r="AJ15" s="643"/>
      <c r="AK15" s="643"/>
      <c r="AL15" s="643"/>
      <c r="AM15" s="643"/>
      <c r="AN15" s="643"/>
      <c r="AO15" s="643"/>
      <c r="AP15" s="643"/>
      <c r="AQ15" s="643"/>
      <c r="AR15" s="643"/>
      <c r="AS15" s="643"/>
      <c r="AT15" s="643"/>
      <c r="AU15" s="643"/>
      <c r="AV15" s="643"/>
      <c r="AW15" s="643"/>
      <c r="AX15" s="643"/>
      <c r="AY15" s="643"/>
      <c r="AZ15" s="643"/>
      <c r="BA15" s="643"/>
      <c r="BB15" s="643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</row>
    <row r="16" spans="1:65" s="3" customFormat="1" ht="15.75" customHeight="1">
      <c r="A16" s="642" t="s">
        <v>46</v>
      </c>
      <c r="B16" s="642"/>
      <c r="C16" s="642"/>
      <c r="D16" s="642"/>
      <c r="E16" s="642"/>
      <c r="F16" s="642"/>
      <c r="G16" s="642"/>
      <c r="H16" s="642"/>
      <c r="I16" s="642"/>
      <c r="J16" s="642"/>
      <c r="K16" s="642"/>
      <c r="L16" s="642"/>
      <c r="M16" s="642"/>
      <c r="N16" s="642"/>
      <c r="O16" s="765" t="s">
        <v>98</v>
      </c>
      <c r="P16" s="765"/>
      <c r="Q16" s="765"/>
      <c r="R16" s="765"/>
      <c r="S16" s="765"/>
      <c r="T16" s="765"/>
      <c r="U16" s="765"/>
      <c r="V16" s="765"/>
      <c r="W16" s="765"/>
      <c r="X16" s="765"/>
      <c r="Y16" s="765"/>
      <c r="Z16" s="765"/>
      <c r="AA16" s="765"/>
      <c r="AB16" s="765"/>
      <c r="AC16" s="765"/>
      <c r="AD16" s="765"/>
      <c r="AE16" s="765"/>
      <c r="AF16" s="765"/>
      <c r="AG16" s="765"/>
      <c r="AH16" s="765"/>
      <c r="AI16" s="765"/>
      <c r="AJ16" s="765"/>
      <c r="AK16" s="765"/>
      <c r="AL16" s="765"/>
      <c r="AM16" s="765"/>
      <c r="AN16" s="765"/>
      <c r="AO16" s="765"/>
      <c r="AP16" s="765"/>
      <c r="AQ16" s="765"/>
      <c r="AR16" s="765"/>
      <c r="AS16" s="765"/>
      <c r="AT16" s="765"/>
      <c r="AU16" s="765"/>
      <c r="AV16" s="765"/>
      <c r="AW16" s="765"/>
      <c r="AX16" s="765"/>
      <c r="AY16" s="765"/>
      <c r="AZ16" s="765"/>
      <c r="BA16" s="765"/>
      <c r="BB16" s="765"/>
      <c r="BC16" s="100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</row>
    <row r="17" spans="1:65" ht="15.75" customHeight="1">
      <c r="A17" s="641" t="s">
        <v>546</v>
      </c>
      <c r="B17" s="642"/>
      <c r="C17" s="642"/>
      <c r="D17" s="642"/>
      <c r="E17" s="642"/>
      <c r="F17" s="642"/>
      <c r="G17" s="642"/>
      <c r="H17" s="642"/>
      <c r="I17" s="642"/>
      <c r="J17" s="642"/>
      <c r="K17" s="642"/>
      <c r="L17" s="642"/>
      <c r="M17" s="642"/>
      <c r="N17" s="642"/>
      <c r="O17" s="638">
        <v>3</v>
      </c>
      <c r="P17" s="638"/>
      <c r="Q17" s="656" t="s">
        <v>236</v>
      </c>
      <c r="R17" s="656"/>
      <c r="S17" s="656"/>
      <c r="T17" s="638">
        <v>4</v>
      </c>
      <c r="U17" s="638"/>
      <c r="V17" s="639" t="s">
        <v>237</v>
      </c>
      <c r="W17" s="639"/>
      <c r="X17" s="639"/>
      <c r="Y17" s="639"/>
      <c r="Z17" s="639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1"/>
      <c r="BD17" s="38"/>
      <c r="BE17" s="38"/>
      <c r="BF17" s="38"/>
      <c r="BG17" s="38"/>
      <c r="BH17" s="38"/>
      <c r="BI17" s="38"/>
      <c r="BJ17" s="38"/>
      <c r="BK17" s="38"/>
      <c r="BL17" s="38"/>
      <c r="BM17" s="38"/>
    </row>
    <row r="18" spans="1:65" ht="15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654" t="s">
        <v>570</v>
      </c>
      <c r="P18" s="655"/>
      <c r="Q18" s="655"/>
      <c r="R18" s="655"/>
      <c r="S18" s="655"/>
      <c r="T18" s="655"/>
      <c r="U18" s="655"/>
      <c r="V18" s="655"/>
      <c r="W18" s="655"/>
      <c r="X18" s="655"/>
      <c r="Y18" s="655"/>
      <c r="Z18" s="655"/>
      <c r="AA18" s="655"/>
      <c r="AB18" s="655"/>
      <c r="AC18" s="655"/>
      <c r="AD18" s="655"/>
      <c r="AE18" s="655"/>
      <c r="AF18" s="655"/>
      <c r="AG18" s="655"/>
      <c r="AH18" s="655"/>
      <c r="AI18" s="655"/>
      <c r="AJ18" s="655"/>
      <c r="AK18" s="655"/>
      <c r="AL18" s="655"/>
      <c r="AM18" s="655"/>
      <c r="AN18" s="655"/>
      <c r="AO18" s="655"/>
      <c r="AP18" s="655"/>
      <c r="AQ18" s="655"/>
      <c r="AR18" s="655"/>
      <c r="AS18" s="655"/>
      <c r="AT18" s="655"/>
      <c r="AU18" s="655"/>
      <c r="AV18" s="655"/>
      <c r="AW18" s="655"/>
      <c r="AX18" s="655"/>
      <c r="AY18" s="655"/>
      <c r="AZ18" s="655"/>
      <c r="BA18" s="655"/>
      <c r="BB18" s="655"/>
      <c r="BC18" s="40"/>
      <c r="BD18" s="38"/>
      <c r="BE18" s="38"/>
      <c r="BF18" s="38"/>
      <c r="BG18" s="38"/>
      <c r="BH18" s="38"/>
      <c r="BI18" s="38"/>
      <c r="BJ18" s="38"/>
      <c r="BK18" s="38"/>
      <c r="BL18" s="38"/>
      <c r="BM18" s="38"/>
    </row>
    <row r="19" spans="1:65" ht="10.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</row>
    <row r="20" spans="1:65" ht="12.75">
      <c r="A20" s="661" t="s">
        <v>10</v>
      </c>
      <c r="B20" s="623" t="s">
        <v>11</v>
      </c>
      <c r="C20" s="624"/>
      <c r="D20" s="624"/>
      <c r="E20" s="625"/>
      <c r="F20" s="621" t="s">
        <v>57</v>
      </c>
      <c r="G20" s="623" t="s">
        <v>25</v>
      </c>
      <c r="H20" s="624"/>
      <c r="I20" s="625"/>
      <c r="J20" s="621" t="s">
        <v>118</v>
      </c>
      <c r="K20" s="623" t="s">
        <v>12</v>
      </c>
      <c r="L20" s="624"/>
      <c r="M20" s="624"/>
      <c r="N20" s="625"/>
      <c r="O20" s="623" t="s">
        <v>13</v>
      </c>
      <c r="P20" s="624"/>
      <c r="Q20" s="624"/>
      <c r="R20" s="625"/>
      <c r="S20" s="621" t="s">
        <v>117</v>
      </c>
      <c r="T20" s="623" t="s">
        <v>14</v>
      </c>
      <c r="U20" s="624"/>
      <c r="V20" s="625"/>
      <c r="W20" s="621" t="s">
        <v>56</v>
      </c>
      <c r="X20" s="623" t="s">
        <v>15</v>
      </c>
      <c r="Y20" s="624"/>
      <c r="Z20" s="625"/>
      <c r="AA20" s="621" t="s">
        <v>113</v>
      </c>
      <c r="AB20" s="623" t="s">
        <v>16</v>
      </c>
      <c r="AC20" s="624"/>
      <c r="AD20" s="624"/>
      <c r="AE20" s="625"/>
      <c r="AF20" s="621" t="s">
        <v>55</v>
      </c>
      <c r="AG20" s="623" t="s">
        <v>17</v>
      </c>
      <c r="AH20" s="624"/>
      <c r="AI20" s="625"/>
      <c r="AJ20" s="621" t="s">
        <v>54</v>
      </c>
      <c r="AK20" s="623" t="s">
        <v>18</v>
      </c>
      <c r="AL20" s="624"/>
      <c r="AM20" s="624"/>
      <c r="AN20" s="625"/>
      <c r="AO20" s="623" t="s">
        <v>19</v>
      </c>
      <c r="AP20" s="624"/>
      <c r="AQ20" s="624"/>
      <c r="AR20" s="625"/>
      <c r="AS20" s="621" t="s">
        <v>116</v>
      </c>
      <c r="AT20" s="623" t="s">
        <v>20</v>
      </c>
      <c r="AU20" s="624"/>
      <c r="AV20" s="625"/>
      <c r="AW20" s="621" t="s">
        <v>112</v>
      </c>
      <c r="AX20" s="623" t="s">
        <v>21</v>
      </c>
      <c r="AY20" s="624"/>
      <c r="AZ20" s="624"/>
      <c r="BA20" s="625"/>
      <c r="BB20" s="633" t="s">
        <v>51</v>
      </c>
      <c r="BC20" s="634"/>
      <c r="BD20" s="634"/>
      <c r="BE20" s="634"/>
      <c r="BF20" s="634"/>
      <c r="BG20" s="634"/>
      <c r="BH20" s="634"/>
      <c r="BI20" s="634"/>
      <c r="BJ20" s="634"/>
      <c r="BK20" s="634"/>
      <c r="BL20" s="634"/>
      <c r="BM20" s="635"/>
    </row>
    <row r="21" spans="1:65" ht="15.75" customHeight="1">
      <c r="A21" s="662"/>
      <c r="B21" s="626"/>
      <c r="C21" s="627"/>
      <c r="D21" s="627"/>
      <c r="E21" s="628"/>
      <c r="F21" s="622"/>
      <c r="G21" s="626"/>
      <c r="H21" s="627"/>
      <c r="I21" s="628"/>
      <c r="J21" s="622"/>
      <c r="K21" s="626"/>
      <c r="L21" s="627"/>
      <c r="M21" s="627"/>
      <c r="N21" s="628"/>
      <c r="O21" s="626"/>
      <c r="P21" s="627"/>
      <c r="Q21" s="627"/>
      <c r="R21" s="628"/>
      <c r="S21" s="622"/>
      <c r="T21" s="626"/>
      <c r="U21" s="627"/>
      <c r="V21" s="628"/>
      <c r="W21" s="622"/>
      <c r="X21" s="626"/>
      <c r="Y21" s="627"/>
      <c r="Z21" s="628"/>
      <c r="AA21" s="622"/>
      <c r="AB21" s="626"/>
      <c r="AC21" s="627"/>
      <c r="AD21" s="627"/>
      <c r="AE21" s="628"/>
      <c r="AF21" s="622"/>
      <c r="AG21" s="626"/>
      <c r="AH21" s="627"/>
      <c r="AI21" s="628"/>
      <c r="AJ21" s="622"/>
      <c r="AK21" s="626"/>
      <c r="AL21" s="627"/>
      <c r="AM21" s="627"/>
      <c r="AN21" s="628"/>
      <c r="AO21" s="626"/>
      <c r="AP21" s="627"/>
      <c r="AQ21" s="627"/>
      <c r="AR21" s="628"/>
      <c r="AS21" s="622"/>
      <c r="AT21" s="626"/>
      <c r="AU21" s="627"/>
      <c r="AV21" s="628"/>
      <c r="AW21" s="622"/>
      <c r="AX21" s="626"/>
      <c r="AY21" s="627"/>
      <c r="AZ21" s="627"/>
      <c r="BA21" s="628"/>
      <c r="BB21" s="610" t="s">
        <v>8</v>
      </c>
      <c r="BC21" s="611"/>
      <c r="BD21" s="612"/>
      <c r="BE21" s="610" t="s">
        <v>259</v>
      </c>
      <c r="BF21" s="611"/>
      <c r="BG21" s="612"/>
      <c r="BH21" s="607" t="s">
        <v>6</v>
      </c>
      <c r="BI21" s="607" t="s">
        <v>125</v>
      </c>
      <c r="BJ21" s="607" t="s">
        <v>52</v>
      </c>
      <c r="BK21" s="607" t="s">
        <v>495</v>
      </c>
      <c r="BL21" s="607" t="s">
        <v>43</v>
      </c>
      <c r="BM21" s="607" t="s">
        <v>1</v>
      </c>
    </row>
    <row r="22" spans="1:65" ht="15.75" customHeight="1">
      <c r="A22" s="662"/>
      <c r="B22" s="7">
        <v>1</v>
      </c>
      <c r="C22" s="7">
        <v>8</v>
      </c>
      <c r="D22" s="7">
        <v>15</v>
      </c>
      <c r="E22" s="7">
        <v>22</v>
      </c>
      <c r="F22" s="631" t="s">
        <v>105</v>
      </c>
      <c r="G22" s="7">
        <v>6</v>
      </c>
      <c r="H22" s="7">
        <v>13</v>
      </c>
      <c r="I22" s="7">
        <v>20</v>
      </c>
      <c r="J22" s="631" t="s">
        <v>106</v>
      </c>
      <c r="K22" s="7">
        <v>3</v>
      </c>
      <c r="L22" s="7">
        <v>10</v>
      </c>
      <c r="M22" s="7">
        <v>17</v>
      </c>
      <c r="N22" s="7">
        <v>24</v>
      </c>
      <c r="O22" s="7">
        <v>1</v>
      </c>
      <c r="P22" s="7">
        <v>8</v>
      </c>
      <c r="Q22" s="7">
        <v>15</v>
      </c>
      <c r="R22" s="7">
        <v>22</v>
      </c>
      <c r="S22" s="631" t="s">
        <v>107</v>
      </c>
      <c r="T22" s="7">
        <v>5</v>
      </c>
      <c r="U22" s="7">
        <v>12</v>
      </c>
      <c r="V22" s="7">
        <v>19</v>
      </c>
      <c r="W22" s="631" t="s">
        <v>108</v>
      </c>
      <c r="X22" s="7">
        <v>2</v>
      </c>
      <c r="Y22" s="7">
        <v>9</v>
      </c>
      <c r="Z22" s="7">
        <v>16</v>
      </c>
      <c r="AA22" s="631" t="s">
        <v>114</v>
      </c>
      <c r="AB22" s="7">
        <v>2</v>
      </c>
      <c r="AC22" s="7">
        <v>9</v>
      </c>
      <c r="AD22" s="7">
        <v>16</v>
      </c>
      <c r="AE22" s="7">
        <v>23</v>
      </c>
      <c r="AF22" s="631" t="s">
        <v>110</v>
      </c>
      <c r="AG22" s="7">
        <v>6</v>
      </c>
      <c r="AH22" s="7">
        <v>13</v>
      </c>
      <c r="AI22" s="7">
        <v>20</v>
      </c>
      <c r="AJ22" s="631" t="s">
        <v>111</v>
      </c>
      <c r="AK22" s="7">
        <v>4</v>
      </c>
      <c r="AL22" s="7">
        <v>11</v>
      </c>
      <c r="AM22" s="7">
        <v>18</v>
      </c>
      <c r="AN22" s="7">
        <v>25</v>
      </c>
      <c r="AO22" s="7">
        <v>1</v>
      </c>
      <c r="AP22" s="7">
        <v>8</v>
      </c>
      <c r="AQ22" s="7">
        <v>15</v>
      </c>
      <c r="AR22" s="7">
        <v>22</v>
      </c>
      <c r="AS22" s="631" t="s">
        <v>115</v>
      </c>
      <c r="AT22" s="7">
        <v>6</v>
      </c>
      <c r="AU22" s="7">
        <v>13</v>
      </c>
      <c r="AV22" s="7">
        <v>20</v>
      </c>
      <c r="AW22" s="631" t="s">
        <v>109</v>
      </c>
      <c r="AX22" s="7">
        <v>2</v>
      </c>
      <c r="AY22" s="7">
        <v>9</v>
      </c>
      <c r="AZ22" s="7">
        <v>16</v>
      </c>
      <c r="BA22" s="7">
        <v>23</v>
      </c>
      <c r="BB22" s="613"/>
      <c r="BC22" s="614"/>
      <c r="BD22" s="615"/>
      <c r="BE22" s="613"/>
      <c r="BF22" s="614"/>
      <c r="BG22" s="615"/>
      <c r="BH22" s="608"/>
      <c r="BI22" s="608"/>
      <c r="BJ22" s="608"/>
      <c r="BK22" s="608"/>
      <c r="BL22" s="608"/>
      <c r="BM22" s="608"/>
    </row>
    <row r="23" spans="1:65" ht="18" customHeight="1">
      <c r="A23" s="662"/>
      <c r="B23" s="4">
        <v>7</v>
      </c>
      <c r="C23" s="4">
        <v>14</v>
      </c>
      <c r="D23" s="4">
        <v>21</v>
      </c>
      <c r="E23" s="4">
        <v>28</v>
      </c>
      <c r="F23" s="632"/>
      <c r="G23" s="4">
        <v>12</v>
      </c>
      <c r="H23" s="4">
        <v>19</v>
      </c>
      <c r="I23" s="4">
        <v>26</v>
      </c>
      <c r="J23" s="632"/>
      <c r="K23" s="4">
        <v>9</v>
      </c>
      <c r="L23" s="4">
        <v>16</v>
      </c>
      <c r="M23" s="4">
        <v>23</v>
      </c>
      <c r="N23" s="4">
        <v>30</v>
      </c>
      <c r="O23" s="4">
        <v>7</v>
      </c>
      <c r="P23" s="4">
        <v>14</v>
      </c>
      <c r="Q23" s="4">
        <v>21</v>
      </c>
      <c r="R23" s="4">
        <v>28</v>
      </c>
      <c r="S23" s="632"/>
      <c r="T23" s="4">
        <v>11</v>
      </c>
      <c r="U23" s="4">
        <v>18</v>
      </c>
      <c r="V23" s="4">
        <v>25</v>
      </c>
      <c r="W23" s="632"/>
      <c r="X23" s="4">
        <v>8</v>
      </c>
      <c r="Y23" s="4">
        <v>15</v>
      </c>
      <c r="Z23" s="4">
        <v>22</v>
      </c>
      <c r="AA23" s="632"/>
      <c r="AB23" s="4">
        <v>8</v>
      </c>
      <c r="AC23" s="4">
        <v>15</v>
      </c>
      <c r="AD23" s="4">
        <v>22</v>
      </c>
      <c r="AE23" s="4">
        <v>29</v>
      </c>
      <c r="AF23" s="632"/>
      <c r="AG23" s="4">
        <v>12</v>
      </c>
      <c r="AH23" s="4">
        <v>19</v>
      </c>
      <c r="AI23" s="4">
        <v>26</v>
      </c>
      <c r="AJ23" s="632"/>
      <c r="AK23" s="4">
        <v>10</v>
      </c>
      <c r="AL23" s="4">
        <v>17</v>
      </c>
      <c r="AM23" s="4">
        <v>24</v>
      </c>
      <c r="AN23" s="4">
        <v>31</v>
      </c>
      <c r="AO23" s="4">
        <v>7</v>
      </c>
      <c r="AP23" s="4">
        <v>14</v>
      </c>
      <c r="AQ23" s="4">
        <v>21</v>
      </c>
      <c r="AR23" s="4">
        <v>28</v>
      </c>
      <c r="AS23" s="632"/>
      <c r="AT23" s="4">
        <v>12</v>
      </c>
      <c r="AU23" s="4">
        <v>19</v>
      </c>
      <c r="AV23" s="4">
        <v>26</v>
      </c>
      <c r="AW23" s="632"/>
      <c r="AX23" s="4">
        <v>8</v>
      </c>
      <c r="AY23" s="4">
        <v>15</v>
      </c>
      <c r="AZ23" s="4">
        <v>22</v>
      </c>
      <c r="BA23" s="4">
        <v>31</v>
      </c>
      <c r="BB23" s="616"/>
      <c r="BC23" s="617"/>
      <c r="BD23" s="618"/>
      <c r="BE23" s="616"/>
      <c r="BF23" s="617"/>
      <c r="BG23" s="618"/>
      <c r="BH23" s="608"/>
      <c r="BI23" s="608"/>
      <c r="BJ23" s="608"/>
      <c r="BK23" s="608"/>
      <c r="BL23" s="608"/>
      <c r="BM23" s="608"/>
    </row>
    <row r="24" spans="1:65" ht="15.75" customHeight="1">
      <c r="A24" s="663"/>
      <c r="B24" s="8">
        <v>1</v>
      </c>
      <c r="C24" s="8">
        <v>2</v>
      </c>
      <c r="D24" s="8">
        <v>3</v>
      </c>
      <c r="E24" s="8">
        <v>4</v>
      </c>
      <c r="F24" s="8">
        <v>5</v>
      </c>
      <c r="G24" s="8">
        <v>6</v>
      </c>
      <c r="H24" s="8">
        <v>7</v>
      </c>
      <c r="I24" s="8">
        <v>8</v>
      </c>
      <c r="J24" s="8">
        <v>9</v>
      </c>
      <c r="K24" s="8">
        <v>10</v>
      </c>
      <c r="L24" s="8">
        <v>11</v>
      </c>
      <c r="M24" s="8">
        <v>12</v>
      </c>
      <c r="N24" s="8">
        <v>13</v>
      </c>
      <c r="O24" s="8">
        <v>14</v>
      </c>
      <c r="P24" s="8">
        <v>15</v>
      </c>
      <c r="Q24" s="8">
        <v>16</v>
      </c>
      <c r="R24" s="8">
        <v>17</v>
      </c>
      <c r="S24" s="8">
        <v>18</v>
      </c>
      <c r="T24" s="8">
        <v>19</v>
      </c>
      <c r="U24" s="8">
        <v>20</v>
      </c>
      <c r="V24" s="8">
        <v>21</v>
      </c>
      <c r="W24" s="8">
        <v>22</v>
      </c>
      <c r="X24" s="8">
        <v>23</v>
      </c>
      <c r="Y24" s="8">
        <v>24</v>
      </c>
      <c r="Z24" s="8">
        <v>25</v>
      </c>
      <c r="AA24" s="8">
        <v>26</v>
      </c>
      <c r="AB24" s="8">
        <v>27</v>
      </c>
      <c r="AC24" s="8">
        <v>28</v>
      </c>
      <c r="AD24" s="8">
        <v>29</v>
      </c>
      <c r="AE24" s="8">
        <v>30</v>
      </c>
      <c r="AF24" s="8">
        <v>31</v>
      </c>
      <c r="AG24" s="8">
        <v>32</v>
      </c>
      <c r="AH24" s="8">
        <v>33</v>
      </c>
      <c r="AI24" s="8">
        <v>34</v>
      </c>
      <c r="AJ24" s="8">
        <v>35</v>
      </c>
      <c r="AK24" s="8">
        <v>36</v>
      </c>
      <c r="AL24" s="8">
        <v>37</v>
      </c>
      <c r="AM24" s="8">
        <v>38</v>
      </c>
      <c r="AN24" s="8">
        <v>39</v>
      </c>
      <c r="AO24" s="8">
        <v>40</v>
      </c>
      <c r="AP24" s="8">
        <v>41</v>
      </c>
      <c r="AQ24" s="8">
        <v>42</v>
      </c>
      <c r="AR24" s="8">
        <v>43</v>
      </c>
      <c r="AS24" s="8">
        <v>44</v>
      </c>
      <c r="AT24" s="8">
        <v>45</v>
      </c>
      <c r="AU24" s="8">
        <v>46</v>
      </c>
      <c r="AV24" s="8">
        <v>47</v>
      </c>
      <c r="AW24" s="8">
        <v>48</v>
      </c>
      <c r="AX24" s="8">
        <v>49</v>
      </c>
      <c r="AY24" s="8">
        <v>50</v>
      </c>
      <c r="AZ24" s="8">
        <v>51</v>
      </c>
      <c r="BA24" s="8">
        <v>52</v>
      </c>
      <c r="BB24" s="10" t="s">
        <v>67</v>
      </c>
      <c r="BC24" s="10" t="s">
        <v>32</v>
      </c>
      <c r="BD24" s="11" t="s">
        <v>53</v>
      </c>
      <c r="BE24" s="10" t="s">
        <v>67</v>
      </c>
      <c r="BF24" s="10" t="s">
        <v>32</v>
      </c>
      <c r="BG24" s="11" t="s">
        <v>53</v>
      </c>
      <c r="BH24" s="609"/>
      <c r="BI24" s="609"/>
      <c r="BJ24" s="609"/>
      <c r="BK24" s="609"/>
      <c r="BL24" s="609"/>
      <c r="BM24" s="609"/>
    </row>
    <row r="25" spans="1:65" ht="15.75" customHeight="1">
      <c r="A25" s="9">
        <v>1</v>
      </c>
      <c r="B25" s="12" t="s">
        <v>22</v>
      </c>
      <c r="C25" s="12" t="s">
        <v>22</v>
      </c>
      <c r="D25" s="12" t="s">
        <v>22</v>
      </c>
      <c r="E25" s="12" t="s">
        <v>22</v>
      </c>
      <c r="F25" s="12" t="s">
        <v>22</v>
      </c>
      <c r="G25" s="12" t="s">
        <v>22</v>
      </c>
      <c r="H25" s="12" t="s">
        <v>22</v>
      </c>
      <c r="I25" s="12" t="s">
        <v>22</v>
      </c>
      <c r="J25" s="12" t="s">
        <v>22</v>
      </c>
      <c r="K25" s="12" t="s">
        <v>22</v>
      </c>
      <c r="L25" s="12" t="s">
        <v>22</v>
      </c>
      <c r="M25" s="12" t="s">
        <v>22</v>
      </c>
      <c r="N25" s="41" t="s">
        <v>67</v>
      </c>
      <c r="O25" s="41" t="s">
        <v>67</v>
      </c>
      <c r="P25" s="41" t="s">
        <v>67</v>
      </c>
      <c r="Q25" s="41" t="s">
        <v>67</v>
      </c>
      <c r="R25" s="41" t="s">
        <v>67</v>
      </c>
      <c r="S25" s="41" t="s">
        <v>28</v>
      </c>
      <c r="T25" s="41" t="s">
        <v>28</v>
      </c>
      <c r="U25" s="41" t="s">
        <v>32</v>
      </c>
      <c r="V25" s="41" t="s">
        <v>32</v>
      </c>
      <c r="W25" s="41" t="s">
        <v>32</v>
      </c>
      <c r="X25" s="41" t="s">
        <v>194</v>
      </c>
      <c r="Y25" s="41" t="s">
        <v>194</v>
      </c>
      <c r="Z25" s="41" t="s">
        <v>194</v>
      </c>
      <c r="AA25" s="41" t="s">
        <v>194</v>
      </c>
      <c r="AB25" s="41" t="s">
        <v>32</v>
      </c>
      <c r="AC25" s="41" t="s">
        <v>32</v>
      </c>
      <c r="AD25" s="41" t="s">
        <v>32</v>
      </c>
      <c r="AE25" s="41" t="s">
        <v>32</v>
      </c>
      <c r="AF25" s="41" t="s">
        <v>32</v>
      </c>
      <c r="AG25" s="41" t="s">
        <v>32</v>
      </c>
      <c r="AH25" s="41" t="s">
        <v>32</v>
      </c>
      <c r="AI25" s="41" t="s">
        <v>32</v>
      </c>
      <c r="AJ25" s="41" t="s">
        <v>32</v>
      </c>
      <c r="AK25" s="41" t="s">
        <v>32</v>
      </c>
      <c r="AL25" s="41" t="s">
        <v>32</v>
      </c>
      <c r="AM25" s="41" t="s">
        <v>32</v>
      </c>
      <c r="AN25" s="41" t="s">
        <v>32</v>
      </c>
      <c r="AO25" s="41" t="s">
        <v>32</v>
      </c>
      <c r="AP25" s="41" t="s">
        <v>32</v>
      </c>
      <c r="AQ25" s="41" t="s">
        <v>32</v>
      </c>
      <c r="AR25" s="41" t="s">
        <v>32</v>
      </c>
      <c r="AS25" s="41" t="s">
        <v>32</v>
      </c>
      <c r="AT25" s="41" t="s">
        <v>32</v>
      </c>
      <c r="AU25" s="41" t="s">
        <v>28</v>
      </c>
      <c r="AV25" s="41" t="s">
        <v>28</v>
      </c>
      <c r="AW25" s="41" t="s">
        <v>28</v>
      </c>
      <c r="AX25" s="41" t="s">
        <v>28</v>
      </c>
      <c r="AY25" s="41" t="s">
        <v>28</v>
      </c>
      <c r="AZ25" s="41" t="s">
        <v>28</v>
      </c>
      <c r="BA25" s="41" t="s">
        <v>28</v>
      </c>
      <c r="BB25" s="31">
        <f>COUNTIF(B25:BA25,"о")</f>
        <v>5</v>
      </c>
      <c r="BC25" s="31">
        <f>COUNTIF(B25:BA25,"в")</f>
        <v>22</v>
      </c>
      <c r="BD25" s="32">
        <f>SUM(BB25:BC25)</f>
        <v>27</v>
      </c>
      <c r="BE25" s="31">
        <f>COUNTIF(B25:BA25,$R$32)</f>
        <v>0</v>
      </c>
      <c r="BF25" s="31">
        <f>COUNTIF(B25:BA25,$R$34)</f>
        <v>4</v>
      </c>
      <c r="BG25" s="32">
        <f>SUM(BE25:BF25)</f>
        <v>4</v>
      </c>
      <c r="BH25" s="32">
        <f>COUNTIF(B25:BA25,$AF$32)</f>
        <v>0</v>
      </c>
      <c r="BI25" s="32">
        <f>COUNTIF(B25:BA25,$AF$34)</f>
        <v>0</v>
      </c>
      <c r="BJ25" s="32">
        <f>COUNTIF(B25:BA25,$AZ$32)</f>
        <v>0</v>
      </c>
      <c r="BK25" s="32">
        <f>COUNTIF(B25:BA25,$AQ$34)</f>
        <v>0</v>
      </c>
      <c r="BL25" s="32">
        <f>COUNTIF(B25:BA25,$AZ$34)</f>
        <v>9</v>
      </c>
      <c r="BM25" s="32">
        <f>SUM(BG25:BL25)+BD25</f>
        <v>40</v>
      </c>
    </row>
    <row r="26" spans="1:65" ht="15.75" customHeight="1">
      <c r="A26" s="9">
        <v>2</v>
      </c>
      <c r="B26" s="41" t="s">
        <v>67</v>
      </c>
      <c r="C26" s="41" t="s">
        <v>67</v>
      </c>
      <c r="D26" s="41" t="s">
        <v>67</v>
      </c>
      <c r="E26" s="41" t="s">
        <v>67</v>
      </c>
      <c r="F26" s="41" t="s">
        <v>67</v>
      </c>
      <c r="G26" s="41" t="s">
        <v>67</v>
      </c>
      <c r="H26" s="41" t="s">
        <v>67</v>
      </c>
      <c r="I26" s="41" t="s">
        <v>67</v>
      </c>
      <c r="J26" s="41" t="s">
        <v>67</v>
      </c>
      <c r="K26" s="41" t="s">
        <v>67</v>
      </c>
      <c r="L26" s="41" t="s">
        <v>67</v>
      </c>
      <c r="M26" s="41" t="s">
        <v>67</v>
      </c>
      <c r="N26" s="41" t="s">
        <v>67</v>
      </c>
      <c r="O26" s="41" t="s">
        <v>67</v>
      </c>
      <c r="P26" s="41" t="s">
        <v>67</v>
      </c>
      <c r="Q26" s="292" t="s">
        <v>67</v>
      </c>
      <c r="R26" s="41" t="s">
        <v>67</v>
      </c>
      <c r="S26" s="41" t="s">
        <v>28</v>
      </c>
      <c r="T26" s="41" t="s">
        <v>28</v>
      </c>
      <c r="U26" s="41" t="s">
        <v>32</v>
      </c>
      <c r="V26" s="41" t="s">
        <v>32</v>
      </c>
      <c r="W26" s="41" t="s">
        <v>32</v>
      </c>
      <c r="X26" s="41" t="s">
        <v>194</v>
      </c>
      <c r="Y26" s="41" t="s">
        <v>194</v>
      </c>
      <c r="Z26" s="41" t="s">
        <v>194</v>
      </c>
      <c r="AA26" s="41" t="s">
        <v>194</v>
      </c>
      <c r="AB26" s="41" t="s">
        <v>32</v>
      </c>
      <c r="AC26" s="41" t="s">
        <v>32</v>
      </c>
      <c r="AD26" s="41" t="s">
        <v>32</v>
      </c>
      <c r="AE26" s="41" t="s">
        <v>32</v>
      </c>
      <c r="AF26" s="41" t="s">
        <v>32</v>
      </c>
      <c r="AG26" s="41" t="s">
        <v>32</v>
      </c>
      <c r="AH26" s="41" t="s">
        <v>32</v>
      </c>
      <c r="AI26" s="41" t="s">
        <v>32</v>
      </c>
      <c r="AJ26" s="41" t="s">
        <v>48</v>
      </c>
      <c r="AK26" s="41" t="s">
        <v>48</v>
      </c>
      <c r="AL26" s="41" t="s">
        <v>48</v>
      </c>
      <c r="AM26" s="41" t="s">
        <v>48</v>
      </c>
      <c r="AN26" s="41" t="s">
        <v>48</v>
      </c>
      <c r="AO26" s="41" t="s">
        <v>48</v>
      </c>
      <c r="AP26" s="41" t="s">
        <v>48</v>
      </c>
      <c r="AQ26" s="41" t="s">
        <v>48</v>
      </c>
      <c r="AR26" s="41" t="s">
        <v>48</v>
      </c>
      <c r="AS26" s="41" t="s">
        <v>48</v>
      </c>
      <c r="AT26" s="41" t="s">
        <v>48</v>
      </c>
      <c r="AU26" s="41" t="s">
        <v>28</v>
      </c>
      <c r="AV26" s="41" t="s">
        <v>28</v>
      </c>
      <c r="AW26" s="41" t="s">
        <v>28</v>
      </c>
      <c r="AX26" s="41" t="s">
        <v>28</v>
      </c>
      <c r="AY26" s="41" t="s">
        <v>28</v>
      </c>
      <c r="AZ26" s="41" t="s">
        <v>28</v>
      </c>
      <c r="BA26" s="41" t="s">
        <v>28</v>
      </c>
      <c r="BB26" s="31">
        <f>COUNTIF(B26:BA26,"о")</f>
        <v>17</v>
      </c>
      <c r="BC26" s="31">
        <f>COUNTIF(B26:BA26,"в")</f>
        <v>11</v>
      </c>
      <c r="BD26" s="32">
        <f>SUM(BB26:BC26)</f>
        <v>28</v>
      </c>
      <c r="BE26" s="31">
        <f>COUNTIF(B26:BA26,$R$32)</f>
        <v>0</v>
      </c>
      <c r="BF26" s="31">
        <f>COUNTIF(B26:BA26,$R$34)</f>
        <v>4</v>
      </c>
      <c r="BG26" s="32">
        <f>SUM(BE26:BF26)</f>
        <v>4</v>
      </c>
      <c r="BH26" s="32">
        <f>COUNTIF(B26:BA26,$AF$32)</f>
        <v>11</v>
      </c>
      <c r="BI26" s="32">
        <f>COUNTIF(B26:BA26,$AF$34)</f>
        <v>0</v>
      </c>
      <c r="BJ26" s="32">
        <f>COUNTIF(B26:BA26,$AZ$32)</f>
        <v>0</v>
      </c>
      <c r="BK26" s="32">
        <f>COUNTIF(B26:BA26,$AQ$34)</f>
        <v>0</v>
      </c>
      <c r="BL26" s="32">
        <f>COUNTIF(B26:BA26,$AZ$34)</f>
        <v>9</v>
      </c>
      <c r="BM26" s="32">
        <f>SUM(BG26:BL26)+BD26</f>
        <v>52</v>
      </c>
    </row>
    <row r="27" spans="1:65" ht="15.75" customHeight="1">
      <c r="A27" s="9">
        <v>3</v>
      </c>
      <c r="B27" s="26" t="s">
        <v>49</v>
      </c>
      <c r="C27" s="26" t="s">
        <v>49</v>
      </c>
      <c r="D27" s="26" t="s">
        <v>49</v>
      </c>
      <c r="E27" s="26" t="s">
        <v>49</v>
      </c>
      <c r="F27" s="26" t="s">
        <v>49</v>
      </c>
      <c r="G27" s="26" t="s">
        <v>49</v>
      </c>
      <c r="H27" s="41" t="s">
        <v>67</v>
      </c>
      <c r="I27" s="41" t="s">
        <v>67</v>
      </c>
      <c r="J27" s="41" t="s">
        <v>67</v>
      </c>
      <c r="K27" s="41" t="s">
        <v>67</v>
      </c>
      <c r="L27" s="41" t="s">
        <v>67</v>
      </c>
      <c r="M27" s="41" t="s">
        <v>67</v>
      </c>
      <c r="N27" s="41" t="s">
        <v>67</v>
      </c>
      <c r="O27" s="41" t="s">
        <v>67</v>
      </c>
      <c r="P27" s="41" t="s">
        <v>67</v>
      </c>
      <c r="Q27" s="292" t="s">
        <v>67</v>
      </c>
      <c r="R27" s="41" t="s">
        <v>67</v>
      </c>
      <c r="S27" s="41" t="s">
        <v>28</v>
      </c>
      <c r="T27" s="41" t="s">
        <v>28</v>
      </c>
      <c r="U27" s="41" t="s">
        <v>32</v>
      </c>
      <c r="V27" s="41" t="s">
        <v>32</v>
      </c>
      <c r="W27" s="41" t="s">
        <v>194</v>
      </c>
      <c r="X27" s="41" t="s">
        <v>194</v>
      </c>
      <c r="Y27" s="41" t="s">
        <v>194</v>
      </c>
      <c r="Z27" s="41" t="s">
        <v>194</v>
      </c>
      <c r="AA27" s="41" t="s">
        <v>194</v>
      </c>
      <c r="AB27" s="41" t="s">
        <v>194</v>
      </c>
      <c r="AC27" s="41" t="s">
        <v>32</v>
      </c>
      <c r="AD27" s="41" t="s">
        <v>32</v>
      </c>
      <c r="AE27" s="41" t="s">
        <v>32</v>
      </c>
      <c r="AF27" s="41" t="s">
        <v>28</v>
      </c>
      <c r="AG27" s="41" t="s">
        <v>28</v>
      </c>
      <c r="AH27" s="41" t="s">
        <v>28</v>
      </c>
      <c r="AI27" s="41" t="s">
        <v>28</v>
      </c>
      <c r="AJ27" s="41" t="s">
        <v>28</v>
      </c>
      <c r="AK27" s="41" t="s">
        <v>28</v>
      </c>
      <c r="AL27" s="41" t="s">
        <v>28</v>
      </c>
      <c r="AM27" s="26" t="s">
        <v>49</v>
      </c>
      <c r="AN27" s="26" t="s">
        <v>49</v>
      </c>
      <c r="AO27" s="26" t="s">
        <v>49</v>
      </c>
      <c r="AP27" s="26" t="s">
        <v>49</v>
      </c>
      <c r="AQ27" s="26" t="s">
        <v>49</v>
      </c>
      <c r="AR27" s="26" t="s">
        <v>49</v>
      </c>
      <c r="AS27" s="26" t="s">
        <v>49</v>
      </c>
      <c r="AT27" s="26" t="s">
        <v>49</v>
      </c>
      <c r="AU27" s="26" t="s">
        <v>49</v>
      </c>
      <c r="AV27" s="26" t="s">
        <v>49</v>
      </c>
      <c r="AW27" s="26" t="s">
        <v>49</v>
      </c>
      <c r="AX27" s="26" t="s">
        <v>49</v>
      </c>
      <c r="AY27" s="26" t="s">
        <v>49</v>
      </c>
      <c r="AZ27" s="26" t="s">
        <v>49</v>
      </c>
      <c r="BA27" s="26" t="s">
        <v>49</v>
      </c>
      <c r="BB27" s="31">
        <f>COUNTIF(B27:BA27,"о")</f>
        <v>11</v>
      </c>
      <c r="BC27" s="31">
        <f>COUNTIF(B27:BA27,"в")</f>
        <v>5</v>
      </c>
      <c r="BD27" s="32">
        <f>SUM(BB27:BC27)</f>
        <v>16</v>
      </c>
      <c r="BE27" s="31">
        <f>COUNTIF(B27:BA27,$R$32)</f>
        <v>0</v>
      </c>
      <c r="BF27" s="31">
        <f>COUNTIF(B27:BA27,$R$34)</f>
        <v>6</v>
      </c>
      <c r="BG27" s="32">
        <f>SUM(BE27:BF27)</f>
        <v>6</v>
      </c>
      <c r="BH27" s="32">
        <f>COUNTIF(B27:BA27,$AF$32)</f>
        <v>0</v>
      </c>
      <c r="BI27" s="32">
        <f>COUNTIF(B27:BA27,$AF$34)</f>
        <v>21</v>
      </c>
      <c r="BJ27" s="32">
        <f>COUNTIF(B27:BA27,$AZ$32)</f>
        <v>0</v>
      </c>
      <c r="BK27" s="32">
        <f>COUNTIF(B27:BA27,$AQ$34)</f>
        <v>0</v>
      </c>
      <c r="BL27" s="32">
        <f>COUNTIF(B27:BA27,$AZ$34)</f>
        <v>9</v>
      </c>
      <c r="BM27" s="32">
        <f>SUM(BG27:BL27)+BD27</f>
        <v>52</v>
      </c>
    </row>
    <row r="28" spans="1:65" ht="15.75" customHeight="1">
      <c r="A28" s="9">
        <v>4</v>
      </c>
      <c r="B28" s="26" t="s">
        <v>49</v>
      </c>
      <c r="C28" s="26" t="s">
        <v>49</v>
      </c>
      <c r="D28" s="26" t="s">
        <v>49</v>
      </c>
      <c r="E28" s="26" t="s">
        <v>49</v>
      </c>
      <c r="F28" s="26" t="s">
        <v>49</v>
      </c>
      <c r="G28" s="26" t="s">
        <v>49</v>
      </c>
      <c r="H28" s="41" t="s">
        <v>67</v>
      </c>
      <c r="I28" s="41" t="s">
        <v>67</v>
      </c>
      <c r="J28" s="41" t="s">
        <v>67</v>
      </c>
      <c r="K28" s="41" t="s">
        <v>67</v>
      </c>
      <c r="L28" s="41" t="s">
        <v>193</v>
      </c>
      <c r="M28" s="41" t="s">
        <v>193</v>
      </c>
      <c r="N28" s="41" t="s">
        <v>193</v>
      </c>
      <c r="O28" s="41" t="s">
        <v>193</v>
      </c>
      <c r="P28" s="41" t="s">
        <v>193</v>
      </c>
      <c r="Q28" s="41" t="s">
        <v>193</v>
      </c>
      <c r="R28" s="41" t="s">
        <v>67</v>
      </c>
      <c r="S28" s="41" t="s">
        <v>28</v>
      </c>
      <c r="T28" s="41" t="s">
        <v>28</v>
      </c>
      <c r="U28" s="41" t="s">
        <v>32</v>
      </c>
      <c r="V28" s="41" t="s">
        <v>32</v>
      </c>
      <c r="W28" s="514" t="s">
        <v>49</v>
      </c>
      <c r="X28" s="514" t="s">
        <v>49</v>
      </c>
      <c r="Y28" s="514" t="s">
        <v>49</v>
      </c>
      <c r="Z28" s="514" t="s">
        <v>49</v>
      </c>
      <c r="AA28" s="41" t="s">
        <v>31</v>
      </c>
      <c r="AB28" s="41" t="s">
        <v>31</v>
      </c>
      <c r="AC28" s="41" t="s">
        <v>31</v>
      </c>
      <c r="AD28" s="41" t="s">
        <v>31</v>
      </c>
      <c r="AE28" s="12" t="s">
        <v>22</v>
      </c>
      <c r="AF28" s="12" t="s">
        <v>22</v>
      </c>
      <c r="AG28" s="12" t="s">
        <v>22</v>
      </c>
      <c r="AH28" s="12" t="s">
        <v>22</v>
      </c>
      <c r="AI28" s="12" t="s">
        <v>22</v>
      </c>
      <c r="AJ28" s="12" t="s">
        <v>22</v>
      </c>
      <c r="AK28" s="12" t="s">
        <v>22</v>
      </c>
      <c r="AL28" s="12" t="s">
        <v>22</v>
      </c>
      <c r="AM28" s="12" t="s">
        <v>22</v>
      </c>
      <c r="AN28" s="12" t="s">
        <v>22</v>
      </c>
      <c r="AO28" s="12" t="s">
        <v>22</v>
      </c>
      <c r="AP28" s="12" t="s">
        <v>22</v>
      </c>
      <c r="AQ28" s="12" t="s">
        <v>22</v>
      </c>
      <c r="AR28" s="12" t="s">
        <v>22</v>
      </c>
      <c r="AS28" s="12" t="s">
        <v>22</v>
      </c>
      <c r="AT28" s="12" t="s">
        <v>22</v>
      </c>
      <c r="AU28" s="12" t="s">
        <v>22</v>
      </c>
      <c r="AV28" s="12" t="s">
        <v>22</v>
      </c>
      <c r="AW28" s="12" t="s">
        <v>22</v>
      </c>
      <c r="AX28" s="12" t="s">
        <v>22</v>
      </c>
      <c r="AY28" s="12" t="s">
        <v>22</v>
      </c>
      <c r="AZ28" s="12" t="s">
        <v>22</v>
      </c>
      <c r="BA28" s="12" t="s">
        <v>22</v>
      </c>
      <c r="BB28" s="31">
        <f>COUNTIF(B28:BA28,"о")</f>
        <v>5</v>
      </c>
      <c r="BC28" s="31">
        <f>COUNTIF(B28:BA28,"в")</f>
        <v>2</v>
      </c>
      <c r="BD28" s="32">
        <f>SUM(BB28:BC28)</f>
        <v>7</v>
      </c>
      <c r="BE28" s="31">
        <f>COUNTIF(B28:BA28,$R$32)</f>
        <v>6</v>
      </c>
      <c r="BF28" s="31">
        <f>COUNTIF(B28:BA28,$R$34)</f>
        <v>0</v>
      </c>
      <c r="BG28" s="32">
        <f>SUM(BE28:BF28)</f>
        <v>6</v>
      </c>
      <c r="BH28" s="32">
        <f>COUNTIF(B28:BA28,$AF$32)</f>
        <v>0</v>
      </c>
      <c r="BI28" s="32">
        <f>COUNTIF(B28:BA28,$AF$34)</f>
        <v>10</v>
      </c>
      <c r="BJ28" s="32"/>
      <c r="BK28" s="32">
        <f>COUNTIF(B28:BA28,$AQ$34)</f>
        <v>4</v>
      </c>
      <c r="BL28" s="32">
        <f>COUNTIF(B28:BA28,$AZ$34)</f>
        <v>2</v>
      </c>
      <c r="BM28" s="32">
        <f>SUM(BG28:BL28)+BD28</f>
        <v>29</v>
      </c>
    </row>
    <row r="29" spans="1:65" ht="15.75" customHeight="1" hidden="1">
      <c r="A29" s="9">
        <v>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292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31">
        <f>COUNTIF(B29:BA29,"о")</f>
        <v>0</v>
      </c>
      <c r="BC29" s="31">
        <f>COUNTIF(B29:BA29,"в")</f>
        <v>0</v>
      </c>
      <c r="BD29" s="32">
        <f>SUM(BB29:BC29)</f>
        <v>0</v>
      </c>
      <c r="BE29" s="31">
        <f>COUNTIF(B29:BA29,$R$32)</f>
        <v>0</v>
      </c>
      <c r="BF29" s="31">
        <f>COUNTIF(B29:BA29,$R$34)</f>
        <v>0</v>
      </c>
      <c r="BG29" s="32">
        <f>SUM(BE29:BF29)</f>
        <v>0</v>
      </c>
      <c r="BH29" s="32">
        <f>COUNTIF(B29:BA29,$AF$32)</f>
        <v>0</v>
      </c>
      <c r="BI29" s="32">
        <f>COUNTIF(B29:BA29,$AF$34)</f>
        <v>0</v>
      </c>
      <c r="BJ29" s="32">
        <v>0</v>
      </c>
      <c r="BK29" s="32"/>
      <c r="BL29" s="32">
        <f>COUNTIF(B29:BA29,$AZ$34)</f>
        <v>0</v>
      </c>
      <c r="BM29" s="32">
        <f>SUM(BG29:BL29)+BD29</f>
        <v>0</v>
      </c>
    </row>
    <row r="30" spans="1:65" ht="15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382"/>
      <c r="AG30" s="382"/>
      <c r="AH30" s="505"/>
      <c r="AI30" s="505"/>
      <c r="AJ30" s="505"/>
      <c r="AK30" s="505"/>
      <c r="AL30" s="505"/>
      <c r="AM30" s="505"/>
      <c r="AN30" s="505"/>
      <c r="AO30" s="505"/>
      <c r="AP30" s="505"/>
      <c r="AQ30" s="505"/>
      <c r="AR30" s="505"/>
      <c r="AS30" s="505"/>
      <c r="AT30" s="505"/>
      <c r="AU30" s="42"/>
      <c r="AV30" s="42"/>
      <c r="AW30" s="42"/>
      <c r="AX30" s="42"/>
      <c r="AY30" s="630" t="s">
        <v>50</v>
      </c>
      <c r="AZ30" s="630"/>
      <c r="BA30" s="630"/>
      <c r="BB30" s="13">
        <f aca="true" t="shared" si="0" ref="BB30:BM30">SUM(BB25:BB29)</f>
        <v>38</v>
      </c>
      <c r="BC30" s="13">
        <f t="shared" si="0"/>
        <v>40</v>
      </c>
      <c r="BD30" s="13">
        <f t="shared" si="0"/>
        <v>78</v>
      </c>
      <c r="BE30" s="13">
        <f t="shared" si="0"/>
        <v>6</v>
      </c>
      <c r="BF30" s="13">
        <f t="shared" si="0"/>
        <v>14</v>
      </c>
      <c r="BG30" s="13">
        <f t="shared" si="0"/>
        <v>20</v>
      </c>
      <c r="BH30" s="13">
        <f t="shared" si="0"/>
        <v>11</v>
      </c>
      <c r="BI30" s="13">
        <f t="shared" si="0"/>
        <v>31</v>
      </c>
      <c r="BJ30" s="13">
        <f t="shared" si="0"/>
        <v>0</v>
      </c>
      <c r="BK30" s="13">
        <f t="shared" si="0"/>
        <v>4</v>
      </c>
      <c r="BL30" s="13">
        <f t="shared" si="0"/>
        <v>29</v>
      </c>
      <c r="BM30" s="13">
        <f t="shared" si="0"/>
        <v>173</v>
      </c>
    </row>
    <row r="31" spans="1:65" ht="10.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506"/>
      <c r="AI31" s="506"/>
      <c r="AJ31" s="506"/>
      <c r="AK31" s="506"/>
      <c r="AL31" s="506"/>
      <c r="AM31" s="506"/>
      <c r="AN31" s="506"/>
      <c r="AO31" s="506"/>
      <c r="AP31" s="506"/>
      <c r="AQ31" s="506"/>
      <c r="AR31" s="506"/>
      <c r="AS31" s="506"/>
      <c r="AT31" s="506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</row>
    <row r="32" spans="1:65" s="5" customFormat="1" ht="11.25" customHeight="1">
      <c r="A32" s="42"/>
      <c r="B32" s="30" t="s">
        <v>67</v>
      </c>
      <c r="C32" s="43" t="s">
        <v>22</v>
      </c>
      <c r="D32" s="660" t="s">
        <v>422</v>
      </c>
      <c r="E32" s="660"/>
      <c r="F32" s="660"/>
      <c r="G32" s="660"/>
      <c r="H32" s="660"/>
      <c r="I32" s="660"/>
      <c r="J32" s="660"/>
      <c r="K32" s="660"/>
      <c r="L32" s="660"/>
      <c r="M32" s="660"/>
      <c r="N32" s="660"/>
      <c r="O32" s="660"/>
      <c r="P32" s="660"/>
      <c r="Q32" s="660"/>
      <c r="R32" s="24" t="s">
        <v>193</v>
      </c>
      <c r="S32" s="43" t="s">
        <v>22</v>
      </c>
      <c r="T32" s="762" t="s">
        <v>571</v>
      </c>
      <c r="U32" s="762"/>
      <c r="V32" s="762"/>
      <c r="W32" s="762"/>
      <c r="X32" s="762"/>
      <c r="Y32" s="762"/>
      <c r="Z32" s="762"/>
      <c r="AA32" s="762"/>
      <c r="AB32" s="762"/>
      <c r="AC32" s="762"/>
      <c r="AD32" s="762"/>
      <c r="AE32" s="763"/>
      <c r="AF32" s="26" t="s">
        <v>48</v>
      </c>
      <c r="AG32" s="43" t="s">
        <v>22</v>
      </c>
      <c r="AH32" s="629" t="s">
        <v>23</v>
      </c>
      <c r="AI32" s="629"/>
      <c r="AJ32" s="629"/>
      <c r="AK32" s="629"/>
      <c r="AL32" s="629"/>
      <c r="AM32" s="629"/>
      <c r="AN32" s="629"/>
      <c r="AO32" s="629"/>
      <c r="AP32" s="629"/>
      <c r="AQ32" s="515" t="s">
        <v>49</v>
      </c>
      <c r="AR32" s="382" t="s">
        <v>22</v>
      </c>
      <c r="AS32" s="764" t="s">
        <v>520</v>
      </c>
      <c r="AT32" s="764"/>
      <c r="AU32" s="764"/>
      <c r="AV32" s="764"/>
      <c r="AW32" s="764"/>
      <c r="AX32" s="764"/>
      <c r="AY32" s="764"/>
      <c r="AZ32" s="764"/>
      <c r="BA32" s="764"/>
      <c r="BB32" s="764"/>
      <c r="BC32" s="764"/>
      <c r="BD32" s="764"/>
      <c r="BE32" s="506"/>
      <c r="BF32" s="506"/>
      <c r="BG32" s="506"/>
      <c r="BH32" s="506"/>
      <c r="BI32" s="42"/>
      <c r="BJ32" s="42"/>
      <c r="BK32" s="42"/>
      <c r="BL32" s="42"/>
      <c r="BM32" s="42"/>
    </row>
    <row r="33" spans="1:65" s="5" customFormat="1" ht="11.25">
      <c r="A33" s="42"/>
      <c r="B33" s="42"/>
      <c r="C33" s="42"/>
      <c r="D33" s="43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4"/>
      <c r="V33" s="43"/>
      <c r="W33" s="44"/>
      <c r="X33" s="44"/>
      <c r="Y33" s="43"/>
      <c r="Z33" s="44"/>
      <c r="AA33" s="44"/>
      <c r="AB33" s="43"/>
      <c r="AC33" s="44"/>
      <c r="AD33" s="44"/>
      <c r="AE33" s="43"/>
      <c r="AF33" s="44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</row>
    <row r="34" spans="1:65" s="5" customFormat="1" ht="11.25" customHeight="1">
      <c r="A34" s="42"/>
      <c r="B34" s="30" t="s">
        <v>32</v>
      </c>
      <c r="C34" s="43" t="s">
        <v>22</v>
      </c>
      <c r="D34" s="660" t="s">
        <v>423</v>
      </c>
      <c r="E34" s="660"/>
      <c r="F34" s="660"/>
      <c r="G34" s="660"/>
      <c r="H34" s="660"/>
      <c r="I34" s="660"/>
      <c r="J34" s="660"/>
      <c r="K34" s="660"/>
      <c r="L34" s="660"/>
      <c r="M34" s="660"/>
      <c r="N34" s="660"/>
      <c r="O34" s="660"/>
      <c r="P34" s="660"/>
      <c r="Q34" s="660"/>
      <c r="R34" s="24" t="s">
        <v>194</v>
      </c>
      <c r="S34" s="43" t="s">
        <v>22</v>
      </c>
      <c r="T34" s="762" t="s">
        <v>572</v>
      </c>
      <c r="U34" s="762"/>
      <c r="V34" s="762"/>
      <c r="W34" s="762"/>
      <c r="X34" s="762"/>
      <c r="Y34" s="762"/>
      <c r="Z34" s="762"/>
      <c r="AA34" s="762"/>
      <c r="AB34" s="762"/>
      <c r="AC34" s="762"/>
      <c r="AD34" s="762"/>
      <c r="AE34" s="763"/>
      <c r="AF34" s="26" t="s">
        <v>49</v>
      </c>
      <c r="AG34" s="43" t="s">
        <v>22</v>
      </c>
      <c r="AH34" s="606" t="s">
        <v>521</v>
      </c>
      <c r="AI34" s="606"/>
      <c r="AJ34" s="606"/>
      <c r="AK34" s="606"/>
      <c r="AL34" s="606"/>
      <c r="AM34" s="606"/>
      <c r="AN34" s="606"/>
      <c r="AO34" s="606"/>
      <c r="AP34" s="606"/>
      <c r="AQ34" s="24" t="s">
        <v>31</v>
      </c>
      <c r="AR34" s="43" t="s">
        <v>22</v>
      </c>
      <c r="AS34" s="606" t="s">
        <v>495</v>
      </c>
      <c r="AT34" s="606"/>
      <c r="AU34" s="606"/>
      <c r="AV34" s="606"/>
      <c r="AW34" s="606"/>
      <c r="AX34" s="606"/>
      <c r="AY34" s="606"/>
      <c r="AZ34" s="27" t="s">
        <v>28</v>
      </c>
      <c r="BA34" s="43" t="s">
        <v>22</v>
      </c>
      <c r="BB34" s="606" t="s">
        <v>24</v>
      </c>
      <c r="BC34" s="606"/>
      <c r="BD34" s="606"/>
      <c r="BE34" s="42"/>
      <c r="BF34" s="12" t="s">
        <v>22</v>
      </c>
      <c r="BG34" s="43" t="s">
        <v>22</v>
      </c>
      <c r="BH34" s="606" t="s">
        <v>42</v>
      </c>
      <c r="BI34" s="606"/>
      <c r="BJ34" s="606"/>
      <c r="BK34" s="606"/>
      <c r="BL34" s="606"/>
      <c r="BM34" s="606"/>
    </row>
    <row r="35" spans="1:65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606"/>
      <c r="AI35" s="606"/>
      <c r="AJ35" s="606"/>
      <c r="AK35" s="606"/>
      <c r="AL35" s="606"/>
      <c r="AM35" s="606"/>
      <c r="AN35" s="606"/>
      <c r="AO35" s="606"/>
      <c r="AP35" s="606"/>
      <c r="AQ35" s="38"/>
      <c r="AR35" s="38"/>
      <c r="AS35" s="606"/>
      <c r="AT35" s="606"/>
      <c r="AU35" s="606"/>
      <c r="AV35" s="606"/>
      <c r="AW35" s="606"/>
      <c r="AX35" s="606"/>
      <c r="AY35" s="606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</row>
    <row r="36" spans="1:21" ht="12.75" hidden="1">
      <c r="A36" s="23"/>
      <c r="B36" s="25" t="str">
        <f>B32</f>
        <v>о</v>
      </c>
      <c r="D36" s="14" t="s">
        <v>96</v>
      </c>
      <c r="L36" s="659" t="s">
        <v>143</v>
      </c>
      <c r="M36" s="659"/>
      <c r="N36" s="659"/>
      <c r="O36" s="659"/>
      <c r="P36" s="659"/>
      <c r="Q36" s="659"/>
      <c r="R36" s="659"/>
      <c r="S36" s="659"/>
      <c r="T36" s="659"/>
      <c r="U36" s="659"/>
    </row>
    <row r="37" spans="1:63" ht="12.75" hidden="1">
      <c r="A37" s="23"/>
      <c r="B37" s="25" t="str">
        <f>R32</f>
        <v>оа</v>
      </c>
      <c r="D37" s="14" t="s">
        <v>97</v>
      </c>
      <c r="L37" s="659" t="s">
        <v>144</v>
      </c>
      <c r="M37" s="659"/>
      <c r="N37" s="659"/>
      <c r="O37" s="659"/>
      <c r="P37" s="659"/>
      <c r="Q37" s="659"/>
      <c r="R37" s="659"/>
      <c r="S37" s="659"/>
      <c r="T37" s="659"/>
      <c r="U37" s="659"/>
      <c r="BA37" s="5"/>
      <c r="BJ37" s="1"/>
      <c r="BK37" s="1"/>
    </row>
    <row r="38" spans="1:63" ht="12.75" hidden="1">
      <c r="A38" s="23"/>
      <c r="B38" s="24" t="str">
        <f>B34</f>
        <v>в</v>
      </c>
      <c r="D38" s="14" t="s">
        <v>98</v>
      </c>
      <c r="L38" s="659" t="s">
        <v>569</v>
      </c>
      <c r="M38" s="659"/>
      <c r="N38" s="659"/>
      <c r="O38" s="659"/>
      <c r="P38" s="659"/>
      <c r="Q38" s="659"/>
      <c r="R38" s="659"/>
      <c r="S38" s="659"/>
      <c r="T38" s="659"/>
      <c r="U38" s="659"/>
      <c r="V38" s="659"/>
      <c r="W38" s="659"/>
      <c r="X38" s="659"/>
      <c r="Y38" s="659"/>
      <c r="Z38" s="659"/>
      <c r="AA38" s="659"/>
      <c r="AB38" s="659"/>
      <c r="AC38" s="659"/>
      <c r="AD38" s="659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</row>
    <row r="39" spans="1:63" ht="12.75" hidden="1">
      <c r="A39" s="23"/>
      <c r="B39" s="24" t="str">
        <f>R34</f>
        <v>ва</v>
      </c>
      <c r="D39" s="14"/>
      <c r="L39" s="659" t="s">
        <v>148</v>
      </c>
      <c r="M39" s="659"/>
      <c r="N39" s="659"/>
      <c r="O39" s="659"/>
      <c r="P39" s="659"/>
      <c r="Q39" s="659"/>
      <c r="R39" s="659"/>
      <c r="S39" s="659"/>
      <c r="T39" s="659"/>
      <c r="U39" s="659"/>
      <c r="V39" s="659"/>
      <c r="W39" s="659"/>
      <c r="X39" s="659"/>
      <c r="Y39" s="659"/>
      <c r="Z39" s="659"/>
      <c r="AA39" s="659"/>
      <c r="AB39" s="659"/>
      <c r="AC39" s="659"/>
      <c r="AD39" s="659"/>
      <c r="AE39" s="5"/>
      <c r="AF39" s="5"/>
      <c r="AH39" s="5"/>
      <c r="AI39" s="5"/>
      <c r="AJ39" s="5"/>
      <c r="AK39" s="5"/>
      <c r="AL39" s="5"/>
      <c r="AM39" s="5"/>
      <c r="AN39" s="5"/>
      <c r="AO39" s="2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</row>
    <row r="40" spans="1:53" ht="12.75" hidden="1">
      <c r="A40" s="23"/>
      <c r="B40" s="26" t="str">
        <f>AF32</f>
        <v>у</v>
      </c>
      <c r="D40" s="14" t="s">
        <v>99</v>
      </c>
      <c r="AQ40" s="5"/>
      <c r="BA40" s="5"/>
    </row>
    <row r="41" spans="1:2" ht="12.75" hidden="1">
      <c r="A41" s="23"/>
      <c r="B41" s="26" t="str">
        <f>AF34</f>
        <v>п</v>
      </c>
    </row>
    <row r="42" spans="1:2" ht="12.75" hidden="1">
      <c r="A42" s="23"/>
      <c r="B42" s="27" t="str">
        <f>AZ34</f>
        <v>к</v>
      </c>
    </row>
    <row r="43" spans="1:2" ht="12.75" hidden="1">
      <c r="A43" s="23"/>
      <c r="B43" s="28" t="str">
        <f>AQ32</f>
        <v>п</v>
      </c>
    </row>
    <row r="44" spans="1:2" ht="12.75" hidden="1">
      <c r="A44" s="23"/>
      <c r="B44" s="28">
        <f>AZ32</f>
        <v>0</v>
      </c>
    </row>
    <row r="45" spans="1:2" ht="12.75" hidden="1">
      <c r="A45" s="23"/>
      <c r="B45" s="28" t="str">
        <f>AQ34</f>
        <v>А</v>
      </c>
    </row>
    <row r="46" spans="1:2" ht="12.75" hidden="1">
      <c r="A46" s="23"/>
      <c r="B46" s="29" t="str">
        <f>BF34</f>
        <v>-</v>
      </c>
    </row>
  </sheetData>
  <sheetProtection/>
  <mergeCells count="91">
    <mergeCell ref="O9:BB9"/>
    <mergeCell ref="A9:N9"/>
    <mergeCell ref="O1:BB1"/>
    <mergeCell ref="A2:N2"/>
    <mergeCell ref="O2:BB2"/>
    <mergeCell ref="BC2:BM2"/>
    <mergeCell ref="A3:G3"/>
    <mergeCell ref="H3:N3"/>
    <mergeCell ref="O3:BB3"/>
    <mergeCell ref="BC3:BM3"/>
    <mergeCell ref="BC14:BM14"/>
    <mergeCell ref="A4:N4"/>
    <mergeCell ref="BC4:BM4"/>
    <mergeCell ref="BC6:BM6"/>
    <mergeCell ref="A7:BM7"/>
    <mergeCell ref="AA8:AU8"/>
    <mergeCell ref="A10:N10"/>
    <mergeCell ref="O10:BB10"/>
    <mergeCell ref="BC10:BM13"/>
    <mergeCell ref="A11:N11"/>
    <mergeCell ref="O11:BB11"/>
    <mergeCell ref="A12:N12"/>
    <mergeCell ref="O12:BB12"/>
    <mergeCell ref="O13:BB13"/>
    <mergeCell ref="A14:N14"/>
    <mergeCell ref="O14:BB14"/>
    <mergeCell ref="A15:N15"/>
    <mergeCell ref="O15:BB15"/>
    <mergeCell ref="A16:N16"/>
    <mergeCell ref="O16:BB16"/>
    <mergeCell ref="A17:N17"/>
    <mergeCell ref="O17:P17"/>
    <mergeCell ref="Q17:S17"/>
    <mergeCell ref="T17:U17"/>
    <mergeCell ref="V17:Z17"/>
    <mergeCell ref="O18:BB18"/>
    <mergeCell ref="A20:A24"/>
    <mergeCell ref="B20:E21"/>
    <mergeCell ref="F20:F21"/>
    <mergeCell ref="G20:I21"/>
    <mergeCell ref="J20:J21"/>
    <mergeCell ref="K20:N21"/>
    <mergeCell ref="O20:R21"/>
    <mergeCell ref="S20:S21"/>
    <mergeCell ref="AX20:BA21"/>
    <mergeCell ref="T20:V21"/>
    <mergeCell ref="W20:W21"/>
    <mergeCell ref="X20:Z21"/>
    <mergeCell ref="AA20:AA21"/>
    <mergeCell ref="AB20:AE21"/>
    <mergeCell ref="AF20:AF21"/>
    <mergeCell ref="AG20:AI21"/>
    <mergeCell ref="AW22:AW23"/>
    <mergeCell ref="BJ21:BJ24"/>
    <mergeCell ref="BK21:BK24"/>
    <mergeCell ref="BL21:BL24"/>
    <mergeCell ref="AJ20:AJ21"/>
    <mergeCell ref="AK20:AN21"/>
    <mergeCell ref="AO20:AR21"/>
    <mergeCell ref="AS20:AS21"/>
    <mergeCell ref="AT20:AV21"/>
    <mergeCell ref="AW20:AW21"/>
    <mergeCell ref="AY30:BA30"/>
    <mergeCell ref="BM21:BM24"/>
    <mergeCell ref="F22:F23"/>
    <mergeCell ref="J22:J23"/>
    <mergeCell ref="S22:S23"/>
    <mergeCell ref="W22:W23"/>
    <mergeCell ref="AA22:AA23"/>
    <mergeCell ref="AF22:AF23"/>
    <mergeCell ref="AJ22:AJ23"/>
    <mergeCell ref="AS22:AS23"/>
    <mergeCell ref="D32:Q32"/>
    <mergeCell ref="T32:AE32"/>
    <mergeCell ref="AH32:AP32"/>
    <mergeCell ref="AS32:BD32"/>
    <mergeCell ref="BB34:BD34"/>
    <mergeCell ref="AS34:AY35"/>
    <mergeCell ref="BB20:BM20"/>
    <mergeCell ref="BB21:BD23"/>
    <mergeCell ref="BE21:BG23"/>
    <mergeCell ref="BH21:BH24"/>
    <mergeCell ref="BI21:BI24"/>
    <mergeCell ref="BH34:BM34"/>
    <mergeCell ref="L37:U37"/>
    <mergeCell ref="L38:AD38"/>
    <mergeCell ref="L39:AD39"/>
    <mergeCell ref="D34:Q34"/>
    <mergeCell ref="T34:AE34"/>
    <mergeCell ref="AH34:AP35"/>
    <mergeCell ref="L36:U36"/>
  </mergeCells>
  <conditionalFormatting sqref="A36:A37">
    <cfRule type="cellIs" priority="28" dxfId="4" operator="equal" stopIfTrue="1">
      <formula>#REF!</formula>
    </cfRule>
  </conditionalFormatting>
  <conditionalFormatting sqref="A38:A39">
    <cfRule type="expression" priority="27" dxfId="256" stopIfTrue="1">
      <formula>$R$32</formula>
    </cfRule>
  </conditionalFormatting>
  <conditionalFormatting sqref="B36">
    <cfRule type="cellIs" priority="26" dxfId="4" operator="equal" stopIfTrue="1">
      <formula>$B$32</formula>
    </cfRule>
  </conditionalFormatting>
  <conditionalFormatting sqref="B37">
    <cfRule type="cellIs" priority="25" dxfId="3" operator="equal" stopIfTrue="1">
      <formula>$R$32</formula>
    </cfRule>
  </conditionalFormatting>
  <conditionalFormatting sqref="B38">
    <cfRule type="cellIs" priority="24" dxfId="257" operator="equal" stopIfTrue="1">
      <formula>$B$34</formula>
    </cfRule>
  </conditionalFormatting>
  <conditionalFormatting sqref="B39">
    <cfRule type="cellIs" priority="23" dxfId="256" operator="equal" stopIfTrue="1">
      <formula>$R$34</formula>
    </cfRule>
  </conditionalFormatting>
  <conditionalFormatting sqref="B40">
    <cfRule type="cellIs" priority="22" dxfId="4" operator="equal" stopIfTrue="1">
      <formula>$AF$32</formula>
    </cfRule>
  </conditionalFormatting>
  <conditionalFormatting sqref="B41">
    <cfRule type="cellIs" priority="21" dxfId="2" operator="equal" stopIfTrue="1">
      <formula>$AF$34</formula>
    </cfRule>
  </conditionalFormatting>
  <conditionalFormatting sqref="B42">
    <cfRule type="cellIs" priority="20" dxfId="0" operator="equal" stopIfTrue="1">
      <formula>$AZ$34</formula>
    </cfRule>
  </conditionalFormatting>
  <conditionalFormatting sqref="B43">
    <cfRule type="cellIs" priority="19" dxfId="3" operator="equal" stopIfTrue="1">
      <formula>$AQ$32</formula>
    </cfRule>
  </conditionalFormatting>
  <conditionalFormatting sqref="B44">
    <cfRule type="cellIs" priority="18" dxfId="3" operator="equal" stopIfTrue="1">
      <formula>$AZ$32</formula>
    </cfRule>
  </conditionalFormatting>
  <conditionalFormatting sqref="B45">
    <cfRule type="cellIs" priority="17" dxfId="3" operator="equal" stopIfTrue="1">
      <formula>$AQ$34</formula>
    </cfRule>
  </conditionalFormatting>
  <conditionalFormatting sqref="AA28:AD28 W28:Y28 B29:G29 AM25:BA26 H26:P29 N25:P25 Q25:V29 W25:AL27 W29:BA29 B26:G26">
    <cfRule type="expression" priority="13" dxfId="8" stopIfTrue="1">
      <formula>OR(B25=$R$32,B25=$R$34,B25=$AQ$32,B25=$AZ$32,B25=$AQ$34)</formula>
    </cfRule>
    <cfRule type="expression" priority="14" dxfId="2" stopIfTrue="1">
      <formula>OR(B25=$AF$32,B25=$AF$34)</formula>
    </cfRule>
    <cfRule type="cellIs" priority="15" dxfId="0" operator="equal" stopIfTrue="1">
      <formula>$AZ$34</formula>
    </cfRule>
  </conditionalFormatting>
  <conditionalFormatting sqref="B46">
    <cfRule type="cellIs" priority="41" dxfId="4" operator="equal" stopIfTrue="1">
      <formula>$BF$34</formula>
    </cfRule>
  </conditionalFormatting>
  <conditionalFormatting sqref="Z28">
    <cfRule type="expression" priority="1" dxfId="8" stopIfTrue="1">
      <formula>OR(Z28=$R$32,Z28=$R$34,Z28=$AQ$32,Z28=$AZ$32,Z28=$AQ$34)</formula>
    </cfRule>
    <cfRule type="expression" priority="2" dxfId="2" stopIfTrue="1">
      <formula>OR(Z28=$AF$32,Z28=$AF$34)</formula>
    </cfRule>
    <cfRule type="cellIs" priority="3" dxfId="0" operator="equal" stopIfTrue="1">
      <formula>$AZ$34</formula>
    </cfRule>
  </conditionalFormatting>
  <dataValidations count="4">
    <dataValidation type="list" allowBlank="1" showInputMessage="1" showErrorMessage="1" prompt="выберите из списка" sqref="W28:AD28 AQ32 N25:Q25 AM25:BA26 W29:BA29 W25:AL27 B29:G29 H26:Q29 R25:V29 B26:G26">
      <formula1>$B$36:$B$46</formula1>
    </dataValidation>
    <dataValidation type="list" allowBlank="1" showInputMessage="1" showErrorMessage="1" prompt="выберите из списка" sqref="O14:BB14">
      <formula1>$L$36:$L$37</formula1>
    </dataValidation>
    <dataValidation type="list" allowBlank="1" showInputMessage="1" showErrorMessage="1" prompt="выберите из списка" sqref="O16:BB16">
      <formula1>$D$36:$D$40</formula1>
    </dataValidation>
    <dataValidation type="list" allowBlank="1" showInputMessage="1" showErrorMessage="1" prompt="выберите из списка" sqref="O15:BB15">
      <formula1>$L$38:$L$39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107"/>
  <sheetViews>
    <sheetView showZeros="0" zoomScale="70" zoomScaleNormal="70" zoomScalePageLayoutView="0" workbookViewId="0" topLeftCell="A1">
      <pane xSplit="21" ySplit="8" topLeftCell="V9" activePane="bottomRight" state="frozen"/>
      <selection pane="topLeft" activeCell="A1" sqref="A1"/>
      <selection pane="topRight" activeCell="T1" sqref="T1"/>
      <selection pane="bottomLeft" activeCell="A9" sqref="A9"/>
      <selection pane="bottomRight" activeCell="A49" sqref="A49:IV49"/>
    </sheetView>
  </sheetViews>
  <sheetFormatPr defaultColWidth="9.33203125" defaultRowHeight="12.75"/>
  <cols>
    <col min="1" max="1" width="14.5" style="302" customWidth="1"/>
    <col min="2" max="2" width="46.66015625" style="302" customWidth="1"/>
    <col min="3" max="3" width="20.5" style="302" hidden="1" customWidth="1"/>
    <col min="4" max="11" width="6.83203125" style="314" customWidth="1"/>
    <col min="12" max="13" width="6.83203125" style="315" hidden="1" customWidth="1"/>
    <col min="14" max="18" width="6.83203125" style="302" customWidth="1"/>
    <col min="19" max="19" width="6.83203125" style="302" hidden="1" customWidth="1"/>
    <col min="20" max="20" width="6.83203125" style="302" customWidth="1"/>
    <col min="21" max="21" width="6.83203125" style="302" hidden="1" customWidth="1"/>
    <col min="22" max="26" width="6.83203125" style="302" customWidth="1"/>
    <col min="27" max="27" width="6.83203125" style="302" hidden="1" customWidth="1"/>
    <col min="28" max="28" width="6.83203125" style="302" customWidth="1"/>
    <col min="29" max="29" width="6.83203125" style="302" hidden="1" customWidth="1"/>
    <col min="30" max="34" width="6.83203125" style="302" customWidth="1"/>
    <col min="35" max="35" width="6.83203125" style="302" hidden="1" customWidth="1"/>
    <col min="36" max="36" width="6.83203125" style="302" customWidth="1"/>
    <col min="37" max="37" width="6.83203125" style="302" hidden="1" customWidth="1"/>
    <col min="38" max="42" width="6.83203125" style="302" customWidth="1"/>
    <col min="43" max="43" width="6.83203125" style="302" hidden="1" customWidth="1"/>
    <col min="44" max="44" width="6.83203125" style="302" customWidth="1"/>
    <col min="45" max="45" width="6.83203125" style="302" hidden="1" customWidth="1"/>
    <col min="46" max="50" width="6.83203125" style="302" customWidth="1"/>
    <col min="51" max="51" width="6.83203125" style="302" hidden="1" customWidth="1"/>
    <col min="52" max="52" width="6.83203125" style="302" customWidth="1"/>
    <col min="53" max="53" width="6.83203125" style="302" hidden="1" customWidth="1"/>
    <col min="54" max="54" width="6.83203125" style="302" customWidth="1"/>
    <col min="55" max="55" width="6.83203125" style="302" hidden="1" customWidth="1"/>
    <col min="56" max="56" width="4.66015625" style="302" hidden="1" customWidth="1"/>
    <col min="57" max="57" width="6.16015625" style="302" hidden="1" customWidth="1"/>
    <col min="58" max="58" width="5.5" style="302" hidden="1" customWidth="1"/>
    <col min="59" max="59" width="6.83203125" style="302" hidden="1" customWidth="1"/>
    <col min="60" max="60" width="4.83203125" style="302" hidden="1" customWidth="1"/>
    <col min="61" max="61" width="5.33203125" style="302" hidden="1" customWidth="1"/>
    <col min="62" max="62" width="6.83203125" style="302" hidden="1" customWidth="1"/>
    <col min="63" max="63" width="16.16015625" style="305" customWidth="1"/>
    <col min="64" max="64" width="28.83203125" style="305" customWidth="1"/>
    <col min="65" max="16384" width="9.33203125" style="301" customWidth="1"/>
  </cols>
  <sheetData>
    <row r="1" spans="1:64" s="307" customFormat="1" ht="12.75" customHeight="1">
      <c r="A1" s="734" t="s">
        <v>35</v>
      </c>
      <c r="B1" s="734" t="s">
        <v>548</v>
      </c>
      <c r="C1" s="734" t="s">
        <v>65</v>
      </c>
      <c r="D1" s="709" t="s">
        <v>489</v>
      </c>
      <c r="E1" s="710"/>
      <c r="F1" s="710"/>
      <c r="G1" s="710"/>
      <c r="H1" s="710"/>
      <c r="I1" s="710"/>
      <c r="J1" s="912" t="s">
        <v>195</v>
      </c>
      <c r="K1" s="913"/>
      <c r="L1" s="912" t="s">
        <v>2</v>
      </c>
      <c r="M1" s="913"/>
      <c r="N1" s="700" t="s">
        <v>555</v>
      </c>
      <c r="O1" s="700"/>
      <c r="P1" s="700"/>
      <c r="Q1" s="700"/>
      <c r="R1" s="700"/>
      <c r="S1" s="700"/>
      <c r="T1" s="700"/>
      <c r="U1" s="700"/>
      <c r="V1" s="700"/>
      <c r="W1" s="701" t="s">
        <v>130</v>
      </c>
      <c r="X1" s="753"/>
      <c r="Y1" s="753"/>
      <c r="Z1" s="753"/>
      <c r="AA1" s="753"/>
      <c r="AB1" s="753"/>
      <c r="AC1" s="753"/>
      <c r="AD1" s="753"/>
      <c r="AE1" s="753"/>
      <c r="AF1" s="753"/>
      <c r="AG1" s="753"/>
      <c r="AH1" s="753"/>
      <c r="AI1" s="753"/>
      <c r="AJ1" s="753"/>
      <c r="AK1" s="753"/>
      <c r="AL1" s="753"/>
      <c r="AM1" s="753"/>
      <c r="AN1" s="753"/>
      <c r="AO1" s="753"/>
      <c r="AP1" s="753"/>
      <c r="AQ1" s="753"/>
      <c r="AR1" s="753"/>
      <c r="AS1" s="753"/>
      <c r="AT1" s="753"/>
      <c r="AU1" s="753"/>
      <c r="AV1" s="753"/>
      <c r="AW1" s="753"/>
      <c r="AX1" s="753"/>
      <c r="AY1" s="753"/>
      <c r="AZ1" s="753"/>
      <c r="BA1" s="753"/>
      <c r="BB1" s="753"/>
      <c r="BC1" s="753"/>
      <c r="BD1" s="753"/>
      <c r="BE1" s="753"/>
      <c r="BF1" s="753"/>
      <c r="BG1" s="753"/>
      <c r="BH1" s="753"/>
      <c r="BI1" s="753"/>
      <c r="BJ1" s="756"/>
      <c r="BK1" s="914" t="s">
        <v>563</v>
      </c>
      <c r="BL1" s="914" t="s">
        <v>564</v>
      </c>
    </row>
    <row r="2" spans="1:64" s="307" customFormat="1" ht="13.5" thickBot="1">
      <c r="A2" s="735"/>
      <c r="B2" s="735"/>
      <c r="C2" s="735"/>
      <c r="D2" s="740"/>
      <c r="E2" s="741"/>
      <c r="F2" s="741"/>
      <c r="G2" s="741"/>
      <c r="H2" s="741"/>
      <c r="I2" s="741"/>
      <c r="J2" s="915"/>
      <c r="K2" s="916"/>
      <c r="L2" s="915"/>
      <c r="M2" s="916"/>
      <c r="N2" s="697" t="s">
        <v>556</v>
      </c>
      <c r="O2" s="700" t="s">
        <v>3</v>
      </c>
      <c r="P2" s="700"/>
      <c r="Q2" s="700"/>
      <c r="R2" s="700"/>
      <c r="S2" s="700"/>
      <c r="T2" s="700"/>
      <c r="U2" s="700"/>
      <c r="V2" s="701"/>
      <c r="W2" s="701" t="s">
        <v>448</v>
      </c>
      <c r="X2" s="753"/>
      <c r="Y2" s="753"/>
      <c r="Z2" s="753"/>
      <c r="AA2" s="753"/>
      <c r="AB2" s="753"/>
      <c r="AC2" s="753"/>
      <c r="AD2" s="756"/>
      <c r="AE2" s="701" t="s">
        <v>449</v>
      </c>
      <c r="AF2" s="753"/>
      <c r="AG2" s="753"/>
      <c r="AH2" s="753"/>
      <c r="AI2" s="753"/>
      <c r="AJ2" s="753"/>
      <c r="AK2" s="753"/>
      <c r="AL2" s="756"/>
      <c r="AM2" s="701" t="s">
        <v>424</v>
      </c>
      <c r="AN2" s="753"/>
      <c r="AO2" s="753"/>
      <c r="AP2" s="753"/>
      <c r="AQ2" s="753"/>
      <c r="AR2" s="753"/>
      <c r="AS2" s="753"/>
      <c r="AT2" s="756"/>
      <c r="AU2" s="928" t="s">
        <v>425</v>
      </c>
      <c r="AV2" s="928"/>
      <c r="AW2" s="928"/>
      <c r="AX2" s="928"/>
      <c r="AY2" s="928"/>
      <c r="AZ2" s="928"/>
      <c r="BA2" s="928"/>
      <c r="BB2" s="928"/>
      <c r="BC2" s="929" t="s">
        <v>427</v>
      </c>
      <c r="BD2" s="929"/>
      <c r="BE2" s="929"/>
      <c r="BF2" s="929"/>
      <c r="BG2" s="929"/>
      <c r="BH2" s="929"/>
      <c r="BI2" s="929"/>
      <c r="BJ2" s="929"/>
      <c r="BK2" s="917"/>
      <c r="BL2" s="917"/>
    </row>
    <row r="3" spans="1:64" s="307" customFormat="1" ht="12.75" customHeight="1">
      <c r="A3" s="735"/>
      <c r="B3" s="735"/>
      <c r="C3" s="735"/>
      <c r="D3" s="757" t="s">
        <v>549</v>
      </c>
      <c r="E3" s="757" t="s">
        <v>550</v>
      </c>
      <c r="F3" s="331"/>
      <c r="G3" s="331"/>
      <c r="H3" s="757" t="s">
        <v>551</v>
      </c>
      <c r="I3" s="759" t="s">
        <v>552</v>
      </c>
      <c r="J3" s="915"/>
      <c r="K3" s="916"/>
      <c r="L3" s="915"/>
      <c r="M3" s="916"/>
      <c r="N3" s="698"/>
      <c r="O3" s="697" t="s">
        <v>71</v>
      </c>
      <c r="P3" s="700" t="s">
        <v>72</v>
      </c>
      <c r="Q3" s="700"/>
      <c r="R3" s="700"/>
      <c r="S3" s="697" t="s">
        <v>561</v>
      </c>
      <c r="T3" s="697" t="s">
        <v>562</v>
      </c>
      <c r="U3" s="697" t="s">
        <v>557</v>
      </c>
      <c r="V3" s="761" t="s">
        <v>557</v>
      </c>
      <c r="W3" s="709"/>
      <c r="X3" s="710"/>
      <c r="Y3" s="334"/>
      <c r="Z3" s="930">
        <v>30</v>
      </c>
      <c r="AA3" s="930"/>
      <c r="AB3" s="930"/>
      <c r="AC3" s="930"/>
      <c r="AD3" s="346"/>
      <c r="AE3" s="709"/>
      <c r="AF3" s="710"/>
      <c r="AG3" s="334"/>
      <c r="AH3" s="930">
        <v>30</v>
      </c>
      <c r="AI3" s="930"/>
      <c r="AJ3" s="930"/>
      <c r="AK3" s="930"/>
      <c r="AL3" s="346"/>
      <c r="AM3" s="709"/>
      <c r="AN3" s="710"/>
      <c r="AO3" s="333"/>
      <c r="AP3" s="333"/>
      <c r="AQ3" s="333"/>
      <c r="AR3" s="930">
        <v>40</v>
      </c>
      <c r="AS3" s="930"/>
      <c r="AT3" s="931"/>
      <c r="AU3" s="750"/>
      <c r="AV3" s="751"/>
      <c r="AW3" s="333"/>
      <c r="AX3" s="930">
        <v>40</v>
      </c>
      <c r="AY3" s="930"/>
      <c r="AZ3" s="930"/>
      <c r="BA3" s="930"/>
      <c r="BB3" s="346"/>
      <c r="BC3" s="932"/>
      <c r="BD3" s="933"/>
      <c r="BE3" s="934"/>
      <c r="BF3" s="935"/>
      <c r="BG3" s="936">
        <v>40</v>
      </c>
      <c r="BH3" s="936"/>
      <c r="BI3" s="936"/>
      <c r="BJ3" s="937"/>
      <c r="BK3" s="917"/>
      <c r="BL3" s="917"/>
    </row>
    <row r="4" spans="1:64" s="307" customFormat="1" ht="12.75" customHeight="1">
      <c r="A4" s="735"/>
      <c r="B4" s="735"/>
      <c r="C4" s="735"/>
      <c r="D4" s="758"/>
      <c r="E4" s="758"/>
      <c r="F4" s="332"/>
      <c r="G4" s="332"/>
      <c r="H4" s="758"/>
      <c r="I4" s="760"/>
      <c r="J4" s="915"/>
      <c r="K4" s="916"/>
      <c r="L4" s="915"/>
      <c r="M4" s="916"/>
      <c r="N4" s="698"/>
      <c r="O4" s="742"/>
      <c r="P4" s="697" t="s">
        <v>558</v>
      </c>
      <c r="Q4" s="697" t="s">
        <v>559</v>
      </c>
      <c r="R4" s="697" t="s">
        <v>560</v>
      </c>
      <c r="S4" s="698"/>
      <c r="T4" s="698"/>
      <c r="U4" s="698"/>
      <c r="V4" s="761"/>
      <c r="W4" s="740"/>
      <c r="X4" s="741"/>
      <c r="Y4" s="335"/>
      <c r="Z4" s="741" t="s">
        <v>426</v>
      </c>
      <c r="AA4" s="741"/>
      <c r="AB4" s="741"/>
      <c r="AC4" s="741"/>
      <c r="AD4" s="347"/>
      <c r="AE4" s="740"/>
      <c r="AF4" s="741"/>
      <c r="AG4" s="335"/>
      <c r="AH4" s="741" t="s">
        <v>426</v>
      </c>
      <c r="AI4" s="741"/>
      <c r="AJ4" s="741"/>
      <c r="AK4" s="741"/>
      <c r="AL4" s="347"/>
      <c r="AM4" s="740"/>
      <c r="AN4" s="741"/>
      <c r="AO4" s="335"/>
      <c r="AP4" s="335"/>
      <c r="AQ4" s="335"/>
      <c r="AR4" s="741" t="s">
        <v>426</v>
      </c>
      <c r="AS4" s="741"/>
      <c r="AT4" s="938"/>
      <c r="AU4" s="711"/>
      <c r="AV4" s="712"/>
      <c r="AW4" s="335"/>
      <c r="AX4" s="741" t="s">
        <v>426</v>
      </c>
      <c r="AY4" s="741"/>
      <c r="AZ4" s="741"/>
      <c r="BA4" s="741"/>
      <c r="BB4" s="347"/>
      <c r="BC4" s="939"/>
      <c r="BD4" s="752"/>
      <c r="BE4" s="749"/>
      <c r="BF4" s="335"/>
      <c r="BG4" s="741" t="s">
        <v>426</v>
      </c>
      <c r="BH4" s="741"/>
      <c r="BI4" s="741"/>
      <c r="BJ4" s="335"/>
      <c r="BK4" s="917"/>
      <c r="BL4" s="917"/>
    </row>
    <row r="5" spans="1:64" s="307" customFormat="1" ht="12.75" customHeight="1">
      <c r="A5" s="735"/>
      <c r="B5" s="735"/>
      <c r="C5" s="735"/>
      <c r="D5" s="758"/>
      <c r="E5" s="758"/>
      <c r="F5" s="332"/>
      <c r="G5" s="332"/>
      <c r="H5" s="758"/>
      <c r="I5" s="760"/>
      <c r="J5" s="915"/>
      <c r="K5" s="916"/>
      <c r="L5" s="915"/>
      <c r="M5" s="916"/>
      <c r="N5" s="698"/>
      <c r="O5" s="742"/>
      <c r="P5" s="698"/>
      <c r="Q5" s="698"/>
      <c r="R5" s="698"/>
      <c r="S5" s="698"/>
      <c r="T5" s="698"/>
      <c r="U5" s="698"/>
      <c r="V5" s="761"/>
      <c r="W5" s="718" t="s">
        <v>127</v>
      </c>
      <c r="X5" s="719"/>
      <c r="Y5" s="337"/>
      <c r="Z5" s="308"/>
      <c r="AA5" s="308"/>
      <c r="AB5" s="940">
        <f>IF((SUM(X58:AD58)+SUM(X59:AD59))=0,0,(SUM(X58:AD58)+SUM(X59:AD59))/Нормы!$G$38)</f>
        <v>0</v>
      </c>
      <c r="AC5" s="940"/>
      <c r="AD5" s="349" t="s">
        <v>128</v>
      </c>
      <c r="AE5" s="718" t="s">
        <v>127</v>
      </c>
      <c r="AF5" s="719"/>
      <c r="AG5" s="337"/>
      <c r="AH5" s="308"/>
      <c r="AI5" s="308"/>
      <c r="AJ5" s="940">
        <f>IF((SUM(AF58:AL58)+SUM(AF59:AL59))=0,0,(SUM(AF58:AL58)+SUM(AF59:AL59))/Нормы!$G$39)</f>
        <v>11</v>
      </c>
      <c r="AK5" s="940"/>
      <c r="AL5" s="349" t="s">
        <v>128</v>
      </c>
      <c r="AM5" s="718" t="s">
        <v>127</v>
      </c>
      <c r="AN5" s="719"/>
      <c r="AO5" s="337"/>
      <c r="AP5" s="337"/>
      <c r="AQ5" s="337"/>
      <c r="AR5" s="940">
        <f>IF((SUM(AN58:AT58)+SUM(AN59:AT59))=0,0,(SUM(AN58:AT58)+SUM(AN59:AT59))/Нормы!$G$39)</f>
        <v>21</v>
      </c>
      <c r="AS5" s="940"/>
      <c r="AT5" s="349" t="s">
        <v>128</v>
      </c>
      <c r="AU5" s="718" t="s">
        <v>127</v>
      </c>
      <c r="AV5" s="719"/>
      <c r="AW5" s="337"/>
      <c r="AX5" s="940">
        <v>10</v>
      </c>
      <c r="AY5" s="940"/>
      <c r="AZ5" s="940"/>
      <c r="BA5" s="309">
        <f>IF((SUM(AV58:BB58)+SUM(AV59:BB59))=0,0,(SUM(AV58:BB58)+SUM(AV59:BB59))/Нормы!$G$39)</f>
        <v>10</v>
      </c>
      <c r="BB5" s="349" t="s">
        <v>128</v>
      </c>
      <c r="BC5" s="941"/>
      <c r="BD5" s="719" t="s">
        <v>127</v>
      </c>
      <c r="BE5" s="719"/>
      <c r="BF5" s="337"/>
      <c r="BG5" s="337"/>
      <c r="BH5" s="308"/>
      <c r="BI5" s="309">
        <f>IF((SUM(BD58:BJ58)+SUM(BD59:BJ59))=0,0,(SUM(BD58:BJ58)+SUM(BD59:BJ59))/Нормы!$G$38)</f>
        <v>0</v>
      </c>
      <c r="BJ5" s="310" t="s">
        <v>128</v>
      </c>
      <c r="BK5" s="917"/>
      <c r="BL5" s="917"/>
    </row>
    <row r="6" spans="1:64" s="307" customFormat="1" ht="12.75">
      <c r="A6" s="735"/>
      <c r="B6" s="735"/>
      <c r="C6" s="735"/>
      <c r="D6" s="758"/>
      <c r="E6" s="758"/>
      <c r="F6" s="332"/>
      <c r="G6" s="332"/>
      <c r="H6" s="758"/>
      <c r="I6" s="760"/>
      <c r="J6" s="918"/>
      <c r="K6" s="919"/>
      <c r="L6" s="918"/>
      <c r="M6" s="919"/>
      <c r="N6" s="698"/>
      <c r="O6" s="742"/>
      <c r="P6" s="698"/>
      <c r="Q6" s="698"/>
      <c r="R6" s="698"/>
      <c r="S6" s="698"/>
      <c r="T6" s="698"/>
      <c r="U6" s="698"/>
      <c r="V6" s="761"/>
      <c r="W6" s="713" t="s">
        <v>129</v>
      </c>
      <c r="X6" s="714"/>
      <c r="Y6" s="714"/>
      <c r="Z6" s="597"/>
      <c r="AA6" s="597"/>
      <c r="AB6" s="942">
        <f>IF(SUM(X62:AD62)=0,0,SUM(X62:AD62)/Нормы!$G$38)</f>
        <v>0</v>
      </c>
      <c r="AC6" s="942"/>
      <c r="AD6" s="351" t="s">
        <v>128</v>
      </c>
      <c r="AE6" s="713" t="s">
        <v>129</v>
      </c>
      <c r="AF6" s="714"/>
      <c r="AG6" s="714"/>
      <c r="AH6" s="597"/>
      <c r="AI6" s="597"/>
      <c r="AJ6" s="942">
        <f>IF(SUM(AF62:AL62)=0,0,SUM(AF62:AL62)/Нормы!$G$38)</f>
        <v>0</v>
      </c>
      <c r="AK6" s="942"/>
      <c r="AL6" s="351" t="s">
        <v>128</v>
      </c>
      <c r="AM6" s="713" t="s">
        <v>129</v>
      </c>
      <c r="AN6" s="714"/>
      <c r="AO6" s="714"/>
      <c r="AP6" s="354"/>
      <c r="AQ6" s="354"/>
      <c r="AR6" s="942">
        <f>IF(SUM(AN62:AT62)=0,0,SUM(AN62:AT62)/Нормы!$G$38)</f>
        <v>0</v>
      </c>
      <c r="AS6" s="942"/>
      <c r="AT6" s="351" t="s">
        <v>128</v>
      </c>
      <c r="AU6" s="713" t="s">
        <v>129</v>
      </c>
      <c r="AV6" s="714"/>
      <c r="AW6" s="714"/>
      <c r="AX6" s="942">
        <f>IF(SUM(AU62:BA62)=0,0,SUM(AU62:BA62)/Нормы!$G$38)</f>
        <v>4</v>
      </c>
      <c r="AY6" s="942"/>
      <c r="AZ6" s="942"/>
      <c r="BA6" s="311">
        <f>IF(SUM(AV62:BB62)=0,0,SUM(AV62:BB62)/Нормы!$G$38)</f>
        <v>0</v>
      </c>
      <c r="BB6" s="351" t="s">
        <v>128</v>
      </c>
      <c r="BC6" s="943"/>
      <c r="BD6" s="714" t="s">
        <v>129</v>
      </c>
      <c r="BE6" s="714"/>
      <c r="BF6" s="714"/>
      <c r="BG6" s="714"/>
      <c r="BH6" s="714"/>
      <c r="BI6" s="311">
        <f>IF(SUM(BD62:BJ62)=0,0,SUM(BD62:BJ62)/Нормы!$G$38)</f>
        <v>0</v>
      </c>
      <c r="BJ6" s="312" t="s">
        <v>128</v>
      </c>
      <c r="BK6" s="917"/>
      <c r="BL6" s="917"/>
    </row>
    <row r="7" spans="1:64" s="307" customFormat="1" ht="132.75" customHeight="1">
      <c r="A7" s="735"/>
      <c r="B7" s="735"/>
      <c r="C7" s="735"/>
      <c r="D7" s="758"/>
      <c r="E7" s="758"/>
      <c r="F7" s="332" t="s">
        <v>553</v>
      </c>
      <c r="G7" s="332" t="s">
        <v>554</v>
      </c>
      <c r="H7" s="758"/>
      <c r="I7" s="760"/>
      <c r="J7" s="920" t="s">
        <v>157</v>
      </c>
      <c r="K7" s="920" t="s">
        <v>217</v>
      </c>
      <c r="L7" s="920" t="s">
        <v>157</v>
      </c>
      <c r="M7" s="920" t="s">
        <v>217</v>
      </c>
      <c r="N7" s="699"/>
      <c r="O7" s="743"/>
      <c r="P7" s="698"/>
      <c r="Q7" s="698"/>
      <c r="R7" s="698"/>
      <c r="S7" s="699"/>
      <c r="T7" s="699"/>
      <c r="U7" s="699"/>
      <c r="V7" s="761"/>
      <c r="W7" s="340" t="s">
        <v>119</v>
      </c>
      <c r="X7" s="341" t="s">
        <v>558</v>
      </c>
      <c r="Y7" s="341" t="s">
        <v>559</v>
      </c>
      <c r="Z7" s="341" t="s">
        <v>560</v>
      </c>
      <c r="AA7" s="341" t="s">
        <v>561</v>
      </c>
      <c r="AB7" s="341" t="s">
        <v>562</v>
      </c>
      <c r="AC7" s="341" t="s">
        <v>557</v>
      </c>
      <c r="AD7" s="341" t="s">
        <v>557</v>
      </c>
      <c r="AE7" s="340" t="s">
        <v>119</v>
      </c>
      <c r="AF7" s="341" t="s">
        <v>558</v>
      </c>
      <c r="AG7" s="341" t="s">
        <v>559</v>
      </c>
      <c r="AH7" s="341" t="s">
        <v>560</v>
      </c>
      <c r="AI7" s="341" t="s">
        <v>561</v>
      </c>
      <c r="AJ7" s="341" t="s">
        <v>562</v>
      </c>
      <c r="AK7" s="341" t="s">
        <v>557</v>
      </c>
      <c r="AL7" s="341" t="s">
        <v>557</v>
      </c>
      <c r="AM7" s="340" t="s">
        <v>119</v>
      </c>
      <c r="AN7" s="341" t="s">
        <v>558</v>
      </c>
      <c r="AO7" s="341" t="s">
        <v>559</v>
      </c>
      <c r="AP7" s="341" t="s">
        <v>560</v>
      </c>
      <c r="AQ7" s="341" t="s">
        <v>561</v>
      </c>
      <c r="AR7" s="341" t="s">
        <v>562</v>
      </c>
      <c r="AS7" s="341" t="s">
        <v>557</v>
      </c>
      <c r="AT7" s="341" t="s">
        <v>557</v>
      </c>
      <c r="AU7" s="340" t="s">
        <v>119</v>
      </c>
      <c r="AV7" s="341" t="s">
        <v>558</v>
      </c>
      <c r="AW7" s="341" t="s">
        <v>559</v>
      </c>
      <c r="AX7" s="341" t="s">
        <v>560</v>
      </c>
      <c r="AY7" s="341" t="s">
        <v>561</v>
      </c>
      <c r="AZ7" s="341" t="s">
        <v>562</v>
      </c>
      <c r="BA7" s="341" t="s">
        <v>557</v>
      </c>
      <c r="BB7" s="341" t="s">
        <v>557</v>
      </c>
      <c r="BC7" s="944" t="s">
        <v>119</v>
      </c>
      <c r="BD7" s="945" t="s">
        <v>255</v>
      </c>
      <c r="BE7" s="945" t="s">
        <v>256</v>
      </c>
      <c r="BF7" s="945" t="s">
        <v>61</v>
      </c>
      <c r="BG7" s="945" t="s">
        <v>198</v>
      </c>
      <c r="BH7" s="945" t="s">
        <v>257</v>
      </c>
      <c r="BI7" s="945" t="s">
        <v>131</v>
      </c>
      <c r="BJ7" s="946" t="s">
        <v>62</v>
      </c>
      <c r="BK7" s="921"/>
      <c r="BL7" s="921"/>
    </row>
    <row r="8" spans="1:64" s="307" customFormat="1" ht="12.75">
      <c r="A8" s="357">
        <v>1</v>
      </c>
      <c r="B8" s="357">
        <v>2</v>
      </c>
      <c r="C8" s="357">
        <v>3</v>
      </c>
      <c r="D8" s="357">
        <v>4</v>
      </c>
      <c r="E8" s="357">
        <v>5</v>
      </c>
      <c r="F8" s="357">
        <v>6</v>
      </c>
      <c r="G8" s="357"/>
      <c r="H8" s="357">
        <v>7</v>
      </c>
      <c r="I8" s="357">
        <v>8</v>
      </c>
      <c r="J8" s="357"/>
      <c r="K8" s="357"/>
      <c r="L8" s="357">
        <v>9</v>
      </c>
      <c r="M8" s="357">
        <v>10</v>
      </c>
      <c r="N8" s="357">
        <v>11</v>
      </c>
      <c r="O8" s="357">
        <v>12</v>
      </c>
      <c r="P8" s="357">
        <v>14</v>
      </c>
      <c r="Q8" s="357">
        <v>15</v>
      </c>
      <c r="R8" s="357">
        <v>16</v>
      </c>
      <c r="S8" s="357"/>
      <c r="T8" s="357">
        <v>17</v>
      </c>
      <c r="U8" s="357">
        <v>18</v>
      </c>
      <c r="V8" s="357">
        <v>19</v>
      </c>
      <c r="W8" s="357">
        <v>21</v>
      </c>
      <c r="X8" s="357">
        <v>23</v>
      </c>
      <c r="Y8" s="357">
        <v>24</v>
      </c>
      <c r="Z8" s="357">
        <v>25</v>
      </c>
      <c r="AA8" s="357"/>
      <c r="AB8" s="357">
        <v>26</v>
      </c>
      <c r="AC8" s="357">
        <v>27</v>
      </c>
      <c r="AD8" s="357">
        <v>28</v>
      </c>
      <c r="AE8" s="357">
        <v>21</v>
      </c>
      <c r="AF8" s="357">
        <v>23</v>
      </c>
      <c r="AG8" s="357">
        <v>24</v>
      </c>
      <c r="AH8" s="357">
        <v>25</v>
      </c>
      <c r="AI8" s="357"/>
      <c r="AJ8" s="357">
        <v>26</v>
      </c>
      <c r="AK8" s="357">
        <v>27</v>
      </c>
      <c r="AL8" s="357">
        <v>28</v>
      </c>
      <c r="AM8" s="357">
        <v>29</v>
      </c>
      <c r="AN8" s="357">
        <v>31</v>
      </c>
      <c r="AO8" s="357">
        <v>32</v>
      </c>
      <c r="AP8" s="357">
        <v>33</v>
      </c>
      <c r="AQ8" s="357"/>
      <c r="AR8" s="357">
        <v>34</v>
      </c>
      <c r="AS8" s="357">
        <v>35</v>
      </c>
      <c r="AT8" s="357">
        <v>36</v>
      </c>
      <c r="AU8" s="357">
        <v>37</v>
      </c>
      <c r="AV8" s="357">
        <v>39</v>
      </c>
      <c r="AW8" s="357">
        <v>40</v>
      </c>
      <c r="AX8" s="357">
        <v>41</v>
      </c>
      <c r="AY8" s="357"/>
      <c r="AZ8" s="357">
        <v>42</v>
      </c>
      <c r="BA8" s="357">
        <v>43</v>
      </c>
      <c r="BB8" s="357">
        <v>44</v>
      </c>
      <c r="BC8" s="357">
        <v>45</v>
      </c>
      <c r="BD8" s="357">
        <v>46</v>
      </c>
      <c r="BE8" s="357">
        <v>47</v>
      </c>
      <c r="BF8" s="357">
        <v>48</v>
      </c>
      <c r="BG8" s="357">
        <v>49</v>
      </c>
      <c r="BH8" s="357">
        <v>50</v>
      </c>
      <c r="BI8" s="357">
        <v>51</v>
      </c>
      <c r="BJ8" s="357">
        <v>52</v>
      </c>
      <c r="BK8" s="357">
        <v>53</v>
      </c>
      <c r="BL8" s="357">
        <v>54</v>
      </c>
    </row>
    <row r="9" spans="1:64" s="116" customFormat="1" ht="25.5" customHeight="1">
      <c r="A9" s="534"/>
      <c r="B9" s="781" t="str">
        <f>'Учебный план'!B27:C27</f>
        <v>Обязательная часть циклов ППССЗ</v>
      </c>
      <c r="C9" s="781"/>
      <c r="D9" s="535"/>
      <c r="E9" s="535"/>
      <c r="F9" s="535"/>
      <c r="G9" s="535"/>
      <c r="H9" s="535"/>
      <c r="I9" s="535"/>
      <c r="J9" s="399">
        <f>'Учебный план'!J27</f>
        <v>2970</v>
      </c>
      <c r="K9" s="399">
        <f>'Учебный план'!K27</f>
        <v>1980</v>
      </c>
      <c r="L9" s="224">
        <f>'Учебный план'!L27</f>
        <v>3993</v>
      </c>
      <c r="M9" s="224">
        <f>'Учебный план'!M27</f>
        <v>2656</v>
      </c>
      <c r="N9" s="224">
        <f aca="true" t="shared" si="0" ref="N9:BJ9">SUM(N10+N15+N19)</f>
        <v>3993</v>
      </c>
      <c r="O9" s="224">
        <f>SUM(O10+O15+O19)</f>
        <v>608</v>
      </c>
      <c r="P9" s="224">
        <f>SUM(P10+P15+P19)</f>
        <v>413</v>
      </c>
      <c r="Q9" s="224">
        <f>SUM(Q10+Q15+Q19)</f>
        <v>142</v>
      </c>
      <c r="R9" s="224">
        <f>SUM(R10+R15+R19)</f>
        <v>53</v>
      </c>
      <c r="S9" s="224"/>
      <c r="T9" s="224">
        <f t="shared" si="0"/>
        <v>0</v>
      </c>
      <c r="U9" s="224"/>
      <c r="V9" s="224">
        <f t="shared" si="0"/>
        <v>3385</v>
      </c>
      <c r="W9" s="224">
        <f>SUM(W10+W15+W19)</f>
        <v>913</v>
      </c>
      <c r="X9" s="224">
        <f>SUM(X10+X15+X19)</f>
        <v>114</v>
      </c>
      <c r="Y9" s="224">
        <f>SUM(Y10+Y15+Y19)</f>
        <v>36</v>
      </c>
      <c r="Z9" s="224">
        <f>SUM(Z10+Z15+Z19+Z29)</f>
        <v>0</v>
      </c>
      <c r="AA9" s="224">
        <f>SUM(AA10+AA15+AA19+AA29)</f>
        <v>0</v>
      </c>
      <c r="AB9" s="224">
        <f>SUM(AB10+AB15+AB19+AB29)</f>
        <v>0</v>
      </c>
      <c r="AC9" s="224">
        <f>SUM(AC10+AC15+AC19)</f>
        <v>0</v>
      </c>
      <c r="AD9" s="224">
        <f>SUM(AD10+AD15+AD19)</f>
        <v>763</v>
      </c>
      <c r="AE9" s="224">
        <f t="shared" si="0"/>
        <v>1026</v>
      </c>
      <c r="AF9" s="224">
        <f>SUM(AF10+AF15+AF19)</f>
        <v>132</v>
      </c>
      <c r="AG9" s="224">
        <f t="shared" si="0"/>
        <v>28</v>
      </c>
      <c r="AH9" s="224">
        <f t="shared" si="0"/>
        <v>0</v>
      </c>
      <c r="AI9" s="224"/>
      <c r="AJ9" s="224">
        <f t="shared" si="0"/>
        <v>0</v>
      </c>
      <c r="AK9" s="224">
        <f t="shared" si="0"/>
        <v>0</v>
      </c>
      <c r="AL9" s="224">
        <f t="shared" si="0"/>
        <v>866</v>
      </c>
      <c r="AM9" s="224">
        <f t="shared" si="0"/>
        <v>1024</v>
      </c>
      <c r="AN9" s="224">
        <f t="shared" si="0"/>
        <v>89</v>
      </c>
      <c r="AO9" s="224">
        <f t="shared" si="0"/>
        <v>28</v>
      </c>
      <c r="AP9" s="224">
        <f t="shared" si="0"/>
        <v>29</v>
      </c>
      <c r="AQ9" s="224"/>
      <c r="AR9" s="224">
        <f t="shared" si="0"/>
        <v>0</v>
      </c>
      <c r="AS9" s="224">
        <f t="shared" si="0"/>
        <v>0</v>
      </c>
      <c r="AT9" s="224">
        <f t="shared" si="0"/>
        <v>878</v>
      </c>
      <c r="AU9" s="224">
        <f t="shared" si="0"/>
        <v>1030</v>
      </c>
      <c r="AV9" s="224">
        <f>SUM(AV10+AV15+AV19)</f>
        <v>78</v>
      </c>
      <c r="AW9" s="224">
        <f t="shared" si="0"/>
        <v>50</v>
      </c>
      <c r="AX9" s="224">
        <f t="shared" si="0"/>
        <v>24</v>
      </c>
      <c r="AY9" s="224"/>
      <c r="AZ9" s="224">
        <f t="shared" si="0"/>
        <v>0</v>
      </c>
      <c r="BA9" s="224">
        <f t="shared" si="0"/>
        <v>0</v>
      </c>
      <c r="BB9" s="224">
        <f t="shared" si="0"/>
        <v>878</v>
      </c>
      <c r="BC9" s="224">
        <f t="shared" si="0"/>
        <v>0</v>
      </c>
      <c r="BD9" s="224">
        <f t="shared" si="0"/>
        <v>0</v>
      </c>
      <c r="BE9" s="224">
        <f>SUM(BE10+BE15+BE19)</f>
        <v>0</v>
      </c>
      <c r="BF9" s="224">
        <f t="shared" si="0"/>
        <v>0</v>
      </c>
      <c r="BG9" s="224">
        <f t="shared" si="0"/>
        <v>0</v>
      </c>
      <c r="BH9" s="224">
        <f t="shared" si="0"/>
        <v>0</v>
      </c>
      <c r="BI9" s="224">
        <f t="shared" si="0"/>
        <v>0</v>
      </c>
      <c r="BJ9" s="224">
        <f t="shared" si="0"/>
        <v>0</v>
      </c>
      <c r="BK9" s="535"/>
      <c r="BL9" s="535"/>
    </row>
    <row r="10" spans="1:64" s="116" customFormat="1" ht="25.5" customHeight="1">
      <c r="A10" s="536" t="str">
        <f>'Учебный план'!A28</f>
        <v>ОГСЭ.00</v>
      </c>
      <c r="B10" s="782" t="s">
        <v>151</v>
      </c>
      <c r="C10" s="782"/>
      <c r="D10" s="537"/>
      <c r="E10" s="537"/>
      <c r="F10" s="537"/>
      <c r="G10" s="537"/>
      <c r="H10" s="537"/>
      <c r="I10" s="537"/>
      <c r="J10" s="396">
        <f>'Учебный план'!J28</f>
        <v>612</v>
      </c>
      <c r="K10" s="396">
        <f>'Учебный план'!K28</f>
        <v>408</v>
      </c>
      <c r="L10" s="180">
        <f>'Учебный план'!L28</f>
        <v>737</v>
      </c>
      <c r="M10" s="180">
        <f>'Учебный план'!M28</f>
        <v>445</v>
      </c>
      <c r="N10" s="180">
        <f>SUM(N11:N14)</f>
        <v>737</v>
      </c>
      <c r="O10" s="180">
        <f aca="true" t="shared" si="1" ref="O10:V10">SUM(O11:O14)</f>
        <v>80</v>
      </c>
      <c r="P10" s="180">
        <f t="shared" si="1"/>
        <v>26</v>
      </c>
      <c r="Q10" s="180">
        <f t="shared" si="1"/>
        <v>54</v>
      </c>
      <c r="R10" s="180">
        <f t="shared" si="1"/>
        <v>0</v>
      </c>
      <c r="S10" s="180">
        <f t="shared" si="1"/>
        <v>0</v>
      </c>
      <c r="T10" s="180">
        <f t="shared" si="1"/>
        <v>0</v>
      </c>
      <c r="U10" s="180">
        <f t="shared" si="1"/>
        <v>0</v>
      </c>
      <c r="V10" s="180">
        <f t="shared" si="1"/>
        <v>657</v>
      </c>
      <c r="W10" s="180">
        <f aca="true" t="shared" si="2" ref="W10:AD10">SUM(W11:W14)</f>
        <v>284</v>
      </c>
      <c r="X10" s="180">
        <f>SUM(X11:X14)</f>
        <v>26</v>
      </c>
      <c r="Y10" s="180">
        <f t="shared" si="2"/>
        <v>10</v>
      </c>
      <c r="Z10" s="180">
        <f t="shared" si="2"/>
        <v>0</v>
      </c>
      <c r="AA10" s="180"/>
      <c r="AB10" s="180">
        <f t="shared" si="2"/>
        <v>0</v>
      </c>
      <c r="AC10" s="180">
        <f t="shared" si="2"/>
        <v>0</v>
      </c>
      <c r="AD10" s="180">
        <f t="shared" si="2"/>
        <v>248</v>
      </c>
      <c r="AE10" s="180">
        <f aca="true" t="shared" si="3" ref="AE10:BJ10">SUM(AE11:AE14)</f>
        <v>143</v>
      </c>
      <c r="AF10" s="180">
        <f t="shared" si="3"/>
        <v>0</v>
      </c>
      <c r="AG10" s="180">
        <f t="shared" si="3"/>
        <v>10</v>
      </c>
      <c r="AH10" s="180">
        <f t="shared" si="3"/>
        <v>0</v>
      </c>
      <c r="AI10" s="180"/>
      <c r="AJ10" s="180">
        <f t="shared" si="3"/>
        <v>0</v>
      </c>
      <c r="AK10" s="180">
        <f t="shared" si="3"/>
        <v>0</v>
      </c>
      <c r="AL10" s="180">
        <f t="shared" si="3"/>
        <v>133</v>
      </c>
      <c r="AM10" s="180">
        <f t="shared" si="3"/>
        <v>179</v>
      </c>
      <c r="AN10" s="180">
        <f t="shared" si="3"/>
        <v>0</v>
      </c>
      <c r="AO10" s="180">
        <f t="shared" si="3"/>
        <v>20</v>
      </c>
      <c r="AP10" s="180">
        <f t="shared" si="3"/>
        <v>0</v>
      </c>
      <c r="AQ10" s="180"/>
      <c r="AR10" s="180">
        <f t="shared" si="3"/>
        <v>0</v>
      </c>
      <c r="AS10" s="180">
        <f t="shared" si="3"/>
        <v>0</v>
      </c>
      <c r="AT10" s="180">
        <f t="shared" si="3"/>
        <v>159</v>
      </c>
      <c r="AU10" s="180">
        <f t="shared" si="3"/>
        <v>131</v>
      </c>
      <c r="AV10" s="180">
        <f>SUM(AV11:AV14)</f>
        <v>0</v>
      </c>
      <c r="AW10" s="180">
        <f t="shared" si="3"/>
        <v>14</v>
      </c>
      <c r="AX10" s="180">
        <f t="shared" si="3"/>
        <v>0</v>
      </c>
      <c r="AY10" s="180"/>
      <c r="AZ10" s="180">
        <f t="shared" si="3"/>
        <v>0</v>
      </c>
      <c r="BA10" s="180">
        <f t="shared" si="3"/>
        <v>0</v>
      </c>
      <c r="BB10" s="180">
        <f t="shared" si="3"/>
        <v>117</v>
      </c>
      <c r="BC10" s="180">
        <f t="shared" si="3"/>
        <v>0</v>
      </c>
      <c r="BD10" s="180">
        <f t="shared" si="3"/>
        <v>0</v>
      </c>
      <c r="BE10" s="180">
        <f t="shared" si="3"/>
        <v>0</v>
      </c>
      <c r="BF10" s="180">
        <f t="shared" si="3"/>
        <v>0</v>
      </c>
      <c r="BG10" s="180">
        <f t="shared" si="3"/>
        <v>0</v>
      </c>
      <c r="BH10" s="180">
        <f t="shared" si="3"/>
        <v>0</v>
      </c>
      <c r="BI10" s="180">
        <f t="shared" si="3"/>
        <v>0</v>
      </c>
      <c r="BJ10" s="180">
        <f t="shared" si="3"/>
        <v>0</v>
      </c>
      <c r="BK10" s="538">
        <f>'Учебный план'!CL28</f>
        <v>0</v>
      </c>
      <c r="BL10" s="538">
        <f>'Учебный план'!CM28</f>
        <v>0</v>
      </c>
    </row>
    <row r="11" spans="1:64" s="111" customFormat="1" ht="25.5" customHeight="1">
      <c r="A11" s="360" t="str">
        <f>'Учебный план'!A29</f>
        <v>ОГСЭ.01</v>
      </c>
      <c r="B11" s="360" t="str">
        <f>'Учебный план'!B29</f>
        <v>Основы философии</v>
      </c>
      <c r="C11" s="360">
        <f>'Учебный план'!C29</f>
        <v>0</v>
      </c>
      <c r="D11" s="106"/>
      <c r="E11" s="106" t="s">
        <v>27</v>
      </c>
      <c r="F11" s="106"/>
      <c r="G11" s="106"/>
      <c r="H11" s="106"/>
      <c r="I11" s="106"/>
      <c r="J11" s="109">
        <f>L11-N11</f>
        <v>0</v>
      </c>
      <c r="K11" s="106">
        <f>M11*$K$1</f>
        <v>0</v>
      </c>
      <c r="L11" s="362">
        <f>'Учебный план'!L29</f>
        <v>72</v>
      </c>
      <c r="M11" s="362">
        <f>'Учебный план'!M29</f>
        <v>48</v>
      </c>
      <c r="N11" s="522">
        <f aca="true" t="shared" si="4" ref="N11:N30">SUM(O11+U11+V11)</f>
        <v>72</v>
      </c>
      <c r="O11" s="108">
        <f aca="true" t="shared" si="5" ref="O11:O38">SUM(P11:T11)</f>
        <v>12</v>
      </c>
      <c r="P11" s="108">
        <f aca="true" t="shared" si="6" ref="P11:R14">AF11+AN11+AV11+BE11+X11</f>
        <v>12</v>
      </c>
      <c r="Q11" s="108">
        <f t="shared" si="6"/>
        <v>0</v>
      </c>
      <c r="R11" s="108">
        <f t="shared" si="6"/>
        <v>0</v>
      </c>
      <c r="S11" s="108"/>
      <c r="T11" s="108">
        <f aca="true" t="shared" si="7" ref="T11:T38">AJ11+AR11+AZ11+BH11</f>
        <v>0</v>
      </c>
      <c r="U11" s="108">
        <f aca="true" t="shared" si="8" ref="U11:U38">AK11+AS11+BA11+BI11</f>
        <v>0</v>
      </c>
      <c r="V11" s="108">
        <f>AL11+AT11+BB11+BJ11+AD11</f>
        <v>60</v>
      </c>
      <c r="W11" s="174">
        <f>SUM(X11:AD11)</f>
        <v>72</v>
      </c>
      <c r="X11" s="109">
        <v>12</v>
      </c>
      <c r="Y11" s="109"/>
      <c r="Z11" s="109"/>
      <c r="AA11" s="109"/>
      <c r="AB11" s="109"/>
      <c r="AC11" s="109"/>
      <c r="AD11" s="126">
        <v>60</v>
      </c>
      <c r="AE11" s="174">
        <f>SUM(AF11:AL11)</f>
        <v>0</v>
      </c>
      <c r="AF11" s="109"/>
      <c r="AG11" s="109"/>
      <c r="AH11" s="109"/>
      <c r="AI11" s="109"/>
      <c r="AJ11" s="109"/>
      <c r="AK11" s="109"/>
      <c r="AL11" s="109"/>
      <c r="AM11" s="174">
        <f>SUM(AN11:AT11)</f>
        <v>0</v>
      </c>
      <c r="AN11" s="109"/>
      <c r="AO11" s="109"/>
      <c r="AP11" s="109"/>
      <c r="AQ11" s="109"/>
      <c r="AR11" s="109"/>
      <c r="AS11" s="109"/>
      <c r="AT11" s="109"/>
      <c r="AU11" s="174">
        <f>SUM(AV11:BB11)</f>
        <v>0</v>
      </c>
      <c r="AV11" s="109"/>
      <c r="AW11" s="109"/>
      <c r="AX11" s="109"/>
      <c r="AY11" s="109"/>
      <c r="AZ11" s="109"/>
      <c r="BA11" s="109"/>
      <c r="BB11" s="109"/>
      <c r="BC11" s="174">
        <f>SUM(BD11:BJ11)</f>
        <v>0</v>
      </c>
      <c r="BD11" s="109"/>
      <c r="BE11" s="109"/>
      <c r="BF11" s="109"/>
      <c r="BG11" s="109"/>
      <c r="BH11" s="109"/>
      <c r="BI11" s="109"/>
      <c r="BJ11" s="109"/>
      <c r="BK11" s="343" t="str">
        <f>'Учебный план'!CL29</f>
        <v>64-1</v>
      </c>
      <c r="BL11" s="343" t="str">
        <f>'Учебный план'!CM29</f>
        <v>ОК 1-10</v>
      </c>
    </row>
    <row r="12" spans="1:64" s="111" customFormat="1" ht="25.5" customHeight="1">
      <c r="A12" s="360" t="str">
        <f>'Учебный план'!A30</f>
        <v>ОГСЭ.02</v>
      </c>
      <c r="B12" s="360" t="str">
        <f>'Учебный план'!B30</f>
        <v>История</v>
      </c>
      <c r="C12" s="360">
        <f>'Учебный план'!C30</f>
        <v>0</v>
      </c>
      <c r="D12" s="106" t="s">
        <v>27</v>
      </c>
      <c r="E12" s="106"/>
      <c r="F12" s="106"/>
      <c r="G12" s="106"/>
      <c r="H12" s="106"/>
      <c r="I12" s="106"/>
      <c r="J12" s="109">
        <f>L12-N12</f>
        <v>0</v>
      </c>
      <c r="K12" s="106">
        <f>M12*$K$1</f>
        <v>0</v>
      </c>
      <c r="L12" s="362">
        <f>'Учебный план'!L30</f>
        <v>72</v>
      </c>
      <c r="M12" s="362">
        <f>'Учебный план'!M30</f>
        <v>48</v>
      </c>
      <c r="N12" s="522">
        <f t="shared" si="4"/>
        <v>72</v>
      </c>
      <c r="O12" s="108">
        <f t="shared" si="5"/>
        <v>12</v>
      </c>
      <c r="P12" s="108">
        <f t="shared" si="6"/>
        <v>12</v>
      </c>
      <c r="Q12" s="108">
        <f t="shared" si="6"/>
        <v>0</v>
      </c>
      <c r="R12" s="108">
        <f t="shared" si="6"/>
        <v>0</v>
      </c>
      <c r="S12" s="108"/>
      <c r="T12" s="108">
        <f t="shared" si="7"/>
        <v>0</v>
      </c>
      <c r="U12" s="108">
        <f t="shared" si="8"/>
        <v>0</v>
      </c>
      <c r="V12" s="108">
        <f>AL12+AT12+BB12+BJ12+AD12</f>
        <v>60</v>
      </c>
      <c r="W12" s="174">
        <f>SUM(X12:AD12)</f>
        <v>72</v>
      </c>
      <c r="X12" s="109">
        <v>12</v>
      </c>
      <c r="Y12" s="109"/>
      <c r="Z12" s="109"/>
      <c r="AA12" s="109"/>
      <c r="AB12" s="109"/>
      <c r="AC12" s="109"/>
      <c r="AD12" s="126">
        <v>60</v>
      </c>
      <c r="AE12" s="174">
        <f>SUM(AF12:AL12)</f>
        <v>0</v>
      </c>
      <c r="AF12" s="109"/>
      <c r="AG12" s="109"/>
      <c r="AH12" s="109"/>
      <c r="AI12" s="109"/>
      <c r="AJ12" s="109"/>
      <c r="AK12" s="109"/>
      <c r="AL12" s="109"/>
      <c r="AM12" s="174">
        <f>SUM(AN12:AT12)</f>
        <v>0</v>
      </c>
      <c r="AN12" s="109"/>
      <c r="AO12" s="109"/>
      <c r="AP12" s="109"/>
      <c r="AQ12" s="109"/>
      <c r="AR12" s="109"/>
      <c r="AS12" s="109"/>
      <c r="AT12" s="109"/>
      <c r="AU12" s="174">
        <f>SUM(AV12:BB12)</f>
        <v>0</v>
      </c>
      <c r="AV12" s="109"/>
      <c r="AW12" s="109"/>
      <c r="AX12" s="109"/>
      <c r="AY12" s="109"/>
      <c r="AZ12" s="109"/>
      <c r="BA12" s="109"/>
      <c r="BB12" s="109"/>
      <c r="BC12" s="174">
        <f aca="true" t="shared" si="9" ref="BC12:BC57">SUM(BD12:BJ12)</f>
        <v>0</v>
      </c>
      <c r="BD12" s="109"/>
      <c r="BE12" s="109"/>
      <c r="BF12" s="109"/>
      <c r="BG12" s="109"/>
      <c r="BH12" s="109"/>
      <c r="BI12" s="109"/>
      <c r="BJ12" s="109"/>
      <c r="BK12" s="343" t="str">
        <f>'Учебный план'!CL30</f>
        <v>64-1</v>
      </c>
      <c r="BL12" s="343" t="str">
        <f>'Учебный план'!CM30</f>
        <v>ОК 1-10</v>
      </c>
    </row>
    <row r="13" spans="1:64" s="582" customFormat="1" ht="25.5" customHeight="1">
      <c r="A13" s="585" t="str">
        <f>'Учебный план'!A31</f>
        <v>ОГСЭ.03</v>
      </c>
      <c r="B13" s="585" t="str">
        <f>'Учебный план'!B31</f>
        <v>Иностранный язык</v>
      </c>
      <c r="C13" s="585">
        <f>'Учебный план'!C31</f>
        <v>0</v>
      </c>
      <c r="D13" s="586"/>
      <c r="E13" s="586" t="s">
        <v>476</v>
      </c>
      <c r="F13" s="586"/>
      <c r="G13" s="586"/>
      <c r="H13" s="586"/>
      <c r="I13" s="586" t="s">
        <v>515</v>
      </c>
      <c r="J13" s="527">
        <f>L13-N13</f>
        <v>0</v>
      </c>
      <c r="K13" s="586">
        <f>M13*$K$1</f>
        <v>0</v>
      </c>
      <c r="L13" s="587">
        <f>'Учебный план'!L31</f>
        <v>281</v>
      </c>
      <c r="M13" s="587">
        <f>'Учебный план'!M31</f>
        <v>193</v>
      </c>
      <c r="N13" s="588">
        <f t="shared" si="4"/>
        <v>281</v>
      </c>
      <c r="O13" s="589">
        <f t="shared" si="5"/>
        <v>54</v>
      </c>
      <c r="P13" s="589">
        <f t="shared" si="6"/>
        <v>0</v>
      </c>
      <c r="Q13" s="589">
        <f t="shared" si="6"/>
        <v>54</v>
      </c>
      <c r="R13" s="589">
        <f t="shared" si="6"/>
        <v>0</v>
      </c>
      <c r="S13" s="589"/>
      <c r="T13" s="589">
        <f t="shared" si="7"/>
        <v>0</v>
      </c>
      <c r="U13" s="589">
        <f t="shared" si="8"/>
        <v>0</v>
      </c>
      <c r="V13" s="589">
        <f>AL13+AT13+BB13+BJ13+AD13</f>
        <v>227</v>
      </c>
      <c r="W13" s="590">
        <f>SUM(X13:AD13)</f>
        <v>62</v>
      </c>
      <c r="X13" s="527"/>
      <c r="Y13" s="527">
        <v>10</v>
      </c>
      <c r="Z13" s="527"/>
      <c r="AA13" s="527"/>
      <c r="AB13" s="527"/>
      <c r="AC13" s="527"/>
      <c r="AD13" s="591">
        <v>52</v>
      </c>
      <c r="AE13" s="590">
        <f>SUM(AF13:AL13)</f>
        <v>65</v>
      </c>
      <c r="AF13" s="527"/>
      <c r="AG13" s="527">
        <v>10</v>
      </c>
      <c r="AH13" s="527"/>
      <c r="AI13" s="527"/>
      <c r="AJ13" s="527"/>
      <c r="AK13" s="527"/>
      <c r="AL13" s="591">
        <v>55</v>
      </c>
      <c r="AM13" s="590">
        <f>SUM(AN13:AT13)</f>
        <v>101</v>
      </c>
      <c r="AN13" s="527"/>
      <c r="AO13" s="527">
        <v>20</v>
      </c>
      <c r="AP13" s="527"/>
      <c r="AQ13" s="527"/>
      <c r="AR13" s="527"/>
      <c r="AS13" s="527"/>
      <c r="AT13" s="527">
        <v>81</v>
      </c>
      <c r="AU13" s="590">
        <f>SUM(AV13:BB13)</f>
        <v>53</v>
      </c>
      <c r="AV13" s="591"/>
      <c r="AW13" s="591">
        <v>14</v>
      </c>
      <c r="AX13" s="591"/>
      <c r="AY13" s="591"/>
      <c r="AZ13" s="591"/>
      <c r="BA13" s="591"/>
      <c r="BB13" s="591">
        <v>39</v>
      </c>
      <c r="BC13" s="590">
        <f t="shared" si="9"/>
        <v>0</v>
      </c>
      <c r="BD13" s="527"/>
      <c r="BE13" s="527"/>
      <c r="BF13" s="527"/>
      <c r="BG13" s="527"/>
      <c r="BH13" s="527"/>
      <c r="BI13" s="527"/>
      <c r="BJ13" s="527"/>
      <c r="BK13" s="592" t="str">
        <f>'Учебный план'!CL31</f>
        <v>64-1</v>
      </c>
      <c r="BL13" s="592" t="str">
        <f>'Учебный план'!CM31</f>
        <v>ОК 1-10</v>
      </c>
    </row>
    <row r="14" spans="1:64" s="111" customFormat="1" ht="25.5" customHeight="1">
      <c r="A14" s="360" t="str">
        <f>'Учебный план'!A32</f>
        <v>ОГСЭ.04</v>
      </c>
      <c r="B14" s="360" t="str">
        <f>'Учебный план'!B32</f>
        <v>Физическая культура</v>
      </c>
      <c r="C14" s="360">
        <f>'Учебный план'!C32</f>
        <v>0</v>
      </c>
      <c r="D14" s="106"/>
      <c r="E14" s="106"/>
      <c r="F14" s="106" t="s">
        <v>38</v>
      </c>
      <c r="G14" s="106"/>
      <c r="H14" s="106"/>
      <c r="I14" s="947" t="s">
        <v>587</v>
      </c>
      <c r="J14" s="109">
        <f>L14-N14</f>
        <v>0</v>
      </c>
      <c r="K14" s="106">
        <f>M14*$K$1</f>
        <v>0</v>
      </c>
      <c r="L14" s="362">
        <f>'Учебный план'!L32</f>
        <v>312</v>
      </c>
      <c r="M14" s="362">
        <f>'Учебный план'!M32</f>
        <v>156</v>
      </c>
      <c r="N14" s="108">
        <f t="shared" si="4"/>
        <v>312</v>
      </c>
      <c r="O14" s="108">
        <f t="shared" si="5"/>
        <v>2</v>
      </c>
      <c r="P14" s="108">
        <f t="shared" si="6"/>
        <v>2</v>
      </c>
      <c r="Q14" s="108">
        <f>AG14+AO14+AW14+BF14</f>
        <v>0</v>
      </c>
      <c r="R14" s="108">
        <f>AH14+AP14+AX14+BG14+Z14</f>
        <v>0</v>
      </c>
      <c r="S14" s="108"/>
      <c r="T14" s="108">
        <f t="shared" si="7"/>
        <v>0</v>
      </c>
      <c r="U14" s="108">
        <f t="shared" si="8"/>
        <v>0</v>
      </c>
      <c r="V14" s="108">
        <f>AL14+AT14+BB14+BJ14+AD14</f>
        <v>310</v>
      </c>
      <c r="W14" s="174">
        <f>SUM(X14:AD14)</f>
        <v>78</v>
      </c>
      <c r="X14" s="109">
        <v>2</v>
      </c>
      <c r="Y14" s="109"/>
      <c r="Z14" s="109"/>
      <c r="AA14" s="109"/>
      <c r="AB14" s="109"/>
      <c r="AC14" s="109"/>
      <c r="AD14" s="126">
        <v>76</v>
      </c>
      <c r="AE14" s="174">
        <f>SUM(AF14:AL14)</f>
        <v>78</v>
      </c>
      <c r="AF14" s="109"/>
      <c r="AG14" s="109"/>
      <c r="AH14" s="109"/>
      <c r="AI14" s="109"/>
      <c r="AJ14" s="109"/>
      <c r="AK14" s="109"/>
      <c r="AL14" s="109">
        <v>78</v>
      </c>
      <c r="AM14" s="174">
        <f>SUM(AN14:AT14)</f>
        <v>78</v>
      </c>
      <c r="AN14" s="109"/>
      <c r="AO14" s="109"/>
      <c r="AP14" s="109"/>
      <c r="AQ14" s="109"/>
      <c r="AR14" s="109"/>
      <c r="AS14" s="109"/>
      <c r="AT14" s="109">
        <v>78</v>
      </c>
      <c r="AU14" s="174">
        <f>SUM(AV14:BB14)</f>
        <v>78</v>
      </c>
      <c r="AV14" s="126"/>
      <c r="AW14" s="126"/>
      <c r="AX14" s="126"/>
      <c r="AY14" s="126"/>
      <c r="AZ14" s="126"/>
      <c r="BA14" s="126"/>
      <c r="BB14" s="126">
        <v>78</v>
      </c>
      <c r="BC14" s="174">
        <f t="shared" si="9"/>
        <v>0</v>
      </c>
      <c r="BD14" s="109"/>
      <c r="BE14" s="109"/>
      <c r="BF14" s="109"/>
      <c r="BG14" s="109"/>
      <c r="BH14" s="109"/>
      <c r="BI14" s="109"/>
      <c r="BJ14" s="109"/>
      <c r="BK14" s="343" t="str">
        <f>'Учебный план'!CL32</f>
        <v>20</v>
      </c>
      <c r="BL14" s="343" t="str">
        <f>'Учебный план'!CM32</f>
        <v>ОК 2,3,6,7</v>
      </c>
    </row>
    <row r="15" spans="1:64" s="98" customFormat="1" ht="25.5" customHeight="1">
      <c r="A15" s="363" t="str">
        <f>'Учебный план'!A33</f>
        <v>ЕН.00</v>
      </c>
      <c r="B15" s="779" t="str">
        <f>'Учебный план'!B33:I33</f>
        <v>Математический и общий естественнонаучный цикл</v>
      </c>
      <c r="C15" s="779"/>
      <c r="D15" s="779"/>
      <c r="E15" s="779"/>
      <c r="F15" s="779"/>
      <c r="G15" s="779"/>
      <c r="H15" s="779"/>
      <c r="I15" s="779"/>
      <c r="J15" s="396">
        <f>'Учебный план'!J33</f>
        <v>162</v>
      </c>
      <c r="K15" s="396">
        <f>'Учебный план'!K33</f>
        <v>108</v>
      </c>
      <c r="L15" s="226">
        <f>'Учебный план'!L33</f>
        <v>192</v>
      </c>
      <c r="M15" s="226">
        <f>'Учебный план'!M33</f>
        <v>128</v>
      </c>
      <c r="N15" s="226">
        <f>SUM(N16:N18)</f>
        <v>192</v>
      </c>
      <c r="O15" s="226">
        <f aca="true" t="shared" si="10" ref="O15:V15">SUM(O16:O18)</f>
        <v>32</v>
      </c>
      <c r="P15" s="226">
        <f t="shared" si="10"/>
        <v>24</v>
      </c>
      <c r="Q15" s="226">
        <f t="shared" si="10"/>
        <v>8</v>
      </c>
      <c r="R15" s="226">
        <f t="shared" si="10"/>
        <v>0</v>
      </c>
      <c r="S15" s="226">
        <f t="shared" si="10"/>
        <v>0</v>
      </c>
      <c r="T15" s="226">
        <f t="shared" si="10"/>
        <v>0</v>
      </c>
      <c r="U15" s="226">
        <f t="shared" si="10"/>
        <v>0</v>
      </c>
      <c r="V15" s="226">
        <f t="shared" si="10"/>
        <v>160</v>
      </c>
      <c r="W15" s="226">
        <f>SUM(W16:W18)</f>
        <v>144</v>
      </c>
      <c r="X15" s="226">
        <f aca="true" t="shared" si="11" ref="X15:AD15">SUM(X16:X18)</f>
        <v>16</v>
      </c>
      <c r="Y15" s="226">
        <f t="shared" si="11"/>
        <v>8</v>
      </c>
      <c r="Z15" s="226">
        <f t="shared" si="11"/>
        <v>0</v>
      </c>
      <c r="AA15" s="226"/>
      <c r="AB15" s="226">
        <f t="shared" si="11"/>
        <v>0</v>
      </c>
      <c r="AC15" s="226">
        <f t="shared" si="11"/>
        <v>0</v>
      </c>
      <c r="AD15" s="226">
        <f t="shared" si="11"/>
        <v>120</v>
      </c>
      <c r="AE15" s="226">
        <f>SUM(AE16:AE18)</f>
        <v>0</v>
      </c>
      <c r="AF15" s="226">
        <f aca="true" t="shared" si="12" ref="AF15:AL15">SUM(AF16:AF18)</f>
        <v>0</v>
      </c>
      <c r="AG15" s="226">
        <f t="shared" si="12"/>
        <v>0</v>
      </c>
      <c r="AH15" s="226">
        <f t="shared" si="12"/>
        <v>0</v>
      </c>
      <c r="AI15" s="226"/>
      <c r="AJ15" s="226">
        <f t="shared" si="12"/>
        <v>0</v>
      </c>
      <c r="AK15" s="226">
        <f t="shared" si="12"/>
        <v>0</v>
      </c>
      <c r="AL15" s="226">
        <f t="shared" si="12"/>
        <v>0</v>
      </c>
      <c r="AM15" s="226">
        <f>SUM(AM16:AM18)</f>
        <v>48</v>
      </c>
      <c r="AN15" s="226">
        <f aca="true" t="shared" si="13" ref="AN15:AT15">SUM(AN16:AN18)</f>
        <v>8</v>
      </c>
      <c r="AO15" s="226">
        <f t="shared" si="13"/>
        <v>0</v>
      </c>
      <c r="AP15" s="226">
        <f t="shared" si="13"/>
        <v>0</v>
      </c>
      <c r="AQ15" s="226"/>
      <c r="AR15" s="226">
        <f t="shared" si="13"/>
        <v>0</v>
      </c>
      <c r="AS15" s="226">
        <f t="shared" si="13"/>
        <v>0</v>
      </c>
      <c r="AT15" s="226">
        <f t="shared" si="13"/>
        <v>40</v>
      </c>
      <c r="AU15" s="226">
        <f>SUM(AU16:AU18)</f>
        <v>0</v>
      </c>
      <c r="AV15" s="226">
        <f aca="true" t="shared" si="14" ref="AV15:BB15">SUM(AV16:AV18)</f>
        <v>0</v>
      </c>
      <c r="AW15" s="226">
        <f t="shared" si="14"/>
        <v>0</v>
      </c>
      <c r="AX15" s="226">
        <f t="shared" si="14"/>
        <v>0</v>
      </c>
      <c r="AY15" s="226"/>
      <c r="AZ15" s="226">
        <f t="shared" si="14"/>
        <v>0</v>
      </c>
      <c r="BA15" s="226">
        <f t="shared" si="14"/>
        <v>0</v>
      </c>
      <c r="BB15" s="226">
        <f t="shared" si="14"/>
        <v>0</v>
      </c>
      <c r="BC15" s="226">
        <f>SUM(BC16:BC18)</f>
        <v>0</v>
      </c>
      <c r="BD15" s="226">
        <f aca="true" t="shared" si="15" ref="BD15:BJ15">SUM(BD16:BD18)</f>
        <v>0</v>
      </c>
      <c r="BE15" s="226">
        <f t="shared" si="15"/>
        <v>0</v>
      </c>
      <c r="BF15" s="226">
        <f t="shared" si="15"/>
        <v>0</v>
      </c>
      <c r="BG15" s="226">
        <f t="shared" si="15"/>
        <v>0</v>
      </c>
      <c r="BH15" s="226">
        <f t="shared" si="15"/>
        <v>0</v>
      </c>
      <c r="BI15" s="226">
        <f t="shared" si="15"/>
        <v>0</v>
      </c>
      <c r="BJ15" s="226">
        <f t="shared" si="15"/>
        <v>0</v>
      </c>
      <c r="BK15" s="344">
        <f>'Учебный план'!CL33</f>
        <v>0</v>
      </c>
      <c r="BL15" s="344">
        <f>'Учебный план'!CM33</f>
        <v>0</v>
      </c>
    </row>
    <row r="16" spans="1:64" s="111" customFormat="1" ht="25.5" customHeight="1">
      <c r="A16" s="360" t="str">
        <f>'Учебный план'!A34</f>
        <v>ЕН.01</v>
      </c>
      <c r="B16" s="360" t="str">
        <f>'Учебный план'!B34</f>
        <v>Математика</v>
      </c>
      <c r="C16" s="360">
        <f>'Учебный план'!C34</f>
        <v>0</v>
      </c>
      <c r="D16" s="106" t="s">
        <v>27</v>
      </c>
      <c r="E16" s="106"/>
      <c r="F16" s="106"/>
      <c r="G16" s="106"/>
      <c r="H16" s="106"/>
      <c r="I16" s="106"/>
      <c r="J16" s="109">
        <f>L16-N16</f>
        <v>0</v>
      </c>
      <c r="K16" s="106">
        <f>M16*$K$1</f>
        <v>0</v>
      </c>
      <c r="L16" s="362">
        <f>'Учебный план'!L34</f>
        <v>72</v>
      </c>
      <c r="M16" s="362">
        <f>'Учебный план'!M34</f>
        <v>48</v>
      </c>
      <c r="N16" s="108">
        <f t="shared" si="4"/>
        <v>72</v>
      </c>
      <c r="O16" s="108">
        <f t="shared" si="5"/>
        <v>12</v>
      </c>
      <c r="P16" s="108">
        <f aca="true" t="shared" si="16" ref="P16:R19">AF16+AN16+AV16+BE16+X16</f>
        <v>12</v>
      </c>
      <c r="Q16" s="108">
        <f t="shared" si="16"/>
        <v>0</v>
      </c>
      <c r="R16" s="108">
        <f t="shared" si="16"/>
        <v>0</v>
      </c>
      <c r="S16" s="108"/>
      <c r="T16" s="108">
        <f t="shared" si="7"/>
        <v>0</v>
      </c>
      <c r="U16" s="108">
        <f t="shared" si="8"/>
        <v>0</v>
      </c>
      <c r="V16" s="108">
        <f>AL16+AT16+BB16+BJ16+AD16</f>
        <v>60</v>
      </c>
      <c r="W16" s="174">
        <f>SUM(X16:AD16)</f>
        <v>72</v>
      </c>
      <c r="X16" s="109">
        <v>12</v>
      </c>
      <c r="Y16" s="109"/>
      <c r="Z16" s="109"/>
      <c r="AA16" s="109"/>
      <c r="AB16" s="109"/>
      <c r="AC16" s="109"/>
      <c r="AD16" s="109">
        <v>60</v>
      </c>
      <c r="AE16" s="174">
        <f>SUM(AF16:AL16)</f>
        <v>0</v>
      </c>
      <c r="AF16" s="109"/>
      <c r="AG16" s="109"/>
      <c r="AH16" s="109"/>
      <c r="AI16" s="109"/>
      <c r="AJ16" s="109"/>
      <c r="AK16" s="109"/>
      <c r="AL16" s="109"/>
      <c r="AM16" s="174">
        <f>SUM(AN16:AT16)</f>
        <v>0</v>
      </c>
      <c r="AN16" s="109"/>
      <c r="AO16" s="109"/>
      <c r="AP16" s="109"/>
      <c r="AQ16" s="109"/>
      <c r="AR16" s="109"/>
      <c r="AS16" s="109"/>
      <c r="AT16" s="109"/>
      <c r="AU16" s="174">
        <f>SUM(AV16:BB16)</f>
        <v>0</v>
      </c>
      <c r="AV16" s="109"/>
      <c r="AW16" s="109"/>
      <c r="AX16" s="109"/>
      <c r="AY16" s="109"/>
      <c r="AZ16" s="109"/>
      <c r="BA16" s="109"/>
      <c r="BB16" s="109"/>
      <c r="BC16" s="174">
        <f t="shared" si="9"/>
        <v>0</v>
      </c>
      <c r="BD16" s="109"/>
      <c r="BE16" s="109"/>
      <c r="BF16" s="109"/>
      <c r="BG16" s="109"/>
      <c r="BH16" s="109"/>
      <c r="BI16" s="109"/>
      <c r="BJ16" s="109"/>
      <c r="BK16" s="343" t="str">
        <f>'Учебный план'!CL34</f>
        <v>64-2</v>
      </c>
      <c r="BL16" s="343" t="str">
        <f>'Учебный план'!CM34</f>
        <v>ОК 1-10; ПК 1.1; 1.3; 1.5; 3.2; 3.3</v>
      </c>
    </row>
    <row r="17" spans="1:64" s="111" customFormat="1" ht="25.5" customHeight="1">
      <c r="A17" s="360" t="str">
        <f>'Учебный план'!A35</f>
        <v>ЕН.02</v>
      </c>
      <c r="B17" s="360" t="str">
        <f>'Учебный план'!B35</f>
        <v>Информатика</v>
      </c>
      <c r="C17" s="360">
        <f>'Учебный план'!C35</f>
        <v>0</v>
      </c>
      <c r="D17" s="106"/>
      <c r="E17" s="106" t="s">
        <v>27</v>
      </c>
      <c r="F17" s="106"/>
      <c r="G17" s="106"/>
      <c r="H17" s="106"/>
      <c r="I17" s="106"/>
      <c r="J17" s="109">
        <f>L17-N17</f>
        <v>0</v>
      </c>
      <c r="K17" s="106">
        <f>M17*$K$1</f>
        <v>0</v>
      </c>
      <c r="L17" s="362">
        <f>'Учебный план'!L35</f>
        <v>72</v>
      </c>
      <c r="M17" s="362">
        <f>'Учебный план'!M35</f>
        <v>48</v>
      </c>
      <c r="N17" s="108">
        <f t="shared" si="4"/>
        <v>72</v>
      </c>
      <c r="O17" s="108">
        <f t="shared" si="5"/>
        <v>12</v>
      </c>
      <c r="P17" s="108">
        <f t="shared" si="16"/>
        <v>4</v>
      </c>
      <c r="Q17" s="108">
        <f t="shared" si="16"/>
        <v>8</v>
      </c>
      <c r="R17" s="108">
        <f t="shared" si="16"/>
        <v>0</v>
      </c>
      <c r="S17" s="108"/>
      <c r="T17" s="108">
        <f t="shared" si="7"/>
        <v>0</v>
      </c>
      <c r="U17" s="108">
        <f t="shared" si="8"/>
        <v>0</v>
      </c>
      <c r="V17" s="108">
        <f>AL17+AT17+BB17+BJ17+AD17</f>
        <v>60</v>
      </c>
      <c r="W17" s="174">
        <f>SUM(X17:AD17)</f>
        <v>72</v>
      </c>
      <c r="X17" s="109">
        <v>4</v>
      </c>
      <c r="Y17" s="109">
        <v>8</v>
      </c>
      <c r="Z17" s="109"/>
      <c r="AA17" s="109"/>
      <c r="AB17" s="109"/>
      <c r="AC17" s="109"/>
      <c r="AD17" s="109">
        <v>60</v>
      </c>
      <c r="AE17" s="174">
        <f>SUM(AF17:AL17)</f>
        <v>0</v>
      </c>
      <c r="AF17" s="109"/>
      <c r="AG17" s="109"/>
      <c r="AH17" s="109"/>
      <c r="AI17" s="109"/>
      <c r="AJ17" s="109"/>
      <c r="AK17" s="109"/>
      <c r="AL17" s="109"/>
      <c r="AM17" s="174">
        <f>SUM(AN17:AT17)</f>
        <v>0</v>
      </c>
      <c r="AN17" s="109"/>
      <c r="AO17" s="109"/>
      <c r="AP17" s="109"/>
      <c r="AQ17" s="109"/>
      <c r="AR17" s="109"/>
      <c r="AS17" s="109"/>
      <c r="AT17" s="109"/>
      <c r="AU17" s="174">
        <f>SUM(AV17:BB17)</f>
        <v>0</v>
      </c>
      <c r="AV17" s="109"/>
      <c r="AW17" s="109"/>
      <c r="AX17" s="109"/>
      <c r="AY17" s="109"/>
      <c r="AZ17" s="109"/>
      <c r="BA17" s="109"/>
      <c r="BB17" s="109"/>
      <c r="BC17" s="174">
        <f t="shared" si="9"/>
        <v>0</v>
      </c>
      <c r="BD17" s="109"/>
      <c r="BE17" s="109"/>
      <c r="BF17" s="109"/>
      <c r="BG17" s="109"/>
      <c r="BH17" s="109"/>
      <c r="BI17" s="109"/>
      <c r="BJ17" s="109"/>
      <c r="BK17" s="343" t="str">
        <f>'Учебный план'!CL35</f>
        <v>64-2</v>
      </c>
      <c r="BL17" s="343" t="str">
        <f>'Учебный план'!CM35</f>
        <v>ОК 1-10; ПК 1.1; 1.3; 1.5; 3.2; 3.3</v>
      </c>
    </row>
    <row r="18" spans="1:64" s="111" customFormat="1" ht="25.5" customHeight="1">
      <c r="A18" s="360" t="str">
        <f>'Учебный план'!A36</f>
        <v>ЕН.03</v>
      </c>
      <c r="B18" s="360" t="str">
        <f>'Учебный план'!B36</f>
        <v>Экологические основы природопользования</v>
      </c>
      <c r="C18" s="360">
        <f>'Учебный план'!C36</f>
        <v>0</v>
      </c>
      <c r="D18" s="106"/>
      <c r="E18" s="106" t="s">
        <v>29</v>
      </c>
      <c r="F18" s="106"/>
      <c r="G18" s="106"/>
      <c r="H18" s="106"/>
      <c r="I18" s="106"/>
      <c r="J18" s="109">
        <f>L18-N18</f>
        <v>0</v>
      </c>
      <c r="K18" s="106">
        <f>M18*$K$1</f>
        <v>0</v>
      </c>
      <c r="L18" s="362">
        <f>'Учебный план'!L36</f>
        <v>48</v>
      </c>
      <c r="M18" s="362">
        <f>'Учебный план'!M36</f>
        <v>32</v>
      </c>
      <c r="N18" s="522">
        <f t="shared" si="4"/>
        <v>48</v>
      </c>
      <c r="O18" s="108">
        <f t="shared" si="5"/>
        <v>8</v>
      </c>
      <c r="P18" s="108">
        <f t="shared" si="16"/>
        <v>8</v>
      </c>
      <c r="Q18" s="108">
        <f t="shared" si="16"/>
        <v>0</v>
      </c>
      <c r="R18" s="108">
        <f t="shared" si="16"/>
        <v>0</v>
      </c>
      <c r="S18" s="108"/>
      <c r="T18" s="108">
        <f t="shared" si="7"/>
        <v>0</v>
      </c>
      <c r="U18" s="108">
        <f t="shared" si="8"/>
        <v>0</v>
      </c>
      <c r="V18" s="108">
        <f>AL18+AT18+BB18+BJ18+AD18</f>
        <v>40</v>
      </c>
      <c r="W18" s="174">
        <f>SUM(X18:AD18)</f>
        <v>0</v>
      </c>
      <c r="X18" s="109"/>
      <c r="Y18" s="109"/>
      <c r="Z18" s="109"/>
      <c r="AA18" s="109"/>
      <c r="AB18" s="109"/>
      <c r="AC18" s="109"/>
      <c r="AD18" s="109"/>
      <c r="AE18" s="174">
        <f>SUM(AF18:AL18)</f>
        <v>0</v>
      </c>
      <c r="AF18" s="109"/>
      <c r="AG18" s="109"/>
      <c r="AH18" s="109"/>
      <c r="AI18" s="109"/>
      <c r="AJ18" s="109"/>
      <c r="AK18" s="109"/>
      <c r="AL18" s="109"/>
      <c r="AM18" s="174">
        <f>SUM(AN18:AT18)</f>
        <v>48</v>
      </c>
      <c r="AN18" s="109">
        <v>8</v>
      </c>
      <c r="AO18" s="109"/>
      <c r="AP18" s="109"/>
      <c r="AQ18" s="109"/>
      <c r="AR18" s="109"/>
      <c r="AS18" s="109"/>
      <c r="AT18" s="126">
        <v>40</v>
      </c>
      <c r="AU18" s="174">
        <f>SUM(AV18:BB18)</f>
        <v>0</v>
      </c>
      <c r="AV18" s="109"/>
      <c r="AW18" s="109"/>
      <c r="AX18" s="109"/>
      <c r="AY18" s="109"/>
      <c r="AZ18" s="109"/>
      <c r="BA18" s="109"/>
      <c r="BB18" s="109"/>
      <c r="BC18" s="174">
        <f t="shared" si="9"/>
        <v>0</v>
      </c>
      <c r="BD18" s="109"/>
      <c r="BE18" s="109"/>
      <c r="BF18" s="109"/>
      <c r="BG18" s="109"/>
      <c r="BH18" s="109"/>
      <c r="BI18" s="109"/>
      <c r="BJ18" s="109"/>
      <c r="BK18" s="343" t="str">
        <f>'Учебный план'!CL36</f>
        <v>64-2</v>
      </c>
      <c r="BL18" s="343" t="str">
        <f>'Учебный план'!CM36</f>
        <v>ОК 1-10;ПК 1.1-1.5; 2.1-2.3; 3.1-3.3</v>
      </c>
    </row>
    <row r="19" spans="1:64" s="98" customFormat="1" ht="25.5" customHeight="1">
      <c r="A19" s="361" t="str">
        <f>'Учебный план'!A37</f>
        <v>П.00</v>
      </c>
      <c r="B19" s="361" t="str">
        <f>'Учебный план'!B37</f>
        <v>Профессиональный учебный цикл</v>
      </c>
      <c r="C19" s="364"/>
      <c r="D19" s="225" t="s">
        <v>26</v>
      </c>
      <c r="E19" s="225"/>
      <c r="F19" s="225"/>
      <c r="G19" s="225"/>
      <c r="H19" s="225"/>
      <c r="I19" s="225"/>
      <c r="J19" s="396">
        <f>'Учебный план'!J37</f>
        <v>2196</v>
      </c>
      <c r="K19" s="396">
        <f>'Учебный план'!K37</f>
        <v>1464</v>
      </c>
      <c r="L19" s="226">
        <f>'Учебный план'!L37</f>
        <v>3064</v>
      </c>
      <c r="M19" s="226">
        <f>'Учебный план'!M37</f>
        <v>2083</v>
      </c>
      <c r="N19" s="226">
        <f>SUM(N20,N29)</f>
        <v>3064</v>
      </c>
      <c r="O19" s="226">
        <f t="shared" si="5"/>
        <v>496</v>
      </c>
      <c r="P19" s="226">
        <f>AF19+AN19+AV19+BE19+X19</f>
        <v>363</v>
      </c>
      <c r="Q19" s="226">
        <f>AG19+AO19+AW19+BF19+Y19</f>
        <v>80</v>
      </c>
      <c r="R19" s="226">
        <f t="shared" si="16"/>
        <v>53</v>
      </c>
      <c r="S19" s="226">
        <f>AI19+AQ19+AY19+BH19+AA19</f>
        <v>0</v>
      </c>
      <c r="T19" s="226">
        <f>AJ19+AR19+AZ19+BI19+AB19</f>
        <v>0</v>
      </c>
      <c r="U19" s="226"/>
      <c r="V19" s="226">
        <f>AL19+AT19+BB19+BJ19+AD19</f>
        <v>2568</v>
      </c>
      <c r="W19" s="226">
        <f aca="true" t="shared" si="17" ref="W19:AD19">SUM(W20+W29)</f>
        <v>485</v>
      </c>
      <c r="X19" s="226">
        <f t="shared" si="17"/>
        <v>72</v>
      </c>
      <c r="Y19" s="226">
        <f t="shared" si="17"/>
        <v>18</v>
      </c>
      <c r="Z19" s="226">
        <f t="shared" si="17"/>
        <v>0</v>
      </c>
      <c r="AA19" s="226"/>
      <c r="AB19" s="226">
        <f t="shared" si="17"/>
        <v>0</v>
      </c>
      <c r="AC19" s="226">
        <f t="shared" si="17"/>
        <v>0</v>
      </c>
      <c r="AD19" s="226">
        <f t="shared" si="17"/>
        <v>395</v>
      </c>
      <c r="AE19" s="226">
        <f aca="true" t="shared" si="18" ref="AE19:BJ19">SUM(AE20+AE29)</f>
        <v>883</v>
      </c>
      <c r="AF19" s="226">
        <f t="shared" si="18"/>
        <v>132</v>
      </c>
      <c r="AG19" s="226">
        <f t="shared" si="18"/>
        <v>18</v>
      </c>
      <c r="AH19" s="226">
        <f t="shared" si="18"/>
        <v>0</v>
      </c>
      <c r="AI19" s="226"/>
      <c r="AJ19" s="226">
        <f t="shared" si="18"/>
        <v>0</v>
      </c>
      <c r="AK19" s="226">
        <f t="shared" si="18"/>
        <v>0</v>
      </c>
      <c r="AL19" s="226">
        <f t="shared" si="18"/>
        <v>733</v>
      </c>
      <c r="AM19" s="226">
        <f t="shared" si="18"/>
        <v>797</v>
      </c>
      <c r="AN19" s="226">
        <f t="shared" si="18"/>
        <v>81</v>
      </c>
      <c r="AO19" s="226">
        <f t="shared" si="18"/>
        <v>8</v>
      </c>
      <c r="AP19" s="226">
        <f t="shared" si="18"/>
        <v>29</v>
      </c>
      <c r="AQ19" s="226"/>
      <c r="AR19" s="226">
        <f t="shared" si="18"/>
        <v>0</v>
      </c>
      <c r="AS19" s="226">
        <f t="shared" si="18"/>
        <v>0</v>
      </c>
      <c r="AT19" s="226">
        <f t="shared" si="18"/>
        <v>679</v>
      </c>
      <c r="AU19" s="226">
        <f t="shared" si="18"/>
        <v>899</v>
      </c>
      <c r="AV19" s="226">
        <f t="shared" si="18"/>
        <v>78</v>
      </c>
      <c r="AW19" s="226">
        <f t="shared" si="18"/>
        <v>36</v>
      </c>
      <c r="AX19" s="226">
        <f t="shared" si="18"/>
        <v>24</v>
      </c>
      <c r="AY19" s="226"/>
      <c r="AZ19" s="226">
        <f t="shared" si="18"/>
        <v>0</v>
      </c>
      <c r="BA19" s="226">
        <f t="shared" si="18"/>
        <v>0</v>
      </c>
      <c r="BB19" s="226">
        <f t="shared" si="18"/>
        <v>761</v>
      </c>
      <c r="BC19" s="226">
        <f t="shared" si="18"/>
        <v>0</v>
      </c>
      <c r="BD19" s="226">
        <f t="shared" si="18"/>
        <v>0</v>
      </c>
      <c r="BE19" s="226">
        <f t="shared" si="18"/>
        <v>0</v>
      </c>
      <c r="BF19" s="226">
        <f t="shared" si="18"/>
        <v>0</v>
      </c>
      <c r="BG19" s="226">
        <f t="shared" si="18"/>
        <v>0</v>
      </c>
      <c r="BH19" s="226">
        <f t="shared" si="18"/>
        <v>0</v>
      </c>
      <c r="BI19" s="226">
        <f t="shared" si="18"/>
        <v>0</v>
      </c>
      <c r="BJ19" s="226">
        <f t="shared" si="18"/>
        <v>0</v>
      </c>
      <c r="BK19" s="344">
        <f>'Учебный план'!CL37</f>
        <v>0</v>
      </c>
      <c r="BL19" s="344">
        <f>'Учебный план'!CM37</f>
        <v>0</v>
      </c>
    </row>
    <row r="20" spans="1:64" s="98" customFormat="1" ht="25.5" customHeight="1">
      <c r="A20" s="361" t="str">
        <f>'Учебный план'!A38</f>
        <v>ОП.00</v>
      </c>
      <c r="B20" s="361" t="str">
        <f>'Учебный план'!B38</f>
        <v>Общепрофессиональные дисциплины</v>
      </c>
      <c r="C20" s="365"/>
      <c r="D20" s="225"/>
      <c r="E20" s="225"/>
      <c r="F20" s="225"/>
      <c r="G20" s="225"/>
      <c r="H20" s="225"/>
      <c r="I20" s="225"/>
      <c r="J20" s="396">
        <f>'Учебный план'!J38</f>
        <v>804</v>
      </c>
      <c r="K20" s="396">
        <f>'Учебный план'!K38</f>
        <v>536</v>
      </c>
      <c r="L20" s="226">
        <f>'Учебный план'!L38</f>
        <v>974</v>
      </c>
      <c r="M20" s="226">
        <f>'Учебный план'!M38</f>
        <v>679</v>
      </c>
      <c r="N20" s="226">
        <f>SUM(N21:N28)</f>
        <v>974</v>
      </c>
      <c r="O20" s="226">
        <f aca="true" t="shared" si="19" ref="O20:V20">SUM(O21:O28)</f>
        <v>178</v>
      </c>
      <c r="P20" s="226">
        <f>SUM(P21:P28)</f>
        <v>156</v>
      </c>
      <c r="Q20" s="226">
        <f t="shared" si="19"/>
        <v>22</v>
      </c>
      <c r="R20" s="226">
        <f t="shared" si="19"/>
        <v>0</v>
      </c>
      <c r="S20" s="226">
        <f t="shared" si="19"/>
        <v>0</v>
      </c>
      <c r="T20" s="226">
        <f t="shared" si="19"/>
        <v>0</v>
      </c>
      <c r="U20" s="226">
        <f t="shared" si="19"/>
        <v>0</v>
      </c>
      <c r="V20" s="226">
        <f t="shared" si="19"/>
        <v>796</v>
      </c>
      <c r="W20" s="226">
        <f aca="true" t="shared" si="20" ref="W20:AD20">SUM(W21:W28)</f>
        <v>485</v>
      </c>
      <c r="X20" s="226">
        <f t="shared" si="20"/>
        <v>72</v>
      </c>
      <c r="Y20" s="226">
        <f t="shared" si="20"/>
        <v>18</v>
      </c>
      <c r="Z20" s="226">
        <f t="shared" si="20"/>
        <v>0</v>
      </c>
      <c r="AA20" s="226"/>
      <c r="AB20" s="226">
        <f t="shared" si="20"/>
        <v>0</v>
      </c>
      <c r="AC20" s="226">
        <f t="shared" si="20"/>
        <v>0</v>
      </c>
      <c r="AD20" s="226">
        <f t="shared" si="20"/>
        <v>395</v>
      </c>
      <c r="AE20" s="226">
        <f aca="true" t="shared" si="21" ref="AE20:BJ20">SUM(AE21:AE28)</f>
        <v>338</v>
      </c>
      <c r="AF20" s="226">
        <f t="shared" si="21"/>
        <v>68</v>
      </c>
      <c r="AG20" s="226">
        <f t="shared" si="21"/>
        <v>4</v>
      </c>
      <c r="AH20" s="226">
        <f t="shared" si="21"/>
        <v>0</v>
      </c>
      <c r="AI20" s="226"/>
      <c r="AJ20" s="226">
        <f t="shared" si="21"/>
        <v>0</v>
      </c>
      <c r="AK20" s="226">
        <f t="shared" si="21"/>
        <v>0</v>
      </c>
      <c r="AL20" s="226">
        <f t="shared" si="21"/>
        <v>266</v>
      </c>
      <c r="AM20" s="226">
        <f t="shared" si="21"/>
        <v>151</v>
      </c>
      <c r="AN20" s="226">
        <f t="shared" si="21"/>
        <v>16</v>
      </c>
      <c r="AO20" s="226">
        <f t="shared" si="21"/>
        <v>0</v>
      </c>
      <c r="AP20" s="226">
        <f t="shared" si="21"/>
        <v>0</v>
      </c>
      <c r="AQ20" s="226"/>
      <c r="AR20" s="226">
        <f t="shared" si="21"/>
        <v>0</v>
      </c>
      <c r="AS20" s="226">
        <f t="shared" si="21"/>
        <v>0</v>
      </c>
      <c r="AT20" s="226">
        <f t="shared" si="21"/>
        <v>135</v>
      </c>
      <c r="AU20" s="226">
        <f t="shared" si="21"/>
        <v>0</v>
      </c>
      <c r="AV20" s="226">
        <f t="shared" si="21"/>
        <v>0</v>
      </c>
      <c r="AW20" s="226">
        <f t="shared" si="21"/>
        <v>0</v>
      </c>
      <c r="AX20" s="226">
        <f t="shared" si="21"/>
        <v>0</v>
      </c>
      <c r="AY20" s="226"/>
      <c r="AZ20" s="226">
        <f t="shared" si="21"/>
        <v>0</v>
      </c>
      <c r="BA20" s="226">
        <f t="shared" si="21"/>
        <v>0</v>
      </c>
      <c r="BB20" s="226">
        <f t="shared" si="21"/>
        <v>0</v>
      </c>
      <c r="BC20" s="226">
        <f t="shared" si="21"/>
        <v>0</v>
      </c>
      <c r="BD20" s="226">
        <f t="shared" si="21"/>
        <v>0</v>
      </c>
      <c r="BE20" s="226">
        <f t="shared" si="21"/>
        <v>0</v>
      </c>
      <c r="BF20" s="226">
        <f t="shared" si="21"/>
        <v>0</v>
      </c>
      <c r="BG20" s="226">
        <f t="shared" si="21"/>
        <v>0</v>
      </c>
      <c r="BH20" s="226">
        <f t="shared" si="21"/>
        <v>0</v>
      </c>
      <c r="BI20" s="226">
        <f t="shared" si="21"/>
        <v>0</v>
      </c>
      <c r="BJ20" s="226">
        <f t="shared" si="21"/>
        <v>0</v>
      </c>
      <c r="BK20" s="344">
        <f>'Учебный план'!CL38</f>
        <v>0</v>
      </c>
      <c r="BL20" s="344">
        <f>'Учебный план'!CM38</f>
        <v>0</v>
      </c>
    </row>
    <row r="21" spans="1:64" s="111" customFormat="1" ht="25.5" customHeight="1">
      <c r="A21" s="360" t="str">
        <f>'Учебный план'!A39</f>
        <v>ОП.01</v>
      </c>
      <c r="B21" s="360" t="str">
        <f>'Учебный план'!B39</f>
        <v>Инженерная графика</v>
      </c>
      <c r="C21" s="360">
        <f>'Учебный план'!C39</f>
        <v>0</v>
      </c>
      <c r="D21" s="106"/>
      <c r="E21" s="106" t="s">
        <v>27</v>
      </c>
      <c r="F21" s="106"/>
      <c r="G21" s="106"/>
      <c r="H21" s="106"/>
      <c r="I21" s="947"/>
      <c r="J21" s="109">
        <f aca="true" t="shared" si="22" ref="J21:J27">L21-N21</f>
        <v>0</v>
      </c>
      <c r="K21" s="106">
        <f aca="true" t="shared" si="23" ref="K21:K28">M21*$K$1</f>
        <v>0</v>
      </c>
      <c r="L21" s="362">
        <f>'Учебный план'!L39</f>
        <v>93</v>
      </c>
      <c r="M21" s="362">
        <f>'Учебный план'!M39</f>
        <v>62</v>
      </c>
      <c r="N21" s="522">
        <f t="shared" si="4"/>
        <v>93</v>
      </c>
      <c r="O21" s="108">
        <f t="shared" si="5"/>
        <v>18</v>
      </c>
      <c r="P21" s="108">
        <f aca="true" t="shared" si="24" ref="P21:R28">AF21+AN21+AV21+BE21+X21</f>
        <v>0</v>
      </c>
      <c r="Q21" s="108">
        <f t="shared" si="24"/>
        <v>18</v>
      </c>
      <c r="R21" s="108">
        <f t="shared" si="24"/>
        <v>0</v>
      </c>
      <c r="S21" s="108"/>
      <c r="T21" s="108">
        <f t="shared" si="7"/>
        <v>0</v>
      </c>
      <c r="U21" s="108">
        <f t="shared" si="8"/>
        <v>0</v>
      </c>
      <c r="V21" s="108">
        <f aca="true" t="shared" si="25" ref="V21:V28">AL21+AT21+BB21+BJ21+AD21</f>
        <v>75</v>
      </c>
      <c r="W21" s="174">
        <f aca="true" t="shared" si="26" ref="W21:W28">SUM(X21:AD21)</f>
        <v>93</v>
      </c>
      <c r="X21" s="109"/>
      <c r="Y21" s="109">
        <v>18</v>
      </c>
      <c r="Z21" s="109"/>
      <c r="AA21" s="109"/>
      <c r="AB21" s="109"/>
      <c r="AC21" s="109"/>
      <c r="AD21" s="126">
        <v>75</v>
      </c>
      <c r="AE21" s="174">
        <f aca="true" t="shared" si="27" ref="AE21:AE28">SUM(AF21:AL21)</f>
        <v>0</v>
      </c>
      <c r="AF21" s="109"/>
      <c r="AG21" s="109"/>
      <c r="AH21" s="109"/>
      <c r="AI21" s="109"/>
      <c r="AJ21" s="109"/>
      <c r="AK21" s="109"/>
      <c r="AL21" s="109"/>
      <c r="AM21" s="174">
        <f aca="true" t="shared" si="28" ref="AM21:AM28">SUM(AN21:AT21)</f>
        <v>0</v>
      </c>
      <c r="AN21" s="109"/>
      <c r="AO21" s="109"/>
      <c r="AP21" s="109"/>
      <c r="AQ21" s="109"/>
      <c r="AR21" s="109"/>
      <c r="AS21" s="109"/>
      <c r="AT21" s="109"/>
      <c r="AU21" s="174">
        <f aca="true" t="shared" si="29" ref="AU21:AU28">SUM(AV21:BB21)</f>
        <v>0</v>
      </c>
      <c r="AV21" s="109"/>
      <c r="AW21" s="109"/>
      <c r="AX21" s="109"/>
      <c r="AY21" s="109"/>
      <c r="AZ21" s="109"/>
      <c r="BA21" s="109"/>
      <c r="BB21" s="109"/>
      <c r="BC21" s="174">
        <f t="shared" si="9"/>
        <v>0</v>
      </c>
      <c r="BD21" s="109"/>
      <c r="BE21" s="109"/>
      <c r="BF21" s="109"/>
      <c r="BG21" s="109"/>
      <c r="BH21" s="109"/>
      <c r="BI21" s="109"/>
      <c r="BJ21" s="109"/>
      <c r="BK21" s="343" t="str">
        <f>'Учебный план'!CL39</f>
        <v>64-6</v>
      </c>
      <c r="BL21" s="343" t="str">
        <f>'Учебный план'!CM39</f>
        <v>ОК 1-10; ПК 1.1, 1.3-1.5, 2.1-2.3, 3.1-3.3</v>
      </c>
    </row>
    <row r="22" spans="1:64" s="111" customFormat="1" ht="25.5" customHeight="1">
      <c r="A22" s="360" t="str">
        <f>'Учебный план'!A40</f>
        <v>ОП.02</v>
      </c>
      <c r="B22" s="360" t="str">
        <f>'Учебный план'!B40</f>
        <v>Механика</v>
      </c>
      <c r="C22" s="360">
        <f>'Учебный план'!C40</f>
        <v>0</v>
      </c>
      <c r="D22" s="106" t="s">
        <v>30</v>
      </c>
      <c r="E22" s="106"/>
      <c r="F22" s="106"/>
      <c r="G22" s="106"/>
      <c r="H22" s="106"/>
      <c r="I22" s="947" t="s">
        <v>27</v>
      </c>
      <c r="J22" s="109">
        <f t="shared" si="22"/>
        <v>0</v>
      </c>
      <c r="K22" s="106">
        <f t="shared" si="23"/>
        <v>0</v>
      </c>
      <c r="L22" s="362">
        <f>'Учебный план'!L40</f>
        <v>205</v>
      </c>
      <c r="M22" s="362">
        <f>'Учебный план'!M40</f>
        <v>154</v>
      </c>
      <c r="N22" s="522">
        <f t="shared" si="4"/>
        <v>205</v>
      </c>
      <c r="O22" s="108">
        <f t="shared" si="5"/>
        <v>46</v>
      </c>
      <c r="P22" s="108">
        <f t="shared" si="24"/>
        <v>46</v>
      </c>
      <c r="Q22" s="108">
        <f t="shared" si="24"/>
        <v>0</v>
      </c>
      <c r="R22" s="108">
        <f t="shared" si="24"/>
        <v>0</v>
      </c>
      <c r="S22" s="108"/>
      <c r="T22" s="108">
        <f t="shared" si="7"/>
        <v>0</v>
      </c>
      <c r="U22" s="108">
        <f t="shared" si="8"/>
        <v>0</v>
      </c>
      <c r="V22" s="108">
        <f t="shared" si="25"/>
        <v>159</v>
      </c>
      <c r="W22" s="174">
        <f t="shared" si="26"/>
        <v>101</v>
      </c>
      <c r="X22" s="109">
        <v>22</v>
      </c>
      <c r="Y22" s="109"/>
      <c r="Z22" s="109"/>
      <c r="AA22" s="109"/>
      <c r="AB22" s="109"/>
      <c r="AC22" s="109"/>
      <c r="AD22" s="126">
        <v>79</v>
      </c>
      <c r="AE22" s="174">
        <f t="shared" si="27"/>
        <v>104</v>
      </c>
      <c r="AF22" s="109">
        <v>24</v>
      </c>
      <c r="AG22" s="109"/>
      <c r="AH22" s="109"/>
      <c r="AI22" s="109"/>
      <c r="AJ22" s="109"/>
      <c r="AK22" s="109"/>
      <c r="AL22" s="126">
        <v>80</v>
      </c>
      <c r="AM22" s="174">
        <f t="shared" si="28"/>
        <v>0</v>
      </c>
      <c r="AN22" s="109"/>
      <c r="AO22" s="109"/>
      <c r="AP22" s="109"/>
      <c r="AQ22" s="109"/>
      <c r="AR22" s="109"/>
      <c r="AS22" s="109"/>
      <c r="AT22" s="109"/>
      <c r="AU22" s="174">
        <f t="shared" si="29"/>
        <v>0</v>
      </c>
      <c r="AV22" s="109"/>
      <c r="AW22" s="109"/>
      <c r="AX22" s="109"/>
      <c r="AY22" s="109"/>
      <c r="AZ22" s="109"/>
      <c r="BA22" s="109"/>
      <c r="BB22" s="109"/>
      <c r="BC22" s="174">
        <f t="shared" si="9"/>
        <v>0</v>
      </c>
      <c r="BD22" s="109"/>
      <c r="BE22" s="109"/>
      <c r="BF22" s="109"/>
      <c r="BG22" s="109"/>
      <c r="BH22" s="109"/>
      <c r="BI22" s="109"/>
      <c r="BJ22" s="109"/>
      <c r="BK22" s="343" t="str">
        <f>'Учебный план'!CL40</f>
        <v>64-6</v>
      </c>
      <c r="BL22" s="343" t="str">
        <f>'Учебный план'!CM40</f>
        <v>ОК 1-10; ПК 1.1-1.5, 2.1-2.3,  3.1-3.3</v>
      </c>
    </row>
    <row r="23" spans="1:64" s="111" customFormat="1" ht="25.5" customHeight="1">
      <c r="A23" s="360" t="str">
        <f>'Учебный план'!A41</f>
        <v>ОП.03</v>
      </c>
      <c r="B23" s="366" t="str">
        <f>'Учебный план'!B41</f>
        <v>Электроника и электротехника</v>
      </c>
      <c r="C23" s="360" t="str">
        <f>'Учебный план'!C41</f>
        <v>Электроника</v>
      </c>
      <c r="D23" s="106"/>
      <c r="E23" s="106" t="s">
        <v>29</v>
      </c>
      <c r="F23" s="106"/>
      <c r="G23" s="106"/>
      <c r="H23" s="106"/>
      <c r="I23" s="947" t="s">
        <v>30</v>
      </c>
      <c r="J23" s="109">
        <f t="shared" si="22"/>
        <v>0</v>
      </c>
      <c r="K23" s="106">
        <f t="shared" si="23"/>
        <v>0</v>
      </c>
      <c r="L23" s="362">
        <f>'Учебный план'!L41</f>
        <v>126</v>
      </c>
      <c r="M23" s="362">
        <f>'Учебный план'!M41</f>
        <v>87</v>
      </c>
      <c r="N23" s="522">
        <f t="shared" si="4"/>
        <v>126</v>
      </c>
      <c r="O23" s="108">
        <f t="shared" si="5"/>
        <v>20</v>
      </c>
      <c r="P23" s="108">
        <f t="shared" si="24"/>
        <v>16</v>
      </c>
      <c r="Q23" s="108">
        <f t="shared" si="24"/>
        <v>4</v>
      </c>
      <c r="R23" s="108">
        <f t="shared" si="24"/>
        <v>0</v>
      </c>
      <c r="S23" s="108"/>
      <c r="T23" s="108">
        <f t="shared" si="7"/>
        <v>0</v>
      </c>
      <c r="U23" s="108">
        <f t="shared" si="8"/>
        <v>0</v>
      </c>
      <c r="V23" s="108">
        <f t="shared" si="25"/>
        <v>106</v>
      </c>
      <c r="W23" s="174">
        <f t="shared" si="26"/>
        <v>0</v>
      </c>
      <c r="X23" s="109"/>
      <c r="Y23" s="109"/>
      <c r="Z23" s="109"/>
      <c r="AA23" s="109"/>
      <c r="AB23" s="109"/>
      <c r="AC23" s="109"/>
      <c r="AD23" s="126"/>
      <c r="AE23" s="174">
        <f t="shared" si="27"/>
        <v>63</v>
      </c>
      <c r="AF23" s="109">
        <v>8</v>
      </c>
      <c r="AG23" s="109">
        <v>4</v>
      </c>
      <c r="AH23" s="109"/>
      <c r="AI23" s="109"/>
      <c r="AJ23" s="109"/>
      <c r="AK23" s="109"/>
      <c r="AL23" s="126">
        <v>51</v>
      </c>
      <c r="AM23" s="174">
        <f t="shared" si="28"/>
        <v>63</v>
      </c>
      <c r="AN23" s="109">
        <v>8</v>
      </c>
      <c r="AO23" s="109"/>
      <c r="AP23" s="109"/>
      <c r="AQ23" s="109"/>
      <c r="AR23" s="109"/>
      <c r="AS23" s="109"/>
      <c r="AT23" s="109">
        <v>55</v>
      </c>
      <c r="AU23" s="174">
        <f t="shared" si="29"/>
        <v>0</v>
      </c>
      <c r="AV23" s="109"/>
      <c r="AW23" s="109"/>
      <c r="AX23" s="109"/>
      <c r="AY23" s="109"/>
      <c r="AZ23" s="109"/>
      <c r="BA23" s="109"/>
      <c r="BB23" s="109"/>
      <c r="BC23" s="174">
        <f t="shared" si="9"/>
        <v>0</v>
      </c>
      <c r="BD23" s="109"/>
      <c r="BE23" s="109"/>
      <c r="BF23" s="109"/>
      <c r="BG23" s="109"/>
      <c r="BH23" s="109"/>
      <c r="BI23" s="109"/>
      <c r="BJ23" s="109"/>
      <c r="BK23" s="343" t="str">
        <f>'Учебный план'!CL41</f>
        <v>64-5</v>
      </c>
      <c r="BL23" s="343" t="str">
        <f>'Учебный план'!CM41</f>
        <v>ОК 1-10; ПК 1.1-1.5, 2.1-2.3, 3.1-3.3</v>
      </c>
    </row>
    <row r="24" spans="1:64" s="111" customFormat="1" ht="25.5" customHeight="1">
      <c r="A24" s="360" t="str">
        <f>'Учебный план'!A42</f>
        <v>ОП.04</v>
      </c>
      <c r="B24" s="366" t="str">
        <f>'Учебный план'!B42</f>
        <v>Материаловедение</v>
      </c>
      <c r="C24" s="360">
        <f>'Учебный план'!C42</f>
        <v>0</v>
      </c>
      <c r="D24" s="106"/>
      <c r="E24" s="106" t="s">
        <v>27</v>
      </c>
      <c r="F24" s="106"/>
      <c r="G24" s="106"/>
      <c r="H24" s="106"/>
      <c r="I24" s="947"/>
      <c r="J24" s="109">
        <f t="shared" si="22"/>
        <v>0</v>
      </c>
      <c r="K24" s="106">
        <f t="shared" si="23"/>
        <v>0</v>
      </c>
      <c r="L24" s="362">
        <f>'Учебный план'!L42</f>
        <v>115</v>
      </c>
      <c r="M24" s="362">
        <f>'Учебный план'!M42</f>
        <v>77</v>
      </c>
      <c r="N24" s="522">
        <f t="shared" si="4"/>
        <v>115</v>
      </c>
      <c r="O24" s="108">
        <f t="shared" si="5"/>
        <v>22</v>
      </c>
      <c r="P24" s="108">
        <f t="shared" si="24"/>
        <v>22</v>
      </c>
      <c r="Q24" s="108">
        <f t="shared" si="24"/>
        <v>0</v>
      </c>
      <c r="R24" s="108">
        <f t="shared" si="24"/>
        <v>0</v>
      </c>
      <c r="S24" s="108"/>
      <c r="T24" s="108">
        <f t="shared" si="7"/>
        <v>0</v>
      </c>
      <c r="U24" s="108">
        <f t="shared" si="8"/>
        <v>0</v>
      </c>
      <c r="V24" s="108">
        <f t="shared" si="25"/>
        <v>93</v>
      </c>
      <c r="W24" s="174">
        <f t="shared" si="26"/>
        <v>115</v>
      </c>
      <c r="X24" s="109">
        <v>22</v>
      </c>
      <c r="Y24" s="109"/>
      <c r="Z24" s="109"/>
      <c r="AA24" s="109"/>
      <c r="AB24" s="109"/>
      <c r="AC24" s="109"/>
      <c r="AD24" s="126">
        <v>93</v>
      </c>
      <c r="AE24" s="174">
        <f t="shared" si="27"/>
        <v>0</v>
      </c>
      <c r="AF24" s="109"/>
      <c r="AG24" s="109"/>
      <c r="AH24" s="109"/>
      <c r="AI24" s="109"/>
      <c r="AJ24" s="109"/>
      <c r="AK24" s="109"/>
      <c r="AL24" s="126"/>
      <c r="AM24" s="174">
        <f t="shared" si="28"/>
        <v>0</v>
      </c>
      <c r="AN24" s="109"/>
      <c r="AO24" s="109"/>
      <c r="AP24" s="109"/>
      <c r="AQ24" s="109"/>
      <c r="AR24" s="109"/>
      <c r="AS24" s="109"/>
      <c r="AT24" s="109"/>
      <c r="AU24" s="174">
        <f t="shared" si="29"/>
        <v>0</v>
      </c>
      <c r="AV24" s="109"/>
      <c r="AW24" s="109"/>
      <c r="AX24" s="109"/>
      <c r="AY24" s="109"/>
      <c r="AZ24" s="109"/>
      <c r="BA24" s="109"/>
      <c r="BB24" s="109"/>
      <c r="BC24" s="174">
        <f t="shared" si="9"/>
        <v>0</v>
      </c>
      <c r="BD24" s="109"/>
      <c r="BE24" s="109"/>
      <c r="BF24" s="109"/>
      <c r="BG24" s="109"/>
      <c r="BH24" s="109"/>
      <c r="BI24" s="109"/>
      <c r="BJ24" s="109"/>
      <c r="BK24" s="343" t="str">
        <f>'Учебный план'!CL42</f>
        <v>64-6</v>
      </c>
      <c r="BL24" s="343" t="str">
        <f>'Учебный план'!CM42</f>
        <v>ОК 1-10; ПК 1.1-1.5, 2.1-2.3, 3.1-3.3</v>
      </c>
    </row>
    <row r="25" spans="1:64" s="111" customFormat="1" ht="25.5" customHeight="1">
      <c r="A25" s="360" t="str">
        <f>'Учебный план'!A43</f>
        <v>ОП.05</v>
      </c>
      <c r="B25" s="366" t="str">
        <f>'Учебный план'!B43</f>
        <v>Метрология и стандартизация</v>
      </c>
      <c r="C25" s="360" t="str">
        <f>'Учебный план'!C43</f>
        <v>Метрология</v>
      </c>
      <c r="D25" s="106"/>
      <c r="E25" s="106" t="s">
        <v>30</v>
      </c>
      <c r="F25" s="106"/>
      <c r="G25" s="106"/>
      <c r="H25" s="106"/>
      <c r="I25" s="106" t="s">
        <v>27</v>
      </c>
      <c r="J25" s="109">
        <f t="shared" si="22"/>
        <v>0</v>
      </c>
      <c r="K25" s="106">
        <f t="shared" si="23"/>
        <v>0</v>
      </c>
      <c r="L25" s="362">
        <f>'Учебный план'!L43</f>
        <v>93</v>
      </c>
      <c r="M25" s="362">
        <f>'Учебный план'!M43</f>
        <v>62</v>
      </c>
      <c r="N25" s="522">
        <f t="shared" si="4"/>
        <v>93</v>
      </c>
      <c r="O25" s="108">
        <f t="shared" si="5"/>
        <v>18</v>
      </c>
      <c r="P25" s="108">
        <f t="shared" si="24"/>
        <v>18</v>
      </c>
      <c r="Q25" s="108">
        <f t="shared" si="24"/>
        <v>0</v>
      </c>
      <c r="R25" s="108">
        <f t="shared" si="24"/>
        <v>0</v>
      </c>
      <c r="S25" s="108"/>
      <c r="T25" s="108">
        <f t="shared" si="7"/>
        <v>0</v>
      </c>
      <c r="U25" s="108">
        <f t="shared" si="8"/>
        <v>0</v>
      </c>
      <c r="V25" s="108">
        <f t="shared" si="25"/>
        <v>75</v>
      </c>
      <c r="W25" s="174">
        <f t="shared" si="26"/>
        <v>49</v>
      </c>
      <c r="X25" s="109">
        <v>6</v>
      </c>
      <c r="Y25" s="109"/>
      <c r="Z25" s="109"/>
      <c r="AA25" s="109"/>
      <c r="AB25" s="109"/>
      <c r="AC25" s="109"/>
      <c r="AD25" s="126">
        <v>43</v>
      </c>
      <c r="AE25" s="174">
        <f t="shared" si="27"/>
        <v>44</v>
      </c>
      <c r="AF25" s="109">
        <v>12</v>
      </c>
      <c r="AG25" s="109"/>
      <c r="AH25" s="109"/>
      <c r="AI25" s="109"/>
      <c r="AJ25" s="109"/>
      <c r="AK25" s="109"/>
      <c r="AL25" s="126">
        <v>32</v>
      </c>
      <c r="AM25" s="174">
        <f t="shared" si="28"/>
        <v>0</v>
      </c>
      <c r="AN25" s="109"/>
      <c r="AO25" s="109"/>
      <c r="AP25" s="109"/>
      <c r="AQ25" s="109"/>
      <c r="AR25" s="109"/>
      <c r="AS25" s="109"/>
      <c r="AT25" s="109"/>
      <c r="AU25" s="174">
        <f t="shared" si="29"/>
        <v>0</v>
      </c>
      <c r="AV25" s="109"/>
      <c r="AW25" s="109"/>
      <c r="AX25" s="109"/>
      <c r="AY25" s="109"/>
      <c r="AZ25" s="109"/>
      <c r="BA25" s="109"/>
      <c r="BB25" s="109"/>
      <c r="BC25" s="174">
        <f t="shared" si="9"/>
        <v>0</v>
      </c>
      <c r="BD25" s="109"/>
      <c r="BE25" s="109"/>
      <c r="BF25" s="109"/>
      <c r="BG25" s="109"/>
      <c r="BH25" s="109"/>
      <c r="BI25" s="109"/>
      <c r="BJ25" s="109"/>
      <c r="BK25" s="343" t="str">
        <f>'Учебный план'!CL43</f>
        <v>64-6</v>
      </c>
      <c r="BL25" s="343" t="str">
        <f>'Учебный план'!CM43</f>
        <v>ОК 1-10; ПК 1.1-1.5, 2.1-2.3, 3.1-3.3</v>
      </c>
    </row>
    <row r="26" spans="1:64" s="111" customFormat="1" ht="25.5" customHeight="1">
      <c r="A26" s="360" t="str">
        <f>'Учебный план'!A44</f>
        <v>ОП.06</v>
      </c>
      <c r="B26" s="366" t="str">
        <f>'Учебный план'!B44</f>
        <v>Теория и устройство судна</v>
      </c>
      <c r="C26" s="360" t="str">
        <f>'Учебный план'!C44</f>
        <v>ТУС</v>
      </c>
      <c r="D26" s="106" t="s">
        <v>30</v>
      </c>
      <c r="E26" s="106"/>
      <c r="F26" s="106"/>
      <c r="G26" s="106"/>
      <c r="H26" s="106"/>
      <c r="I26" s="106" t="s">
        <v>27</v>
      </c>
      <c r="J26" s="109">
        <f t="shared" si="22"/>
        <v>0</v>
      </c>
      <c r="K26" s="106">
        <f t="shared" si="23"/>
        <v>0</v>
      </c>
      <c r="L26" s="362">
        <f>'Учебный план'!L44</f>
        <v>138</v>
      </c>
      <c r="M26" s="362">
        <f>'Учебный план'!M44</f>
        <v>92</v>
      </c>
      <c r="N26" s="522">
        <f t="shared" si="4"/>
        <v>138</v>
      </c>
      <c r="O26" s="108">
        <f t="shared" si="5"/>
        <v>24</v>
      </c>
      <c r="P26" s="108">
        <f t="shared" si="24"/>
        <v>24</v>
      </c>
      <c r="Q26" s="108">
        <f t="shared" si="24"/>
        <v>0</v>
      </c>
      <c r="R26" s="108">
        <f t="shared" si="24"/>
        <v>0</v>
      </c>
      <c r="S26" s="108"/>
      <c r="T26" s="108">
        <f t="shared" si="7"/>
        <v>0</v>
      </c>
      <c r="U26" s="108">
        <f t="shared" si="8"/>
        <v>0</v>
      </c>
      <c r="V26" s="108">
        <f t="shared" si="25"/>
        <v>114</v>
      </c>
      <c r="W26" s="174">
        <f t="shared" si="26"/>
        <v>69</v>
      </c>
      <c r="X26" s="109">
        <v>12</v>
      </c>
      <c r="Y26" s="109"/>
      <c r="Z26" s="109"/>
      <c r="AA26" s="109"/>
      <c r="AB26" s="109"/>
      <c r="AC26" s="109"/>
      <c r="AD26" s="126">
        <v>57</v>
      </c>
      <c r="AE26" s="174">
        <f t="shared" si="27"/>
        <v>69</v>
      </c>
      <c r="AF26" s="109">
        <v>12</v>
      </c>
      <c r="AG26" s="109"/>
      <c r="AH26" s="109"/>
      <c r="AI26" s="109"/>
      <c r="AJ26" s="109"/>
      <c r="AK26" s="109"/>
      <c r="AL26" s="126">
        <v>57</v>
      </c>
      <c r="AM26" s="174">
        <f t="shared" si="28"/>
        <v>0</v>
      </c>
      <c r="AN26" s="109"/>
      <c r="AO26" s="109"/>
      <c r="AP26" s="109"/>
      <c r="AQ26" s="109"/>
      <c r="AR26" s="109"/>
      <c r="AS26" s="109"/>
      <c r="AT26" s="109"/>
      <c r="AU26" s="174">
        <f t="shared" si="29"/>
        <v>0</v>
      </c>
      <c r="AV26" s="109"/>
      <c r="AW26" s="109"/>
      <c r="AX26" s="109"/>
      <c r="AY26" s="109"/>
      <c r="AZ26" s="109"/>
      <c r="BA26" s="109"/>
      <c r="BB26" s="109"/>
      <c r="BC26" s="174">
        <f t="shared" si="9"/>
        <v>0</v>
      </c>
      <c r="BD26" s="109"/>
      <c r="BE26" s="109"/>
      <c r="BF26" s="109"/>
      <c r="BG26" s="109"/>
      <c r="BH26" s="109"/>
      <c r="BI26" s="109"/>
      <c r="BJ26" s="109"/>
      <c r="BK26" s="343" t="str">
        <f>'Учебный план'!CL44</f>
        <v>64-3</v>
      </c>
      <c r="BL26" s="343" t="str">
        <f>'Учебный план'!CM44</f>
        <v>ОК 1-10; ПК 1.1-1.5, 2.1-2.3, 3.1-3.3</v>
      </c>
    </row>
    <row r="27" spans="1:64" s="111" customFormat="1" ht="25.5" customHeight="1">
      <c r="A27" s="360" t="str">
        <f>'Учебный план'!A45</f>
        <v>ОП.07</v>
      </c>
      <c r="B27" s="360" t="str">
        <f>'Учебный план'!B45</f>
        <v>Техническая термодинамика и теплопередача</v>
      </c>
      <c r="C27" s="360">
        <f>'Учебный план'!C45</f>
        <v>0</v>
      </c>
      <c r="D27" s="106" t="s">
        <v>30</v>
      </c>
      <c r="E27" s="106"/>
      <c r="F27" s="106"/>
      <c r="G27" s="106"/>
      <c r="H27" s="106"/>
      <c r="I27" s="947" t="s">
        <v>27</v>
      </c>
      <c r="J27" s="109">
        <f t="shared" si="22"/>
        <v>0</v>
      </c>
      <c r="K27" s="106">
        <f t="shared" si="23"/>
        <v>0</v>
      </c>
      <c r="L27" s="362">
        <f>'Учебный план'!L45</f>
        <v>116</v>
      </c>
      <c r="M27" s="362">
        <f>'Учебный план'!M45</f>
        <v>77</v>
      </c>
      <c r="N27" s="522">
        <f t="shared" si="4"/>
        <v>116</v>
      </c>
      <c r="O27" s="108">
        <f t="shared" si="5"/>
        <v>22</v>
      </c>
      <c r="P27" s="108">
        <f t="shared" si="24"/>
        <v>22</v>
      </c>
      <c r="Q27" s="108">
        <f t="shared" si="24"/>
        <v>0</v>
      </c>
      <c r="R27" s="108">
        <f t="shared" si="24"/>
        <v>0</v>
      </c>
      <c r="S27" s="108"/>
      <c r="T27" s="108">
        <f t="shared" si="7"/>
        <v>0</v>
      </c>
      <c r="U27" s="108">
        <f t="shared" si="8"/>
        <v>0</v>
      </c>
      <c r="V27" s="108">
        <f t="shared" si="25"/>
        <v>94</v>
      </c>
      <c r="W27" s="174">
        <f t="shared" si="26"/>
        <v>58</v>
      </c>
      <c r="X27" s="109">
        <v>10</v>
      </c>
      <c r="Y27" s="109"/>
      <c r="Z27" s="109"/>
      <c r="AA27" s="109"/>
      <c r="AB27" s="109"/>
      <c r="AC27" s="109"/>
      <c r="AD27" s="109">
        <v>48</v>
      </c>
      <c r="AE27" s="174">
        <f t="shared" si="27"/>
        <v>58</v>
      </c>
      <c r="AF27" s="109">
        <v>12</v>
      </c>
      <c r="AG27" s="109"/>
      <c r="AH27" s="109"/>
      <c r="AI27" s="109"/>
      <c r="AJ27" s="109"/>
      <c r="AK27" s="109"/>
      <c r="AL27" s="109">
        <v>46</v>
      </c>
      <c r="AM27" s="174">
        <f t="shared" si="28"/>
        <v>0</v>
      </c>
      <c r="AN27" s="109"/>
      <c r="AO27" s="109"/>
      <c r="AP27" s="109"/>
      <c r="AQ27" s="109"/>
      <c r="AR27" s="109"/>
      <c r="AS27" s="109"/>
      <c r="AT27" s="109"/>
      <c r="AU27" s="174">
        <f t="shared" si="29"/>
        <v>0</v>
      </c>
      <c r="AV27" s="109"/>
      <c r="AW27" s="109"/>
      <c r="AX27" s="109"/>
      <c r="AY27" s="109"/>
      <c r="AZ27" s="109"/>
      <c r="BA27" s="109"/>
      <c r="BB27" s="109"/>
      <c r="BC27" s="174">
        <f t="shared" si="9"/>
        <v>0</v>
      </c>
      <c r="BD27" s="109"/>
      <c r="BE27" s="109"/>
      <c r="BF27" s="109"/>
      <c r="BG27" s="109"/>
      <c r="BH27" s="109"/>
      <c r="BI27" s="109"/>
      <c r="BJ27" s="109"/>
      <c r="BK27" s="343" t="str">
        <f>'Учебный план'!CL45</f>
        <v>64-4</v>
      </c>
      <c r="BL27" s="343" t="str">
        <f>'Учебный план'!CM45</f>
        <v>ОК 1-10; ПК 1.1-1.5, 3.1-3.3</v>
      </c>
    </row>
    <row r="28" spans="1:64" s="111" customFormat="1" ht="25.5" customHeight="1">
      <c r="A28" s="360" t="str">
        <f>'Учебный план'!A46</f>
        <v>ОП.08</v>
      </c>
      <c r="B28" s="360" t="str">
        <f>'Учебный план'!B46</f>
        <v>Безопасность жизнедеятельности</v>
      </c>
      <c r="C28" s="360">
        <f>'Учебный план'!C46</f>
        <v>0</v>
      </c>
      <c r="D28" s="106"/>
      <c r="E28" s="106" t="s">
        <v>29</v>
      </c>
      <c r="F28" s="106"/>
      <c r="G28" s="106"/>
      <c r="H28" s="106"/>
      <c r="I28" s="106"/>
      <c r="J28" s="109">
        <f>L28-N28</f>
        <v>0</v>
      </c>
      <c r="K28" s="106">
        <f t="shared" si="23"/>
        <v>0</v>
      </c>
      <c r="L28" s="362">
        <f>'Учебный план'!L46</f>
        <v>88</v>
      </c>
      <c r="M28" s="362">
        <f>'Учебный план'!M46</f>
        <v>68</v>
      </c>
      <c r="N28" s="522">
        <f t="shared" si="4"/>
        <v>88</v>
      </c>
      <c r="O28" s="108">
        <f t="shared" si="5"/>
        <v>8</v>
      </c>
      <c r="P28" s="108">
        <f t="shared" si="24"/>
        <v>8</v>
      </c>
      <c r="Q28" s="108">
        <f t="shared" si="24"/>
        <v>0</v>
      </c>
      <c r="R28" s="108">
        <f t="shared" si="24"/>
        <v>0</v>
      </c>
      <c r="S28" s="108"/>
      <c r="T28" s="108">
        <f t="shared" si="7"/>
        <v>0</v>
      </c>
      <c r="U28" s="108">
        <f t="shared" si="8"/>
        <v>0</v>
      </c>
      <c r="V28" s="108">
        <f t="shared" si="25"/>
        <v>80</v>
      </c>
      <c r="W28" s="174">
        <f t="shared" si="26"/>
        <v>0</v>
      </c>
      <c r="X28" s="109"/>
      <c r="Y28" s="109"/>
      <c r="Z28" s="109"/>
      <c r="AA28" s="109"/>
      <c r="AB28" s="109"/>
      <c r="AC28" s="109"/>
      <c r="AD28" s="109"/>
      <c r="AE28" s="174">
        <f t="shared" si="27"/>
        <v>0</v>
      </c>
      <c r="AF28" s="109"/>
      <c r="AG28" s="109"/>
      <c r="AH28" s="109"/>
      <c r="AI28" s="109"/>
      <c r="AJ28" s="109"/>
      <c r="AK28" s="109"/>
      <c r="AL28" s="109"/>
      <c r="AM28" s="174">
        <f t="shared" si="28"/>
        <v>88</v>
      </c>
      <c r="AN28" s="109">
        <v>8</v>
      </c>
      <c r="AO28" s="109"/>
      <c r="AP28" s="109"/>
      <c r="AQ28" s="109"/>
      <c r="AR28" s="109"/>
      <c r="AS28" s="109"/>
      <c r="AT28" s="126">
        <v>80</v>
      </c>
      <c r="AU28" s="174">
        <f t="shared" si="29"/>
        <v>0</v>
      </c>
      <c r="AV28" s="109"/>
      <c r="AW28" s="109"/>
      <c r="AX28" s="109"/>
      <c r="AY28" s="109"/>
      <c r="AZ28" s="109"/>
      <c r="BA28" s="109"/>
      <c r="BB28" s="109"/>
      <c r="BC28" s="174">
        <f t="shared" si="9"/>
        <v>0</v>
      </c>
      <c r="BD28" s="109"/>
      <c r="BE28" s="109"/>
      <c r="BF28" s="109"/>
      <c r="BG28" s="109"/>
      <c r="BH28" s="109"/>
      <c r="BI28" s="109"/>
      <c r="BJ28" s="109"/>
      <c r="BK28" s="343" t="str">
        <f>'Учебный план'!CL46</f>
        <v>64-6</v>
      </c>
      <c r="BL28" s="343" t="str">
        <f>'Учебный план'!CM46</f>
        <v>ОК 1-10; ПК 1.1-1.5, 2.1-2.7, 3.1-3.3</v>
      </c>
    </row>
    <row r="29" spans="1:64" s="98" customFormat="1" ht="25.5" customHeight="1">
      <c r="A29" s="361" t="str">
        <f>'Учебный план'!A47</f>
        <v>ПМ.00</v>
      </c>
      <c r="B29" s="361" t="str">
        <f>'Учебный план'!B47</f>
        <v>Профессиональные модули</v>
      </c>
      <c r="C29" s="365"/>
      <c r="D29" s="225"/>
      <c r="E29" s="225"/>
      <c r="F29" s="225"/>
      <c r="G29" s="225"/>
      <c r="H29" s="225"/>
      <c r="I29" s="225"/>
      <c r="J29" s="396">
        <f>'Учебный план'!J47</f>
        <v>1392</v>
      </c>
      <c r="K29" s="396">
        <f>'Учебный план'!K47</f>
        <v>928</v>
      </c>
      <c r="L29" s="226">
        <f>'Учебный план'!L47</f>
        <v>2090</v>
      </c>
      <c r="M29" s="226">
        <f>'Учебный план'!M47</f>
        <v>1404</v>
      </c>
      <c r="N29" s="226">
        <f t="shared" si="4"/>
        <v>2090</v>
      </c>
      <c r="O29" s="226">
        <f t="shared" si="5"/>
        <v>318</v>
      </c>
      <c r="P29" s="226">
        <f aca="true" t="shared" si="30" ref="P29:R30">AF29+AN29+AV29+BE29</f>
        <v>207</v>
      </c>
      <c r="Q29" s="226">
        <f t="shared" si="30"/>
        <v>58</v>
      </c>
      <c r="R29" s="226">
        <f t="shared" si="30"/>
        <v>53</v>
      </c>
      <c r="S29" s="226"/>
      <c r="T29" s="226">
        <f t="shared" si="7"/>
        <v>0</v>
      </c>
      <c r="U29" s="226">
        <f t="shared" si="8"/>
        <v>0</v>
      </c>
      <c r="V29" s="226">
        <f>AL29+AT29+BB29+BJ29</f>
        <v>1772</v>
      </c>
      <c r="W29" s="226">
        <f aca="true" t="shared" si="31" ref="W29:BJ29">SUM(W30+W40+W46+W51)</f>
        <v>0</v>
      </c>
      <c r="X29" s="226">
        <f t="shared" si="31"/>
        <v>0</v>
      </c>
      <c r="Y29" s="226">
        <f t="shared" si="31"/>
        <v>0</v>
      </c>
      <c r="Z29" s="226">
        <f t="shared" si="31"/>
        <v>0</v>
      </c>
      <c r="AA29" s="226"/>
      <c r="AB29" s="226">
        <f t="shared" si="31"/>
        <v>0</v>
      </c>
      <c r="AC29" s="226">
        <f t="shared" si="31"/>
        <v>0</v>
      </c>
      <c r="AD29" s="226">
        <f t="shared" si="31"/>
        <v>0</v>
      </c>
      <c r="AE29" s="226">
        <f t="shared" si="31"/>
        <v>545</v>
      </c>
      <c r="AF29" s="226">
        <f t="shared" si="31"/>
        <v>64</v>
      </c>
      <c r="AG29" s="226">
        <f t="shared" si="31"/>
        <v>14</v>
      </c>
      <c r="AH29" s="226">
        <f t="shared" si="31"/>
        <v>0</v>
      </c>
      <c r="AI29" s="226"/>
      <c r="AJ29" s="226">
        <f t="shared" si="31"/>
        <v>0</v>
      </c>
      <c r="AK29" s="226">
        <f t="shared" si="31"/>
        <v>0</v>
      </c>
      <c r="AL29" s="226">
        <f t="shared" si="31"/>
        <v>467</v>
      </c>
      <c r="AM29" s="226">
        <f t="shared" si="31"/>
        <v>646</v>
      </c>
      <c r="AN29" s="226">
        <f t="shared" si="31"/>
        <v>65</v>
      </c>
      <c r="AO29" s="226">
        <f t="shared" si="31"/>
        <v>8</v>
      </c>
      <c r="AP29" s="226">
        <f t="shared" si="31"/>
        <v>29</v>
      </c>
      <c r="AQ29" s="226"/>
      <c r="AR29" s="226">
        <f t="shared" si="31"/>
        <v>0</v>
      </c>
      <c r="AS29" s="226">
        <f t="shared" si="31"/>
        <v>0</v>
      </c>
      <c r="AT29" s="226">
        <f t="shared" si="31"/>
        <v>544</v>
      </c>
      <c r="AU29" s="226">
        <f t="shared" si="31"/>
        <v>899</v>
      </c>
      <c r="AV29" s="226">
        <f t="shared" si="31"/>
        <v>78</v>
      </c>
      <c r="AW29" s="226">
        <f t="shared" si="31"/>
        <v>36</v>
      </c>
      <c r="AX29" s="226">
        <f t="shared" si="31"/>
        <v>24</v>
      </c>
      <c r="AY29" s="226"/>
      <c r="AZ29" s="226">
        <f t="shared" si="31"/>
        <v>0</v>
      </c>
      <c r="BA29" s="226">
        <f t="shared" si="31"/>
        <v>0</v>
      </c>
      <c r="BB29" s="226">
        <f t="shared" si="31"/>
        <v>761</v>
      </c>
      <c r="BC29" s="226">
        <f t="shared" si="31"/>
        <v>0</v>
      </c>
      <c r="BD29" s="226">
        <f t="shared" si="31"/>
        <v>0</v>
      </c>
      <c r="BE29" s="226">
        <f t="shared" si="31"/>
        <v>0</v>
      </c>
      <c r="BF29" s="226">
        <f t="shared" si="31"/>
        <v>0</v>
      </c>
      <c r="BG29" s="226">
        <f t="shared" si="31"/>
        <v>0</v>
      </c>
      <c r="BH29" s="226">
        <f t="shared" si="31"/>
        <v>0</v>
      </c>
      <c r="BI29" s="226">
        <f t="shared" si="31"/>
        <v>0</v>
      </c>
      <c r="BJ29" s="226">
        <f t="shared" si="31"/>
        <v>0</v>
      </c>
      <c r="BK29" s="344">
        <f>'Учебный план'!CL47</f>
        <v>0</v>
      </c>
      <c r="BL29" s="344">
        <f>'Учебный план'!CM47</f>
        <v>0</v>
      </c>
    </row>
    <row r="30" spans="1:64" s="111" customFormat="1" ht="25.5" customHeight="1">
      <c r="A30" s="603" t="str">
        <f>'Учебный план'!A48</f>
        <v>ПМ.01</v>
      </c>
      <c r="B30" s="778" t="str">
        <f>'Учебный план'!B48:I48</f>
        <v>Эксплуатация, техническое обслуживание и ремонт судового энергетического оборудования</v>
      </c>
      <c r="C30" s="778"/>
      <c r="D30" s="778"/>
      <c r="E30" s="778"/>
      <c r="F30" s="778"/>
      <c r="G30" s="778"/>
      <c r="H30" s="778"/>
      <c r="I30" s="553"/>
      <c r="J30" s="553"/>
      <c r="K30" s="553"/>
      <c r="L30" s="549">
        <f>'Учебный план'!L48</f>
        <v>1394</v>
      </c>
      <c r="M30" s="549">
        <f>'Учебный план'!M48</f>
        <v>937</v>
      </c>
      <c r="N30" s="549">
        <f t="shared" si="4"/>
        <v>1394</v>
      </c>
      <c r="O30" s="549">
        <f t="shared" si="5"/>
        <v>220</v>
      </c>
      <c r="P30" s="549">
        <f t="shared" si="30"/>
        <v>139</v>
      </c>
      <c r="Q30" s="549">
        <f t="shared" si="30"/>
        <v>52</v>
      </c>
      <c r="R30" s="549">
        <f t="shared" si="30"/>
        <v>29</v>
      </c>
      <c r="S30" s="549"/>
      <c r="T30" s="549">
        <f t="shared" si="7"/>
        <v>0</v>
      </c>
      <c r="U30" s="549">
        <f t="shared" si="8"/>
        <v>0</v>
      </c>
      <c r="V30" s="549">
        <f>AL30+AT30+BB30+BJ30</f>
        <v>1174</v>
      </c>
      <c r="W30" s="550">
        <f aca="true" t="shared" si="32" ref="W30:AV30">SUM(W32:W38)</f>
        <v>0</v>
      </c>
      <c r="X30" s="550">
        <f t="shared" si="32"/>
        <v>0</v>
      </c>
      <c r="Y30" s="550">
        <f t="shared" si="32"/>
        <v>0</v>
      </c>
      <c r="Z30" s="550">
        <f t="shared" si="32"/>
        <v>0</v>
      </c>
      <c r="AA30" s="550"/>
      <c r="AB30" s="550">
        <f t="shared" si="32"/>
        <v>0</v>
      </c>
      <c r="AC30" s="550">
        <f t="shared" si="32"/>
        <v>0</v>
      </c>
      <c r="AD30" s="550">
        <f t="shared" si="32"/>
        <v>0</v>
      </c>
      <c r="AE30" s="550">
        <f t="shared" si="32"/>
        <v>194</v>
      </c>
      <c r="AF30" s="550">
        <f t="shared" si="32"/>
        <v>34</v>
      </c>
      <c r="AG30" s="550">
        <f t="shared" si="32"/>
        <v>8</v>
      </c>
      <c r="AH30" s="550">
        <f t="shared" si="32"/>
        <v>0</v>
      </c>
      <c r="AI30" s="550"/>
      <c r="AJ30" s="550">
        <f t="shared" si="32"/>
        <v>0</v>
      </c>
      <c r="AK30" s="550">
        <f t="shared" si="32"/>
        <v>0</v>
      </c>
      <c r="AL30" s="550">
        <f t="shared" si="32"/>
        <v>152</v>
      </c>
      <c r="AM30" s="550">
        <f t="shared" si="32"/>
        <v>407</v>
      </c>
      <c r="AN30" s="550">
        <f t="shared" si="32"/>
        <v>41</v>
      </c>
      <c r="AO30" s="550">
        <f t="shared" si="32"/>
        <v>8</v>
      </c>
      <c r="AP30" s="550">
        <f t="shared" si="32"/>
        <v>29</v>
      </c>
      <c r="AQ30" s="550"/>
      <c r="AR30" s="550">
        <f t="shared" si="32"/>
        <v>0</v>
      </c>
      <c r="AS30" s="550">
        <f t="shared" si="32"/>
        <v>0</v>
      </c>
      <c r="AT30" s="550">
        <f t="shared" si="32"/>
        <v>329</v>
      </c>
      <c r="AU30" s="550">
        <f t="shared" si="32"/>
        <v>793</v>
      </c>
      <c r="AV30" s="550">
        <f t="shared" si="32"/>
        <v>64</v>
      </c>
      <c r="AW30" s="550">
        <f>SUM(AW32:AW38)</f>
        <v>36</v>
      </c>
      <c r="AX30" s="550"/>
      <c r="AY30" s="550"/>
      <c r="AZ30" s="550">
        <f aca="true" t="shared" si="33" ref="AZ30:BJ30">SUM(AZ32:AZ38)</f>
        <v>0</v>
      </c>
      <c r="BA30" s="550">
        <f t="shared" si="33"/>
        <v>0</v>
      </c>
      <c r="BB30" s="550">
        <f t="shared" si="33"/>
        <v>693</v>
      </c>
      <c r="BC30" s="550">
        <f t="shared" si="33"/>
        <v>0</v>
      </c>
      <c r="BD30" s="550">
        <f t="shared" si="33"/>
        <v>0</v>
      </c>
      <c r="BE30" s="550">
        <f t="shared" si="33"/>
        <v>0</v>
      </c>
      <c r="BF30" s="550">
        <f t="shared" si="33"/>
        <v>0</v>
      </c>
      <c r="BG30" s="550">
        <f t="shared" si="33"/>
        <v>0</v>
      </c>
      <c r="BH30" s="550">
        <f t="shared" si="33"/>
        <v>0</v>
      </c>
      <c r="BI30" s="550">
        <f t="shared" si="33"/>
        <v>0</v>
      </c>
      <c r="BJ30" s="550">
        <f t="shared" si="33"/>
        <v>0</v>
      </c>
      <c r="BK30" s="551">
        <f>'Учебный план'!CL48</f>
        <v>0</v>
      </c>
      <c r="BL30" s="551">
        <f>'Учебный план'!CM48</f>
        <v>0</v>
      </c>
    </row>
    <row r="31" spans="1:64" s="111" customFormat="1" ht="25.5" customHeight="1">
      <c r="A31" s="601" t="str">
        <f>'Учебный план'!A49</f>
        <v>МДК.01.01</v>
      </c>
      <c r="B31" s="797" t="str">
        <f>'Учебный план'!B49:I49</f>
        <v>Основы эксплуатации, технического обслуживания и ремонта судового энергетического оборудования</v>
      </c>
      <c r="C31" s="797"/>
      <c r="D31" s="797"/>
      <c r="E31" s="797"/>
      <c r="F31" s="797"/>
      <c r="G31" s="797"/>
      <c r="H31" s="797"/>
      <c r="I31" s="554"/>
      <c r="J31" s="554"/>
      <c r="K31" s="554"/>
      <c r="L31" s="555"/>
      <c r="M31" s="555"/>
      <c r="N31" s="555"/>
      <c r="O31" s="555"/>
      <c r="P31" s="555"/>
      <c r="Q31" s="555"/>
      <c r="R31" s="555"/>
      <c r="S31" s="555"/>
      <c r="T31" s="555"/>
      <c r="U31" s="555"/>
      <c r="V31" s="555"/>
      <c r="W31" s="556"/>
      <c r="X31" s="556"/>
      <c r="Y31" s="556"/>
      <c r="Z31" s="556"/>
      <c r="AA31" s="556"/>
      <c r="AB31" s="556"/>
      <c r="AC31" s="556"/>
      <c r="AD31" s="556"/>
      <c r="AE31" s="556"/>
      <c r="AF31" s="556"/>
      <c r="AG31" s="556"/>
      <c r="AH31" s="556"/>
      <c r="AI31" s="556"/>
      <c r="AJ31" s="556"/>
      <c r="AK31" s="556"/>
      <c r="AL31" s="556"/>
      <c r="AM31" s="556"/>
      <c r="AN31" s="556"/>
      <c r="AO31" s="556"/>
      <c r="AP31" s="556"/>
      <c r="AQ31" s="556"/>
      <c r="AR31" s="556"/>
      <c r="AS31" s="556"/>
      <c r="AT31" s="556"/>
      <c r="AU31" s="556"/>
      <c r="AV31" s="556"/>
      <c r="AW31" s="556"/>
      <c r="AX31" s="556"/>
      <c r="AY31" s="556"/>
      <c r="AZ31" s="556"/>
      <c r="BA31" s="556"/>
      <c r="BB31" s="556"/>
      <c r="BC31" s="556"/>
      <c r="BD31" s="556"/>
      <c r="BE31" s="556"/>
      <c r="BF31" s="556"/>
      <c r="BG31" s="556"/>
      <c r="BH31" s="556"/>
      <c r="BI31" s="556"/>
      <c r="BJ31" s="556"/>
      <c r="BK31" s="557"/>
      <c r="BL31" s="557">
        <f>'Учебный план'!CM49</f>
        <v>0</v>
      </c>
    </row>
    <row r="32" spans="1:64" s="582" customFormat="1" ht="40.5" customHeight="1">
      <c r="A32" s="593">
        <f>'Учебный план'!A50</f>
        <v>0</v>
      </c>
      <c r="B32" s="593" t="str">
        <f>'Учебный план'!B50</f>
        <v>Судовые энергетические установки и их эксплуатация (включая тренажер вахтенного механика)</v>
      </c>
      <c r="C32" s="585" t="str">
        <f>'Учебный план'!C50</f>
        <v>СЭУ</v>
      </c>
      <c r="D32" s="586"/>
      <c r="E32" s="586" t="s">
        <v>38</v>
      </c>
      <c r="F32" s="586"/>
      <c r="G32" s="586"/>
      <c r="H32" s="586" t="s">
        <v>29</v>
      </c>
      <c r="I32" s="586" t="s">
        <v>588</v>
      </c>
      <c r="J32" s="527">
        <f aca="true" t="shared" si="34" ref="J32:J37">L32-N32</f>
        <v>0</v>
      </c>
      <c r="K32" s="586">
        <f aca="true" t="shared" si="35" ref="K32:K37">M32*$K$1</f>
        <v>0</v>
      </c>
      <c r="L32" s="587">
        <f>'Учебный план'!L50</f>
        <v>406</v>
      </c>
      <c r="M32" s="587">
        <f>'Учебный план'!M50</f>
        <v>270</v>
      </c>
      <c r="N32" s="588">
        <f aca="true" t="shared" si="36" ref="N32:N38">SUM(O32+U32+V32)</f>
        <v>406</v>
      </c>
      <c r="O32" s="589">
        <f t="shared" si="5"/>
        <v>94</v>
      </c>
      <c r="P32" s="589">
        <f aca="true" t="shared" si="37" ref="P32:R38">AF32+AN32+AV32+BE32+X32</f>
        <v>47</v>
      </c>
      <c r="Q32" s="589">
        <f>AG32+AO32+AW32+BF32+Y32</f>
        <v>18</v>
      </c>
      <c r="R32" s="589">
        <f t="shared" si="37"/>
        <v>29</v>
      </c>
      <c r="S32" s="589"/>
      <c r="T32" s="589">
        <f t="shared" si="7"/>
        <v>0</v>
      </c>
      <c r="U32" s="589">
        <f t="shared" si="8"/>
        <v>0</v>
      </c>
      <c r="V32" s="589">
        <f aca="true" t="shared" si="38" ref="V32:V38">AL32+AT32+BB32+BJ32+AD32</f>
        <v>312</v>
      </c>
      <c r="W32" s="590">
        <f aca="true" t="shared" si="39" ref="W32:W37">SUM(X32:AD32)</f>
        <v>0</v>
      </c>
      <c r="X32" s="527"/>
      <c r="Y32" s="527"/>
      <c r="Z32" s="527"/>
      <c r="AA32" s="527"/>
      <c r="AB32" s="527"/>
      <c r="AC32" s="527"/>
      <c r="AD32" s="527"/>
      <c r="AE32" s="590">
        <f aca="true" t="shared" si="40" ref="AE32:AE37">SUM(AF32:AL32)</f>
        <v>110</v>
      </c>
      <c r="AF32" s="527">
        <v>22</v>
      </c>
      <c r="AG32" s="527">
        <v>6</v>
      </c>
      <c r="AH32" s="527"/>
      <c r="AI32" s="527"/>
      <c r="AJ32" s="527"/>
      <c r="AK32" s="527"/>
      <c r="AL32" s="527">
        <v>82</v>
      </c>
      <c r="AM32" s="590">
        <f aca="true" t="shared" si="41" ref="AM32:AM37">SUM(AN32:AT32)</f>
        <v>163</v>
      </c>
      <c r="AN32" s="527">
        <v>9</v>
      </c>
      <c r="AO32" s="527"/>
      <c r="AP32" s="527">
        <v>29</v>
      </c>
      <c r="AQ32" s="527"/>
      <c r="AR32" s="527"/>
      <c r="AS32" s="527"/>
      <c r="AT32" s="591">
        <v>125</v>
      </c>
      <c r="AU32" s="590">
        <f aca="true" t="shared" si="42" ref="AU32:AU38">SUM(AV32:BB32)</f>
        <v>133</v>
      </c>
      <c r="AV32" s="591">
        <v>16</v>
      </c>
      <c r="AW32" s="591">
        <v>12</v>
      </c>
      <c r="AX32" s="591"/>
      <c r="AY32" s="591"/>
      <c r="AZ32" s="591"/>
      <c r="BA32" s="591"/>
      <c r="BB32" s="591">
        <v>105</v>
      </c>
      <c r="BC32" s="590">
        <f t="shared" si="9"/>
        <v>0</v>
      </c>
      <c r="BD32" s="527"/>
      <c r="BE32" s="527"/>
      <c r="BF32" s="527"/>
      <c r="BG32" s="527"/>
      <c r="BH32" s="527"/>
      <c r="BI32" s="527"/>
      <c r="BJ32" s="527"/>
      <c r="BK32" s="592" t="str">
        <f>'Учебный план'!CL50</f>
        <v>64-4</v>
      </c>
      <c r="BL32" s="592" t="str">
        <f>'Учебный план'!CM50</f>
        <v>ОК 1-10; ПК 1.1-1.5</v>
      </c>
    </row>
    <row r="33" spans="1:64" s="582" customFormat="1" ht="25.5" customHeight="1">
      <c r="A33" s="593">
        <f>'Учебный план'!A51</f>
        <v>0</v>
      </c>
      <c r="B33" s="593" t="str">
        <f>'Учебный план'!B51</f>
        <v>Судовые вспомогательные механизмы и их эксплуатация</v>
      </c>
      <c r="C33" s="585" t="str">
        <f>'Учебный план'!C51</f>
        <v>СВМ</v>
      </c>
      <c r="D33" s="586" t="s">
        <v>29</v>
      </c>
      <c r="E33" s="586" t="s">
        <v>38</v>
      </c>
      <c r="F33" s="586"/>
      <c r="G33" s="586"/>
      <c r="H33" s="586"/>
      <c r="I33" s="586" t="s">
        <v>30</v>
      </c>
      <c r="J33" s="527">
        <f t="shared" si="34"/>
        <v>0</v>
      </c>
      <c r="K33" s="586">
        <f t="shared" si="35"/>
        <v>0</v>
      </c>
      <c r="L33" s="587">
        <f>'Учебный план'!L51</f>
        <v>324</v>
      </c>
      <c r="M33" s="587">
        <f>'Учебный план'!M51</f>
        <v>218</v>
      </c>
      <c r="N33" s="588">
        <f t="shared" si="36"/>
        <v>324</v>
      </c>
      <c r="O33" s="589">
        <f t="shared" si="5"/>
        <v>58</v>
      </c>
      <c r="P33" s="589">
        <f t="shared" si="37"/>
        <v>42</v>
      </c>
      <c r="Q33" s="589">
        <f>AG33+AO33+AW33+BF33+Y33</f>
        <v>16</v>
      </c>
      <c r="R33" s="589">
        <f t="shared" si="37"/>
        <v>0</v>
      </c>
      <c r="S33" s="589"/>
      <c r="T33" s="589">
        <f t="shared" si="7"/>
        <v>0</v>
      </c>
      <c r="U33" s="589">
        <f t="shared" si="8"/>
        <v>0</v>
      </c>
      <c r="V33" s="589">
        <f t="shared" si="38"/>
        <v>266</v>
      </c>
      <c r="W33" s="590">
        <f t="shared" si="39"/>
        <v>0</v>
      </c>
      <c r="X33" s="527"/>
      <c r="Y33" s="527"/>
      <c r="Z33" s="527"/>
      <c r="AA33" s="527"/>
      <c r="AB33" s="527"/>
      <c r="AC33" s="527"/>
      <c r="AD33" s="527"/>
      <c r="AE33" s="590">
        <f t="shared" si="40"/>
        <v>84</v>
      </c>
      <c r="AF33" s="527">
        <v>12</v>
      </c>
      <c r="AG33" s="527">
        <v>2</v>
      </c>
      <c r="AH33" s="527"/>
      <c r="AI33" s="527"/>
      <c r="AJ33" s="527"/>
      <c r="AK33" s="527"/>
      <c r="AL33" s="527">
        <v>70</v>
      </c>
      <c r="AM33" s="590">
        <f t="shared" si="41"/>
        <v>120</v>
      </c>
      <c r="AN33" s="527">
        <v>14</v>
      </c>
      <c r="AO33" s="527">
        <v>6</v>
      </c>
      <c r="AP33" s="527"/>
      <c r="AQ33" s="527"/>
      <c r="AR33" s="527"/>
      <c r="AS33" s="527"/>
      <c r="AT33" s="591">
        <v>100</v>
      </c>
      <c r="AU33" s="590">
        <f t="shared" si="42"/>
        <v>120</v>
      </c>
      <c r="AV33" s="591">
        <v>16</v>
      </c>
      <c r="AW33" s="591">
        <v>8</v>
      </c>
      <c r="AX33" s="591"/>
      <c r="AY33" s="591"/>
      <c r="AZ33" s="591"/>
      <c r="BA33" s="591"/>
      <c r="BB33" s="591">
        <v>96</v>
      </c>
      <c r="BC33" s="590">
        <f t="shared" si="9"/>
        <v>0</v>
      </c>
      <c r="BD33" s="527"/>
      <c r="BE33" s="527"/>
      <c r="BF33" s="527"/>
      <c r="BG33" s="527"/>
      <c r="BH33" s="527"/>
      <c r="BI33" s="527"/>
      <c r="BJ33" s="527"/>
      <c r="BK33" s="592" t="str">
        <f>'Учебный план'!CL51</f>
        <v>64-4</v>
      </c>
      <c r="BL33" s="592" t="str">
        <f>'Учебный план'!CM51</f>
        <v>ОК 1-10; ПК 1.1-1.5</v>
      </c>
    </row>
    <row r="34" spans="1:64" s="582" customFormat="1" ht="25.5" customHeight="1">
      <c r="A34" s="593">
        <f>'Учебный план'!A52</f>
        <v>0</v>
      </c>
      <c r="B34" s="593" t="str">
        <f>'Учебный план'!B52</f>
        <v>Техническое обслуживание и ремонт судового оборудования</v>
      </c>
      <c r="C34" s="585" t="str">
        <f>'Учебный план'!C52</f>
        <v>ТОиРСО</v>
      </c>
      <c r="D34" s="586"/>
      <c r="E34" s="586" t="s">
        <v>38</v>
      </c>
      <c r="F34" s="586"/>
      <c r="G34" s="586"/>
      <c r="H34" s="586"/>
      <c r="I34" s="594"/>
      <c r="J34" s="527">
        <f t="shared" si="34"/>
        <v>0</v>
      </c>
      <c r="K34" s="586">
        <f t="shared" si="35"/>
        <v>0</v>
      </c>
      <c r="L34" s="587">
        <f>'Учебный план'!L52</f>
        <v>297</v>
      </c>
      <c r="M34" s="587">
        <f>'Учебный план'!M52</f>
        <v>200</v>
      </c>
      <c r="N34" s="588">
        <f t="shared" si="36"/>
        <v>297</v>
      </c>
      <c r="O34" s="589">
        <f t="shared" si="5"/>
        <v>24</v>
      </c>
      <c r="P34" s="589">
        <f t="shared" si="37"/>
        <v>16</v>
      </c>
      <c r="Q34" s="589">
        <f t="shared" si="37"/>
        <v>8</v>
      </c>
      <c r="R34" s="589">
        <f t="shared" si="37"/>
        <v>0</v>
      </c>
      <c r="S34" s="589"/>
      <c r="T34" s="589">
        <f t="shared" si="7"/>
        <v>0</v>
      </c>
      <c r="U34" s="589">
        <f t="shared" si="8"/>
        <v>0</v>
      </c>
      <c r="V34" s="589">
        <f t="shared" si="38"/>
        <v>273</v>
      </c>
      <c r="W34" s="590">
        <f t="shared" si="39"/>
        <v>0</v>
      </c>
      <c r="X34" s="527"/>
      <c r="Y34" s="527"/>
      <c r="Z34" s="527"/>
      <c r="AA34" s="527"/>
      <c r="AB34" s="527"/>
      <c r="AC34" s="527"/>
      <c r="AD34" s="527"/>
      <c r="AE34" s="590">
        <f t="shared" si="40"/>
        <v>0</v>
      </c>
      <c r="AF34" s="527"/>
      <c r="AG34" s="527"/>
      <c r="AH34" s="527"/>
      <c r="AI34" s="527"/>
      <c r="AJ34" s="527"/>
      <c r="AK34" s="527"/>
      <c r="AL34" s="527"/>
      <c r="AM34" s="590">
        <f t="shared" si="41"/>
        <v>0</v>
      </c>
      <c r="AN34" s="527"/>
      <c r="AO34" s="527"/>
      <c r="AP34" s="527"/>
      <c r="AQ34" s="527"/>
      <c r="AR34" s="527"/>
      <c r="AS34" s="527"/>
      <c r="AT34" s="591"/>
      <c r="AU34" s="590">
        <f t="shared" si="42"/>
        <v>297</v>
      </c>
      <c r="AV34" s="591">
        <v>16</v>
      </c>
      <c r="AW34" s="591">
        <v>8</v>
      </c>
      <c r="AX34" s="591"/>
      <c r="AY34" s="591"/>
      <c r="AZ34" s="591"/>
      <c r="BA34" s="591"/>
      <c r="BB34" s="591">
        <v>273</v>
      </c>
      <c r="BC34" s="590">
        <f t="shared" si="9"/>
        <v>0</v>
      </c>
      <c r="BD34" s="527"/>
      <c r="BE34" s="527"/>
      <c r="BF34" s="527"/>
      <c r="BG34" s="527"/>
      <c r="BH34" s="527"/>
      <c r="BI34" s="527"/>
      <c r="BJ34" s="527"/>
      <c r="BK34" s="592" t="str">
        <f>'Учебный план'!CL52</f>
        <v>64-4</v>
      </c>
      <c r="BL34" s="592" t="str">
        <f>'Учебный план'!CM52</f>
        <v>ОК 1-10; ПК 1.1-1.5</v>
      </c>
    </row>
    <row r="35" spans="1:64" s="111" customFormat="1" ht="30.75" customHeight="1">
      <c r="A35" s="366">
        <f>'Учебный план'!A53</f>
        <v>0</v>
      </c>
      <c r="B35" s="366" t="str">
        <f>'Учебный план'!B53</f>
        <v>Техническая эксплуатация судовой автоматики</v>
      </c>
      <c r="C35" s="360" t="str">
        <f>'Учебный план'!C53</f>
        <v>ТЭСА</v>
      </c>
      <c r="D35" s="106"/>
      <c r="E35" s="947" t="s">
        <v>29</v>
      </c>
      <c r="F35" s="106"/>
      <c r="G35" s="106"/>
      <c r="H35" s="106"/>
      <c r="I35" s="947"/>
      <c r="J35" s="109">
        <f t="shared" si="34"/>
        <v>0</v>
      </c>
      <c r="K35" s="106">
        <f t="shared" si="35"/>
        <v>0</v>
      </c>
      <c r="L35" s="362">
        <f>'Учебный план'!L53</f>
        <v>74</v>
      </c>
      <c r="M35" s="362">
        <f>'Учебный план'!M53</f>
        <v>50</v>
      </c>
      <c r="N35" s="522">
        <f t="shared" si="36"/>
        <v>74</v>
      </c>
      <c r="O35" s="108">
        <f t="shared" si="5"/>
        <v>12</v>
      </c>
      <c r="P35" s="108">
        <f t="shared" si="37"/>
        <v>10</v>
      </c>
      <c r="Q35" s="108">
        <f t="shared" si="37"/>
        <v>2</v>
      </c>
      <c r="R35" s="108">
        <f t="shared" si="37"/>
        <v>0</v>
      </c>
      <c r="S35" s="108"/>
      <c r="T35" s="108">
        <f t="shared" si="7"/>
        <v>0</v>
      </c>
      <c r="U35" s="108">
        <f t="shared" si="8"/>
        <v>0</v>
      </c>
      <c r="V35" s="108">
        <f t="shared" si="38"/>
        <v>62</v>
      </c>
      <c r="W35" s="174">
        <f t="shared" si="39"/>
        <v>0</v>
      </c>
      <c r="X35" s="109"/>
      <c r="Y35" s="109"/>
      <c r="Z35" s="109"/>
      <c r="AA35" s="109"/>
      <c r="AB35" s="109"/>
      <c r="AC35" s="109"/>
      <c r="AD35" s="109"/>
      <c r="AE35" s="174">
        <f t="shared" si="40"/>
        <v>0</v>
      </c>
      <c r="AF35" s="109"/>
      <c r="AG35" s="109"/>
      <c r="AH35" s="109"/>
      <c r="AI35" s="109"/>
      <c r="AJ35" s="109"/>
      <c r="AK35" s="109"/>
      <c r="AL35" s="109"/>
      <c r="AM35" s="174">
        <f t="shared" si="41"/>
        <v>74</v>
      </c>
      <c r="AN35" s="126">
        <v>10</v>
      </c>
      <c r="AO35" s="126">
        <v>2</v>
      </c>
      <c r="AP35" s="126"/>
      <c r="AQ35" s="126"/>
      <c r="AR35" s="126"/>
      <c r="AS35" s="948"/>
      <c r="AT35" s="126">
        <v>62</v>
      </c>
      <c r="AU35" s="174">
        <f t="shared" si="42"/>
        <v>0</v>
      </c>
      <c r="AV35" s="126"/>
      <c r="AW35" s="126"/>
      <c r="AX35" s="126"/>
      <c r="AY35" s="126"/>
      <c r="AZ35" s="126"/>
      <c r="BA35" s="126"/>
      <c r="BB35" s="126"/>
      <c r="BC35" s="174">
        <f t="shared" si="9"/>
        <v>0</v>
      </c>
      <c r="BD35" s="109"/>
      <c r="BE35" s="109"/>
      <c r="BF35" s="109"/>
      <c r="BG35" s="109"/>
      <c r="BH35" s="109"/>
      <c r="BI35" s="109"/>
      <c r="BJ35" s="109"/>
      <c r="BK35" s="343" t="str">
        <f>'Учебный план'!CL53</f>
        <v>64-4</v>
      </c>
      <c r="BL35" s="343" t="str">
        <f>'Учебный план'!CM53</f>
        <v>ОК 1-10; ПК 1.1-1.5</v>
      </c>
    </row>
    <row r="36" spans="1:64" s="582" customFormat="1" ht="25.5" customHeight="1">
      <c r="A36" s="593">
        <f>'Учебный план'!A54</f>
        <v>0</v>
      </c>
      <c r="B36" s="593" t="str">
        <f>'Учебный план'!B54</f>
        <v>Электрооборудование судов</v>
      </c>
      <c r="C36" s="585">
        <f>'Учебный план'!C54</f>
        <v>0</v>
      </c>
      <c r="D36" s="586"/>
      <c r="E36" s="586" t="s">
        <v>38</v>
      </c>
      <c r="F36" s="586"/>
      <c r="G36" s="586"/>
      <c r="H36" s="586"/>
      <c r="I36" s="594"/>
      <c r="J36" s="527">
        <f t="shared" si="34"/>
        <v>0</v>
      </c>
      <c r="K36" s="586">
        <f t="shared" si="35"/>
        <v>0</v>
      </c>
      <c r="L36" s="587">
        <f>'Учебный план'!L54</f>
        <v>243</v>
      </c>
      <c r="M36" s="587">
        <f>'Учебный план'!M54</f>
        <v>165</v>
      </c>
      <c r="N36" s="588">
        <f t="shared" si="36"/>
        <v>243</v>
      </c>
      <c r="O36" s="589">
        <f t="shared" si="5"/>
        <v>24</v>
      </c>
      <c r="P36" s="589">
        <f t="shared" si="37"/>
        <v>16</v>
      </c>
      <c r="Q36" s="589">
        <f t="shared" si="37"/>
        <v>8</v>
      </c>
      <c r="R36" s="589">
        <f t="shared" si="37"/>
        <v>0</v>
      </c>
      <c r="S36" s="589"/>
      <c r="T36" s="589">
        <f t="shared" si="7"/>
        <v>0</v>
      </c>
      <c r="U36" s="589">
        <f t="shared" si="8"/>
        <v>0</v>
      </c>
      <c r="V36" s="589">
        <f t="shared" si="38"/>
        <v>219</v>
      </c>
      <c r="W36" s="590">
        <f t="shared" si="39"/>
        <v>0</v>
      </c>
      <c r="X36" s="527"/>
      <c r="Y36" s="527"/>
      <c r="Z36" s="527"/>
      <c r="AA36" s="527"/>
      <c r="AB36" s="527"/>
      <c r="AC36" s="527"/>
      <c r="AD36" s="527"/>
      <c r="AE36" s="590">
        <f t="shared" si="40"/>
        <v>0</v>
      </c>
      <c r="AF36" s="527"/>
      <c r="AG36" s="527"/>
      <c r="AH36" s="527"/>
      <c r="AI36" s="527"/>
      <c r="AJ36" s="527"/>
      <c r="AK36" s="527"/>
      <c r="AL36" s="527"/>
      <c r="AM36" s="590">
        <f t="shared" si="41"/>
        <v>0</v>
      </c>
      <c r="AN36" s="591"/>
      <c r="AO36" s="591"/>
      <c r="AP36" s="591"/>
      <c r="AQ36" s="527"/>
      <c r="AR36" s="527"/>
      <c r="AS36" s="527"/>
      <c r="AT36" s="591"/>
      <c r="AU36" s="590">
        <f t="shared" si="42"/>
        <v>243</v>
      </c>
      <c r="AV36" s="591">
        <v>16</v>
      </c>
      <c r="AW36" s="591">
        <v>8</v>
      </c>
      <c r="AX36" s="591"/>
      <c r="AY36" s="591"/>
      <c r="AZ36" s="591"/>
      <c r="BA36" s="591"/>
      <c r="BB36" s="591">
        <v>219</v>
      </c>
      <c r="BC36" s="590">
        <f t="shared" si="9"/>
        <v>0</v>
      </c>
      <c r="BD36" s="527"/>
      <c r="BE36" s="527"/>
      <c r="BF36" s="527"/>
      <c r="BG36" s="527"/>
      <c r="BH36" s="527"/>
      <c r="BI36" s="527"/>
      <c r="BJ36" s="527"/>
      <c r="BK36" s="592" t="str">
        <f>'Учебный план'!CL54</f>
        <v>64-5</v>
      </c>
      <c r="BL36" s="592" t="str">
        <f>'Учебный план'!CM54</f>
        <v>ОК 1-10; ПК 1.1-1.5</v>
      </c>
    </row>
    <row r="37" spans="1:64" s="111" customFormat="1" ht="25.5" customHeight="1">
      <c r="A37" s="366">
        <f>'Учебный план'!A55</f>
        <v>0</v>
      </c>
      <c r="B37" s="366" t="str">
        <f>'Учебный план'!B55</f>
        <v>Национальные и международные требования по эксплуатации судна</v>
      </c>
      <c r="C37" s="360">
        <f>'Учебный план'!C55</f>
        <v>0</v>
      </c>
      <c r="D37" s="106"/>
      <c r="E37" s="106" t="s">
        <v>29</v>
      </c>
      <c r="F37" s="106"/>
      <c r="G37" s="106"/>
      <c r="H37" s="106"/>
      <c r="I37" s="106"/>
      <c r="J37" s="109">
        <f t="shared" si="34"/>
        <v>0</v>
      </c>
      <c r="K37" s="106">
        <f t="shared" si="35"/>
        <v>0</v>
      </c>
      <c r="L37" s="362">
        <f>'Учебный план'!L55</f>
        <v>50</v>
      </c>
      <c r="M37" s="362">
        <f>'Учебный план'!M55</f>
        <v>34</v>
      </c>
      <c r="N37" s="522">
        <f t="shared" si="36"/>
        <v>50</v>
      </c>
      <c r="O37" s="108">
        <f t="shared" si="5"/>
        <v>8</v>
      </c>
      <c r="P37" s="108">
        <f t="shared" si="37"/>
        <v>8</v>
      </c>
      <c r="Q37" s="108">
        <f t="shared" si="37"/>
        <v>0</v>
      </c>
      <c r="R37" s="108">
        <f t="shared" si="37"/>
        <v>0</v>
      </c>
      <c r="S37" s="108"/>
      <c r="T37" s="108">
        <f t="shared" si="7"/>
        <v>0</v>
      </c>
      <c r="U37" s="108">
        <f t="shared" si="8"/>
        <v>0</v>
      </c>
      <c r="V37" s="108">
        <f t="shared" si="38"/>
        <v>42</v>
      </c>
      <c r="W37" s="174">
        <f t="shared" si="39"/>
        <v>0</v>
      </c>
      <c r="X37" s="109"/>
      <c r="Y37" s="109"/>
      <c r="Z37" s="109"/>
      <c r="AA37" s="109"/>
      <c r="AB37" s="109"/>
      <c r="AC37" s="109"/>
      <c r="AD37" s="109"/>
      <c r="AE37" s="174">
        <f t="shared" si="40"/>
        <v>0</v>
      </c>
      <c r="AF37" s="109"/>
      <c r="AG37" s="109"/>
      <c r="AH37" s="109"/>
      <c r="AI37" s="109"/>
      <c r="AJ37" s="109"/>
      <c r="AK37" s="109"/>
      <c r="AL37" s="109"/>
      <c r="AM37" s="174">
        <f t="shared" si="41"/>
        <v>50</v>
      </c>
      <c r="AN37" s="126">
        <v>8</v>
      </c>
      <c r="AO37" s="126"/>
      <c r="AP37" s="126"/>
      <c r="AQ37" s="109"/>
      <c r="AR37" s="109"/>
      <c r="AS37" s="109"/>
      <c r="AT37" s="126">
        <v>42</v>
      </c>
      <c r="AU37" s="174">
        <f t="shared" si="42"/>
        <v>0</v>
      </c>
      <c r="AV37" s="126"/>
      <c r="AW37" s="126"/>
      <c r="AX37" s="126"/>
      <c r="AY37" s="126"/>
      <c r="AZ37" s="126"/>
      <c r="BA37" s="126"/>
      <c r="BB37" s="126"/>
      <c r="BC37" s="174">
        <f>SUM(BD37:BJ37)</f>
        <v>0</v>
      </c>
      <c r="BD37" s="109"/>
      <c r="BE37" s="109"/>
      <c r="BF37" s="109"/>
      <c r="BG37" s="109"/>
      <c r="BH37" s="109"/>
      <c r="BI37" s="109"/>
      <c r="BJ37" s="109"/>
      <c r="BK37" s="343" t="str">
        <f>'Учебный план'!CL55</f>
        <v>64-4</v>
      </c>
      <c r="BL37" s="343" t="str">
        <f>'Учебный план'!CM55</f>
        <v>ОК 1-10; ПК 1.1-1.5</v>
      </c>
    </row>
    <row r="38" spans="1:64" s="111" customFormat="1" ht="33.75" customHeight="1">
      <c r="A38" s="366">
        <f>'Учебный план'!A56</f>
        <v>0</v>
      </c>
      <c r="B38" s="366">
        <f>'Учебный план'!B56</f>
        <v>0</v>
      </c>
      <c r="C38" s="360">
        <f>'Учебный план'!C56</f>
        <v>0</v>
      </c>
      <c r="D38" s="106"/>
      <c r="E38" s="106"/>
      <c r="F38" s="106"/>
      <c r="G38" s="106"/>
      <c r="H38" s="106"/>
      <c r="I38" s="106"/>
      <c r="J38" s="109"/>
      <c r="K38" s="106">
        <f>M38*$K$1</f>
        <v>0</v>
      </c>
      <c r="L38" s="362">
        <f>'Учебный план'!L56</f>
        <v>0</v>
      </c>
      <c r="M38" s="362">
        <f>'Учебный план'!M56</f>
        <v>0</v>
      </c>
      <c r="N38" s="108">
        <f t="shared" si="36"/>
        <v>0</v>
      </c>
      <c r="O38" s="108">
        <f t="shared" si="5"/>
        <v>0</v>
      </c>
      <c r="P38" s="108">
        <f t="shared" si="37"/>
        <v>0</v>
      </c>
      <c r="Q38" s="108">
        <f t="shared" si="37"/>
        <v>0</v>
      </c>
      <c r="R38" s="108">
        <f t="shared" si="37"/>
        <v>0</v>
      </c>
      <c r="S38" s="108"/>
      <c r="T38" s="108">
        <f t="shared" si="7"/>
        <v>0</v>
      </c>
      <c r="U38" s="108">
        <f t="shared" si="8"/>
        <v>0</v>
      </c>
      <c r="V38" s="108">
        <f t="shared" si="38"/>
        <v>0</v>
      </c>
      <c r="W38" s="174"/>
      <c r="X38" s="109"/>
      <c r="Y38" s="109"/>
      <c r="Z38" s="109"/>
      <c r="AA38" s="109"/>
      <c r="AB38" s="109"/>
      <c r="AC38" s="109"/>
      <c r="AD38" s="109"/>
      <c r="AE38" s="174"/>
      <c r="AF38" s="109"/>
      <c r="AG38" s="109"/>
      <c r="AH38" s="109"/>
      <c r="AI38" s="109"/>
      <c r="AJ38" s="109"/>
      <c r="AK38" s="109"/>
      <c r="AL38" s="109"/>
      <c r="AM38" s="174"/>
      <c r="AN38" s="109"/>
      <c r="AO38" s="109"/>
      <c r="AP38" s="109"/>
      <c r="AQ38" s="109"/>
      <c r="AR38" s="109"/>
      <c r="AS38" s="109"/>
      <c r="AT38" s="109"/>
      <c r="AU38" s="174">
        <f t="shared" si="42"/>
        <v>0</v>
      </c>
      <c r="AV38" s="109"/>
      <c r="AW38" s="109"/>
      <c r="AX38" s="109"/>
      <c r="AY38" s="109"/>
      <c r="AZ38" s="109"/>
      <c r="BA38" s="109"/>
      <c r="BB38" s="109"/>
      <c r="BC38" s="174"/>
      <c r="BD38" s="109"/>
      <c r="BE38" s="109"/>
      <c r="BF38" s="109"/>
      <c r="BG38" s="109"/>
      <c r="BH38" s="109"/>
      <c r="BI38" s="109"/>
      <c r="BJ38" s="109"/>
      <c r="BK38" s="343">
        <f>'Учебный план'!CL56</f>
        <v>0</v>
      </c>
      <c r="BL38" s="516">
        <f>'Учебный план'!CM56</f>
        <v>0</v>
      </c>
    </row>
    <row r="39" spans="1:64" s="111" customFormat="1" ht="25.5" customHeight="1">
      <c r="A39" s="367" t="str">
        <f>'Учебный план'!A57</f>
        <v>Экзамен квалификационный</v>
      </c>
      <c r="B39" s="368"/>
      <c r="C39" s="368"/>
      <c r="D39" s="358" t="s">
        <v>38</v>
      </c>
      <c r="E39" s="369"/>
      <c r="F39" s="369"/>
      <c r="G39" s="369"/>
      <c r="H39" s="369"/>
      <c r="I39" s="369"/>
      <c r="J39" s="369"/>
      <c r="K39" s="368"/>
      <c r="L39" s="370"/>
      <c r="M39" s="370"/>
      <c r="N39" s="370"/>
      <c r="O39" s="370"/>
      <c r="P39" s="370"/>
      <c r="Q39" s="370"/>
      <c r="R39" s="370"/>
      <c r="S39" s="370"/>
      <c r="T39" s="370"/>
      <c r="U39" s="370"/>
      <c r="V39" s="370"/>
      <c r="W39" s="370"/>
      <c r="X39" s="345"/>
      <c r="Y39" s="345"/>
      <c r="Z39" s="345"/>
      <c r="AA39" s="345"/>
      <c r="AB39" s="345"/>
      <c r="AC39" s="345"/>
      <c r="AD39" s="345"/>
      <c r="AE39" s="370"/>
      <c r="AF39" s="345"/>
      <c r="AG39" s="345"/>
      <c r="AH39" s="345"/>
      <c r="AI39" s="345"/>
      <c r="AJ39" s="345"/>
      <c r="AK39" s="345"/>
      <c r="AL39" s="345"/>
      <c r="AM39" s="370"/>
      <c r="AN39" s="345"/>
      <c r="AO39" s="345"/>
      <c r="AP39" s="345"/>
      <c r="AQ39" s="345"/>
      <c r="AR39" s="345"/>
      <c r="AS39" s="345"/>
      <c r="AT39" s="345"/>
      <c r="AU39" s="370"/>
      <c r="AV39" s="345"/>
      <c r="AW39" s="345"/>
      <c r="AX39" s="345"/>
      <c r="AY39" s="345"/>
      <c r="AZ39" s="345"/>
      <c r="BA39" s="345"/>
      <c r="BB39" s="345"/>
      <c r="BC39" s="370"/>
      <c r="BD39" s="345"/>
      <c r="BE39" s="345"/>
      <c r="BF39" s="345"/>
      <c r="BG39" s="345"/>
      <c r="BH39" s="345"/>
      <c r="BI39" s="345"/>
      <c r="BJ39" s="345"/>
      <c r="BK39" s="371">
        <f>'Учебный план'!CL57</f>
        <v>0</v>
      </c>
      <c r="BL39" s="371">
        <f>'Учебный план'!CM57</f>
        <v>0</v>
      </c>
    </row>
    <row r="40" spans="1:64" s="111" customFormat="1" ht="25.5" customHeight="1">
      <c r="A40" s="548" t="str">
        <f>'Учебный план'!A58</f>
        <v>ПМ.02 </v>
      </c>
      <c r="B40" s="778" t="str">
        <f>'Учебный план'!B58:I58</f>
        <v>Обеспечение безопасности плавания</v>
      </c>
      <c r="C40" s="778"/>
      <c r="D40" s="778"/>
      <c r="E40" s="778"/>
      <c r="F40" s="778"/>
      <c r="G40" s="778"/>
      <c r="H40" s="778"/>
      <c r="I40" s="778"/>
      <c r="J40" s="603"/>
      <c r="K40" s="603"/>
      <c r="L40" s="549">
        <f>'Учебный план'!L58</f>
        <v>381</v>
      </c>
      <c r="M40" s="549">
        <f>'Учебный план'!M58</f>
        <v>254</v>
      </c>
      <c r="N40" s="549">
        <f>SUM(O40+U40+V40)</f>
        <v>381</v>
      </c>
      <c r="O40" s="549">
        <f>SUM(P40:T40)</f>
        <v>30</v>
      </c>
      <c r="P40" s="549">
        <f>AF40+AN40+AV40+BE40</f>
        <v>30</v>
      </c>
      <c r="Q40" s="549">
        <f>AG40+AO40+AW40+BF40</f>
        <v>0</v>
      </c>
      <c r="R40" s="549">
        <f>AH40+AP40+AX40+BG40</f>
        <v>0</v>
      </c>
      <c r="S40" s="549"/>
      <c r="T40" s="549">
        <f>AJ40+AR40+AZ40+BH40</f>
        <v>0</v>
      </c>
      <c r="U40" s="549">
        <f>AK40+AS40+BA40+BI40</f>
        <v>0</v>
      </c>
      <c r="V40" s="549">
        <f>AL40+AT40+BB40+BJ40</f>
        <v>351</v>
      </c>
      <c r="W40" s="550">
        <f aca="true" t="shared" si="43" ref="W40:BJ40">SUM(W42:W45)</f>
        <v>0</v>
      </c>
      <c r="X40" s="550">
        <f t="shared" si="43"/>
        <v>0</v>
      </c>
      <c r="Y40" s="550">
        <f t="shared" si="43"/>
        <v>0</v>
      </c>
      <c r="Z40" s="550">
        <f t="shared" si="43"/>
        <v>0</v>
      </c>
      <c r="AA40" s="550"/>
      <c r="AB40" s="550">
        <f t="shared" si="43"/>
        <v>0</v>
      </c>
      <c r="AC40" s="550">
        <f t="shared" si="43"/>
        <v>0</v>
      </c>
      <c r="AD40" s="550">
        <f t="shared" si="43"/>
        <v>0</v>
      </c>
      <c r="AE40" s="550">
        <f t="shared" si="43"/>
        <v>190</v>
      </c>
      <c r="AF40" s="550">
        <f t="shared" si="43"/>
        <v>14</v>
      </c>
      <c r="AG40" s="550">
        <f t="shared" si="43"/>
        <v>0</v>
      </c>
      <c r="AH40" s="550">
        <f t="shared" si="43"/>
        <v>0</v>
      </c>
      <c r="AI40" s="550"/>
      <c r="AJ40" s="550">
        <f t="shared" si="43"/>
        <v>0</v>
      </c>
      <c r="AK40" s="550">
        <f t="shared" si="43"/>
        <v>0</v>
      </c>
      <c r="AL40" s="550">
        <f t="shared" si="43"/>
        <v>176</v>
      </c>
      <c r="AM40" s="550">
        <f t="shared" si="43"/>
        <v>191</v>
      </c>
      <c r="AN40" s="550">
        <f t="shared" si="43"/>
        <v>16</v>
      </c>
      <c r="AO40" s="550">
        <f t="shared" si="43"/>
        <v>0</v>
      </c>
      <c r="AP40" s="550">
        <f t="shared" si="43"/>
        <v>0</v>
      </c>
      <c r="AQ40" s="550"/>
      <c r="AR40" s="550">
        <f t="shared" si="43"/>
        <v>0</v>
      </c>
      <c r="AS40" s="550">
        <f t="shared" si="43"/>
        <v>0</v>
      </c>
      <c r="AT40" s="550">
        <f t="shared" si="43"/>
        <v>175</v>
      </c>
      <c r="AU40" s="550">
        <f t="shared" si="43"/>
        <v>0</v>
      </c>
      <c r="AV40" s="550">
        <f t="shared" si="43"/>
        <v>0</v>
      </c>
      <c r="AW40" s="550">
        <f t="shared" si="43"/>
        <v>0</v>
      </c>
      <c r="AX40" s="550">
        <f t="shared" si="43"/>
        <v>0</v>
      </c>
      <c r="AY40" s="550"/>
      <c r="AZ40" s="550">
        <f t="shared" si="43"/>
        <v>0</v>
      </c>
      <c r="BA40" s="550">
        <f t="shared" si="43"/>
        <v>0</v>
      </c>
      <c r="BB40" s="550">
        <f t="shared" si="43"/>
        <v>0</v>
      </c>
      <c r="BC40" s="550">
        <f t="shared" si="43"/>
        <v>0</v>
      </c>
      <c r="BD40" s="550">
        <f t="shared" si="43"/>
        <v>0</v>
      </c>
      <c r="BE40" s="550">
        <f t="shared" si="43"/>
        <v>0</v>
      </c>
      <c r="BF40" s="550">
        <f t="shared" si="43"/>
        <v>0</v>
      </c>
      <c r="BG40" s="550">
        <f t="shared" si="43"/>
        <v>0</v>
      </c>
      <c r="BH40" s="550">
        <f t="shared" si="43"/>
        <v>0</v>
      </c>
      <c r="BI40" s="550">
        <f t="shared" si="43"/>
        <v>0</v>
      </c>
      <c r="BJ40" s="550">
        <f t="shared" si="43"/>
        <v>0</v>
      </c>
      <c r="BK40" s="551">
        <f>'Учебный план'!CL58</f>
        <v>0</v>
      </c>
      <c r="BL40" s="551">
        <f>'Учебный план'!CM58</f>
        <v>0</v>
      </c>
    </row>
    <row r="41" spans="1:64" s="111" customFormat="1" ht="25.5" customHeight="1">
      <c r="A41" s="558" t="str">
        <f>'Учебный план'!A59</f>
        <v>МДК.02.01</v>
      </c>
      <c r="B41" s="797" t="str">
        <f>'Учебный план'!B59:I59</f>
        <v>Безопасность жизнедеятельности на судне и транспортная безопасность </v>
      </c>
      <c r="C41" s="797"/>
      <c r="D41" s="797"/>
      <c r="E41" s="797"/>
      <c r="F41" s="797"/>
      <c r="G41" s="797"/>
      <c r="H41" s="797"/>
      <c r="I41" s="797"/>
      <c r="J41" s="601"/>
      <c r="K41" s="601"/>
      <c r="L41" s="555"/>
      <c r="M41" s="555"/>
      <c r="N41" s="555"/>
      <c r="O41" s="555"/>
      <c r="P41" s="555"/>
      <c r="Q41" s="555"/>
      <c r="R41" s="555"/>
      <c r="S41" s="555"/>
      <c r="T41" s="555"/>
      <c r="U41" s="555"/>
      <c r="V41" s="555"/>
      <c r="W41" s="556"/>
      <c r="X41" s="556"/>
      <c r="Y41" s="556"/>
      <c r="Z41" s="556"/>
      <c r="AA41" s="556"/>
      <c r="AB41" s="556"/>
      <c r="AC41" s="556"/>
      <c r="AD41" s="556"/>
      <c r="AE41" s="556"/>
      <c r="AF41" s="556"/>
      <c r="AG41" s="556"/>
      <c r="AH41" s="556"/>
      <c r="AI41" s="556"/>
      <c r="AJ41" s="556"/>
      <c r="AK41" s="556"/>
      <c r="AL41" s="556"/>
      <c r="AM41" s="556"/>
      <c r="AN41" s="556"/>
      <c r="AO41" s="556"/>
      <c r="AP41" s="556"/>
      <c r="AQ41" s="556"/>
      <c r="AR41" s="556"/>
      <c r="AS41" s="556"/>
      <c r="AT41" s="556"/>
      <c r="AU41" s="556"/>
      <c r="AV41" s="556"/>
      <c r="AW41" s="556"/>
      <c r="AX41" s="556"/>
      <c r="AY41" s="556"/>
      <c r="AZ41" s="556"/>
      <c r="BA41" s="556"/>
      <c r="BB41" s="556"/>
      <c r="BC41" s="556"/>
      <c r="BD41" s="556"/>
      <c r="BE41" s="556"/>
      <c r="BF41" s="556"/>
      <c r="BG41" s="556"/>
      <c r="BH41" s="556"/>
      <c r="BI41" s="556"/>
      <c r="BJ41" s="556"/>
      <c r="BK41" s="557"/>
      <c r="BL41" s="557">
        <f>'Учебный план'!CM59</f>
        <v>0</v>
      </c>
    </row>
    <row r="42" spans="1:64" s="111" customFormat="1" ht="25.5" customHeight="1">
      <c r="A42" s="366">
        <f>'Учебный план'!A60</f>
        <v>0</v>
      </c>
      <c r="B42" s="374" t="str">
        <f>'Учебный план'!B60</f>
        <v>Безопасность жизнедеятельности на судне и транспортная безопасность </v>
      </c>
      <c r="C42" s="360">
        <f>'Учебный план'!C60</f>
        <v>0</v>
      </c>
      <c r="D42" s="106"/>
      <c r="E42" s="947"/>
      <c r="F42" s="106" t="s">
        <v>29</v>
      </c>
      <c r="G42" s="106"/>
      <c r="H42" s="106"/>
      <c r="I42" s="106" t="s">
        <v>30</v>
      </c>
      <c r="J42" s="109">
        <f>L42-N42</f>
        <v>0</v>
      </c>
      <c r="K42" s="106">
        <f>M42*$K$1</f>
        <v>0</v>
      </c>
      <c r="L42" s="362">
        <f>'Учебный план'!L60</f>
        <v>273</v>
      </c>
      <c r="M42" s="362">
        <f>'Учебный план'!M60</f>
        <v>182</v>
      </c>
      <c r="N42" s="108">
        <f>SUM(O42+U42+V42)</f>
        <v>273</v>
      </c>
      <c r="O42" s="108">
        <f>SUM(P42:T42)</f>
        <v>14</v>
      </c>
      <c r="P42" s="108">
        <f aca="true" t="shared" si="44" ref="P42:R44">AF42+AN42+AV42+BE42+X42</f>
        <v>14</v>
      </c>
      <c r="Q42" s="108">
        <f t="shared" si="44"/>
        <v>0</v>
      </c>
      <c r="R42" s="108">
        <f t="shared" si="44"/>
        <v>0</v>
      </c>
      <c r="S42" s="108"/>
      <c r="T42" s="108">
        <f aca="true" t="shared" si="45" ref="T42:U44">AJ42+AR42+AZ42+BH42</f>
        <v>0</v>
      </c>
      <c r="U42" s="108">
        <f t="shared" si="45"/>
        <v>0</v>
      </c>
      <c r="V42" s="108">
        <f>AL42+AT42+BB42+BJ42+AD42</f>
        <v>259</v>
      </c>
      <c r="W42" s="174">
        <f>SUM(X42:AD42)</f>
        <v>0</v>
      </c>
      <c r="X42" s="109"/>
      <c r="Y42" s="109"/>
      <c r="Z42" s="109"/>
      <c r="AA42" s="109"/>
      <c r="AB42" s="109"/>
      <c r="AC42" s="109"/>
      <c r="AD42" s="109"/>
      <c r="AE42" s="174">
        <f>SUM(AF42:AL42)</f>
        <v>136</v>
      </c>
      <c r="AF42" s="109">
        <v>6</v>
      </c>
      <c r="AG42" s="109"/>
      <c r="AH42" s="109"/>
      <c r="AI42" s="109"/>
      <c r="AJ42" s="109"/>
      <c r="AK42" s="109"/>
      <c r="AL42" s="109">
        <v>130</v>
      </c>
      <c r="AM42" s="174">
        <f>SUM(AN42:AT42)</f>
        <v>137</v>
      </c>
      <c r="AN42" s="126">
        <v>8</v>
      </c>
      <c r="AO42" s="109"/>
      <c r="AP42" s="109"/>
      <c r="AQ42" s="109"/>
      <c r="AR42" s="109"/>
      <c r="AS42" s="109"/>
      <c r="AT42" s="126">
        <v>129</v>
      </c>
      <c r="AU42" s="174">
        <f>SUM(AV42:BB42)</f>
        <v>0</v>
      </c>
      <c r="AV42" s="109"/>
      <c r="AW42" s="109"/>
      <c r="AX42" s="109"/>
      <c r="AY42" s="109"/>
      <c r="AZ42" s="109"/>
      <c r="BA42" s="109"/>
      <c r="BB42" s="109"/>
      <c r="BC42" s="174">
        <f t="shared" si="9"/>
        <v>0</v>
      </c>
      <c r="BD42" s="109"/>
      <c r="BE42" s="109"/>
      <c r="BF42" s="109"/>
      <c r="BG42" s="109"/>
      <c r="BH42" s="109"/>
      <c r="BI42" s="109"/>
      <c r="BJ42" s="109"/>
      <c r="BK42" s="343" t="str">
        <f>'Учебный план'!CL60</f>
        <v>64-3</v>
      </c>
      <c r="BL42" s="343" t="str">
        <f>'Учебный план'!CM60</f>
        <v>ОК 1-10; ПК 2.1-2.7</v>
      </c>
    </row>
    <row r="43" spans="1:64" s="111" customFormat="1" ht="25.5" customHeight="1">
      <c r="A43" s="366">
        <f>'Учебный план'!A61</f>
        <v>0</v>
      </c>
      <c r="B43" s="374" t="str">
        <f>'Учебный план'!B61</f>
        <v>Предотвращение загрязнения морской окружающей среды</v>
      </c>
      <c r="C43" s="360">
        <f>'Учебный план'!C61</f>
        <v>0</v>
      </c>
      <c r="D43" s="106"/>
      <c r="E43" s="106" t="s">
        <v>29</v>
      </c>
      <c r="F43" s="106"/>
      <c r="G43" s="106"/>
      <c r="H43" s="106"/>
      <c r="I43" s="106"/>
      <c r="J43" s="109">
        <f>L43-N43</f>
        <v>0</v>
      </c>
      <c r="K43" s="106">
        <f>M43*$K$1</f>
        <v>0</v>
      </c>
      <c r="L43" s="362">
        <f>'Учебный план'!L61</f>
        <v>54</v>
      </c>
      <c r="M43" s="362">
        <f>'Учебный план'!M61</f>
        <v>36</v>
      </c>
      <c r="N43" s="108">
        <f>SUM(O43+U43+V43)</f>
        <v>54</v>
      </c>
      <c r="O43" s="108">
        <f>SUM(P43:T43)</f>
        <v>8</v>
      </c>
      <c r="P43" s="108">
        <f t="shared" si="44"/>
        <v>8</v>
      </c>
      <c r="Q43" s="108">
        <f t="shared" si="44"/>
        <v>0</v>
      </c>
      <c r="R43" s="108">
        <f t="shared" si="44"/>
        <v>0</v>
      </c>
      <c r="S43" s="108"/>
      <c r="T43" s="108">
        <f t="shared" si="45"/>
        <v>0</v>
      </c>
      <c r="U43" s="108">
        <f t="shared" si="45"/>
        <v>0</v>
      </c>
      <c r="V43" s="108">
        <f>AL43+AT43+BB43+BJ43+AD43</f>
        <v>46</v>
      </c>
      <c r="W43" s="174">
        <f>SUM(X43:AD43)</f>
        <v>0</v>
      </c>
      <c r="X43" s="109"/>
      <c r="Y43" s="109"/>
      <c r="Z43" s="109"/>
      <c r="AA43" s="109"/>
      <c r="AB43" s="109"/>
      <c r="AC43" s="109"/>
      <c r="AD43" s="109"/>
      <c r="AE43" s="174">
        <f>SUM(AF43:AL43)</f>
        <v>0</v>
      </c>
      <c r="AF43" s="109"/>
      <c r="AG43" s="109"/>
      <c r="AH43" s="109"/>
      <c r="AI43" s="109"/>
      <c r="AJ43" s="109"/>
      <c r="AK43" s="109"/>
      <c r="AL43" s="109"/>
      <c r="AM43" s="174">
        <f>SUM(AN43:AT43)</f>
        <v>54</v>
      </c>
      <c r="AN43" s="109">
        <v>8</v>
      </c>
      <c r="AO43" s="109"/>
      <c r="AP43" s="109"/>
      <c r="AQ43" s="109"/>
      <c r="AR43" s="109"/>
      <c r="AS43" s="109"/>
      <c r="AT43" s="109">
        <v>46</v>
      </c>
      <c r="AU43" s="174">
        <f>SUM(AV43:BB43)</f>
        <v>0</v>
      </c>
      <c r="AV43" s="109"/>
      <c r="AW43" s="109"/>
      <c r="AX43" s="109"/>
      <c r="AY43" s="109"/>
      <c r="AZ43" s="109"/>
      <c r="BA43" s="109"/>
      <c r="BB43" s="109"/>
      <c r="BC43" s="174">
        <f>SUM(BD43:BJ43)</f>
        <v>0</v>
      </c>
      <c r="BD43" s="109"/>
      <c r="BE43" s="109"/>
      <c r="BF43" s="109"/>
      <c r="BG43" s="109"/>
      <c r="BH43" s="109"/>
      <c r="BI43" s="109"/>
      <c r="BJ43" s="109"/>
      <c r="BK43" s="343" t="str">
        <f>'Учебный план'!CL61</f>
        <v>64-4</v>
      </c>
      <c r="BL43" s="343" t="str">
        <f>'Учебный план'!CM61</f>
        <v>ОК 1 - 10, ПК 2.7</v>
      </c>
    </row>
    <row r="44" spans="1:64" s="111" customFormat="1" ht="25.5" customHeight="1">
      <c r="A44" s="366">
        <f>'Учебный план'!A62</f>
        <v>0</v>
      </c>
      <c r="B44" s="374" t="str">
        <f>'Учебный план'!B62</f>
        <v>Охрана труда и техника безопасности на судах</v>
      </c>
      <c r="C44" s="360">
        <f>'Учебный план'!C62</f>
        <v>0</v>
      </c>
      <c r="D44" s="106"/>
      <c r="E44" s="106" t="s">
        <v>30</v>
      </c>
      <c r="F44" s="106"/>
      <c r="G44" s="106"/>
      <c r="H44" s="106"/>
      <c r="I44" s="106"/>
      <c r="J44" s="109">
        <f>L44-N44</f>
        <v>0</v>
      </c>
      <c r="K44" s="106">
        <f>M44*$K$1</f>
        <v>0</v>
      </c>
      <c r="L44" s="362">
        <f>'Учебный план'!L62</f>
        <v>54</v>
      </c>
      <c r="M44" s="362">
        <f>'Учебный план'!M62</f>
        <v>36</v>
      </c>
      <c r="N44" s="108">
        <f>SUM(O44+U44+V44)</f>
        <v>54</v>
      </c>
      <c r="O44" s="108">
        <f>SUM(P44:T44)</f>
        <v>8</v>
      </c>
      <c r="P44" s="108">
        <f t="shared" si="44"/>
        <v>8</v>
      </c>
      <c r="Q44" s="108">
        <f t="shared" si="44"/>
        <v>0</v>
      </c>
      <c r="R44" s="108">
        <f t="shared" si="44"/>
        <v>0</v>
      </c>
      <c r="S44" s="108"/>
      <c r="T44" s="108">
        <f t="shared" si="45"/>
        <v>0</v>
      </c>
      <c r="U44" s="108">
        <f t="shared" si="45"/>
        <v>0</v>
      </c>
      <c r="V44" s="108">
        <f>AL44+AT44+BB44+BJ44+AD44</f>
        <v>46</v>
      </c>
      <c r="W44" s="174">
        <f>SUM(X44:AD44)</f>
        <v>0</v>
      </c>
      <c r="X44" s="109"/>
      <c r="Y44" s="109"/>
      <c r="Z44" s="109"/>
      <c r="AA44" s="109"/>
      <c r="AB44" s="109"/>
      <c r="AC44" s="109"/>
      <c r="AD44" s="109"/>
      <c r="AE44" s="174">
        <f>SUM(AF44:AL44)</f>
        <v>54</v>
      </c>
      <c r="AF44" s="109">
        <v>8</v>
      </c>
      <c r="AG44" s="109"/>
      <c r="AH44" s="109"/>
      <c r="AI44" s="109"/>
      <c r="AJ44" s="109"/>
      <c r="AK44" s="109"/>
      <c r="AL44" s="109">
        <v>46</v>
      </c>
      <c r="AM44" s="174">
        <f>SUM(AN44:AT44)</f>
        <v>0</v>
      </c>
      <c r="AN44" s="109"/>
      <c r="AO44" s="109"/>
      <c r="AP44" s="109"/>
      <c r="AQ44" s="109"/>
      <c r="AR44" s="109"/>
      <c r="AS44" s="109"/>
      <c r="AT44" s="109"/>
      <c r="AU44" s="174">
        <f>SUM(AV44:BB44)</f>
        <v>0</v>
      </c>
      <c r="AV44" s="109"/>
      <c r="AW44" s="109"/>
      <c r="AX44" s="109"/>
      <c r="AY44" s="109"/>
      <c r="AZ44" s="109"/>
      <c r="BA44" s="109"/>
      <c r="BB44" s="109"/>
      <c r="BC44" s="174">
        <f t="shared" si="9"/>
        <v>0</v>
      </c>
      <c r="BD44" s="109"/>
      <c r="BE44" s="109"/>
      <c r="BF44" s="109"/>
      <c r="BG44" s="109"/>
      <c r="BH44" s="109"/>
      <c r="BI44" s="109"/>
      <c r="BJ44" s="109"/>
      <c r="BK44" s="343" t="str">
        <f>'Учебный план'!CL62</f>
        <v>64-3</v>
      </c>
      <c r="BL44" s="516" t="str">
        <f>'Учебный план'!CM62</f>
        <v>ОК 1-10,ПК 2.5,2.7</v>
      </c>
    </row>
    <row r="45" spans="1:64" s="111" customFormat="1" ht="25.5" customHeight="1">
      <c r="A45" s="367" t="str">
        <f>'Учебный план'!A64</f>
        <v>Экзамен квалификационный</v>
      </c>
      <c r="B45" s="375"/>
      <c r="C45" s="375"/>
      <c r="D45" s="313" t="s">
        <v>29</v>
      </c>
      <c r="E45" s="313"/>
      <c r="F45" s="313"/>
      <c r="G45" s="313"/>
      <c r="H45" s="313"/>
      <c r="I45" s="313"/>
      <c r="J45" s="313"/>
      <c r="K45" s="313"/>
      <c r="L45" s="370">
        <f>'Учебный план'!L64</f>
        <v>0</v>
      </c>
      <c r="M45" s="370">
        <f>'Учебный план'!M64</f>
        <v>0</v>
      </c>
      <c r="N45" s="370"/>
      <c r="O45" s="370"/>
      <c r="P45" s="370"/>
      <c r="Q45" s="370"/>
      <c r="R45" s="370"/>
      <c r="S45" s="370"/>
      <c r="T45" s="370"/>
      <c r="U45" s="370"/>
      <c r="V45" s="370"/>
      <c r="W45" s="370"/>
      <c r="X45" s="345"/>
      <c r="Y45" s="345"/>
      <c r="Z45" s="345"/>
      <c r="AA45" s="345"/>
      <c r="AB45" s="345"/>
      <c r="AC45" s="345"/>
      <c r="AD45" s="345"/>
      <c r="AE45" s="370"/>
      <c r="AF45" s="345"/>
      <c r="AG45" s="345"/>
      <c r="AH45" s="345"/>
      <c r="AI45" s="345"/>
      <c r="AJ45" s="345"/>
      <c r="AK45" s="345"/>
      <c r="AL45" s="345"/>
      <c r="AM45" s="370"/>
      <c r="AN45" s="345"/>
      <c r="AO45" s="345"/>
      <c r="AP45" s="345"/>
      <c r="AQ45" s="345"/>
      <c r="AR45" s="345"/>
      <c r="AS45" s="345"/>
      <c r="AT45" s="345"/>
      <c r="AU45" s="370"/>
      <c r="AV45" s="345"/>
      <c r="AW45" s="345"/>
      <c r="AX45" s="345"/>
      <c r="AY45" s="345"/>
      <c r="AZ45" s="345"/>
      <c r="BA45" s="345"/>
      <c r="BB45" s="345"/>
      <c r="BC45" s="370"/>
      <c r="BD45" s="345"/>
      <c r="BE45" s="345"/>
      <c r="BF45" s="345"/>
      <c r="BG45" s="345"/>
      <c r="BH45" s="345"/>
      <c r="BI45" s="345"/>
      <c r="BJ45" s="345"/>
      <c r="BK45" s="371">
        <f>'Учебный план'!CL64</f>
        <v>0</v>
      </c>
      <c r="BL45" s="371">
        <f>'Учебный план'!CM64</f>
        <v>0</v>
      </c>
    </row>
    <row r="46" spans="1:64" s="111" customFormat="1" ht="25.5" customHeight="1">
      <c r="A46" s="603" t="str">
        <f>'Учебный план'!A65</f>
        <v>ПМ.03</v>
      </c>
      <c r="B46" s="778" t="str">
        <f>'Учебный план'!B65:I65</f>
        <v>Организация работы структурного подразделения </v>
      </c>
      <c r="C46" s="778"/>
      <c r="D46" s="778"/>
      <c r="E46" s="778"/>
      <c r="F46" s="778"/>
      <c r="G46" s="778"/>
      <c r="H46" s="778"/>
      <c r="I46" s="778"/>
      <c r="J46" s="603"/>
      <c r="K46" s="603"/>
      <c r="L46" s="549">
        <f>'Учебный план'!L65</f>
        <v>154</v>
      </c>
      <c r="M46" s="549">
        <f>'Учебный план'!M65</f>
        <v>104</v>
      </c>
      <c r="N46" s="549">
        <f>SUM(O46+U46+V46)</f>
        <v>154</v>
      </c>
      <c r="O46" s="549">
        <f>SUM(P46:T46)</f>
        <v>46</v>
      </c>
      <c r="P46" s="549">
        <f>AF46+AN46+AV46+BE46</f>
        <v>22</v>
      </c>
      <c r="Q46" s="549">
        <f>AG46+AO46+AW46+BF46</f>
        <v>0</v>
      </c>
      <c r="R46" s="549">
        <f>AH46+AP46+AX46+BG46</f>
        <v>24</v>
      </c>
      <c r="S46" s="549"/>
      <c r="T46" s="549">
        <f>AJ46+AR46+AZ46+BH46</f>
        <v>0</v>
      </c>
      <c r="U46" s="549">
        <f>AK46+AS46+BA46+BI46</f>
        <v>0</v>
      </c>
      <c r="V46" s="549">
        <f>AL46+AT46+BB46+BJ46</f>
        <v>108</v>
      </c>
      <c r="W46" s="549">
        <f aca="true" t="shared" si="46" ref="W46:AD46">SUM(W48:W50)</f>
        <v>0</v>
      </c>
      <c r="X46" s="549">
        <f t="shared" si="46"/>
        <v>0</v>
      </c>
      <c r="Y46" s="549">
        <f t="shared" si="46"/>
        <v>0</v>
      </c>
      <c r="Z46" s="549">
        <f t="shared" si="46"/>
        <v>0</v>
      </c>
      <c r="AA46" s="549"/>
      <c r="AB46" s="549">
        <f t="shared" si="46"/>
        <v>0</v>
      </c>
      <c r="AC46" s="549">
        <f t="shared" si="46"/>
        <v>0</v>
      </c>
      <c r="AD46" s="549">
        <f t="shared" si="46"/>
        <v>0</v>
      </c>
      <c r="AE46" s="549">
        <f aca="true" t="shared" si="47" ref="AE46:BJ46">SUM(AE48:AE50)</f>
        <v>0</v>
      </c>
      <c r="AF46" s="549">
        <f t="shared" si="47"/>
        <v>0</v>
      </c>
      <c r="AG46" s="549">
        <f t="shared" si="47"/>
        <v>0</v>
      </c>
      <c r="AH46" s="549">
        <f t="shared" si="47"/>
        <v>0</v>
      </c>
      <c r="AI46" s="549"/>
      <c r="AJ46" s="549">
        <f t="shared" si="47"/>
        <v>0</v>
      </c>
      <c r="AK46" s="549">
        <f t="shared" si="47"/>
        <v>0</v>
      </c>
      <c r="AL46" s="549">
        <f t="shared" si="47"/>
        <v>0</v>
      </c>
      <c r="AM46" s="549">
        <f t="shared" si="47"/>
        <v>48</v>
      </c>
      <c r="AN46" s="549">
        <f t="shared" si="47"/>
        <v>8</v>
      </c>
      <c r="AO46" s="549">
        <f t="shared" si="47"/>
        <v>0</v>
      </c>
      <c r="AP46" s="549">
        <f t="shared" si="47"/>
        <v>0</v>
      </c>
      <c r="AQ46" s="549"/>
      <c r="AR46" s="549">
        <f t="shared" si="47"/>
        <v>0</v>
      </c>
      <c r="AS46" s="549">
        <f t="shared" si="47"/>
        <v>0</v>
      </c>
      <c r="AT46" s="549">
        <f t="shared" si="47"/>
        <v>40</v>
      </c>
      <c r="AU46" s="549">
        <f t="shared" si="47"/>
        <v>106</v>
      </c>
      <c r="AV46" s="549">
        <f t="shared" si="47"/>
        <v>14</v>
      </c>
      <c r="AW46" s="549">
        <f t="shared" si="47"/>
        <v>0</v>
      </c>
      <c r="AX46" s="549">
        <f t="shared" si="47"/>
        <v>24</v>
      </c>
      <c r="AY46" s="549"/>
      <c r="AZ46" s="549">
        <f t="shared" si="47"/>
        <v>0</v>
      </c>
      <c r="BA46" s="549">
        <f t="shared" si="47"/>
        <v>0</v>
      </c>
      <c r="BB46" s="549">
        <f t="shared" si="47"/>
        <v>68</v>
      </c>
      <c r="BC46" s="549">
        <f t="shared" si="47"/>
        <v>0</v>
      </c>
      <c r="BD46" s="549">
        <f t="shared" si="47"/>
        <v>0</v>
      </c>
      <c r="BE46" s="549">
        <f t="shared" si="47"/>
        <v>0</v>
      </c>
      <c r="BF46" s="549">
        <f t="shared" si="47"/>
        <v>0</v>
      </c>
      <c r="BG46" s="549">
        <f t="shared" si="47"/>
        <v>0</v>
      </c>
      <c r="BH46" s="549">
        <f t="shared" si="47"/>
        <v>0</v>
      </c>
      <c r="BI46" s="549">
        <f t="shared" si="47"/>
        <v>0</v>
      </c>
      <c r="BJ46" s="549">
        <f t="shared" si="47"/>
        <v>0</v>
      </c>
      <c r="BK46" s="551">
        <f>'Учебный план'!CL65</f>
        <v>0</v>
      </c>
      <c r="BL46" s="551">
        <f>'Учебный план'!CM65</f>
        <v>0</v>
      </c>
    </row>
    <row r="47" spans="1:64" s="111" customFormat="1" ht="25.5" customHeight="1">
      <c r="A47" s="601" t="str">
        <f>'Учебный план'!A66</f>
        <v>МДК.03.01</v>
      </c>
      <c r="B47" s="797" t="str">
        <f>'Учебный план'!B66:I66</f>
        <v>Основы управления структурным подразделением</v>
      </c>
      <c r="C47" s="797"/>
      <c r="D47" s="797"/>
      <c r="E47" s="797"/>
      <c r="F47" s="797"/>
      <c r="G47" s="797"/>
      <c r="H47" s="797"/>
      <c r="I47" s="797"/>
      <c r="J47" s="601"/>
      <c r="K47" s="601"/>
      <c r="L47" s="555"/>
      <c r="M47" s="555"/>
      <c r="N47" s="555"/>
      <c r="O47" s="555"/>
      <c r="P47" s="555"/>
      <c r="Q47" s="555"/>
      <c r="R47" s="555"/>
      <c r="S47" s="555"/>
      <c r="T47" s="555"/>
      <c r="U47" s="555"/>
      <c r="V47" s="555"/>
      <c r="W47" s="555"/>
      <c r="X47" s="555"/>
      <c r="Y47" s="555"/>
      <c r="Z47" s="555"/>
      <c r="AA47" s="555"/>
      <c r="AB47" s="555"/>
      <c r="AC47" s="555"/>
      <c r="AD47" s="555"/>
      <c r="AE47" s="555"/>
      <c r="AF47" s="555"/>
      <c r="AG47" s="555"/>
      <c r="AH47" s="555"/>
      <c r="AI47" s="555"/>
      <c r="AJ47" s="555"/>
      <c r="AK47" s="555"/>
      <c r="AL47" s="555"/>
      <c r="AM47" s="555"/>
      <c r="AN47" s="555"/>
      <c r="AO47" s="555"/>
      <c r="AP47" s="555"/>
      <c r="AQ47" s="555"/>
      <c r="AR47" s="555"/>
      <c r="AS47" s="555"/>
      <c r="AT47" s="555"/>
      <c r="AU47" s="555"/>
      <c r="AV47" s="555"/>
      <c r="AW47" s="555"/>
      <c r="AX47" s="555"/>
      <c r="AY47" s="555"/>
      <c r="AZ47" s="555"/>
      <c r="BA47" s="555"/>
      <c r="BB47" s="555"/>
      <c r="BC47" s="555"/>
      <c r="BD47" s="555"/>
      <c r="BE47" s="555"/>
      <c r="BF47" s="555"/>
      <c r="BG47" s="555"/>
      <c r="BH47" s="555"/>
      <c r="BI47" s="555"/>
      <c r="BJ47" s="555"/>
      <c r="BK47" s="557"/>
      <c r="BL47" s="557" t="str">
        <f>'Учебный план'!CM66</f>
        <v>ОК 1-10; ПК 3.1-3.3</v>
      </c>
    </row>
    <row r="48" spans="1:64" s="111" customFormat="1" ht="25.5" customHeight="1">
      <c r="A48" s="360">
        <f>'Учебный план'!A67</f>
        <v>0</v>
      </c>
      <c r="B48" s="360" t="str">
        <f>'Учебный план'!B67</f>
        <v>Планирование и руководство работы структурного подразделения</v>
      </c>
      <c r="C48" s="360">
        <f>'Учебный план'!C65</f>
        <v>0</v>
      </c>
      <c r="D48" s="106"/>
      <c r="E48" s="106" t="s">
        <v>29</v>
      </c>
      <c r="F48" s="106"/>
      <c r="G48" s="106"/>
      <c r="H48" s="106"/>
      <c r="I48" s="106"/>
      <c r="J48" s="109">
        <f>L48-N48</f>
        <v>0</v>
      </c>
      <c r="K48" s="106">
        <f>M48*$K$1</f>
        <v>0</v>
      </c>
      <c r="L48" s="362">
        <f>'Учебный план'!L67</f>
        <v>48</v>
      </c>
      <c r="M48" s="362">
        <f>'Учебный план'!M67</f>
        <v>32</v>
      </c>
      <c r="N48" s="362">
        <f>SUM(O48+U48+V48)</f>
        <v>48</v>
      </c>
      <c r="O48" s="362">
        <f>SUM(P48:T48)</f>
        <v>8</v>
      </c>
      <c r="P48" s="362">
        <f aca="true" t="shared" si="48" ref="P48:R49">AF48+AN48+AV48+BE48+X48</f>
        <v>8</v>
      </c>
      <c r="Q48" s="362">
        <f t="shared" si="48"/>
        <v>0</v>
      </c>
      <c r="R48" s="362">
        <f t="shared" si="48"/>
        <v>0</v>
      </c>
      <c r="S48" s="362"/>
      <c r="T48" s="362">
        <f>AJ48+AR48+AZ48+BH48</f>
        <v>0</v>
      </c>
      <c r="U48" s="362">
        <f>AK48+AS48+BA48+BI48</f>
        <v>0</v>
      </c>
      <c r="V48" s="362">
        <f>AL48+AT48+BB48+BJ48+AD48</f>
        <v>40</v>
      </c>
      <c r="W48" s="362">
        <f>SUM(X48:AD48)</f>
        <v>0</v>
      </c>
      <c r="X48" s="109"/>
      <c r="Y48" s="109"/>
      <c r="Z48" s="109"/>
      <c r="AA48" s="109"/>
      <c r="AB48" s="109"/>
      <c r="AC48" s="109"/>
      <c r="AD48" s="109"/>
      <c r="AE48" s="362">
        <f>SUM(AF48:AL48)</f>
        <v>0</v>
      </c>
      <c r="AF48" s="109"/>
      <c r="AG48" s="109"/>
      <c r="AH48" s="109"/>
      <c r="AI48" s="109"/>
      <c r="AJ48" s="109"/>
      <c r="AK48" s="109"/>
      <c r="AL48" s="109"/>
      <c r="AM48" s="362">
        <f>SUM(AN48:AT48)</f>
        <v>48</v>
      </c>
      <c r="AN48" s="109">
        <v>8</v>
      </c>
      <c r="AO48" s="109"/>
      <c r="AP48" s="109"/>
      <c r="AQ48" s="109"/>
      <c r="AR48" s="109"/>
      <c r="AS48" s="109"/>
      <c r="AT48" s="109">
        <v>40</v>
      </c>
      <c r="AU48" s="362">
        <f>SUM(AV48:BB48)</f>
        <v>0</v>
      </c>
      <c r="AV48" s="109"/>
      <c r="AW48" s="109"/>
      <c r="AX48" s="109"/>
      <c r="AY48" s="109"/>
      <c r="AZ48" s="109"/>
      <c r="BA48" s="109"/>
      <c r="BB48" s="109"/>
      <c r="BC48" s="362">
        <f t="shared" si="9"/>
        <v>0</v>
      </c>
      <c r="BD48" s="109"/>
      <c r="BE48" s="109"/>
      <c r="BF48" s="109"/>
      <c r="BG48" s="109"/>
      <c r="BH48" s="109"/>
      <c r="BI48" s="109"/>
      <c r="BJ48" s="109"/>
      <c r="BK48" s="343" t="str">
        <f>'Учебный план'!CL67</f>
        <v>64-1</v>
      </c>
      <c r="BL48" s="343" t="str">
        <f>'Учебный план'!CM67</f>
        <v>ОК 1-10; ПК 3.1-3.3</v>
      </c>
    </row>
    <row r="49" spans="1:64" s="582" customFormat="1" ht="25.5" customHeight="1">
      <c r="A49" s="1051">
        <f>'Учебный план'!A68</f>
        <v>0</v>
      </c>
      <c r="B49" s="593" t="str">
        <f>'Учебный план'!B68</f>
        <v>Анализ деятельности структурного подразделения</v>
      </c>
      <c r="C49" s="585">
        <f>'Учебный план'!C67</f>
        <v>0</v>
      </c>
      <c r="D49" s="586"/>
      <c r="E49" s="586" t="s">
        <v>38</v>
      </c>
      <c r="F49" s="586"/>
      <c r="G49" s="586"/>
      <c r="H49" s="586" t="s">
        <v>38</v>
      </c>
      <c r="I49" s="586"/>
      <c r="J49" s="527">
        <f>L49-N49</f>
        <v>0</v>
      </c>
      <c r="K49" s="586">
        <f>M49*$K$1</f>
        <v>0</v>
      </c>
      <c r="L49" s="587">
        <f>'Учебный план'!L68</f>
        <v>106</v>
      </c>
      <c r="M49" s="587">
        <f>'Учебный план'!M68</f>
        <v>72</v>
      </c>
      <c r="N49" s="588">
        <f>SUM(O49+U49+V49)</f>
        <v>106</v>
      </c>
      <c r="O49" s="589">
        <f>SUM(P49:T49)</f>
        <v>38</v>
      </c>
      <c r="P49" s="589">
        <f t="shared" si="48"/>
        <v>14</v>
      </c>
      <c r="Q49" s="589">
        <f t="shared" si="48"/>
        <v>0</v>
      </c>
      <c r="R49" s="589">
        <f t="shared" si="48"/>
        <v>24</v>
      </c>
      <c r="S49" s="589"/>
      <c r="T49" s="589">
        <f>AJ49+AR49+AZ49+BH49</f>
        <v>0</v>
      </c>
      <c r="U49" s="589">
        <f>AK49+AS49+BA49+BI49</f>
        <v>0</v>
      </c>
      <c r="V49" s="589">
        <f>AL49+AT49+BB49+BJ49+AD49</f>
        <v>68</v>
      </c>
      <c r="W49" s="590">
        <f>SUM(X49:AD49)</f>
        <v>0</v>
      </c>
      <c r="X49" s="527"/>
      <c r="Y49" s="527"/>
      <c r="Z49" s="527"/>
      <c r="AA49" s="527"/>
      <c r="AB49" s="527"/>
      <c r="AC49" s="527"/>
      <c r="AD49" s="527"/>
      <c r="AE49" s="590">
        <f>SUM(AF49:AL49)</f>
        <v>0</v>
      </c>
      <c r="AF49" s="527"/>
      <c r="AG49" s="527"/>
      <c r="AH49" s="527"/>
      <c r="AI49" s="527"/>
      <c r="AJ49" s="527"/>
      <c r="AK49" s="527"/>
      <c r="AL49" s="527"/>
      <c r="AM49" s="590">
        <f>SUM(AN49:AT49)</f>
        <v>0</v>
      </c>
      <c r="AN49" s="527"/>
      <c r="AO49" s="527"/>
      <c r="AP49" s="527"/>
      <c r="AQ49" s="527"/>
      <c r="AR49" s="527"/>
      <c r="AS49" s="527"/>
      <c r="AT49" s="527"/>
      <c r="AU49" s="590">
        <f>SUM(AV49:BB49)</f>
        <v>106</v>
      </c>
      <c r="AV49" s="1052">
        <v>14</v>
      </c>
      <c r="AW49" s="1052"/>
      <c r="AX49" s="1052">
        <v>24</v>
      </c>
      <c r="AY49" s="591"/>
      <c r="AZ49" s="591"/>
      <c r="BA49" s="591"/>
      <c r="BB49" s="591">
        <v>68</v>
      </c>
      <c r="BC49" s="590">
        <f>SUM(BD49:BJ49)</f>
        <v>0</v>
      </c>
      <c r="BD49" s="527"/>
      <c r="BE49" s="527"/>
      <c r="BF49" s="527"/>
      <c r="BG49" s="527"/>
      <c r="BH49" s="527"/>
      <c r="BI49" s="527"/>
      <c r="BJ49" s="527"/>
      <c r="BK49" s="592" t="str">
        <f>'Учебный план'!CL68</f>
        <v>64-1</v>
      </c>
      <c r="BL49" s="592" t="str">
        <f>'Учебный план'!CM68</f>
        <v>ОК 1-10; ПК 3.1-3.3</v>
      </c>
    </row>
    <row r="50" spans="1:64" s="111" customFormat="1" ht="25.5" customHeight="1">
      <c r="A50" s="367" t="str">
        <f>'Учебный план'!A69</f>
        <v>Экзамен квалификационный</v>
      </c>
      <c r="B50" s="375"/>
      <c r="C50" s="375"/>
      <c r="D50" s="359" t="s">
        <v>38</v>
      </c>
      <c r="E50" s="313"/>
      <c r="F50" s="313"/>
      <c r="G50" s="313"/>
      <c r="H50" s="313"/>
      <c r="I50" s="313"/>
      <c r="J50" s="313"/>
      <c r="K50" s="313"/>
      <c r="L50" s="370">
        <f>'Учебный план'!L69</f>
        <v>0</v>
      </c>
      <c r="M50" s="370">
        <f>'Учебный план'!M69</f>
        <v>0</v>
      </c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45"/>
      <c r="Y50" s="345"/>
      <c r="Z50" s="345"/>
      <c r="AA50" s="345"/>
      <c r="AB50" s="345"/>
      <c r="AC50" s="345"/>
      <c r="AD50" s="345"/>
      <c r="AE50" s="370"/>
      <c r="AF50" s="345"/>
      <c r="AG50" s="345"/>
      <c r="AH50" s="345"/>
      <c r="AI50" s="345"/>
      <c r="AJ50" s="345"/>
      <c r="AK50" s="345"/>
      <c r="AL50" s="345"/>
      <c r="AM50" s="370"/>
      <c r="AN50" s="345"/>
      <c r="AO50" s="345"/>
      <c r="AP50" s="345"/>
      <c r="AQ50" s="345"/>
      <c r="AR50" s="345"/>
      <c r="AS50" s="345"/>
      <c r="AT50" s="345"/>
      <c r="AU50" s="370"/>
      <c r="AV50" s="345"/>
      <c r="AW50" s="345"/>
      <c r="AX50" s="345"/>
      <c r="AY50" s="345"/>
      <c r="AZ50" s="345"/>
      <c r="BA50" s="345"/>
      <c r="BB50" s="345"/>
      <c r="BC50" s="370"/>
      <c r="BD50" s="345"/>
      <c r="BE50" s="345"/>
      <c r="BF50" s="345"/>
      <c r="BG50" s="345"/>
      <c r="BH50" s="345"/>
      <c r="BI50" s="345"/>
      <c r="BJ50" s="345"/>
      <c r="BK50" s="371">
        <f>'Учебный план'!CL69</f>
        <v>0</v>
      </c>
      <c r="BL50" s="371">
        <f>'Учебный план'!CM69</f>
        <v>0</v>
      </c>
    </row>
    <row r="51" spans="1:64" s="111" customFormat="1" ht="25.5" customHeight="1">
      <c r="A51" s="603" t="str">
        <f>'Учебный план'!A70</f>
        <v>ПМ.04</v>
      </c>
      <c r="B51" s="778" t="str">
        <f>'Учебный план'!B70:I70</f>
        <v>Выполнение работ по одной или нескольким профессиям рабочих, должностям служащих</v>
      </c>
      <c r="C51" s="778"/>
      <c r="D51" s="778"/>
      <c r="E51" s="778"/>
      <c r="F51" s="778"/>
      <c r="G51" s="778"/>
      <c r="H51" s="778"/>
      <c r="I51" s="778"/>
      <c r="J51" s="603"/>
      <c r="K51" s="552"/>
      <c r="L51" s="549">
        <f>'Учебный план'!L70</f>
        <v>161</v>
      </c>
      <c r="M51" s="549">
        <f>'Учебный план'!M70</f>
        <v>109</v>
      </c>
      <c r="N51" s="549">
        <f>SUM(O51+U51+V51)</f>
        <v>161</v>
      </c>
      <c r="O51" s="549">
        <f>SUM(P51:T51)</f>
        <v>22</v>
      </c>
      <c r="P51" s="549">
        <f>AF51+AN51+AV51+BE51</f>
        <v>16</v>
      </c>
      <c r="Q51" s="549">
        <f>AG51+AO51+AW51+BF51</f>
        <v>6</v>
      </c>
      <c r="R51" s="549">
        <f>AH51+AP51+AX51+BG51</f>
        <v>0</v>
      </c>
      <c r="S51" s="549"/>
      <c r="T51" s="549">
        <f>AJ51+AR51+AZ51+BH51</f>
        <v>0</v>
      </c>
      <c r="U51" s="549">
        <f>AK51+AS51+BA51+BI51</f>
        <v>0</v>
      </c>
      <c r="V51" s="549">
        <f>AL51+AT51+BB51+BJ51</f>
        <v>139</v>
      </c>
      <c r="W51" s="550">
        <f aca="true" t="shared" si="49" ref="W51:BJ51">SUM(W52:W52)</f>
        <v>0</v>
      </c>
      <c r="X51" s="550">
        <f t="shared" si="49"/>
        <v>0</v>
      </c>
      <c r="Y51" s="550">
        <f t="shared" si="49"/>
        <v>0</v>
      </c>
      <c r="Z51" s="550">
        <f t="shared" si="49"/>
        <v>0</v>
      </c>
      <c r="AA51" s="550"/>
      <c r="AB51" s="550">
        <f t="shared" si="49"/>
        <v>0</v>
      </c>
      <c r="AC51" s="550">
        <f t="shared" si="49"/>
        <v>0</v>
      </c>
      <c r="AD51" s="550">
        <f t="shared" si="49"/>
        <v>0</v>
      </c>
      <c r="AE51" s="550">
        <f t="shared" si="49"/>
        <v>161</v>
      </c>
      <c r="AF51" s="550">
        <f t="shared" si="49"/>
        <v>16</v>
      </c>
      <c r="AG51" s="550">
        <f t="shared" si="49"/>
        <v>6</v>
      </c>
      <c r="AH51" s="550">
        <f t="shared" si="49"/>
        <v>0</v>
      </c>
      <c r="AI51" s="550"/>
      <c r="AJ51" s="550">
        <f t="shared" si="49"/>
        <v>0</v>
      </c>
      <c r="AK51" s="550">
        <f t="shared" si="49"/>
        <v>0</v>
      </c>
      <c r="AL51" s="550">
        <f t="shared" si="49"/>
        <v>139</v>
      </c>
      <c r="AM51" s="550">
        <f t="shared" si="49"/>
        <v>0</v>
      </c>
      <c r="AN51" s="550">
        <f t="shared" si="49"/>
        <v>0</v>
      </c>
      <c r="AO51" s="550">
        <f t="shared" si="49"/>
        <v>0</v>
      </c>
      <c r="AP51" s="550">
        <f t="shared" si="49"/>
        <v>0</v>
      </c>
      <c r="AQ51" s="550"/>
      <c r="AR51" s="550">
        <f t="shared" si="49"/>
        <v>0</v>
      </c>
      <c r="AS51" s="550">
        <f t="shared" si="49"/>
        <v>0</v>
      </c>
      <c r="AT51" s="550">
        <f t="shared" si="49"/>
        <v>0</v>
      </c>
      <c r="AU51" s="550">
        <f t="shared" si="49"/>
        <v>0</v>
      </c>
      <c r="AV51" s="550">
        <f t="shared" si="49"/>
        <v>0</v>
      </c>
      <c r="AW51" s="550">
        <f t="shared" si="49"/>
        <v>0</v>
      </c>
      <c r="AX51" s="550">
        <f t="shared" si="49"/>
        <v>0</v>
      </c>
      <c r="AY51" s="550"/>
      <c r="AZ51" s="550">
        <f t="shared" si="49"/>
        <v>0</v>
      </c>
      <c r="BA51" s="550">
        <f t="shared" si="49"/>
        <v>0</v>
      </c>
      <c r="BB51" s="550">
        <f t="shared" si="49"/>
        <v>0</v>
      </c>
      <c r="BC51" s="550">
        <f t="shared" si="49"/>
        <v>0</v>
      </c>
      <c r="BD51" s="550">
        <f t="shared" si="49"/>
        <v>0</v>
      </c>
      <c r="BE51" s="550">
        <f t="shared" si="49"/>
        <v>0</v>
      </c>
      <c r="BF51" s="550">
        <f t="shared" si="49"/>
        <v>0</v>
      </c>
      <c r="BG51" s="550">
        <f t="shared" si="49"/>
        <v>0</v>
      </c>
      <c r="BH51" s="550">
        <f t="shared" si="49"/>
        <v>0</v>
      </c>
      <c r="BI51" s="550">
        <f t="shared" si="49"/>
        <v>0</v>
      </c>
      <c r="BJ51" s="550">
        <f t="shared" si="49"/>
        <v>0</v>
      </c>
      <c r="BK51" s="551">
        <f>'Учебный план'!CL70</f>
        <v>0</v>
      </c>
      <c r="BL51" s="551">
        <f>'Учебный план'!CM70</f>
        <v>0</v>
      </c>
    </row>
    <row r="52" spans="1:64" s="111" customFormat="1" ht="25.5" customHeight="1">
      <c r="A52" s="366">
        <f>'Учебный план'!A71</f>
        <v>0</v>
      </c>
      <c r="B52" s="366" t="str">
        <f>'Учебный план'!B71</f>
        <v>Моторист (машинист)</v>
      </c>
      <c r="C52" s="360">
        <f>'Учебный план'!C70</f>
        <v>0</v>
      </c>
      <c r="D52" s="106"/>
      <c r="E52" s="106" t="s">
        <v>30</v>
      </c>
      <c r="F52" s="106"/>
      <c r="G52" s="106"/>
      <c r="H52" s="106"/>
      <c r="I52" s="106"/>
      <c r="J52" s="109">
        <f>L52-N52</f>
        <v>0</v>
      </c>
      <c r="K52" s="106">
        <f>M52*$K$1</f>
        <v>0</v>
      </c>
      <c r="L52" s="362">
        <f>'Учебный план'!L71</f>
        <v>161</v>
      </c>
      <c r="M52" s="362">
        <f>'Учебный план'!M71</f>
        <v>109</v>
      </c>
      <c r="N52" s="108">
        <f>SUM(O52+U52+V52)</f>
        <v>161</v>
      </c>
      <c r="O52" s="108">
        <f>SUM(P52:T52)</f>
        <v>22</v>
      </c>
      <c r="P52" s="108">
        <f>AF52+AN52+AV52+BE52+X52</f>
        <v>16</v>
      </c>
      <c r="Q52" s="108">
        <f>AG52+AO52+AW52+BF52+Y52</f>
        <v>6</v>
      </c>
      <c r="R52" s="108">
        <f>AH52+AP52+AX52+BG52+Z52</f>
        <v>0</v>
      </c>
      <c r="S52" s="108"/>
      <c r="T52" s="108">
        <f>AJ52+AR52+AZ52+BH52</f>
        <v>0</v>
      </c>
      <c r="U52" s="108">
        <f>AK52+AS52+BA52+BI52</f>
        <v>0</v>
      </c>
      <c r="V52" s="108">
        <f>AL52+AT52+BB52+BJ52+AD52</f>
        <v>139</v>
      </c>
      <c r="W52" s="174">
        <f>SUM(X52:AD52)</f>
        <v>0</v>
      </c>
      <c r="X52" s="109"/>
      <c r="Y52" s="109"/>
      <c r="Z52" s="109"/>
      <c r="AA52" s="109"/>
      <c r="AB52" s="109"/>
      <c r="AC52" s="109"/>
      <c r="AD52" s="109"/>
      <c r="AE52" s="174">
        <f>SUM(AF52:AL52)</f>
        <v>161</v>
      </c>
      <c r="AF52" s="109">
        <v>16</v>
      </c>
      <c r="AG52" s="109">
        <v>6</v>
      </c>
      <c r="AH52" s="109"/>
      <c r="AI52" s="109"/>
      <c r="AJ52" s="109"/>
      <c r="AK52" s="109"/>
      <c r="AL52" s="109">
        <v>139</v>
      </c>
      <c r="AM52" s="174">
        <f>SUM(AN52:AT52)</f>
        <v>0</v>
      </c>
      <c r="AN52" s="109"/>
      <c r="AO52" s="109"/>
      <c r="AP52" s="109"/>
      <c r="AQ52" s="109"/>
      <c r="AR52" s="109"/>
      <c r="AS52" s="109"/>
      <c r="AT52" s="109"/>
      <c r="AU52" s="174">
        <f>SUM(AV52:BB52)</f>
        <v>0</v>
      </c>
      <c r="AV52" s="109"/>
      <c r="AW52" s="109"/>
      <c r="AX52" s="109"/>
      <c r="AY52" s="109"/>
      <c r="AZ52" s="109"/>
      <c r="BA52" s="109"/>
      <c r="BB52" s="109"/>
      <c r="BC52" s="174">
        <f t="shared" si="9"/>
        <v>0</v>
      </c>
      <c r="BD52" s="109"/>
      <c r="BE52" s="109"/>
      <c r="BF52" s="109"/>
      <c r="BG52" s="109"/>
      <c r="BH52" s="109"/>
      <c r="BI52" s="109"/>
      <c r="BJ52" s="109"/>
      <c r="BK52" s="343" t="str">
        <f>'Учебный план'!CL71</f>
        <v>64-4</v>
      </c>
      <c r="BL52" s="343" t="str">
        <f>'Учебный план'!CM71</f>
        <v>ОК 1-10; ПК 1.1-1.5</v>
      </c>
    </row>
    <row r="53" spans="1:64" s="111" customFormat="1" ht="25.5" customHeight="1">
      <c r="A53" s="367" t="str">
        <f>'Учебный план'!A73</f>
        <v>Экзамен квалификационный</v>
      </c>
      <c r="B53" s="375"/>
      <c r="C53" s="375"/>
      <c r="D53" s="313" t="s">
        <v>29</v>
      </c>
      <c r="E53" s="313"/>
      <c r="F53" s="313"/>
      <c r="G53" s="313"/>
      <c r="H53" s="313"/>
      <c r="I53" s="313"/>
      <c r="J53" s="313"/>
      <c r="K53" s="313"/>
      <c r="L53" s="370">
        <f>'Учебный план'!L73</f>
        <v>0</v>
      </c>
      <c r="M53" s="370">
        <f>'Учебный план'!M73</f>
        <v>0</v>
      </c>
      <c r="N53" s="370"/>
      <c r="O53" s="370"/>
      <c r="P53" s="370"/>
      <c r="Q53" s="370"/>
      <c r="R53" s="370"/>
      <c r="S53" s="370"/>
      <c r="T53" s="370"/>
      <c r="U53" s="370"/>
      <c r="V53" s="370"/>
      <c r="W53" s="370"/>
      <c r="X53" s="345"/>
      <c r="Y53" s="345"/>
      <c r="Z53" s="345"/>
      <c r="AA53" s="345"/>
      <c r="AB53" s="345"/>
      <c r="AC53" s="345"/>
      <c r="AD53" s="345"/>
      <c r="AE53" s="370"/>
      <c r="AF53" s="345"/>
      <c r="AG53" s="345"/>
      <c r="AH53" s="345"/>
      <c r="AI53" s="345"/>
      <c r="AJ53" s="345"/>
      <c r="AK53" s="345"/>
      <c r="AL53" s="345"/>
      <c r="AM53" s="370"/>
      <c r="AN53" s="345"/>
      <c r="AO53" s="345"/>
      <c r="AP53" s="345"/>
      <c r="AQ53" s="345"/>
      <c r="AR53" s="345"/>
      <c r="AS53" s="345"/>
      <c r="AT53" s="345"/>
      <c r="AU53" s="370"/>
      <c r="AV53" s="345"/>
      <c r="AW53" s="345"/>
      <c r="AX53" s="345"/>
      <c r="AY53" s="345"/>
      <c r="AZ53" s="345"/>
      <c r="BA53" s="345"/>
      <c r="BB53" s="345"/>
      <c r="BC53" s="370"/>
      <c r="BD53" s="345"/>
      <c r="BE53" s="345"/>
      <c r="BF53" s="345"/>
      <c r="BG53" s="345"/>
      <c r="BH53" s="345"/>
      <c r="BI53" s="345"/>
      <c r="BJ53" s="345"/>
      <c r="BK53" s="371">
        <f>'Учебный план'!CL73</f>
        <v>0</v>
      </c>
      <c r="BL53" s="371">
        <f>'Учебный план'!CM73</f>
        <v>0</v>
      </c>
    </row>
    <row r="54" spans="1:64" s="377" customFormat="1" ht="25.5" customHeight="1">
      <c r="A54" s="604">
        <f>'Учебный план'!A74</f>
        <v>0</v>
      </c>
      <c r="B54" s="780" t="str">
        <f>'Учебный план'!B74</f>
        <v>Вариативная часть циклов ППССЗ</v>
      </c>
      <c r="C54" s="780"/>
      <c r="D54" s="376" t="s">
        <v>26</v>
      </c>
      <c r="E54" s="376"/>
      <c r="F54" s="376"/>
      <c r="G54" s="376"/>
      <c r="H54" s="376"/>
      <c r="I54" s="376"/>
      <c r="J54" s="399">
        <v>1242</v>
      </c>
      <c r="K54" s="399">
        <v>828</v>
      </c>
      <c r="L54" s="224">
        <v>1242</v>
      </c>
      <c r="M54" s="224">
        <v>828</v>
      </c>
      <c r="N54" s="372">
        <f>SUM(N55:N57)</f>
        <v>219</v>
      </c>
      <c r="O54" s="372">
        <f aca="true" t="shared" si="50" ref="O54:V54">SUM(O55:O57)</f>
        <v>32</v>
      </c>
      <c r="P54" s="372">
        <f t="shared" si="50"/>
        <v>24</v>
      </c>
      <c r="Q54" s="372">
        <f t="shared" si="50"/>
        <v>8</v>
      </c>
      <c r="R54" s="372">
        <f t="shared" si="50"/>
        <v>0</v>
      </c>
      <c r="S54" s="372">
        <f t="shared" si="50"/>
        <v>0</v>
      </c>
      <c r="T54" s="372">
        <f t="shared" si="50"/>
        <v>0</v>
      </c>
      <c r="U54" s="372">
        <f t="shared" si="50"/>
        <v>0</v>
      </c>
      <c r="V54" s="372">
        <f t="shared" si="50"/>
        <v>187</v>
      </c>
      <c r="W54" s="372">
        <f aca="true" t="shared" si="51" ref="W54:BJ54">SUM(W55:W57)</f>
        <v>48</v>
      </c>
      <c r="X54" s="372">
        <f t="shared" si="51"/>
        <v>10</v>
      </c>
      <c r="Y54" s="372">
        <f t="shared" si="51"/>
        <v>0</v>
      </c>
      <c r="Z54" s="372">
        <f t="shared" si="51"/>
        <v>0</v>
      </c>
      <c r="AA54" s="372"/>
      <c r="AB54" s="372">
        <f t="shared" si="51"/>
        <v>0</v>
      </c>
      <c r="AC54" s="372">
        <f t="shared" si="51"/>
        <v>0</v>
      </c>
      <c r="AD54" s="372">
        <f t="shared" si="51"/>
        <v>38</v>
      </c>
      <c r="AE54" s="372">
        <f t="shared" si="51"/>
        <v>0</v>
      </c>
      <c r="AF54" s="372">
        <f t="shared" si="51"/>
        <v>0</v>
      </c>
      <c r="AG54" s="372">
        <f t="shared" si="51"/>
        <v>0</v>
      </c>
      <c r="AH54" s="372">
        <f t="shared" si="51"/>
        <v>0</v>
      </c>
      <c r="AI54" s="372"/>
      <c r="AJ54" s="372">
        <f t="shared" si="51"/>
        <v>0</v>
      </c>
      <c r="AK54" s="372">
        <f t="shared" si="51"/>
        <v>0</v>
      </c>
      <c r="AL54" s="372">
        <f t="shared" si="51"/>
        <v>0</v>
      </c>
      <c r="AM54" s="372">
        <f t="shared" si="51"/>
        <v>117</v>
      </c>
      <c r="AN54" s="372">
        <f t="shared" si="51"/>
        <v>14</v>
      </c>
      <c r="AO54" s="372">
        <f t="shared" si="51"/>
        <v>0</v>
      </c>
      <c r="AP54" s="372">
        <f t="shared" si="51"/>
        <v>0</v>
      </c>
      <c r="AQ54" s="372"/>
      <c r="AR54" s="372">
        <f t="shared" si="51"/>
        <v>0</v>
      </c>
      <c r="AS54" s="372">
        <f t="shared" si="51"/>
        <v>0</v>
      </c>
      <c r="AT54" s="372">
        <f t="shared" si="51"/>
        <v>103</v>
      </c>
      <c r="AU54" s="372">
        <f t="shared" si="51"/>
        <v>54</v>
      </c>
      <c r="AV54" s="372">
        <f t="shared" si="51"/>
        <v>0</v>
      </c>
      <c r="AW54" s="372">
        <f t="shared" si="51"/>
        <v>8</v>
      </c>
      <c r="AX54" s="372">
        <f t="shared" si="51"/>
        <v>0</v>
      </c>
      <c r="AY54" s="372"/>
      <c r="AZ54" s="372">
        <f t="shared" si="51"/>
        <v>0</v>
      </c>
      <c r="BA54" s="372">
        <f t="shared" si="51"/>
        <v>0</v>
      </c>
      <c r="BB54" s="372">
        <f t="shared" si="51"/>
        <v>46</v>
      </c>
      <c r="BC54" s="372">
        <f t="shared" si="51"/>
        <v>0</v>
      </c>
      <c r="BD54" s="372">
        <f t="shared" si="51"/>
        <v>0</v>
      </c>
      <c r="BE54" s="372">
        <f t="shared" si="51"/>
        <v>0</v>
      </c>
      <c r="BF54" s="372">
        <f t="shared" si="51"/>
        <v>0</v>
      </c>
      <c r="BG54" s="372">
        <f t="shared" si="51"/>
        <v>0</v>
      </c>
      <c r="BH54" s="372">
        <f t="shared" si="51"/>
        <v>0</v>
      </c>
      <c r="BI54" s="372">
        <f t="shared" si="51"/>
        <v>0</v>
      </c>
      <c r="BJ54" s="372">
        <f t="shared" si="51"/>
        <v>0</v>
      </c>
      <c r="BK54" s="373">
        <f>'Учебный план'!CL74</f>
        <v>0</v>
      </c>
      <c r="BL54" s="373">
        <f>'Учебный план'!CM74</f>
        <v>0</v>
      </c>
    </row>
    <row r="55" spans="1:64" s="582" customFormat="1" ht="25.5" customHeight="1">
      <c r="A55" s="593" t="str">
        <f>'Учебный план'!A75</f>
        <v>ВЧ.01</v>
      </c>
      <c r="B55" s="593" t="str">
        <f>'Учебный план'!B75</f>
        <v>Компьютерная графика</v>
      </c>
      <c r="C55" s="585">
        <f>'Учебный план'!C75</f>
        <v>0</v>
      </c>
      <c r="D55" s="586"/>
      <c r="E55" s="586" t="s">
        <v>38</v>
      </c>
      <c r="F55" s="586"/>
      <c r="G55" s="586"/>
      <c r="H55" s="586"/>
      <c r="I55" s="595"/>
      <c r="J55" s="527">
        <f>L55-N55</f>
        <v>0</v>
      </c>
      <c r="K55" s="586">
        <f>M55*$K$1</f>
        <v>0</v>
      </c>
      <c r="L55" s="587">
        <f>'Учебный план'!L75</f>
        <v>54</v>
      </c>
      <c r="M55" s="587">
        <f>'Учебный план'!M75</f>
        <v>42</v>
      </c>
      <c r="N55" s="589">
        <f>SUM(P55:V55)</f>
        <v>54</v>
      </c>
      <c r="O55" s="589">
        <f>SUM(P55:R55)</f>
        <v>8</v>
      </c>
      <c r="P55" s="589">
        <f aca="true" t="shared" si="52" ref="P55:U57">AF55+AN55+AV55+BD55+X55</f>
        <v>0</v>
      </c>
      <c r="Q55" s="589">
        <f t="shared" si="52"/>
        <v>8</v>
      </c>
      <c r="R55" s="589">
        <f t="shared" si="52"/>
        <v>0</v>
      </c>
      <c r="S55" s="589">
        <f t="shared" si="52"/>
        <v>0</v>
      </c>
      <c r="T55" s="589">
        <f t="shared" si="52"/>
        <v>0</v>
      </c>
      <c r="U55" s="589">
        <f t="shared" si="52"/>
        <v>0</v>
      </c>
      <c r="V55" s="589">
        <f>AL55+AT55+BB55+BJ55+AD55</f>
        <v>46</v>
      </c>
      <c r="W55" s="590"/>
      <c r="X55" s="527"/>
      <c r="Y55" s="527"/>
      <c r="Z55" s="527"/>
      <c r="AA55" s="527"/>
      <c r="AB55" s="527"/>
      <c r="AC55" s="527"/>
      <c r="AD55" s="527"/>
      <c r="AE55" s="590">
        <f>SUM(AF55:AL55)</f>
        <v>0</v>
      </c>
      <c r="AF55" s="527"/>
      <c r="AG55" s="527"/>
      <c r="AH55" s="527"/>
      <c r="AI55" s="527"/>
      <c r="AJ55" s="527"/>
      <c r="AK55" s="527"/>
      <c r="AL55" s="527"/>
      <c r="AM55" s="590">
        <f>SUM(AN55:AT55)</f>
        <v>0</v>
      </c>
      <c r="AN55" s="527"/>
      <c r="AO55" s="527"/>
      <c r="AP55" s="527"/>
      <c r="AQ55" s="527"/>
      <c r="AR55" s="527"/>
      <c r="AS55" s="527"/>
      <c r="AT55" s="527"/>
      <c r="AU55" s="590">
        <f>SUM(AV55:BB55)</f>
        <v>54</v>
      </c>
      <c r="AV55" s="527"/>
      <c r="AW55" s="527">
        <v>8</v>
      </c>
      <c r="AX55" s="527"/>
      <c r="AY55" s="527"/>
      <c r="AZ55" s="527"/>
      <c r="BA55" s="527"/>
      <c r="BB55" s="527">
        <v>46</v>
      </c>
      <c r="BC55" s="590">
        <f t="shared" si="9"/>
        <v>0</v>
      </c>
      <c r="BD55" s="527"/>
      <c r="BE55" s="527"/>
      <c r="BF55" s="527"/>
      <c r="BG55" s="527"/>
      <c r="BH55" s="527"/>
      <c r="BI55" s="527"/>
      <c r="BJ55" s="527"/>
      <c r="BK55" s="592" t="str">
        <f>'Учебный план'!CL75</f>
        <v>13</v>
      </c>
      <c r="BL55" s="592" t="str">
        <f>'Учебный план'!CM75</f>
        <v>ОК 1-10; ПК 1.1, 1.3-1.5, 2.1-2.3, 3.1-3.3</v>
      </c>
    </row>
    <row r="56" spans="1:64" s="111" customFormat="1" ht="25.5" customHeight="1">
      <c r="A56" s="366" t="str">
        <f>'Учебный план'!A76</f>
        <v>ВЧ.02</v>
      </c>
      <c r="B56" s="366" t="str">
        <f>'Учебный план'!B76</f>
        <v>Эксплуатация судна на вспомогательном уровне</v>
      </c>
      <c r="C56" s="366">
        <f>'Учебный план'!C76</f>
        <v>0</v>
      </c>
      <c r="D56" s="106"/>
      <c r="E56" s="106" t="s">
        <v>29</v>
      </c>
      <c r="F56" s="106"/>
      <c r="G56" s="106"/>
      <c r="H56" s="106"/>
      <c r="I56" s="342"/>
      <c r="J56" s="109">
        <f>L56-N56</f>
        <v>0</v>
      </c>
      <c r="K56" s="106">
        <f>M56*$K$1</f>
        <v>0</v>
      </c>
      <c r="L56" s="362">
        <f>'Учебный план'!L76</f>
        <v>117</v>
      </c>
      <c r="M56" s="362">
        <f>'Учебный план'!M76</f>
        <v>78</v>
      </c>
      <c r="N56" s="108">
        <f>SUM(P56:V56)</f>
        <v>117</v>
      </c>
      <c r="O56" s="108">
        <f>SUM(P56:R56)</f>
        <v>14</v>
      </c>
      <c r="P56" s="108">
        <f t="shared" si="52"/>
        <v>14</v>
      </c>
      <c r="Q56" s="108">
        <f t="shared" si="52"/>
        <v>0</v>
      </c>
      <c r="R56" s="108">
        <f t="shared" si="52"/>
        <v>0</v>
      </c>
      <c r="S56" s="108">
        <f t="shared" si="52"/>
        <v>0</v>
      </c>
      <c r="T56" s="108">
        <f t="shared" si="52"/>
        <v>0</v>
      </c>
      <c r="U56" s="108">
        <f t="shared" si="52"/>
        <v>0</v>
      </c>
      <c r="V56" s="108">
        <f>AL56+AT56+BB56+BJ56+AD56</f>
        <v>103</v>
      </c>
      <c r="W56" s="174"/>
      <c r="X56" s="109"/>
      <c r="Y56" s="109"/>
      <c r="Z56" s="109"/>
      <c r="AA56" s="109"/>
      <c r="AB56" s="109"/>
      <c r="AC56" s="109"/>
      <c r="AD56" s="109"/>
      <c r="AE56" s="174">
        <f>SUM(AF56:AL56)</f>
        <v>0</v>
      </c>
      <c r="AF56" s="109"/>
      <c r="AG56" s="109"/>
      <c r="AH56" s="109"/>
      <c r="AI56" s="109"/>
      <c r="AJ56" s="109"/>
      <c r="AK56" s="109"/>
      <c r="AL56" s="109"/>
      <c r="AM56" s="174">
        <f>SUM(AN56:AT56)</f>
        <v>117</v>
      </c>
      <c r="AN56" s="126">
        <v>14</v>
      </c>
      <c r="AO56" s="109"/>
      <c r="AP56" s="109"/>
      <c r="AQ56" s="109"/>
      <c r="AR56" s="109"/>
      <c r="AS56" s="109"/>
      <c r="AT56" s="126">
        <v>103</v>
      </c>
      <c r="AU56" s="174">
        <f>SUM(AV56:BB56)</f>
        <v>0</v>
      </c>
      <c r="AV56" s="109"/>
      <c r="AW56" s="109"/>
      <c r="AX56" s="109"/>
      <c r="AY56" s="109"/>
      <c r="AZ56" s="109"/>
      <c r="BA56" s="109"/>
      <c r="BB56" s="109"/>
      <c r="BC56" s="174">
        <f t="shared" si="9"/>
        <v>0</v>
      </c>
      <c r="BD56" s="109"/>
      <c r="BE56" s="109"/>
      <c r="BF56" s="109"/>
      <c r="BG56" s="109"/>
      <c r="BH56" s="109"/>
      <c r="BI56" s="109"/>
      <c r="BJ56" s="109"/>
      <c r="BK56" s="343" t="str">
        <f>'Учебный план'!CL76</f>
        <v>64-3</v>
      </c>
      <c r="BL56" s="343" t="str">
        <f>'Учебный план'!CM76</f>
        <v>ОК 1-10; ПК 1.1-1.5, 2.1-2.7</v>
      </c>
    </row>
    <row r="57" spans="1:64" s="111" customFormat="1" ht="25.5" customHeight="1">
      <c r="A57" s="366" t="str">
        <f>'Учебный план'!A77</f>
        <v>ВЧ.03</v>
      </c>
      <c r="B57" s="366" t="str">
        <f>'Учебный план'!B77</f>
        <v>Гидравлика</v>
      </c>
      <c r="C57" s="366">
        <f>'Учебный план'!C77</f>
        <v>0</v>
      </c>
      <c r="D57" s="106"/>
      <c r="E57" s="106" t="s">
        <v>27</v>
      </c>
      <c r="F57" s="106"/>
      <c r="G57" s="106"/>
      <c r="H57" s="106"/>
      <c r="I57" s="106"/>
      <c r="J57" s="109">
        <f>L57-N57</f>
        <v>0</v>
      </c>
      <c r="K57" s="106">
        <f>M57*$K$1</f>
        <v>0</v>
      </c>
      <c r="L57" s="362">
        <f>'Учебный план'!L77</f>
        <v>48</v>
      </c>
      <c r="M57" s="362">
        <f>'Учебный план'!M77</f>
        <v>32</v>
      </c>
      <c r="N57" s="108">
        <f>SUM(P57:V57)</f>
        <v>48</v>
      </c>
      <c r="O57" s="108">
        <f>SUM(P57:R57)</f>
        <v>10</v>
      </c>
      <c r="P57" s="108">
        <f t="shared" si="52"/>
        <v>10</v>
      </c>
      <c r="Q57" s="108">
        <f t="shared" si="52"/>
        <v>0</v>
      </c>
      <c r="R57" s="108">
        <f t="shared" si="52"/>
        <v>0</v>
      </c>
      <c r="S57" s="108">
        <f t="shared" si="52"/>
        <v>0</v>
      </c>
      <c r="T57" s="108">
        <f t="shared" si="52"/>
        <v>0</v>
      </c>
      <c r="U57" s="108">
        <f t="shared" si="52"/>
        <v>0</v>
      </c>
      <c r="V57" s="108">
        <f>AL57+AT57+BB57+BJ57+AD57</f>
        <v>38</v>
      </c>
      <c r="W57" s="174">
        <f>SUM(X57:AD57)</f>
        <v>48</v>
      </c>
      <c r="X57" s="109">
        <v>10</v>
      </c>
      <c r="Y57" s="109"/>
      <c r="Z57" s="109"/>
      <c r="AA57" s="109"/>
      <c r="AB57" s="109"/>
      <c r="AC57" s="109"/>
      <c r="AD57" s="109">
        <v>38</v>
      </c>
      <c r="AE57" s="174">
        <f>SUM(AF57:AL57)</f>
        <v>0</v>
      </c>
      <c r="AF57" s="109"/>
      <c r="AG57" s="109"/>
      <c r="AH57" s="109"/>
      <c r="AI57" s="109"/>
      <c r="AJ57" s="109"/>
      <c r="AK57" s="109"/>
      <c r="AL57" s="109"/>
      <c r="AM57" s="174">
        <f>SUM(AN57:AT57)</f>
        <v>0</v>
      </c>
      <c r="AN57" s="109"/>
      <c r="AO57" s="109"/>
      <c r="AP57" s="109"/>
      <c r="AQ57" s="109"/>
      <c r="AR57" s="109"/>
      <c r="AS57" s="109"/>
      <c r="AT57" s="109"/>
      <c r="AU57" s="174">
        <f>SUM(AV57:BB57)</f>
        <v>0</v>
      </c>
      <c r="AV57" s="109"/>
      <c r="AW57" s="109"/>
      <c r="AX57" s="109"/>
      <c r="AY57" s="109"/>
      <c r="AZ57" s="109"/>
      <c r="BA57" s="109"/>
      <c r="BB57" s="109"/>
      <c r="BC57" s="174">
        <f t="shared" si="9"/>
        <v>0</v>
      </c>
      <c r="BD57" s="109"/>
      <c r="BE57" s="109"/>
      <c r="BF57" s="109"/>
      <c r="BG57" s="109"/>
      <c r="BH57" s="109"/>
      <c r="BI57" s="109"/>
      <c r="BJ57" s="109"/>
      <c r="BK57" s="343" t="str">
        <f>'Учебный план'!CL77</f>
        <v>64-6</v>
      </c>
      <c r="BL57" s="343" t="str">
        <f>'Учебный план'!CM77</f>
        <v>ОК 1-10; ПК 1.1-1.5; 2.1-2.7</v>
      </c>
    </row>
    <row r="58" spans="1:64" s="377" customFormat="1" ht="25.5" customHeight="1">
      <c r="A58" s="604" t="str">
        <f>'Учебный план'!A78</f>
        <v>УП.00</v>
      </c>
      <c r="B58" s="378" t="str">
        <f>'Учебный план'!B78:C78</f>
        <v>Учебная практика</v>
      </c>
      <c r="C58" s="378"/>
      <c r="D58" s="376"/>
      <c r="E58" s="376" t="s">
        <v>30</v>
      </c>
      <c r="F58" s="376"/>
      <c r="G58" s="376"/>
      <c r="H58" s="376"/>
      <c r="I58" s="376"/>
      <c r="J58" s="376"/>
      <c r="K58" s="539" t="s">
        <v>626</v>
      </c>
      <c r="L58" s="372"/>
      <c r="M58" s="372"/>
      <c r="N58" s="372"/>
      <c r="O58" s="372">
        <f aca="true" t="shared" si="53" ref="O58:O64">SUM(P58:T58)</f>
        <v>396</v>
      </c>
      <c r="P58" s="372"/>
      <c r="Q58" s="372"/>
      <c r="R58" s="372"/>
      <c r="S58" s="372"/>
      <c r="T58" s="372">
        <v>396</v>
      </c>
      <c r="U58" s="372"/>
      <c r="V58" s="372"/>
      <c r="W58" s="372"/>
      <c r="X58" s="372"/>
      <c r="Y58" s="372"/>
      <c r="Z58" s="372"/>
      <c r="AA58" s="372"/>
      <c r="AB58" s="372"/>
      <c r="AC58" s="372"/>
      <c r="AD58" s="372"/>
      <c r="AE58" s="372">
        <v>396</v>
      </c>
      <c r="AF58" s="372"/>
      <c r="AG58" s="372"/>
      <c r="AH58" s="372"/>
      <c r="AI58" s="372"/>
      <c r="AJ58" s="372">
        <v>396</v>
      </c>
      <c r="AK58" s="372"/>
      <c r="AL58" s="372"/>
      <c r="AM58" s="372"/>
      <c r="AN58" s="372"/>
      <c r="AO58" s="372"/>
      <c r="AP58" s="372"/>
      <c r="AQ58" s="372"/>
      <c r="AR58" s="372"/>
      <c r="AS58" s="372"/>
      <c r="AT58" s="372"/>
      <c r="AU58" s="372"/>
      <c r="AV58" s="372"/>
      <c r="AW58" s="372"/>
      <c r="AX58" s="372"/>
      <c r="AY58" s="372"/>
      <c r="AZ58" s="372"/>
      <c r="BA58" s="372"/>
      <c r="BB58" s="372"/>
      <c r="BC58" s="372"/>
      <c r="BD58" s="372"/>
      <c r="BE58" s="372"/>
      <c r="BF58" s="372"/>
      <c r="BG58" s="372"/>
      <c r="BH58" s="372"/>
      <c r="BI58" s="372"/>
      <c r="BJ58" s="372"/>
      <c r="BK58" s="373">
        <f>'Учебный план'!CL78</f>
        <v>0</v>
      </c>
      <c r="BL58" s="373" t="str">
        <f>'Учебный план'!CM78</f>
        <v>ОК 1-10;ПК 1.1-1.5; ПК 2.1-2.7; ПК 3.1-3.3</v>
      </c>
    </row>
    <row r="59" spans="1:64" s="111" customFormat="1" ht="25.5" customHeight="1">
      <c r="A59" s="379" t="str">
        <f>'Учебный план'!A85:B85</f>
        <v>ПП.00</v>
      </c>
      <c r="B59" s="379" t="str">
        <f>'Учебный план'!B85:C85</f>
        <v>Производственная практика</v>
      </c>
      <c r="C59" s="379"/>
      <c r="D59" s="376"/>
      <c r="E59" s="376"/>
      <c r="F59" s="376"/>
      <c r="G59" s="376"/>
      <c r="H59" s="376"/>
      <c r="I59" s="376"/>
      <c r="J59" s="376"/>
      <c r="K59" s="539" t="s">
        <v>627</v>
      </c>
      <c r="L59" s="372"/>
      <c r="M59" s="372"/>
      <c r="N59" s="372"/>
      <c r="O59" s="372">
        <f t="shared" si="53"/>
        <v>1116</v>
      </c>
      <c r="P59" s="372">
        <f>AF59+AN59+AV59+BE59</f>
        <v>0</v>
      </c>
      <c r="Q59" s="372">
        <f>AG59+AO59+AW59+BF59</f>
        <v>0</v>
      </c>
      <c r="R59" s="372">
        <f>AH59+AP59+AX59+BG59</f>
        <v>0</v>
      </c>
      <c r="S59" s="372"/>
      <c r="T59" s="372">
        <f>AJ59+AR59+AZ59+BH59</f>
        <v>1116</v>
      </c>
      <c r="U59" s="372">
        <f>AK59+AS59+BA59+BI59</f>
        <v>0</v>
      </c>
      <c r="V59" s="372">
        <f>AL59+AT59+BB59+BJ59</f>
        <v>0</v>
      </c>
      <c r="W59" s="372">
        <f aca="true" t="shared" si="54" ref="W59:BJ59">SUM(W60:W61)</f>
        <v>0</v>
      </c>
      <c r="X59" s="372">
        <f t="shared" si="54"/>
        <v>0</v>
      </c>
      <c r="Y59" s="372">
        <f t="shared" si="54"/>
        <v>0</v>
      </c>
      <c r="Z59" s="372">
        <f t="shared" si="54"/>
        <v>0</v>
      </c>
      <c r="AA59" s="372"/>
      <c r="AB59" s="372">
        <f t="shared" si="54"/>
        <v>0</v>
      </c>
      <c r="AC59" s="372">
        <f t="shared" si="54"/>
        <v>0</v>
      </c>
      <c r="AD59" s="372">
        <f t="shared" si="54"/>
        <v>0</v>
      </c>
      <c r="AE59" s="372">
        <f t="shared" si="54"/>
        <v>0</v>
      </c>
      <c r="AF59" s="372">
        <f t="shared" si="54"/>
        <v>0</v>
      </c>
      <c r="AG59" s="372">
        <f t="shared" si="54"/>
        <v>0</v>
      </c>
      <c r="AH59" s="372">
        <f t="shared" si="54"/>
        <v>0</v>
      </c>
      <c r="AI59" s="372"/>
      <c r="AJ59" s="372">
        <f t="shared" si="54"/>
        <v>0</v>
      </c>
      <c r="AK59" s="372">
        <f t="shared" si="54"/>
        <v>0</v>
      </c>
      <c r="AL59" s="372">
        <f t="shared" si="54"/>
        <v>0</v>
      </c>
      <c r="AM59" s="372">
        <f t="shared" si="54"/>
        <v>756</v>
      </c>
      <c r="AN59" s="372">
        <f t="shared" si="54"/>
        <v>0</v>
      </c>
      <c r="AO59" s="372">
        <f t="shared" si="54"/>
        <v>0</v>
      </c>
      <c r="AP59" s="372">
        <f t="shared" si="54"/>
        <v>0</v>
      </c>
      <c r="AQ59" s="372"/>
      <c r="AR59" s="372">
        <f t="shared" si="54"/>
        <v>756</v>
      </c>
      <c r="AS59" s="372">
        <f t="shared" si="54"/>
        <v>0</v>
      </c>
      <c r="AT59" s="372">
        <f t="shared" si="54"/>
        <v>0</v>
      </c>
      <c r="AU59" s="372">
        <f t="shared" si="54"/>
        <v>360</v>
      </c>
      <c r="AV59" s="372">
        <f t="shared" si="54"/>
        <v>0</v>
      </c>
      <c r="AW59" s="372">
        <f t="shared" si="54"/>
        <v>0</v>
      </c>
      <c r="AX59" s="372">
        <f t="shared" si="54"/>
        <v>0</v>
      </c>
      <c r="AY59" s="372"/>
      <c r="AZ59" s="372">
        <f t="shared" si="54"/>
        <v>360</v>
      </c>
      <c r="BA59" s="372">
        <f t="shared" si="54"/>
        <v>0</v>
      </c>
      <c r="BB59" s="372">
        <f t="shared" si="54"/>
        <v>0</v>
      </c>
      <c r="BC59" s="372">
        <f t="shared" si="54"/>
        <v>0</v>
      </c>
      <c r="BD59" s="372">
        <f t="shared" si="54"/>
        <v>0</v>
      </c>
      <c r="BE59" s="372">
        <f t="shared" si="54"/>
        <v>0</v>
      </c>
      <c r="BF59" s="372">
        <f t="shared" si="54"/>
        <v>0</v>
      </c>
      <c r="BG59" s="372">
        <f t="shared" si="54"/>
        <v>0</v>
      </c>
      <c r="BH59" s="372">
        <f t="shared" si="54"/>
        <v>0</v>
      </c>
      <c r="BI59" s="372">
        <f t="shared" si="54"/>
        <v>0</v>
      </c>
      <c r="BJ59" s="372">
        <f t="shared" si="54"/>
        <v>0</v>
      </c>
      <c r="BK59" s="380">
        <f>'Учебный план'!CL85</f>
        <v>0</v>
      </c>
      <c r="BL59" s="380">
        <f>'Учебный план'!CM85</f>
        <v>0</v>
      </c>
    </row>
    <row r="60" spans="1:64" s="111" customFormat="1" ht="25.5" customHeight="1">
      <c r="A60" s="366" t="str">
        <f>'Учебный план'!A86</f>
        <v>ПП.01</v>
      </c>
      <c r="B60" s="366" t="str">
        <f>'Учебный план'!B86</f>
        <v>Производственная практика (по профилю специальности)</v>
      </c>
      <c r="C60" s="381"/>
      <c r="D60" s="106"/>
      <c r="E60" s="947" t="s">
        <v>38</v>
      </c>
      <c r="F60" s="106"/>
      <c r="G60" s="106"/>
      <c r="H60" s="106"/>
      <c r="I60" s="106"/>
      <c r="J60" s="106"/>
      <c r="K60" s="106"/>
      <c r="L60" s="362"/>
      <c r="M60" s="362"/>
      <c r="N60" s="108"/>
      <c r="O60" s="108">
        <f t="shared" si="53"/>
        <v>972</v>
      </c>
      <c r="P60" s="108">
        <f aca="true" t="shared" si="55" ref="P60:R61">AF60+AN60+AV60+BE60+X60</f>
        <v>0</v>
      </c>
      <c r="Q60" s="108">
        <f t="shared" si="55"/>
        <v>0</v>
      </c>
      <c r="R60" s="108">
        <f t="shared" si="55"/>
        <v>0</v>
      </c>
      <c r="S60" s="108"/>
      <c r="T60" s="108">
        <f aca="true" t="shared" si="56" ref="T60:U64">AJ60+AR60+AZ60+BH60</f>
        <v>972</v>
      </c>
      <c r="U60" s="108">
        <f t="shared" si="56"/>
        <v>0</v>
      </c>
      <c r="V60" s="108">
        <f>AL60+AT60+BB60+BJ60+AD60</f>
        <v>0</v>
      </c>
      <c r="W60" s="174">
        <f>SUM(X60:AD60)</f>
        <v>0</v>
      </c>
      <c r="X60" s="109"/>
      <c r="Y60" s="109"/>
      <c r="Z60" s="109"/>
      <c r="AA60" s="109"/>
      <c r="AB60" s="109"/>
      <c r="AC60" s="109"/>
      <c r="AD60" s="109"/>
      <c r="AE60" s="174">
        <f>SUM(AF60:AL60)</f>
        <v>0</v>
      </c>
      <c r="AF60" s="109"/>
      <c r="AG60" s="109"/>
      <c r="AH60" s="109"/>
      <c r="AI60" s="109"/>
      <c r="AJ60" s="109"/>
      <c r="AK60" s="109"/>
      <c r="AL60" s="109"/>
      <c r="AM60" s="174">
        <f>SUM(AN60:AT60)</f>
        <v>756</v>
      </c>
      <c r="AN60" s="109"/>
      <c r="AO60" s="109"/>
      <c r="AP60" s="109"/>
      <c r="AQ60" s="109"/>
      <c r="AR60" s="109">
        <f>21*36</f>
        <v>756</v>
      </c>
      <c r="AS60" s="109"/>
      <c r="AT60" s="109"/>
      <c r="AU60" s="174">
        <f>SUM(AV60:BB60)</f>
        <v>216</v>
      </c>
      <c r="AV60" s="109"/>
      <c r="AW60" s="109"/>
      <c r="AX60" s="109"/>
      <c r="AY60" s="109"/>
      <c r="AZ60" s="109">
        <f>6*36</f>
        <v>216</v>
      </c>
      <c r="BA60" s="109"/>
      <c r="BB60" s="109"/>
      <c r="BC60" s="174">
        <f>SUM(BD60:BJ60)</f>
        <v>0</v>
      </c>
      <c r="BD60" s="109"/>
      <c r="BE60" s="109"/>
      <c r="BF60" s="109"/>
      <c r="BG60" s="109"/>
      <c r="BH60" s="109"/>
      <c r="BI60" s="109"/>
      <c r="BJ60" s="109"/>
      <c r="BK60" s="343" t="str">
        <f>'Учебный план'!CL86</f>
        <v>64-4</v>
      </c>
      <c r="BL60" s="343" t="str">
        <f>'Учебный план'!CM86</f>
        <v>ОК 1-10, ПК 1.1-1.5, 2.1- 2.7,  3.1-3.3</v>
      </c>
    </row>
    <row r="61" spans="1:64" s="111" customFormat="1" ht="25.5" customHeight="1">
      <c r="A61" s="366" t="str">
        <f>'Учебный план'!A87</f>
        <v>ПП.02</v>
      </c>
      <c r="B61" s="366" t="str">
        <f>'Учебный план'!B87</f>
        <v>Производственная практика (преддипломная)</v>
      </c>
      <c r="C61" s="381"/>
      <c r="D61" s="106"/>
      <c r="E61" s="106" t="s">
        <v>38</v>
      </c>
      <c r="F61" s="106"/>
      <c r="G61" s="106"/>
      <c r="H61" s="106"/>
      <c r="I61" s="106"/>
      <c r="J61" s="106"/>
      <c r="K61" s="106"/>
      <c r="L61" s="362"/>
      <c r="M61" s="362"/>
      <c r="N61" s="108"/>
      <c r="O61" s="108">
        <f t="shared" si="53"/>
        <v>144</v>
      </c>
      <c r="P61" s="108">
        <f t="shared" si="55"/>
        <v>0</v>
      </c>
      <c r="Q61" s="108">
        <f t="shared" si="55"/>
        <v>0</v>
      </c>
      <c r="R61" s="108">
        <f t="shared" si="55"/>
        <v>0</v>
      </c>
      <c r="S61" s="108"/>
      <c r="T61" s="108">
        <f t="shared" si="56"/>
        <v>144</v>
      </c>
      <c r="U61" s="108">
        <f t="shared" si="56"/>
        <v>0</v>
      </c>
      <c r="V61" s="108">
        <f>AL61+AT61+BB61+BJ61+AD61</f>
        <v>0</v>
      </c>
      <c r="W61" s="174">
        <f>SUM(X61:AD61)</f>
        <v>0</v>
      </c>
      <c r="X61" s="109"/>
      <c r="Y61" s="109"/>
      <c r="Z61" s="109"/>
      <c r="AA61" s="109"/>
      <c r="AB61" s="109"/>
      <c r="AC61" s="109"/>
      <c r="AD61" s="109"/>
      <c r="AE61" s="174">
        <f>SUM(AF61:AL61)</f>
        <v>0</v>
      </c>
      <c r="AF61" s="109"/>
      <c r="AG61" s="109"/>
      <c r="AH61" s="109"/>
      <c r="AI61" s="109"/>
      <c r="AJ61" s="109"/>
      <c r="AK61" s="109"/>
      <c r="AL61" s="109"/>
      <c r="AM61" s="174">
        <f>SUM(AN61:AT61)</f>
        <v>0</v>
      </c>
      <c r="AN61" s="109"/>
      <c r="AO61" s="109"/>
      <c r="AP61" s="109"/>
      <c r="AQ61" s="109"/>
      <c r="AR61" s="109"/>
      <c r="AS61" s="109"/>
      <c r="AT61" s="109"/>
      <c r="AU61" s="174">
        <f>SUM(AV61:BB61)</f>
        <v>144</v>
      </c>
      <c r="AV61" s="109"/>
      <c r="AW61" s="109"/>
      <c r="AX61" s="109"/>
      <c r="AY61" s="109"/>
      <c r="AZ61" s="109">
        <v>144</v>
      </c>
      <c r="BA61" s="109"/>
      <c r="BB61" s="109"/>
      <c r="BC61" s="174">
        <f>SUM(BD61:BJ61)</f>
        <v>0</v>
      </c>
      <c r="BD61" s="109"/>
      <c r="BE61" s="109"/>
      <c r="BF61" s="109"/>
      <c r="BG61" s="109"/>
      <c r="BH61" s="109"/>
      <c r="BI61" s="109"/>
      <c r="BJ61" s="109"/>
      <c r="BK61" s="343" t="str">
        <f>'Учебный план'!CL87</f>
        <v>64-4</v>
      </c>
      <c r="BL61" s="343" t="str">
        <f>'Учебный план'!CM87</f>
        <v>ОК 1-10, ПК 1.1-1.5, 2.1- 2.7,  3.1-3.3</v>
      </c>
    </row>
    <row r="62" spans="1:64" s="377" customFormat="1" ht="25.5" customHeight="1">
      <c r="A62" s="604" t="str">
        <f>'Учебный план'!A88</f>
        <v>ГИА.00</v>
      </c>
      <c r="B62" s="780" t="str">
        <f>'Учебный план'!B88:C88</f>
        <v>Государственная итоговая аттестация</v>
      </c>
      <c r="C62" s="780"/>
      <c r="D62" s="376"/>
      <c r="E62" s="376"/>
      <c r="F62" s="376"/>
      <c r="G62" s="376"/>
      <c r="H62" s="376"/>
      <c r="I62" s="376"/>
      <c r="J62" s="376"/>
      <c r="K62" s="376"/>
      <c r="L62" s="372">
        <f>'Учебный план'!L88</f>
        <v>216</v>
      </c>
      <c r="M62" s="372"/>
      <c r="N62" s="372">
        <v>216</v>
      </c>
      <c r="O62" s="372"/>
      <c r="P62" s="372">
        <f aca="true" t="shared" si="57" ref="P62:R64">AF62+AN62+AV62+BE62</f>
        <v>0</v>
      </c>
      <c r="Q62" s="372">
        <f t="shared" si="57"/>
        <v>0</v>
      </c>
      <c r="R62" s="372">
        <f t="shared" si="57"/>
        <v>0</v>
      </c>
      <c r="S62" s="372"/>
      <c r="T62" s="372">
        <f t="shared" si="56"/>
        <v>0</v>
      </c>
      <c r="U62" s="372">
        <f t="shared" si="56"/>
        <v>0</v>
      </c>
      <c r="V62" s="372">
        <f>AL62+AT62+BB62+BJ62</f>
        <v>0</v>
      </c>
      <c r="W62" s="372">
        <f aca="true" t="shared" si="58" ref="W62:AD62">SUM(W63:W64)</f>
        <v>0</v>
      </c>
      <c r="X62" s="372">
        <f t="shared" si="58"/>
        <v>0</v>
      </c>
      <c r="Y62" s="372">
        <f t="shared" si="58"/>
        <v>0</v>
      </c>
      <c r="Z62" s="372">
        <f t="shared" si="58"/>
        <v>0</v>
      </c>
      <c r="AA62" s="372"/>
      <c r="AB62" s="372">
        <f t="shared" si="58"/>
        <v>0</v>
      </c>
      <c r="AC62" s="372">
        <f t="shared" si="58"/>
        <v>0</v>
      </c>
      <c r="AD62" s="372">
        <f t="shared" si="58"/>
        <v>0</v>
      </c>
      <c r="AE62" s="372">
        <f aca="true" t="shared" si="59" ref="AE62:AL62">SUM(AE63:AE64)</f>
        <v>0</v>
      </c>
      <c r="AF62" s="372">
        <f t="shared" si="59"/>
        <v>0</v>
      </c>
      <c r="AG62" s="372">
        <f t="shared" si="59"/>
        <v>0</v>
      </c>
      <c r="AH62" s="372">
        <f t="shared" si="59"/>
        <v>0</v>
      </c>
      <c r="AI62" s="372"/>
      <c r="AJ62" s="372">
        <f t="shared" si="59"/>
        <v>0</v>
      </c>
      <c r="AK62" s="372">
        <f t="shared" si="59"/>
        <v>0</v>
      </c>
      <c r="AL62" s="372">
        <f t="shared" si="59"/>
        <v>0</v>
      </c>
      <c r="AM62" s="372">
        <f aca="true" t="shared" si="60" ref="AM62:AT62">SUM(AM63:AM64)</f>
        <v>0</v>
      </c>
      <c r="AN62" s="372">
        <f t="shared" si="60"/>
        <v>0</v>
      </c>
      <c r="AO62" s="372">
        <f t="shared" si="60"/>
        <v>0</v>
      </c>
      <c r="AP62" s="372">
        <f t="shared" si="60"/>
        <v>0</v>
      </c>
      <c r="AQ62" s="372"/>
      <c r="AR62" s="372">
        <f t="shared" si="60"/>
        <v>0</v>
      </c>
      <c r="AS62" s="372">
        <f t="shared" si="60"/>
        <v>0</v>
      </c>
      <c r="AT62" s="372">
        <f t="shared" si="60"/>
        <v>0</v>
      </c>
      <c r="AU62" s="372">
        <f aca="true" t="shared" si="61" ref="AU62:BA62">SUM(AU63:AU64)</f>
        <v>216</v>
      </c>
      <c r="AV62" s="372">
        <f t="shared" si="61"/>
        <v>0</v>
      </c>
      <c r="AW62" s="372">
        <f t="shared" si="61"/>
        <v>0</v>
      </c>
      <c r="AX62" s="372">
        <f t="shared" si="61"/>
        <v>0</v>
      </c>
      <c r="AY62" s="372"/>
      <c r="AZ62" s="372">
        <f t="shared" si="61"/>
        <v>0</v>
      </c>
      <c r="BA62" s="372">
        <f t="shared" si="61"/>
        <v>0</v>
      </c>
      <c r="BB62" s="372"/>
      <c r="BC62" s="372">
        <f aca="true" t="shared" si="62" ref="BC62:BJ62">SUM(BC63:BC64)</f>
        <v>0</v>
      </c>
      <c r="BD62" s="372">
        <f t="shared" si="62"/>
        <v>0</v>
      </c>
      <c r="BE62" s="372">
        <f t="shared" si="62"/>
        <v>0</v>
      </c>
      <c r="BF62" s="372">
        <f t="shared" si="62"/>
        <v>0</v>
      </c>
      <c r="BG62" s="372">
        <f t="shared" si="62"/>
        <v>0</v>
      </c>
      <c r="BH62" s="372">
        <f t="shared" si="62"/>
        <v>0</v>
      </c>
      <c r="BI62" s="372">
        <f t="shared" si="62"/>
        <v>0</v>
      </c>
      <c r="BJ62" s="372">
        <f t="shared" si="62"/>
        <v>0</v>
      </c>
      <c r="BK62" s="373">
        <f>'Учебный план'!CL88</f>
        <v>0</v>
      </c>
      <c r="BL62" s="373" t="str">
        <f>'Учебный план'!CM88</f>
        <v>ОК 1-10, ПК 1.1-1.5, 2.1- 2.7,  3.1-3.3</v>
      </c>
    </row>
    <row r="63" spans="1:64" s="116" customFormat="1" ht="25.5">
      <c r="A63" s="949" t="str">
        <f>'Учебный план'!A88</f>
        <v>ГИА.00</v>
      </c>
      <c r="B63" s="950" t="str">
        <f>'Учебный план'!B89</f>
        <v>Подготовка и защита выпускной квалификационной работы</v>
      </c>
      <c r="C63" s="540"/>
      <c r="D63" s="541"/>
      <c r="E63" s="541"/>
      <c r="F63" s="541"/>
      <c r="G63" s="541"/>
      <c r="H63" s="541"/>
      <c r="I63" s="542"/>
      <c r="J63" s="543"/>
      <c r="K63" s="544"/>
      <c r="L63" s="951">
        <f>'Учебный план'!L89</f>
        <v>216</v>
      </c>
      <c r="M63" s="952">
        <f>'Учебный план'!M89</f>
        <v>0</v>
      </c>
      <c r="N63" s="953">
        <v>216</v>
      </c>
      <c r="O63" s="140">
        <f t="shared" si="53"/>
        <v>0</v>
      </c>
      <c r="P63" s="140">
        <f t="shared" si="57"/>
        <v>0</v>
      </c>
      <c r="Q63" s="140">
        <f t="shared" si="57"/>
        <v>0</v>
      </c>
      <c r="R63" s="140">
        <f t="shared" si="57"/>
        <v>0</v>
      </c>
      <c r="S63" s="140"/>
      <c r="T63" s="140">
        <f t="shared" si="56"/>
        <v>0</v>
      </c>
      <c r="U63" s="140">
        <f t="shared" si="56"/>
        <v>0</v>
      </c>
      <c r="V63" s="954">
        <f>AL63+AT63+BB63+BJ63</f>
        <v>216</v>
      </c>
      <c r="W63" s="955">
        <f>SUM(X63:AD63)</f>
        <v>0</v>
      </c>
      <c r="X63" s="545"/>
      <c r="Y63" s="545"/>
      <c r="Z63" s="545"/>
      <c r="AA63" s="545"/>
      <c r="AB63" s="545"/>
      <c r="AC63" s="545"/>
      <c r="AD63" s="546"/>
      <c r="AE63" s="955">
        <f>SUM(AF63:AL63)</f>
        <v>0</v>
      </c>
      <c r="AF63" s="545"/>
      <c r="AG63" s="545"/>
      <c r="AH63" s="545"/>
      <c r="AI63" s="545"/>
      <c r="AJ63" s="545"/>
      <c r="AK63" s="545"/>
      <c r="AL63" s="546"/>
      <c r="AM63" s="955">
        <f>SUM(AN63:AT63)</f>
        <v>0</v>
      </c>
      <c r="AN63" s="545"/>
      <c r="AO63" s="545"/>
      <c r="AP63" s="545"/>
      <c r="AQ63" s="545"/>
      <c r="AR63" s="545"/>
      <c r="AS63" s="545"/>
      <c r="AT63" s="546"/>
      <c r="AU63" s="955">
        <f>SUM(AV63:BB63)</f>
        <v>216</v>
      </c>
      <c r="AV63" s="545"/>
      <c r="AW63" s="545"/>
      <c r="AX63" s="545"/>
      <c r="AY63" s="545"/>
      <c r="AZ63" s="356"/>
      <c r="BA63" s="356"/>
      <c r="BB63" s="356">
        <v>216</v>
      </c>
      <c r="BC63" s="955">
        <f>SUM(BD63:BJ63)</f>
        <v>0</v>
      </c>
      <c r="BD63" s="545"/>
      <c r="BE63" s="545"/>
      <c r="BF63" s="545"/>
      <c r="BG63" s="545"/>
      <c r="BH63" s="545"/>
      <c r="BI63" s="545"/>
      <c r="BJ63" s="547"/>
      <c r="BK63" s="956" t="str">
        <f>'Учебный план'!CL89</f>
        <v>64-4</v>
      </c>
      <c r="BL63" s="956" t="str">
        <f>'Учебный план'!CM89</f>
        <v>ОК 1-10; ПК 1.1-1.5, 2.1-2.7, 3.1-3.3</v>
      </c>
    </row>
    <row r="64" spans="1:64" s="166" customFormat="1" ht="13.5" thickBot="1">
      <c r="A64" s="957" t="str">
        <f>'Учебный план'!A89</f>
        <v>ГИА.01</v>
      </c>
      <c r="B64" s="958">
        <f>'Учебный план'!B90</f>
        <v>0</v>
      </c>
      <c r="C64" s="211"/>
      <c r="D64" s="212"/>
      <c r="E64" s="212"/>
      <c r="F64" s="212"/>
      <c r="G64" s="212"/>
      <c r="H64" s="212"/>
      <c r="I64" s="213"/>
      <c r="J64" s="293"/>
      <c r="K64" s="293"/>
      <c r="L64" s="959">
        <f>'Учебный план'!L90</f>
        <v>0</v>
      </c>
      <c r="M64" s="960">
        <f>'Учебный план'!M90</f>
        <v>0</v>
      </c>
      <c r="N64" s="961">
        <f>SUM(O64+U64+V64)</f>
        <v>0</v>
      </c>
      <c r="O64" s="962">
        <f t="shared" si="53"/>
        <v>0</v>
      </c>
      <c r="P64" s="962">
        <f t="shared" si="57"/>
        <v>0</v>
      </c>
      <c r="Q64" s="962">
        <f t="shared" si="57"/>
        <v>0</v>
      </c>
      <c r="R64" s="962">
        <f t="shared" si="57"/>
        <v>0</v>
      </c>
      <c r="S64" s="962"/>
      <c r="T64" s="962">
        <f t="shared" si="56"/>
        <v>0</v>
      </c>
      <c r="U64" s="962">
        <f t="shared" si="56"/>
        <v>0</v>
      </c>
      <c r="V64" s="963">
        <f>AL64+AT64+BB64+BJ64</f>
        <v>0</v>
      </c>
      <c r="W64" s="964">
        <f>SUM(X64:AD64)</f>
        <v>0</v>
      </c>
      <c r="X64" s="230"/>
      <c r="Y64" s="230"/>
      <c r="Z64" s="230"/>
      <c r="AA64" s="230"/>
      <c r="AB64" s="230"/>
      <c r="AC64" s="230"/>
      <c r="AD64" s="232"/>
      <c r="AE64" s="964">
        <f>SUM(AF64:AL64)</f>
        <v>0</v>
      </c>
      <c r="AF64" s="230"/>
      <c r="AG64" s="230"/>
      <c r="AH64" s="230"/>
      <c r="AI64" s="230"/>
      <c r="AJ64" s="230"/>
      <c r="AK64" s="230"/>
      <c r="AL64" s="232"/>
      <c r="AM64" s="964">
        <f>SUM(AN64:AT64)</f>
        <v>0</v>
      </c>
      <c r="AN64" s="230"/>
      <c r="AO64" s="230"/>
      <c r="AP64" s="230"/>
      <c r="AQ64" s="230"/>
      <c r="AR64" s="230"/>
      <c r="AS64" s="230"/>
      <c r="AT64" s="232"/>
      <c r="AU64" s="964">
        <f>SUM(AV64:BB64)</f>
        <v>0</v>
      </c>
      <c r="AV64" s="230"/>
      <c r="AW64" s="230"/>
      <c r="AX64" s="230"/>
      <c r="AY64" s="230"/>
      <c r="AZ64" s="109"/>
      <c r="BA64" s="109"/>
      <c r="BB64" s="109"/>
      <c r="BC64" s="964">
        <f>SUM(BD64:BJ64)</f>
        <v>0</v>
      </c>
      <c r="BD64" s="230"/>
      <c r="BE64" s="230"/>
      <c r="BF64" s="230"/>
      <c r="BG64" s="230"/>
      <c r="BH64" s="230"/>
      <c r="BI64" s="230">
        <v>0</v>
      </c>
      <c r="BJ64" s="231"/>
      <c r="BK64" s="965">
        <f>'Учебный план'!CL90</f>
        <v>0</v>
      </c>
      <c r="BL64" s="965">
        <f>'Учебный план'!CM90</f>
        <v>0</v>
      </c>
    </row>
    <row r="65" spans="1:64" s="166" customFormat="1" ht="13.5" thickBot="1">
      <c r="A65" s="210"/>
      <c r="B65" s="214" t="s">
        <v>165</v>
      </c>
      <c r="C65" s="215"/>
      <c r="D65" s="216"/>
      <c r="E65" s="216"/>
      <c r="F65" s="216"/>
      <c r="G65" s="216"/>
      <c r="H65" s="216"/>
      <c r="I65" s="217"/>
      <c r="J65" s="294"/>
      <c r="K65" s="294"/>
      <c r="L65" s="218"/>
      <c r="M65" s="219"/>
      <c r="N65" s="218"/>
      <c r="O65" s="220" t="s">
        <v>26</v>
      </c>
      <c r="P65" s="220"/>
      <c r="Q65" s="220"/>
      <c r="R65" s="220"/>
      <c r="S65" s="220"/>
      <c r="T65" s="220"/>
      <c r="U65" s="220"/>
      <c r="V65" s="221"/>
      <c r="W65" s="966">
        <f>SUM(X65:AD65)</f>
        <v>0</v>
      </c>
      <c r="X65" s="222"/>
      <c r="Y65" s="222"/>
      <c r="Z65" s="222"/>
      <c r="AA65" s="222"/>
      <c r="AB65" s="222"/>
      <c r="AC65" s="222"/>
      <c r="AD65" s="221"/>
      <c r="AE65" s="966">
        <f>SUM(AF65:AL65)</f>
        <v>0</v>
      </c>
      <c r="AF65" s="222"/>
      <c r="AG65" s="222"/>
      <c r="AH65" s="222"/>
      <c r="AI65" s="222"/>
      <c r="AJ65" s="222"/>
      <c r="AK65" s="222"/>
      <c r="AL65" s="221"/>
      <c r="AM65" s="966">
        <f>SUM(AN65:AT65)</f>
        <v>0</v>
      </c>
      <c r="AN65" s="222"/>
      <c r="AO65" s="222"/>
      <c r="AP65" s="222"/>
      <c r="AQ65" s="222"/>
      <c r="AR65" s="222"/>
      <c r="AS65" s="222"/>
      <c r="AT65" s="221"/>
      <c r="AU65" s="966">
        <f>SUM(AV65:BB65)</f>
        <v>0</v>
      </c>
      <c r="AV65" s="222"/>
      <c r="AW65" s="222"/>
      <c r="AX65" s="222"/>
      <c r="AY65" s="222"/>
      <c r="AZ65" s="222"/>
      <c r="BA65" s="222"/>
      <c r="BB65" s="221"/>
      <c r="BC65" s="966">
        <f>SUM(BD65:BJ65)</f>
        <v>0</v>
      </c>
      <c r="BD65" s="222"/>
      <c r="BE65" s="222"/>
      <c r="BF65" s="222"/>
      <c r="BG65" s="222"/>
      <c r="BH65" s="222"/>
      <c r="BI65" s="222"/>
      <c r="BJ65" s="223" t="s">
        <v>26</v>
      </c>
      <c r="BK65" s="967">
        <f>'Учебный план'!CL91</f>
        <v>0</v>
      </c>
      <c r="BL65" s="967">
        <f>'Учебный план'!CM91</f>
        <v>0</v>
      </c>
    </row>
    <row r="66" spans="1:62" ht="13.5" hidden="1" thickBot="1">
      <c r="A66" s="968"/>
      <c r="B66" s="969"/>
      <c r="C66" s="969"/>
      <c r="D66" s="970"/>
      <c r="E66" s="970"/>
      <c r="F66" s="970"/>
      <c r="G66" s="970"/>
      <c r="H66" s="970"/>
      <c r="I66" s="970"/>
      <c r="J66" s="970"/>
      <c r="K66" s="970"/>
      <c r="L66" s="971"/>
      <c r="M66" s="971"/>
      <c r="N66" s="971"/>
      <c r="O66" s="971"/>
      <c r="P66" s="971"/>
      <c r="Q66" s="971"/>
      <c r="R66" s="971"/>
      <c r="S66" s="971"/>
      <c r="T66" s="971"/>
      <c r="U66" s="971"/>
      <c r="V66" s="971"/>
      <c r="W66" s="971"/>
      <c r="X66" s="971"/>
      <c r="Y66" s="971"/>
      <c r="Z66" s="971"/>
      <c r="AA66" s="971"/>
      <c r="AB66" s="971"/>
      <c r="AC66" s="971"/>
      <c r="AD66" s="971"/>
      <c r="AE66" s="971"/>
      <c r="AF66" s="971"/>
      <c r="AG66" s="971"/>
      <c r="AH66" s="971"/>
      <c r="AI66" s="971"/>
      <c r="AJ66" s="971"/>
      <c r="AK66" s="971"/>
      <c r="AL66" s="971"/>
      <c r="AM66" s="971"/>
      <c r="AN66" s="971"/>
      <c r="AO66" s="971"/>
      <c r="AP66" s="971"/>
      <c r="AQ66" s="971"/>
      <c r="AR66" s="971"/>
      <c r="AS66" s="971"/>
      <c r="AT66" s="971"/>
      <c r="AU66" s="971"/>
      <c r="AV66" s="971"/>
      <c r="AW66" s="971"/>
      <c r="AX66" s="971"/>
      <c r="AY66" s="971"/>
      <c r="AZ66" s="971"/>
      <c r="BA66" s="971"/>
      <c r="BB66" s="971"/>
      <c r="BC66" s="971"/>
      <c r="BD66" s="971"/>
      <c r="BE66" s="971"/>
      <c r="BF66" s="971"/>
      <c r="BG66" s="971"/>
      <c r="BH66" s="971"/>
      <c r="BI66" s="971"/>
      <c r="BJ66" s="971"/>
    </row>
    <row r="67" spans="1:62" ht="13.5" hidden="1" thickBot="1">
      <c r="A67" s="972" t="str">
        <f>'Титульный лист (заочная)'!A12:N12</f>
        <v>Специфика:</v>
      </c>
      <c r="B67" s="973"/>
      <c r="C67" s="973"/>
      <c r="D67" s="974"/>
      <c r="E67" s="975"/>
      <c r="F67" s="974"/>
      <c r="G67" s="974"/>
      <c r="H67" s="974"/>
      <c r="I67" s="974"/>
      <c r="J67" s="974"/>
      <c r="K67" s="974"/>
      <c r="L67" s="976"/>
      <c r="M67" s="976"/>
      <c r="N67" s="974"/>
      <c r="O67" s="974"/>
      <c r="P67" s="974"/>
      <c r="Q67" s="974"/>
      <c r="R67" s="974"/>
      <c r="S67" s="974"/>
      <c r="T67" s="974"/>
      <c r="U67" s="974"/>
      <c r="V67" s="974"/>
      <c r="W67" s="976"/>
      <c r="X67" s="977"/>
      <c r="Y67" s="977"/>
      <c r="Z67" s="977"/>
      <c r="AA67" s="977"/>
      <c r="AB67" s="977"/>
      <c r="AC67" s="977"/>
      <c r="AD67" s="977"/>
      <c r="AE67" s="976"/>
      <c r="AF67" s="977"/>
      <c r="AG67" s="977"/>
      <c r="AH67" s="977"/>
      <c r="AI67" s="977"/>
      <c r="AJ67" s="977"/>
      <c r="AK67" s="977"/>
      <c r="AL67" s="977"/>
      <c r="AM67" s="976"/>
      <c r="AN67" s="977"/>
      <c r="AO67" s="977"/>
      <c r="AP67" s="977"/>
      <c r="AQ67" s="977"/>
      <c r="AR67" s="977"/>
      <c r="AS67" s="977"/>
      <c r="AT67" s="977"/>
      <c r="AU67" s="976"/>
      <c r="AV67" s="977"/>
      <c r="AW67" s="977"/>
      <c r="AX67" s="977"/>
      <c r="AY67" s="977"/>
      <c r="AZ67" s="977"/>
      <c r="BA67" s="977"/>
      <c r="BB67" s="977"/>
      <c r="BC67" s="976"/>
      <c r="BD67" s="977"/>
      <c r="BE67" s="977"/>
      <c r="BF67" s="977"/>
      <c r="BG67" s="977"/>
      <c r="BH67" s="977"/>
      <c r="BI67" s="977"/>
      <c r="BJ67" s="977"/>
    </row>
    <row r="68" spans="1:62" ht="13.5" hidden="1" thickBot="1">
      <c r="A68" s="978">
        <f>'Титульный лист (заочная)'!O12</f>
        <v>0</v>
      </c>
      <c r="B68" s="979"/>
      <c r="C68" s="979"/>
      <c r="D68" s="980"/>
      <c r="E68" s="981"/>
      <c r="F68" s="980"/>
      <c r="G68" s="980"/>
      <c r="H68" s="980"/>
      <c r="I68" s="980"/>
      <c r="J68" s="980"/>
      <c r="K68" s="980"/>
      <c r="L68" s="982"/>
      <c r="M68" s="982"/>
      <c r="N68" s="983"/>
      <c r="O68" s="983"/>
      <c r="P68" s="983"/>
      <c r="Q68" s="983"/>
      <c r="R68" s="983"/>
      <c r="S68" s="983"/>
      <c r="T68" s="983"/>
      <c r="U68" s="983"/>
      <c r="V68" s="983"/>
      <c r="W68" s="984"/>
      <c r="X68" s="985"/>
      <c r="Y68" s="985"/>
      <c r="Z68" s="985"/>
      <c r="AA68" s="985"/>
      <c r="AB68" s="985"/>
      <c r="AC68" s="985"/>
      <c r="AD68" s="985"/>
      <c r="AE68" s="984"/>
      <c r="AF68" s="985"/>
      <c r="AG68" s="985"/>
      <c r="AH68" s="985"/>
      <c r="AI68" s="985"/>
      <c r="AJ68" s="985"/>
      <c r="AK68" s="985"/>
      <c r="AL68" s="985"/>
      <c r="AM68" s="984"/>
      <c r="AN68" s="985"/>
      <c r="AO68" s="985"/>
      <c r="AP68" s="985"/>
      <c r="AQ68" s="985"/>
      <c r="AR68" s="985"/>
      <c r="AS68" s="985"/>
      <c r="AT68" s="985"/>
      <c r="AU68" s="984"/>
      <c r="AV68" s="985"/>
      <c r="AW68" s="985"/>
      <c r="AX68" s="985"/>
      <c r="AY68" s="985"/>
      <c r="AZ68" s="985"/>
      <c r="BA68" s="985"/>
      <c r="BB68" s="985"/>
      <c r="BC68" s="984"/>
      <c r="BD68" s="985"/>
      <c r="BE68" s="985"/>
      <c r="BF68" s="985"/>
      <c r="BG68" s="985"/>
      <c r="BH68" s="985"/>
      <c r="BI68" s="985"/>
      <c r="BJ68" s="985"/>
    </row>
    <row r="69" spans="1:62" ht="15.75">
      <c r="A69" s="986"/>
      <c r="B69" s="775" t="s">
        <v>500</v>
      </c>
      <c r="C69" s="776"/>
      <c r="D69" s="776"/>
      <c r="E69" s="776"/>
      <c r="F69" s="776"/>
      <c r="G69" s="776"/>
      <c r="H69" s="776"/>
      <c r="I69" s="777"/>
      <c r="J69" s="466">
        <f>SUM(J9,J54)</f>
        <v>4212</v>
      </c>
      <c r="K69" s="466">
        <f>SUM(K9,K54)</f>
        <v>2808</v>
      </c>
      <c r="L69" s="167">
        <f aca="true" t="shared" si="63" ref="L69:U69">L9+L54</f>
        <v>5235</v>
      </c>
      <c r="M69" s="235">
        <f t="shared" si="63"/>
        <v>3484</v>
      </c>
      <c r="N69" s="170">
        <f t="shared" si="63"/>
        <v>4212</v>
      </c>
      <c r="O69" s="168">
        <f>O9+O54</f>
        <v>640</v>
      </c>
      <c r="P69" s="168">
        <f>P9+P54</f>
        <v>437</v>
      </c>
      <c r="Q69" s="168">
        <f t="shared" si="63"/>
        <v>150</v>
      </c>
      <c r="R69" s="168">
        <f>R9+R54</f>
        <v>53</v>
      </c>
      <c r="S69" s="168"/>
      <c r="T69" s="168">
        <f t="shared" si="63"/>
        <v>0</v>
      </c>
      <c r="U69" s="168">
        <f t="shared" si="63"/>
        <v>0</v>
      </c>
      <c r="V69" s="168">
        <f>V9+V54</f>
        <v>3572</v>
      </c>
      <c r="W69" s="987">
        <f>SUM(X69:AD69)</f>
        <v>961</v>
      </c>
      <c r="X69" s="988">
        <f>X9+X54</f>
        <v>124</v>
      </c>
      <c r="Y69" s="988">
        <f>Y9+Y54</f>
        <v>36</v>
      </c>
      <c r="Z69" s="988">
        <f>Z9+Z54</f>
        <v>0</v>
      </c>
      <c r="AA69" s="988"/>
      <c r="AB69" s="988">
        <f>AB9+AB54</f>
        <v>0</v>
      </c>
      <c r="AC69" s="988">
        <f>AC9+AC54</f>
        <v>0</v>
      </c>
      <c r="AD69" s="988">
        <f>AD9+AD54</f>
        <v>801</v>
      </c>
      <c r="AE69" s="987">
        <f>SUM(AF69:AL69)</f>
        <v>1026</v>
      </c>
      <c r="AF69" s="988">
        <f aca="true" t="shared" si="64" ref="AF69:AL69">AF9+AF54</f>
        <v>132</v>
      </c>
      <c r="AG69" s="988">
        <f t="shared" si="64"/>
        <v>28</v>
      </c>
      <c r="AH69" s="988">
        <f t="shared" si="64"/>
        <v>0</v>
      </c>
      <c r="AI69" s="988"/>
      <c r="AJ69" s="988">
        <f t="shared" si="64"/>
        <v>0</v>
      </c>
      <c r="AK69" s="988">
        <f t="shared" si="64"/>
        <v>0</v>
      </c>
      <c r="AL69" s="988">
        <f t="shared" si="64"/>
        <v>866</v>
      </c>
      <c r="AM69" s="987">
        <f>SUM(AN69:AT69)</f>
        <v>1141</v>
      </c>
      <c r="AN69" s="988">
        <f aca="true" t="shared" si="65" ref="AN69:AT69">AN9+AN54</f>
        <v>103</v>
      </c>
      <c r="AO69" s="988">
        <f t="shared" si="65"/>
        <v>28</v>
      </c>
      <c r="AP69" s="988">
        <f t="shared" si="65"/>
        <v>29</v>
      </c>
      <c r="AQ69" s="988"/>
      <c r="AR69" s="988">
        <f t="shared" si="65"/>
        <v>0</v>
      </c>
      <c r="AS69" s="988">
        <f t="shared" si="65"/>
        <v>0</v>
      </c>
      <c r="AT69" s="988">
        <f t="shared" si="65"/>
        <v>981</v>
      </c>
      <c r="AU69" s="987">
        <f>SUM(AV69:BB69)</f>
        <v>1084</v>
      </c>
      <c r="AV69" s="988">
        <f aca="true" t="shared" si="66" ref="AV69:BB69">AV9+AV54</f>
        <v>78</v>
      </c>
      <c r="AW69" s="988">
        <f t="shared" si="66"/>
        <v>58</v>
      </c>
      <c r="AX69" s="988">
        <f t="shared" si="66"/>
        <v>24</v>
      </c>
      <c r="AY69" s="988"/>
      <c r="AZ69" s="988">
        <f t="shared" si="66"/>
        <v>0</v>
      </c>
      <c r="BA69" s="988">
        <f t="shared" si="66"/>
        <v>0</v>
      </c>
      <c r="BB69" s="988">
        <f t="shared" si="66"/>
        <v>924</v>
      </c>
      <c r="BC69" s="989">
        <f>SUM(BD69:BJ69)</f>
        <v>0</v>
      </c>
      <c r="BD69" s="990">
        <f aca="true" t="shared" si="67" ref="BD69:BJ69">BD9+BD54</f>
        <v>0</v>
      </c>
      <c r="BE69" s="990">
        <f t="shared" si="67"/>
        <v>0</v>
      </c>
      <c r="BF69" s="990">
        <f t="shared" si="67"/>
        <v>0</v>
      </c>
      <c r="BG69" s="990">
        <f t="shared" si="67"/>
        <v>0</v>
      </c>
      <c r="BH69" s="990">
        <f t="shared" si="67"/>
        <v>0</v>
      </c>
      <c r="BI69" s="990">
        <f t="shared" si="67"/>
        <v>0</v>
      </c>
      <c r="BJ69" s="991">
        <f t="shared" si="67"/>
        <v>0</v>
      </c>
    </row>
    <row r="70" spans="1:62" ht="12.75">
      <c r="A70" s="986"/>
      <c r="B70" s="775" t="s">
        <v>215</v>
      </c>
      <c r="C70" s="776"/>
      <c r="D70" s="776"/>
      <c r="E70" s="776"/>
      <c r="F70" s="776"/>
      <c r="G70" s="776"/>
      <c r="H70" s="776"/>
      <c r="I70" s="777"/>
      <c r="J70" s="291"/>
      <c r="K70" s="291">
        <v>1512</v>
      </c>
      <c r="L70" s="167">
        <v>2484</v>
      </c>
      <c r="M70" s="235">
        <v>1656</v>
      </c>
      <c r="N70" s="170">
        <f>N59</f>
        <v>0</v>
      </c>
      <c r="O70" s="168">
        <f>O59+O58</f>
        <v>1512</v>
      </c>
      <c r="P70" s="168">
        <f>P59+P58</f>
        <v>0</v>
      </c>
      <c r="Q70" s="168">
        <f>Q59+Q58</f>
        <v>0</v>
      </c>
      <c r="R70" s="168">
        <f>R59+R58</f>
        <v>0</v>
      </c>
      <c r="S70" s="168"/>
      <c r="T70" s="168">
        <v>0</v>
      </c>
      <c r="U70" s="168">
        <v>0</v>
      </c>
      <c r="V70" s="170">
        <f>V59+V58</f>
        <v>0</v>
      </c>
      <c r="W70" s="987">
        <f>SUM(X70:AD70)</f>
        <v>0</v>
      </c>
      <c r="X70" s="988">
        <f aca="true" t="shared" si="68" ref="X70:AD70">X58+X59</f>
        <v>0</v>
      </c>
      <c r="Y70" s="988">
        <f t="shared" si="68"/>
        <v>0</v>
      </c>
      <c r="Z70" s="988">
        <f t="shared" si="68"/>
        <v>0</v>
      </c>
      <c r="AA70" s="988"/>
      <c r="AB70" s="988">
        <f t="shared" si="68"/>
        <v>0</v>
      </c>
      <c r="AC70" s="988">
        <f t="shared" si="68"/>
        <v>0</v>
      </c>
      <c r="AD70" s="992">
        <f t="shared" si="68"/>
        <v>0</v>
      </c>
      <c r="AE70" s="987">
        <f>SUM(AF70:AL70)</f>
        <v>396</v>
      </c>
      <c r="AF70" s="988">
        <f aca="true" t="shared" si="69" ref="AF70:AL70">AF58+AF59</f>
        <v>0</v>
      </c>
      <c r="AG70" s="988">
        <f t="shared" si="69"/>
        <v>0</v>
      </c>
      <c r="AH70" s="988">
        <f t="shared" si="69"/>
        <v>0</v>
      </c>
      <c r="AI70" s="988"/>
      <c r="AJ70" s="988">
        <f t="shared" si="69"/>
        <v>396</v>
      </c>
      <c r="AK70" s="988">
        <f t="shared" si="69"/>
        <v>0</v>
      </c>
      <c r="AL70" s="992">
        <f t="shared" si="69"/>
        <v>0</v>
      </c>
      <c r="AM70" s="987">
        <f>SUM(AN70:AT70)</f>
        <v>756</v>
      </c>
      <c r="AN70" s="988">
        <f aca="true" t="shared" si="70" ref="AN70:AT70">AN58+AN59</f>
        <v>0</v>
      </c>
      <c r="AO70" s="988">
        <f t="shared" si="70"/>
        <v>0</v>
      </c>
      <c r="AP70" s="988">
        <f t="shared" si="70"/>
        <v>0</v>
      </c>
      <c r="AQ70" s="988"/>
      <c r="AR70" s="988">
        <f t="shared" si="70"/>
        <v>756</v>
      </c>
      <c r="AS70" s="988">
        <f t="shared" si="70"/>
        <v>0</v>
      </c>
      <c r="AT70" s="992">
        <f t="shared" si="70"/>
        <v>0</v>
      </c>
      <c r="AU70" s="987">
        <f>SUM(AV70:BB70)</f>
        <v>360</v>
      </c>
      <c r="AV70" s="993">
        <f aca="true" t="shared" si="71" ref="AV70:BB70">AV58+AV59</f>
        <v>0</v>
      </c>
      <c r="AW70" s="988">
        <f t="shared" si="71"/>
        <v>0</v>
      </c>
      <c r="AX70" s="988">
        <f t="shared" si="71"/>
        <v>0</v>
      </c>
      <c r="AY70" s="988"/>
      <c r="AZ70" s="988">
        <f t="shared" si="71"/>
        <v>360</v>
      </c>
      <c r="BA70" s="988">
        <f t="shared" si="71"/>
        <v>0</v>
      </c>
      <c r="BB70" s="992">
        <f t="shared" si="71"/>
        <v>0</v>
      </c>
      <c r="BC70" s="602">
        <f>SUM(BD70:BJ70)</f>
        <v>0</v>
      </c>
      <c r="BD70" s="988"/>
      <c r="BE70" s="988">
        <f aca="true" t="shared" si="72" ref="BE70:BJ70">BE58+BE59</f>
        <v>0</v>
      </c>
      <c r="BF70" s="988">
        <f t="shared" si="72"/>
        <v>0</v>
      </c>
      <c r="BG70" s="988">
        <f t="shared" si="72"/>
        <v>0</v>
      </c>
      <c r="BH70" s="988">
        <f t="shared" si="72"/>
        <v>0</v>
      </c>
      <c r="BI70" s="988">
        <f t="shared" si="72"/>
        <v>0</v>
      </c>
      <c r="BJ70" s="994">
        <f t="shared" si="72"/>
        <v>0</v>
      </c>
    </row>
    <row r="71" spans="1:62" ht="12.75">
      <c r="A71" s="986"/>
      <c r="B71" s="775" t="s">
        <v>497</v>
      </c>
      <c r="C71" s="776"/>
      <c r="D71" s="776"/>
      <c r="E71" s="776"/>
      <c r="F71" s="776"/>
      <c r="G71" s="776"/>
      <c r="H71" s="776"/>
      <c r="I71" s="777"/>
      <c r="J71" s="291"/>
      <c r="K71" s="291"/>
      <c r="L71" s="167">
        <f>L62</f>
        <v>216</v>
      </c>
      <c r="M71" s="235">
        <f>M62</f>
        <v>0</v>
      </c>
      <c r="N71" s="170">
        <f>N62</f>
        <v>216</v>
      </c>
      <c r="O71" s="168">
        <f aca="true" t="shared" si="73" ref="O71:U71">O62</f>
        <v>0</v>
      </c>
      <c r="P71" s="168">
        <f t="shared" si="73"/>
        <v>0</v>
      </c>
      <c r="Q71" s="168">
        <f t="shared" si="73"/>
        <v>0</v>
      </c>
      <c r="R71" s="168">
        <f t="shared" si="73"/>
        <v>0</v>
      </c>
      <c r="S71" s="168"/>
      <c r="T71" s="168">
        <f t="shared" si="73"/>
        <v>0</v>
      </c>
      <c r="U71" s="168">
        <f t="shared" si="73"/>
        <v>0</v>
      </c>
      <c r="V71" s="170">
        <f>V62</f>
        <v>0</v>
      </c>
      <c r="W71" s="987">
        <f>SUM(X71:AD71)</f>
        <v>0</v>
      </c>
      <c r="X71" s="988">
        <f aca="true" t="shared" si="74" ref="X71:AD71">X62</f>
        <v>0</v>
      </c>
      <c r="Y71" s="988">
        <f t="shared" si="74"/>
        <v>0</v>
      </c>
      <c r="Z71" s="988">
        <f t="shared" si="74"/>
        <v>0</v>
      </c>
      <c r="AA71" s="988"/>
      <c r="AB71" s="988">
        <f t="shared" si="74"/>
        <v>0</v>
      </c>
      <c r="AC71" s="988">
        <f t="shared" si="74"/>
        <v>0</v>
      </c>
      <c r="AD71" s="992">
        <f t="shared" si="74"/>
        <v>0</v>
      </c>
      <c r="AE71" s="987">
        <f>SUM(AF71:AL71)</f>
        <v>0</v>
      </c>
      <c r="AF71" s="988">
        <f aca="true" t="shared" si="75" ref="AF71:AL71">AF62</f>
        <v>0</v>
      </c>
      <c r="AG71" s="988">
        <f t="shared" si="75"/>
        <v>0</v>
      </c>
      <c r="AH71" s="988">
        <f t="shared" si="75"/>
        <v>0</v>
      </c>
      <c r="AI71" s="988"/>
      <c r="AJ71" s="988">
        <f t="shared" si="75"/>
        <v>0</v>
      </c>
      <c r="AK71" s="988">
        <f t="shared" si="75"/>
        <v>0</v>
      </c>
      <c r="AL71" s="992">
        <f t="shared" si="75"/>
        <v>0</v>
      </c>
      <c r="AM71" s="987">
        <f aca="true" t="shared" si="76" ref="AM71:AT71">AM62</f>
        <v>0</v>
      </c>
      <c r="AN71" s="988">
        <f t="shared" si="76"/>
        <v>0</v>
      </c>
      <c r="AO71" s="988">
        <f t="shared" si="76"/>
        <v>0</v>
      </c>
      <c r="AP71" s="988">
        <f t="shared" si="76"/>
        <v>0</v>
      </c>
      <c r="AQ71" s="988"/>
      <c r="AR71" s="988">
        <f t="shared" si="76"/>
        <v>0</v>
      </c>
      <c r="AS71" s="988">
        <f t="shared" si="76"/>
        <v>0</v>
      </c>
      <c r="AT71" s="992">
        <f t="shared" si="76"/>
        <v>0</v>
      </c>
      <c r="AU71" s="987">
        <f aca="true" t="shared" si="77" ref="AU71:BB71">AU62</f>
        <v>216</v>
      </c>
      <c r="AV71" s="988">
        <f t="shared" si="77"/>
        <v>0</v>
      </c>
      <c r="AW71" s="988">
        <f t="shared" si="77"/>
        <v>0</v>
      </c>
      <c r="AX71" s="988">
        <f t="shared" si="77"/>
        <v>0</v>
      </c>
      <c r="AY71" s="988"/>
      <c r="AZ71" s="988">
        <f t="shared" si="77"/>
        <v>0</v>
      </c>
      <c r="BA71" s="988">
        <f t="shared" si="77"/>
        <v>0</v>
      </c>
      <c r="BB71" s="992">
        <f t="shared" si="77"/>
        <v>0</v>
      </c>
      <c r="BC71" s="602">
        <f aca="true" t="shared" si="78" ref="BC71:BJ71">BC62</f>
        <v>0</v>
      </c>
      <c r="BD71" s="988">
        <f t="shared" si="78"/>
        <v>0</v>
      </c>
      <c r="BE71" s="988">
        <f t="shared" si="78"/>
        <v>0</v>
      </c>
      <c r="BF71" s="988">
        <f t="shared" si="78"/>
        <v>0</v>
      </c>
      <c r="BG71" s="988">
        <f t="shared" si="78"/>
        <v>0</v>
      </c>
      <c r="BH71" s="988">
        <f t="shared" si="78"/>
        <v>0</v>
      </c>
      <c r="BI71" s="988">
        <f t="shared" si="78"/>
        <v>0</v>
      </c>
      <c r="BJ71" s="994">
        <f t="shared" si="78"/>
        <v>0</v>
      </c>
    </row>
    <row r="72" spans="1:62" ht="12.75" hidden="1">
      <c r="A72" s="995"/>
      <c r="B72" s="996" t="s">
        <v>258</v>
      </c>
      <c r="C72" s="997"/>
      <c r="D72" s="997"/>
      <c r="E72" s="997"/>
      <c r="F72" s="997"/>
      <c r="G72" s="997"/>
      <c r="H72" s="997"/>
      <c r="I72" s="998"/>
      <c r="J72" s="999"/>
      <c r="K72" s="999"/>
      <c r="L72" s="1000">
        <f>L64</f>
        <v>0</v>
      </c>
      <c r="M72" s="1001">
        <f>M64</f>
        <v>0</v>
      </c>
      <c r="N72" s="988">
        <f>N65</f>
        <v>0</v>
      </c>
      <c r="O72" s="992">
        <f aca="true" t="shared" si="79" ref="O72:U72">O64</f>
        <v>0</v>
      </c>
      <c r="P72" s="992">
        <f t="shared" si="79"/>
        <v>0</v>
      </c>
      <c r="Q72" s="992">
        <f t="shared" si="79"/>
        <v>0</v>
      </c>
      <c r="R72" s="992">
        <f t="shared" si="79"/>
        <v>0</v>
      </c>
      <c r="S72" s="992"/>
      <c r="T72" s="992">
        <f t="shared" si="79"/>
        <v>0</v>
      </c>
      <c r="U72" s="992">
        <f t="shared" si="79"/>
        <v>0</v>
      </c>
      <c r="V72" s="992">
        <f>V64</f>
        <v>0</v>
      </c>
      <c r="W72" s="1002">
        <f aca="true" t="shared" si="80" ref="W72:AD72">W64</f>
        <v>0</v>
      </c>
      <c r="X72" s="988">
        <f t="shared" si="80"/>
        <v>0</v>
      </c>
      <c r="Y72" s="988">
        <f t="shared" si="80"/>
        <v>0</v>
      </c>
      <c r="Z72" s="988">
        <f t="shared" si="80"/>
        <v>0</v>
      </c>
      <c r="AA72" s="988"/>
      <c r="AB72" s="988">
        <f t="shared" si="80"/>
        <v>0</v>
      </c>
      <c r="AC72" s="988">
        <f t="shared" si="80"/>
        <v>0</v>
      </c>
      <c r="AD72" s="992">
        <f t="shared" si="80"/>
        <v>0</v>
      </c>
      <c r="AE72" s="1002">
        <f aca="true" t="shared" si="81" ref="AE72:AL72">AE64</f>
        <v>0</v>
      </c>
      <c r="AF72" s="988">
        <f t="shared" si="81"/>
        <v>0</v>
      </c>
      <c r="AG72" s="988">
        <f t="shared" si="81"/>
        <v>0</v>
      </c>
      <c r="AH72" s="988">
        <f t="shared" si="81"/>
        <v>0</v>
      </c>
      <c r="AI72" s="988"/>
      <c r="AJ72" s="988">
        <f t="shared" si="81"/>
        <v>0</v>
      </c>
      <c r="AK72" s="988">
        <f t="shared" si="81"/>
        <v>0</v>
      </c>
      <c r="AL72" s="992">
        <f t="shared" si="81"/>
        <v>0</v>
      </c>
      <c r="AM72" s="1002">
        <f aca="true" t="shared" si="82" ref="AM72:AT72">AM64</f>
        <v>0</v>
      </c>
      <c r="AN72" s="988">
        <f t="shared" si="82"/>
        <v>0</v>
      </c>
      <c r="AO72" s="988">
        <f t="shared" si="82"/>
        <v>0</v>
      </c>
      <c r="AP72" s="988">
        <f t="shared" si="82"/>
        <v>0</v>
      </c>
      <c r="AQ72" s="988"/>
      <c r="AR72" s="988">
        <f t="shared" si="82"/>
        <v>0</v>
      </c>
      <c r="AS72" s="988">
        <f t="shared" si="82"/>
        <v>0</v>
      </c>
      <c r="AT72" s="992">
        <f t="shared" si="82"/>
        <v>0</v>
      </c>
      <c r="AU72" s="1002">
        <f aca="true" t="shared" si="83" ref="AU72:BB72">AU64</f>
        <v>0</v>
      </c>
      <c r="AV72" s="988">
        <f t="shared" si="83"/>
        <v>0</v>
      </c>
      <c r="AW72" s="988">
        <f t="shared" si="83"/>
        <v>0</v>
      </c>
      <c r="AX72" s="988">
        <f t="shared" si="83"/>
        <v>0</v>
      </c>
      <c r="AY72" s="988"/>
      <c r="AZ72" s="988">
        <f t="shared" si="83"/>
        <v>0</v>
      </c>
      <c r="BA72" s="988">
        <f t="shared" si="83"/>
        <v>0</v>
      </c>
      <c r="BB72" s="992">
        <f t="shared" si="83"/>
        <v>0</v>
      </c>
      <c r="BC72" s="1003">
        <f aca="true" t="shared" si="84" ref="BC72:BJ72">BC64</f>
        <v>0</v>
      </c>
      <c r="BD72" s="988">
        <f t="shared" si="84"/>
        <v>0</v>
      </c>
      <c r="BE72" s="988">
        <f t="shared" si="84"/>
        <v>0</v>
      </c>
      <c r="BF72" s="988">
        <f t="shared" si="84"/>
        <v>0</v>
      </c>
      <c r="BG72" s="988">
        <f t="shared" si="84"/>
        <v>0</v>
      </c>
      <c r="BH72" s="988">
        <f t="shared" si="84"/>
        <v>0</v>
      </c>
      <c r="BI72" s="988">
        <f t="shared" si="84"/>
        <v>0</v>
      </c>
      <c r="BJ72" s="994">
        <f t="shared" si="84"/>
        <v>0</v>
      </c>
    </row>
    <row r="73" spans="1:62" ht="12.75">
      <c r="A73" s="1004"/>
      <c r="B73" s="775" t="s">
        <v>199</v>
      </c>
      <c r="C73" s="776"/>
      <c r="D73" s="776"/>
      <c r="E73" s="776"/>
      <c r="F73" s="776"/>
      <c r="G73" s="776"/>
      <c r="H73" s="776"/>
      <c r="I73" s="776"/>
      <c r="J73" s="290"/>
      <c r="K73" s="290"/>
      <c r="L73" s="169">
        <f>SUM(L69:L71)</f>
        <v>7935</v>
      </c>
      <c r="M73" s="235">
        <f>SUM(M69:M71)</f>
        <v>5140</v>
      </c>
      <c r="N73" s="170">
        <f>SUM(N69:N71)</f>
        <v>4428</v>
      </c>
      <c r="O73" s="170">
        <f aca="true" t="shared" si="85" ref="O73:U73">SUM(O69:O71)</f>
        <v>2152</v>
      </c>
      <c r="P73" s="170">
        <f t="shared" si="85"/>
        <v>437</v>
      </c>
      <c r="Q73" s="170">
        <f t="shared" si="85"/>
        <v>150</v>
      </c>
      <c r="R73" s="170">
        <f t="shared" si="85"/>
        <v>53</v>
      </c>
      <c r="S73" s="170"/>
      <c r="T73" s="170">
        <f t="shared" si="85"/>
        <v>0</v>
      </c>
      <c r="U73" s="170">
        <f t="shared" si="85"/>
        <v>0</v>
      </c>
      <c r="V73" s="170">
        <f>SUM(V69:V71)</f>
        <v>3572</v>
      </c>
      <c r="W73" s="987">
        <f aca="true" t="shared" si="86" ref="W73:AD73">SUM(W69:W71)</f>
        <v>961</v>
      </c>
      <c r="X73" s="988">
        <f t="shared" si="86"/>
        <v>124</v>
      </c>
      <c r="Y73" s="988">
        <f t="shared" si="86"/>
        <v>36</v>
      </c>
      <c r="Z73" s="988">
        <f t="shared" si="86"/>
        <v>0</v>
      </c>
      <c r="AA73" s="988"/>
      <c r="AB73" s="988">
        <f t="shared" si="86"/>
        <v>0</v>
      </c>
      <c r="AC73" s="988">
        <f t="shared" si="86"/>
        <v>0</v>
      </c>
      <c r="AD73" s="988">
        <f t="shared" si="86"/>
        <v>801</v>
      </c>
      <c r="AE73" s="987">
        <f aca="true" t="shared" si="87" ref="AE73:AL73">SUM(AE69:AE71)</f>
        <v>1422</v>
      </c>
      <c r="AF73" s="988">
        <f t="shared" si="87"/>
        <v>132</v>
      </c>
      <c r="AG73" s="988">
        <f t="shared" si="87"/>
        <v>28</v>
      </c>
      <c r="AH73" s="988">
        <f t="shared" si="87"/>
        <v>0</v>
      </c>
      <c r="AI73" s="988"/>
      <c r="AJ73" s="988">
        <f t="shared" si="87"/>
        <v>396</v>
      </c>
      <c r="AK73" s="988">
        <f t="shared" si="87"/>
        <v>0</v>
      </c>
      <c r="AL73" s="988">
        <f t="shared" si="87"/>
        <v>866</v>
      </c>
      <c r="AM73" s="987">
        <f aca="true" t="shared" si="88" ref="AM73:AT73">SUM(AM69:AM71)</f>
        <v>1897</v>
      </c>
      <c r="AN73" s="988">
        <f t="shared" si="88"/>
        <v>103</v>
      </c>
      <c r="AO73" s="988">
        <f t="shared" si="88"/>
        <v>28</v>
      </c>
      <c r="AP73" s="988">
        <f t="shared" si="88"/>
        <v>29</v>
      </c>
      <c r="AQ73" s="988"/>
      <c r="AR73" s="988">
        <f t="shared" si="88"/>
        <v>756</v>
      </c>
      <c r="AS73" s="988">
        <f t="shared" si="88"/>
        <v>0</v>
      </c>
      <c r="AT73" s="988">
        <f t="shared" si="88"/>
        <v>981</v>
      </c>
      <c r="AU73" s="987">
        <f aca="true" t="shared" si="89" ref="AU73:BJ73">SUM(AU69:AU71)</f>
        <v>1660</v>
      </c>
      <c r="AV73" s="988">
        <f t="shared" si="89"/>
        <v>78</v>
      </c>
      <c r="AW73" s="988">
        <f t="shared" si="89"/>
        <v>58</v>
      </c>
      <c r="AX73" s="988">
        <f t="shared" si="89"/>
        <v>24</v>
      </c>
      <c r="AY73" s="988"/>
      <c r="AZ73" s="988">
        <f t="shared" si="89"/>
        <v>360</v>
      </c>
      <c r="BA73" s="988">
        <f t="shared" si="89"/>
        <v>0</v>
      </c>
      <c r="BB73" s="988">
        <f t="shared" si="89"/>
        <v>924</v>
      </c>
      <c r="BC73" s="602">
        <f t="shared" si="89"/>
        <v>0</v>
      </c>
      <c r="BD73" s="988">
        <f t="shared" si="89"/>
        <v>0</v>
      </c>
      <c r="BE73" s="988">
        <f t="shared" si="89"/>
        <v>0</v>
      </c>
      <c r="BF73" s="988">
        <f t="shared" si="89"/>
        <v>0</v>
      </c>
      <c r="BG73" s="988">
        <f t="shared" si="89"/>
        <v>0</v>
      </c>
      <c r="BH73" s="988">
        <f t="shared" si="89"/>
        <v>0</v>
      </c>
      <c r="BI73" s="988">
        <f t="shared" si="89"/>
        <v>0</v>
      </c>
      <c r="BJ73" s="1005">
        <f t="shared" si="89"/>
        <v>0</v>
      </c>
    </row>
    <row r="74" spans="1:62" ht="12.75">
      <c r="A74" s="1004"/>
      <c r="B74" s="996" t="s">
        <v>216</v>
      </c>
      <c r="C74" s="997"/>
      <c r="D74" s="997"/>
      <c r="E74" s="997"/>
      <c r="F74" s="997"/>
      <c r="G74" s="997"/>
      <c r="H74" s="997"/>
      <c r="I74" s="997"/>
      <c r="J74" s="997"/>
      <c r="K74" s="997"/>
      <c r="L74" s="997"/>
      <c r="M74" s="997"/>
      <c r="N74" s="786">
        <f>COUNTIF(N11:N14,"&gt;0")+COUNTIF(N16:N18,"&gt;0")+COUNTIF(N21:N28,"&gt;0")+COUNTIF(N32:N38,"&gt;0")+COUNTIF(N42:N45,"&gt;0")+COUNTIF(N48:N49,"&gt;0")+COUNTIF(N55:N57,"&gt;0")+COUNTIF(N52:N52,"&gt;0")</f>
        <v>30</v>
      </c>
      <c r="O74" s="787"/>
      <c r="P74" s="787"/>
      <c r="Q74" s="787"/>
      <c r="R74" s="787"/>
      <c r="S74" s="787"/>
      <c r="T74" s="787"/>
      <c r="U74" s="787"/>
      <c r="V74" s="788"/>
      <c r="W74" s="1006">
        <f>COUNTIF(W11:W14,"&gt;0")+COUNTIF(W16:W18,"&gt;0")+COUNTIF(W21:W28,"&gt;0")+COUNTIF(W32:W38,"&gt;0")+COUNTIF(W42:W45,"&gt;0")+COUNTIF(W55:W57,"&gt;0")+COUNTIF(W52:W52,"&gt;0")+COUNTIF(W48:W49,"&gt;0")</f>
        <v>13</v>
      </c>
      <c r="X74" s="1007"/>
      <c r="Y74" s="1007"/>
      <c r="Z74" s="1007"/>
      <c r="AA74" s="1007"/>
      <c r="AB74" s="1007"/>
      <c r="AC74" s="1007"/>
      <c r="AD74" s="1008"/>
      <c r="AE74" s="1006">
        <f>COUNTIF(AE11:AE14,"&gt;0")+COUNTIF(AE16:AE18,"&gt;0")+COUNTIF(AE21:AE28,"&gt;0")+COUNTIF(AE32:AE38,"&gt;0")+COUNTIF(AE42:AE45,"&gt;0")+COUNTIF(AE55:AE57,"&gt;0")+COUNTIF(AE52:AE52,"&gt;0")+COUNTIF(AE48:AE49,"&gt;0")</f>
        <v>12</v>
      </c>
      <c r="AF74" s="1007"/>
      <c r="AG74" s="1007"/>
      <c r="AH74" s="1007"/>
      <c r="AI74" s="1007"/>
      <c r="AJ74" s="1007"/>
      <c r="AK74" s="1007"/>
      <c r="AL74" s="1008"/>
      <c r="AM74" s="1006">
        <f>COUNTIF(AM11:AM14,"&gt;0")+COUNTIF(AM16:AM18,"&gt;0")+COUNTIF(AM21:AM28,"&gt;0")+COUNTIF(AM32:AM38,"&gt;0")+COUNTIF(AM42:AM45,"&gt;0")+COUNTIF(AM55:AM57,"&gt;0")+COUNTIF(AM52:AM52,"&gt;0")+COUNTIF(AM48:AM49,"&gt;0")</f>
        <v>13</v>
      </c>
      <c r="AN74" s="1007"/>
      <c r="AO74" s="1007"/>
      <c r="AP74" s="1007"/>
      <c r="AQ74" s="1007"/>
      <c r="AR74" s="1007"/>
      <c r="AS74" s="1007"/>
      <c r="AT74" s="1008"/>
      <c r="AU74" s="1006">
        <f>COUNTIF(AU11:AU14,"&gt;0")+COUNTIF(AU16:AU18,"&gt;0")+COUNTIF(AU21:AU28,"&gt;0")+COUNTIF(AU32:AU38,"&gt;0")+COUNTIF(AU42:AU45,"&gt;0")+COUNTIF(AU55:AU57,"&gt;0")+COUNTIF(AU52:AU52,"&gt;0")+COUNTIF(AU48:AU49,"&gt;0")</f>
        <v>8</v>
      </c>
      <c r="AV74" s="1007"/>
      <c r="AW74" s="1007"/>
      <c r="AX74" s="1007"/>
      <c r="AY74" s="1007"/>
      <c r="AZ74" s="1007"/>
      <c r="BA74" s="1007"/>
      <c r="BB74" s="1008"/>
      <c r="BC74" s="1007">
        <f>COUNTIF(BC11:BC14,"&gt;0")+COUNTIF(BC16:BC18,"&gt;0")+COUNTIF(BC21:BC28,"&gt;0")+COUNTIF(BC32:BC38,"&gt;0")+COUNTIF(BC42:BC45,"&gt;0")+COUNTIF(BC55:BC57,"&gt;0")+COUNTIF(BC52:BC52,"&gt;0")+COUNTIF(BC48:BC49,"&gt;0")</f>
        <v>0</v>
      </c>
      <c r="BD74" s="1007"/>
      <c r="BE74" s="1007"/>
      <c r="BF74" s="1007"/>
      <c r="BG74" s="1007"/>
      <c r="BH74" s="1007"/>
      <c r="BI74" s="1007"/>
      <c r="BJ74" s="1009"/>
    </row>
    <row r="75" spans="1:62" ht="12.75">
      <c r="A75" s="1004"/>
      <c r="B75" s="996" t="s">
        <v>74</v>
      </c>
      <c r="C75" s="997"/>
      <c r="D75" s="997"/>
      <c r="E75" s="997"/>
      <c r="F75" s="997"/>
      <c r="G75" s="997"/>
      <c r="H75" s="997"/>
      <c r="I75" s="997"/>
      <c r="J75" s="997"/>
      <c r="K75" s="997"/>
      <c r="L75" s="997"/>
      <c r="M75" s="997"/>
      <c r="N75" s="783">
        <v>1</v>
      </c>
      <c r="O75" s="784"/>
      <c r="P75" s="784"/>
      <c r="Q75" s="784"/>
      <c r="R75" s="784"/>
      <c r="S75" s="784"/>
      <c r="T75" s="784"/>
      <c r="U75" s="784"/>
      <c r="V75" s="785"/>
      <c r="W75" s="1010">
        <f>COUNTIF(W58,"&gt;0")+COUNTIF(W59,"&gt;0")</f>
        <v>0</v>
      </c>
      <c r="X75" s="1011"/>
      <c r="Y75" s="1011"/>
      <c r="Z75" s="1011"/>
      <c r="AA75" s="1011"/>
      <c r="AB75" s="1011"/>
      <c r="AC75" s="1011"/>
      <c r="AD75" s="1012"/>
      <c r="AE75" s="1010">
        <f>COUNTIF(AE60:AE61,"&gt;0")</f>
        <v>0</v>
      </c>
      <c r="AF75" s="1011"/>
      <c r="AG75" s="1011"/>
      <c r="AH75" s="1011"/>
      <c r="AI75" s="1011"/>
      <c r="AJ75" s="1011"/>
      <c r="AK75" s="1011"/>
      <c r="AL75" s="1012"/>
      <c r="AM75" s="1010">
        <f>COUNTIF(AM60:AM61,"&gt;0")</f>
        <v>1</v>
      </c>
      <c r="AN75" s="1011"/>
      <c r="AO75" s="1011"/>
      <c r="AP75" s="1011"/>
      <c r="AQ75" s="1011"/>
      <c r="AR75" s="1011"/>
      <c r="AS75" s="1011"/>
      <c r="AT75" s="1012"/>
      <c r="AU75" s="1010">
        <f>COUNTIF(AU60:AU61,"&gt;0")</f>
        <v>2</v>
      </c>
      <c r="AV75" s="1011"/>
      <c r="AW75" s="1011"/>
      <c r="AX75" s="1011"/>
      <c r="AY75" s="1011"/>
      <c r="AZ75" s="1011"/>
      <c r="BA75" s="1011"/>
      <c r="BB75" s="1012"/>
      <c r="BC75" s="1013">
        <f>COUNTIF(BC60:BC61,"&gt;0")</f>
        <v>0</v>
      </c>
      <c r="BD75" s="1011"/>
      <c r="BE75" s="1011"/>
      <c r="BF75" s="1011"/>
      <c r="BG75" s="1011"/>
      <c r="BH75" s="1011"/>
      <c r="BI75" s="1011"/>
      <c r="BJ75" s="1014"/>
    </row>
    <row r="76" spans="1:62" ht="12.75">
      <c r="A76" s="1015"/>
      <c r="B76" s="996" t="s">
        <v>501</v>
      </c>
      <c r="C76" s="997"/>
      <c r="D76" s="997"/>
      <c r="E76" s="997"/>
      <c r="F76" s="997"/>
      <c r="G76" s="997"/>
      <c r="H76" s="997"/>
      <c r="I76" s="997"/>
      <c r="J76" s="997"/>
      <c r="K76" s="997"/>
      <c r="L76" s="997"/>
      <c r="M76" s="997"/>
      <c r="N76" s="789">
        <f>O69/(AH3+AR3+AX3+BG3)*7</f>
        <v>29.9</v>
      </c>
      <c r="O76" s="790"/>
      <c r="P76" s="790"/>
      <c r="Q76" s="790"/>
      <c r="R76" s="790"/>
      <c r="S76" s="790"/>
      <c r="T76" s="790"/>
      <c r="U76" s="790"/>
      <c r="V76" s="791"/>
      <c r="W76" s="1016">
        <f>W69/Z3</f>
        <v>32</v>
      </c>
      <c r="X76" s="1017"/>
      <c r="Y76" s="1017"/>
      <c r="Z76" s="1017"/>
      <c r="AA76" s="1017"/>
      <c r="AB76" s="1017"/>
      <c r="AC76" s="1017"/>
      <c r="AD76" s="1018"/>
      <c r="AE76" s="1016">
        <f>AE69/AH3</f>
        <v>34.2</v>
      </c>
      <c r="AF76" s="1017"/>
      <c r="AG76" s="1017"/>
      <c r="AH76" s="1017"/>
      <c r="AI76" s="1017"/>
      <c r="AJ76" s="1017"/>
      <c r="AK76" s="1017"/>
      <c r="AL76" s="1018"/>
      <c r="AM76" s="1019">
        <f>AM69/AR3</f>
        <v>28.5</v>
      </c>
      <c r="AN76" s="1020"/>
      <c r="AO76" s="1020"/>
      <c r="AP76" s="1020"/>
      <c r="AQ76" s="1020"/>
      <c r="AR76" s="1020"/>
      <c r="AS76" s="1020"/>
      <c r="AT76" s="1021"/>
      <c r="AU76" s="1019">
        <f>AU69/AX3</f>
        <v>27.1</v>
      </c>
      <c r="AV76" s="1020"/>
      <c r="AW76" s="1020"/>
      <c r="AX76" s="1020"/>
      <c r="AY76" s="1020"/>
      <c r="AZ76" s="1020"/>
      <c r="BA76" s="1020"/>
      <c r="BB76" s="1021"/>
      <c r="BC76" s="1022">
        <f>BC73/BG3</f>
        <v>0</v>
      </c>
      <c r="BD76" s="1020"/>
      <c r="BE76" s="1020"/>
      <c r="BF76" s="1020"/>
      <c r="BG76" s="1020"/>
      <c r="BH76" s="1020"/>
      <c r="BI76" s="1020"/>
      <c r="BJ76" s="1023"/>
    </row>
    <row r="77" spans="1:62" ht="12.75">
      <c r="A77" s="1024"/>
      <c r="B77" s="996" t="s">
        <v>214</v>
      </c>
      <c r="C77" s="997"/>
      <c r="D77" s="997"/>
      <c r="E77" s="997"/>
      <c r="F77" s="997"/>
      <c r="G77" s="997"/>
      <c r="H77" s="997"/>
      <c r="I77" s="997"/>
      <c r="J77" s="997"/>
      <c r="K77" s="997"/>
      <c r="L77" s="997"/>
      <c r="M77" s="997"/>
      <c r="N77" s="792">
        <f>IF('Титульный лист (заочная)'!BD30=0,0,IF(N69=0,0,N69/(AH3+AR3+AX3+BG3)))</f>
        <v>28.1</v>
      </c>
      <c r="O77" s="793"/>
      <c r="P77" s="793"/>
      <c r="Q77" s="793"/>
      <c r="R77" s="793"/>
      <c r="S77" s="793"/>
      <c r="T77" s="793"/>
      <c r="U77" s="793"/>
      <c r="V77" s="794"/>
      <c r="W77" s="1016">
        <f>SUM(X69:Z69)/Z3*6</f>
        <v>32</v>
      </c>
      <c r="X77" s="1017"/>
      <c r="Y77" s="1025"/>
      <c r="Z77" s="1025"/>
      <c r="AA77" s="1025"/>
      <c r="AB77" s="1017"/>
      <c r="AC77" s="1017"/>
      <c r="AD77" s="1018"/>
      <c r="AE77" s="1016">
        <f>SUM(AF69:AH69)/AH3*6</f>
        <v>32</v>
      </c>
      <c r="AF77" s="1017"/>
      <c r="AG77" s="1025"/>
      <c r="AH77" s="1025"/>
      <c r="AI77" s="1025"/>
      <c r="AJ77" s="1017"/>
      <c r="AK77" s="1017"/>
      <c r="AL77" s="1018"/>
      <c r="AM77" s="1016">
        <f>SUM(AN69:AO69)/AH3*6</f>
        <v>26.2</v>
      </c>
      <c r="AN77" s="1017"/>
      <c r="AO77" s="1025"/>
      <c r="AP77" s="1025"/>
      <c r="AQ77" s="1025"/>
      <c r="AR77" s="1017"/>
      <c r="AS77" s="1017"/>
      <c r="AT77" s="1018"/>
      <c r="AU77" s="1026">
        <f>SUM(AV69:AX69)/AH3*6</f>
        <v>32</v>
      </c>
      <c r="AV77" s="1026"/>
      <c r="AW77" s="1026"/>
      <c r="AX77" s="1026"/>
      <c r="AY77" s="1026"/>
      <c r="AZ77" s="1026"/>
      <c r="BA77" s="1026"/>
      <c r="BB77" s="1026"/>
      <c r="BC77" s="1017">
        <f>SUM(BE69:BG69)/AH3*7</f>
        <v>0</v>
      </c>
      <c r="BD77" s="1017"/>
      <c r="BE77" s="1017"/>
      <c r="BF77" s="1025"/>
      <c r="BG77" s="1025"/>
      <c r="BH77" s="1017"/>
      <c r="BI77" s="1017"/>
      <c r="BJ77" s="1027"/>
    </row>
    <row r="78" spans="1:64" ht="12.75">
      <c r="A78" s="1028"/>
      <c r="B78" s="996" t="s">
        <v>213</v>
      </c>
      <c r="C78" s="997"/>
      <c r="D78" s="997"/>
      <c r="E78" s="997"/>
      <c r="F78" s="997"/>
      <c r="G78" s="997"/>
      <c r="H78" s="997"/>
      <c r="I78" s="997"/>
      <c r="J78" s="997"/>
      <c r="K78" s="997"/>
      <c r="L78" s="997"/>
      <c r="M78" s="997"/>
      <c r="N78" s="786">
        <f>AE78+AM78+AU78+W78</f>
        <v>11</v>
      </c>
      <c r="O78" s="787"/>
      <c r="P78" s="787" t="s">
        <v>242</v>
      </c>
      <c r="Q78" s="787"/>
      <c r="R78" s="787"/>
      <c r="S78" s="499"/>
      <c r="T78" s="501">
        <f>AJ78+AR78+AZ78+AB78</f>
        <v>11</v>
      </c>
      <c r="U78" s="501"/>
      <c r="V78" s="502"/>
      <c r="W78" s="1029">
        <f>COUNTIF($D$9:$D$57,"*2*")</f>
        <v>3</v>
      </c>
      <c r="X78" s="1030"/>
      <c r="Y78" s="1007" t="s">
        <v>242</v>
      </c>
      <c r="Z78" s="1007"/>
      <c r="AA78" s="1031"/>
      <c r="AB78" s="1032">
        <f>COUNTIF($D$9:$D$57,"*2*")</f>
        <v>3</v>
      </c>
      <c r="AC78" s="1032"/>
      <c r="AD78" s="1033"/>
      <c r="AE78" s="1029">
        <f>COUNTIF($D$9:$D$57,"*2*")</f>
        <v>3</v>
      </c>
      <c r="AF78" s="1030"/>
      <c r="AG78" s="1007" t="s">
        <v>242</v>
      </c>
      <c r="AH78" s="1007"/>
      <c r="AI78" s="1031"/>
      <c r="AJ78" s="1032">
        <f>COUNTIF($D$9:$D$57,"*2*")</f>
        <v>3</v>
      </c>
      <c r="AK78" s="1032"/>
      <c r="AL78" s="1033"/>
      <c r="AM78" s="1029">
        <f>COUNTIF($D$9:$D$57,"*3*")</f>
        <v>3</v>
      </c>
      <c r="AN78" s="1030"/>
      <c r="AO78" s="1007" t="s">
        <v>242</v>
      </c>
      <c r="AP78" s="1007"/>
      <c r="AQ78" s="1031"/>
      <c r="AR78" s="1032">
        <f>COUNTIF($D$9:$D$57,"*3*")</f>
        <v>3</v>
      </c>
      <c r="AS78" s="1032"/>
      <c r="AT78" s="1033"/>
      <c r="AU78" s="1029">
        <f>COUNTIF($D$9:$D$57,"*4*")</f>
        <v>2</v>
      </c>
      <c r="AV78" s="1030"/>
      <c r="AW78" s="1034" t="s">
        <v>242</v>
      </c>
      <c r="AX78" s="1034"/>
      <c r="AY78" s="1035"/>
      <c r="AZ78" s="1030">
        <f>COUNTIF($D$9:$D$57,"*4*")</f>
        <v>2</v>
      </c>
      <c r="BA78" s="1030"/>
      <c r="BB78" s="1036"/>
      <c r="BC78" s="1030">
        <f>COUNTIF($D$9:$D$57,"*5*")</f>
        <v>0</v>
      </c>
      <c r="BD78" s="1030"/>
      <c r="BE78" s="1030"/>
      <c r="BF78" s="1007" t="s">
        <v>242</v>
      </c>
      <c r="BG78" s="1007"/>
      <c r="BH78" s="1030">
        <f>COUNTIF($D$9:$D$57,"*5*")</f>
        <v>0</v>
      </c>
      <c r="BI78" s="1030"/>
      <c r="BJ78" s="1037"/>
      <c r="BK78" s="301"/>
      <c r="BL78" s="301"/>
    </row>
    <row r="79" spans="1:64" ht="12.75">
      <c r="A79" s="1004"/>
      <c r="B79" s="996" t="s">
        <v>212</v>
      </c>
      <c r="C79" s="997"/>
      <c r="D79" s="997"/>
      <c r="E79" s="997"/>
      <c r="F79" s="997"/>
      <c r="G79" s="997"/>
      <c r="H79" s="997"/>
      <c r="I79" s="997"/>
      <c r="J79" s="997"/>
      <c r="K79" s="997"/>
      <c r="L79" s="997"/>
      <c r="M79" s="997"/>
      <c r="N79" s="795">
        <f>AE79+AM79+AU79+BC79</f>
        <v>24</v>
      </c>
      <c r="O79" s="796"/>
      <c r="P79" s="796" t="s">
        <v>242</v>
      </c>
      <c r="Q79" s="796"/>
      <c r="R79" s="796"/>
      <c r="S79" s="500"/>
      <c r="T79" s="501">
        <f>AJ79+AR79+AZ79+BH79</f>
        <v>24</v>
      </c>
      <c r="U79" s="501"/>
      <c r="V79" s="502"/>
      <c r="W79" s="1038">
        <f>COUNTIF($E$9:$F$57,"*2*")</f>
        <v>4</v>
      </c>
      <c r="X79" s="1039"/>
      <c r="Y79" s="1007" t="s">
        <v>242</v>
      </c>
      <c r="Z79" s="1007"/>
      <c r="AA79" s="1040"/>
      <c r="AB79" s="1039">
        <f>COUNTIF($E$9:$F$57,"*2*")</f>
        <v>4</v>
      </c>
      <c r="AC79" s="1039"/>
      <c r="AD79" s="1041"/>
      <c r="AE79" s="1038">
        <f>COUNTIF($E$9:$F$61,"*2*")</f>
        <v>5</v>
      </c>
      <c r="AF79" s="1039"/>
      <c r="AG79" s="1007" t="s">
        <v>242</v>
      </c>
      <c r="AH79" s="1007"/>
      <c r="AI79" s="1040"/>
      <c r="AJ79" s="1039">
        <f>COUNTIF($E$9:$F$61,"*2*")</f>
        <v>5</v>
      </c>
      <c r="AK79" s="1039"/>
      <c r="AL79" s="1041"/>
      <c r="AM79" s="1038">
        <f>COUNTIF($E$9:$F$61,"*3*")</f>
        <v>9</v>
      </c>
      <c r="AN79" s="1039"/>
      <c r="AO79" s="1007" t="s">
        <v>242</v>
      </c>
      <c r="AP79" s="1007"/>
      <c r="AQ79" s="1040"/>
      <c r="AR79" s="1039">
        <f>COUNTIF($E$9:$F$61,"*3*")</f>
        <v>9</v>
      </c>
      <c r="AS79" s="1039"/>
      <c r="AT79" s="1041"/>
      <c r="AU79" s="1038">
        <f>COUNTIF($E$9:$F$61,"*4*")</f>
        <v>10</v>
      </c>
      <c r="AV79" s="1039"/>
      <c r="AW79" s="1007" t="s">
        <v>242</v>
      </c>
      <c r="AX79" s="1007"/>
      <c r="AY79" s="1040"/>
      <c r="AZ79" s="1039">
        <f>COUNTIF($E$9:$F$61,"*4*")</f>
        <v>10</v>
      </c>
      <c r="BA79" s="1039"/>
      <c r="BB79" s="1041"/>
      <c r="BC79" s="1039">
        <f>COUNTIF($E$9:$E$57,"*5*")</f>
        <v>0</v>
      </c>
      <c r="BD79" s="1039"/>
      <c r="BE79" s="1039"/>
      <c r="BF79" s="1007" t="s">
        <v>242</v>
      </c>
      <c r="BG79" s="1007"/>
      <c r="BH79" s="1039">
        <f>COUNTIF($E$9:$E$57,"*5*")</f>
        <v>0</v>
      </c>
      <c r="BI79" s="1039"/>
      <c r="BJ79" s="1042"/>
      <c r="BK79" s="301"/>
      <c r="BL79" s="301"/>
    </row>
    <row r="80" spans="1:64" ht="12.75">
      <c r="A80" s="1004"/>
      <c r="B80" s="996" t="s">
        <v>494</v>
      </c>
      <c r="C80" s="997"/>
      <c r="D80" s="997"/>
      <c r="E80" s="997"/>
      <c r="F80" s="997"/>
      <c r="G80" s="997"/>
      <c r="H80" s="997"/>
      <c r="I80" s="997"/>
      <c r="J80" s="997"/>
      <c r="K80" s="997"/>
      <c r="L80" s="997"/>
      <c r="M80" s="997"/>
      <c r="N80" s="786">
        <f>AE80+AM80+AU80+BC80</f>
        <v>4</v>
      </c>
      <c r="O80" s="787"/>
      <c r="P80" s="787"/>
      <c r="Q80" s="787"/>
      <c r="R80" s="787"/>
      <c r="S80" s="787"/>
      <c r="T80" s="787"/>
      <c r="U80" s="787"/>
      <c r="V80" s="788"/>
      <c r="W80" s="1043">
        <f>COUNTIF($F$9:$H$57,"*2*")</f>
        <v>0</v>
      </c>
      <c r="X80" s="1032"/>
      <c r="Y80" s="1032"/>
      <c r="Z80" s="1032"/>
      <c r="AA80" s="1032"/>
      <c r="AB80" s="1032"/>
      <c r="AC80" s="1032"/>
      <c r="AD80" s="1033"/>
      <c r="AE80" s="1043">
        <f>COUNTIF($F$9:$H$57,"*2*")</f>
        <v>0</v>
      </c>
      <c r="AF80" s="1032"/>
      <c r="AG80" s="1032"/>
      <c r="AH80" s="1032"/>
      <c r="AI80" s="1032"/>
      <c r="AJ80" s="1032"/>
      <c r="AK80" s="1032"/>
      <c r="AL80" s="1033"/>
      <c r="AM80" s="1043">
        <f>COUNTIF($F$9:$H$57,"*3*")</f>
        <v>2</v>
      </c>
      <c r="AN80" s="1032"/>
      <c r="AO80" s="1032"/>
      <c r="AP80" s="1032"/>
      <c r="AQ80" s="1032"/>
      <c r="AR80" s="1032"/>
      <c r="AS80" s="1032"/>
      <c r="AT80" s="1033"/>
      <c r="AU80" s="1043">
        <f>COUNTIF($F$9:$H$57,"*4*")</f>
        <v>2</v>
      </c>
      <c r="AV80" s="1032"/>
      <c r="AW80" s="1032"/>
      <c r="AX80" s="1032"/>
      <c r="AY80" s="1032"/>
      <c r="AZ80" s="1032"/>
      <c r="BA80" s="1032"/>
      <c r="BB80" s="1033"/>
      <c r="BC80" s="1032">
        <f>COUNTIF($F$9:$H$57,"*5*")</f>
        <v>0</v>
      </c>
      <c r="BD80" s="1032"/>
      <c r="BE80" s="1032"/>
      <c r="BF80" s="1032"/>
      <c r="BG80" s="1032"/>
      <c r="BH80" s="1032"/>
      <c r="BI80" s="1032"/>
      <c r="BJ80" s="1044"/>
      <c r="BK80" s="301"/>
      <c r="BL80" s="301"/>
    </row>
    <row r="81" spans="1:64" ht="13.5" thickBot="1">
      <c r="A81" s="1045"/>
      <c r="B81" s="996" t="s">
        <v>496</v>
      </c>
      <c r="C81" s="997"/>
      <c r="D81" s="997"/>
      <c r="E81" s="997"/>
      <c r="F81" s="997"/>
      <c r="G81" s="997"/>
      <c r="H81" s="997"/>
      <c r="I81" s="997"/>
      <c r="J81" s="997"/>
      <c r="K81" s="997"/>
      <c r="L81" s="997"/>
      <c r="M81" s="997"/>
      <c r="N81" s="786">
        <f>AE81+AM81+AU81+BC81</f>
        <v>8</v>
      </c>
      <c r="O81" s="787"/>
      <c r="P81" s="787"/>
      <c r="Q81" s="787"/>
      <c r="R81" s="787"/>
      <c r="S81" s="787"/>
      <c r="T81" s="787"/>
      <c r="U81" s="787"/>
      <c r="V81" s="788"/>
      <c r="W81" s="1043">
        <f>COUNTIF($I$9:$I$57,"*2*")</f>
        <v>5</v>
      </c>
      <c r="X81" s="1032"/>
      <c r="Y81" s="1032"/>
      <c r="Z81" s="1032"/>
      <c r="AA81" s="1032"/>
      <c r="AB81" s="1032"/>
      <c r="AC81" s="1032"/>
      <c r="AD81" s="1033"/>
      <c r="AE81" s="1043">
        <f>COUNTIF($I$9:$I$57,"*2*")</f>
        <v>5</v>
      </c>
      <c r="AF81" s="1032"/>
      <c r="AG81" s="1032"/>
      <c r="AH81" s="1032"/>
      <c r="AI81" s="1032"/>
      <c r="AJ81" s="1032"/>
      <c r="AK81" s="1032"/>
      <c r="AL81" s="1033"/>
      <c r="AM81" s="1043">
        <f>COUNTIF($I$9:$I$57,"*3*")</f>
        <v>3</v>
      </c>
      <c r="AN81" s="1032"/>
      <c r="AO81" s="1032"/>
      <c r="AP81" s="1032"/>
      <c r="AQ81" s="1032"/>
      <c r="AR81" s="1032"/>
      <c r="AS81" s="1032"/>
      <c r="AT81" s="1033"/>
      <c r="AU81" s="1043">
        <f>COUNTIF($I$9:$I$57,"*4*")</f>
        <v>0</v>
      </c>
      <c r="AV81" s="1032"/>
      <c r="AW81" s="1032"/>
      <c r="AX81" s="1032"/>
      <c r="AY81" s="1032"/>
      <c r="AZ81" s="1032"/>
      <c r="BA81" s="1032"/>
      <c r="BB81" s="1033"/>
      <c r="BC81" s="1046">
        <f>COUNTIF($I$9:$I$57,"*5*")</f>
        <v>0</v>
      </c>
      <c r="BD81" s="1046"/>
      <c r="BE81" s="1046"/>
      <c r="BF81" s="1046"/>
      <c r="BG81" s="1046"/>
      <c r="BH81" s="1046"/>
      <c r="BI81" s="1046"/>
      <c r="BJ81" s="1047"/>
      <c r="BK81" s="301"/>
      <c r="BL81" s="301"/>
    </row>
    <row r="82" spans="29:64" ht="12.75">
      <c r="AC82" s="315"/>
      <c r="AK82" s="315"/>
      <c r="BJ82" s="1048"/>
      <c r="BK82" s="301"/>
      <c r="BL82" s="301"/>
    </row>
    <row r="84" spans="1:64" ht="12.75" hidden="1">
      <c r="A84" s="683" t="s">
        <v>240</v>
      </c>
      <c r="B84" s="683"/>
      <c r="C84" s="684" t="s">
        <v>241</v>
      </c>
      <c r="D84" s="684"/>
      <c r="E84" s="684" t="s">
        <v>262</v>
      </c>
      <c r="F84" s="684"/>
      <c r="G84" s="600"/>
      <c r="BK84" s="301"/>
      <c r="BL84" s="301"/>
    </row>
    <row r="85" spans="1:64" ht="12.75" hidden="1">
      <c r="A85" s="316">
        <v>1</v>
      </c>
      <c r="B85" s="316">
        <v>11</v>
      </c>
      <c r="C85" s="317">
        <v>2</v>
      </c>
      <c r="D85" s="318" t="s">
        <v>39</v>
      </c>
      <c r="E85" s="317">
        <v>2</v>
      </c>
      <c r="F85" s="318" t="s">
        <v>38</v>
      </c>
      <c r="G85" s="1049"/>
      <c r="BK85" s="301"/>
      <c r="BL85" s="301"/>
    </row>
    <row r="86" spans="1:64" ht="63.75" hidden="1">
      <c r="A86" s="316" t="s">
        <v>219</v>
      </c>
      <c r="B86" s="316" t="s">
        <v>135</v>
      </c>
      <c r="C86" s="316" t="s">
        <v>7</v>
      </c>
      <c r="D86" s="319" t="s">
        <v>243</v>
      </c>
      <c r="E86" s="316" t="s">
        <v>7</v>
      </c>
      <c r="F86" s="319" t="s">
        <v>243</v>
      </c>
      <c r="G86" s="1050"/>
      <c r="BK86" s="301"/>
      <c r="BL86" s="301"/>
    </row>
    <row r="87" spans="1:64" ht="12.75" hidden="1">
      <c r="A87" s="316">
        <v>1</v>
      </c>
      <c r="B87" s="316">
        <v>21</v>
      </c>
      <c r="C87" s="317">
        <v>2</v>
      </c>
      <c r="D87" s="318" t="s">
        <v>39</v>
      </c>
      <c r="E87" s="317">
        <v>2</v>
      </c>
      <c r="F87" s="318" t="s">
        <v>38</v>
      </c>
      <c r="G87" s="1049"/>
      <c r="BK87" s="301"/>
      <c r="BL87" s="301"/>
    </row>
    <row r="88" spans="1:64" ht="63.75" hidden="1">
      <c r="A88" s="316" t="s">
        <v>219</v>
      </c>
      <c r="B88" s="316" t="s">
        <v>135</v>
      </c>
      <c r="C88" s="316" t="s">
        <v>7</v>
      </c>
      <c r="D88" s="319" t="s">
        <v>244</v>
      </c>
      <c r="E88" s="316" t="s">
        <v>7</v>
      </c>
      <c r="F88" s="319" t="s">
        <v>244</v>
      </c>
      <c r="G88" s="1050"/>
      <c r="BK88" s="301"/>
      <c r="BL88" s="301"/>
    </row>
    <row r="89" spans="1:64" ht="12.75" hidden="1">
      <c r="A89" s="316">
        <v>1</v>
      </c>
      <c r="B89" s="316">
        <v>30</v>
      </c>
      <c r="C89" s="317">
        <v>2</v>
      </c>
      <c r="D89" s="318" t="s">
        <v>39</v>
      </c>
      <c r="E89" s="317">
        <v>2</v>
      </c>
      <c r="F89" s="318" t="s">
        <v>38</v>
      </c>
      <c r="G89" s="1049"/>
      <c r="BK89" s="301"/>
      <c r="BL89" s="301"/>
    </row>
    <row r="90" spans="1:64" ht="63.75" hidden="1">
      <c r="A90" s="316" t="s">
        <v>219</v>
      </c>
      <c r="B90" s="316" t="s">
        <v>135</v>
      </c>
      <c r="C90" s="316" t="s">
        <v>7</v>
      </c>
      <c r="D90" s="319" t="s">
        <v>245</v>
      </c>
      <c r="E90" s="316" t="s">
        <v>7</v>
      </c>
      <c r="F90" s="319" t="s">
        <v>245</v>
      </c>
      <c r="G90" s="1050"/>
      <c r="BK90" s="301"/>
      <c r="BL90" s="301"/>
    </row>
    <row r="91" spans="1:64" ht="12.75" hidden="1">
      <c r="A91" s="316">
        <v>1</v>
      </c>
      <c r="B91" s="316">
        <v>39</v>
      </c>
      <c r="C91" s="317">
        <v>2</v>
      </c>
      <c r="D91" s="318" t="s">
        <v>39</v>
      </c>
      <c r="E91" s="317">
        <v>2</v>
      </c>
      <c r="F91" s="318" t="s">
        <v>38</v>
      </c>
      <c r="G91" s="1049"/>
      <c r="BK91" s="301"/>
      <c r="BL91" s="301"/>
    </row>
    <row r="92" spans="1:64" ht="63.75" hidden="1">
      <c r="A92" s="316" t="s">
        <v>219</v>
      </c>
      <c r="B92" s="316" t="s">
        <v>135</v>
      </c>
      <c r="C92" s="316" t="s">
        <v>7</v>
      </c>
      <c r="D92" s="319" t="s">
        <v>246</v>
      </c>
      <c r="E92" s="316" t="s">
        <v>7</v>
      </c>
      <c r="F92" s="319" t="s">
        <v>246</v>
      </c>
      <c r="G92" s="1050"/>
      <c r="BK92" s="301"/>
      <c r="BL92" s="301"/>
    </row>
    <row r="93" spans="1:64" ht="12.75" hidden="1">
      <c r="A93" s="316">
        <v>1</v>
      </c>
      <c r="B93" s="316">
        <v>48</v>
      </c>
      <c r="C93" s="317">
        <v>2</v>
      </c>
      <c r="D93" s="318" t="s">
        <v>39</v>
      </c>
      <c r="E93" s="317">
        <v>2</v>
      </c>
      <c r="F93" s="318" t="s">
        <v>38</v>
      </c>
      <c r="G93" s="1049"/>
      <c r="H93" s="301"/>
      <c r="I93" s="301"/>
      <c r="J93" s="301"/>
      <c r="K93" s="301"/>
      <c r="L93" s="301"/>
      <c r="M93" s="301"/>
      <c r="N93" s="301"/>
      <c r="O93" s="301"/>
      <c r="P93" s="301"/>
      <c r="Q93" s="301"/>
      <c r="R93" s="301"/>
      <c r="S93" s="301"/>
      <c r="T93" s="301"/>
      <c r="U93" s="301"/>
      <c r="V93" s="301"/>
      <c r="W93" s="301"/>
      <c r="X93" s="301"/>
      <c r="Y93" s="301"/>
      <c r="Z93" s="301"/>
      <c r="AA93" s="301"/>
      <c r="AB93" s="301"/>
      <c r="AC93" s="301"/>
      <c r="AD93" s="301"/>
      <c r="AE93" s="301"/>
      <c r="AF93" s="301"/>
      <c r="AG93" s="301"/>
      <c r="AH93" s="301"/>
      <c r="AI93" s="301"/>
      <c r="AJ93" s="301"/>
      <c r="AK93" s="301"/>
      <c r="AL93" s="301"/>
      <c r="AM93" s="301"/>
      <c r="AN93" s="301"/>
      <c r="AO93" s="301"/>
      <c r="AP93" s="301"/>
      <c r="AQ93" s="301"/>
      <c r="AR93" s="301"/>
      <c r="AS93" s="301"/>
      <c r="AT93" s="301"/>
      <c r="AU93" s="301"/>
      <c r="AV93" s="301"/>
      <c r="AW93" s="301"/>
      <c r="AX93" s="301"/>
      <c r="AY93" s="301"/>
      <c r="AZ93" s="301"/>
      <c r="BA93" s="301"/>
      <c r="BB93" s="301"/>
      <c r="BC93" s="301"/>
      <c r="BD93" s="301"/>
      <c r="BE93" s="301"/>
      <c r="BF93" s="301"/>
      <c r="BG93" s="301"/>
      <c r="BH93" s="301"/>
      <c r="BI93" s="301"/>
      <c r="BJ93" s="301"/>
      <c r="BK93" s="301"/>
      <c r="BL93" s="301"/>
    </row>
    <row r="94" spans="1:64" ht="63.75" hidden="1">
      <c r="A94" s="316" t="s">
        <v>219</v>
      </c>
      <c r="B94" s="316" t="s">
        <v>135</v>
      </c>
      <c r="C94" s="316" t="s">
        <v>7</v>
      </c>
      <c r="D94" s="319" t="s">
        <v>247</v>
      </c>
      <c r="E94" s="316" t="s">
        <v>7</v>
      </c>
      <c r="F94" s="319" t="s">
        <v>247</v>
      </c>
      <c r="G94" s="1050"/>
      <c r="H94" s="301"/>
      <c r="I94" s="301"/>
      <c r="J94" s="301"/>
      <c r="K94" s="301"/>
      <c r="L94" s="301"/>
      <c r="M94" s="301"/>
      <c r="N94" s="301"/>
      <c r="O94" s="301"/>
      <c r="P94" s="301"/>
      <c r="Q94" s="301"/>
      <c r="R94" s="301"/>
      <c r="S94" s="301"/>
      <c r="T94" s="301"/>
      <c r="U94" s="301"/>
      <c r="V94" s="301"/>
      <c r="W94" s="301"/>
      <c r="X94" s="301"/>
      <c r="Y94" s="301"/>
      <c r="Z94" s="301"/>
      <c r="AA94" s="301"/>
      <c r="AB94" s="301"/>
      <c r="AC94" s="301"/>
      <c r="AD94" s="301"/>
      <c r="AE94" s="301"/>
      <c r="AF94" s="301"/>
      <c r="AG94" s="301"/>
      <c r="AH94" s="301"/>
      <c r="AI94" s="301"/>
      <c r="AJ94" s="301"/>
      <c r="AK94" s="301"/>
      <c r="AL94" s="301"/>
      <c r="AM94" s="301"/>
      <c r="AN94" s="301"/>
      <c r="AO94" s="301"/>
      <c r="AP94" s="301"/>
      <c r="AQ94" s="301"/>
      <c r="AR94" s="301"/>
      <c r="AS94" s="301"/>
      <c r="AT94" s="301"/>
      <c r="AU94" s="301"/>
      <c r="AV94" s="301"/>
      <c r="AW94" s="301"/>
      <c r="AX94" s="301"/>
      <c r="AY94" s="301"/>
      <c r="AZ94" s="301"/>
      <c r="BA94" s="301"/>
      <c r="BB94" s="301"/>
      <c r="BC94" s="301"/>
      <c r="BD94" s="301"/>
      <c r="BE94" s="301"/>
      <c r="BF94" s="301"/>
      <c r="BG94" s="301"/>
      <c r="BH94" s="301"/>
      <c r="BI94" s="301"/>
      <c r="BJ94" s="301"/>
      <c r="BK94" s="301"/>
      <c r="BL94" s="301"/>
    </row>
    <row r="95" spans="1:64" ht="12.75" hidden="1">
      <c r="A95" s="316">
        <v>1</v>
      </c>
      <c r="B95" s="316">
        <v>57</v>
      </c>
      <c r="C95" s="317">
        <v>2</v>
      </c>
      <c r="D95" s="318" t="s">
        <v>39</v>
      </c>
      <c r="E95" s="317">
        <v>2</v>
      </c>
      <c r="F95" s="318" t="s">
        <v>38</v>
      </c>
      <c r="G95" s="1049"/>
      <c r="H95" s="301"/>
      <c r="I95" s="301"/>
      <c r="J95" s="301"/>
      <c r="K95" s="301"/>
      <c r="L95" s="301"/>
      <c r="M95" s="301"/>
      <c r="N95" s="301"/>
      <c r="O95" s="301"/>
      <c r="P95" s="301"/>
      <c r="Q95" s="301"/>
      <c r="R95" s="301"/>
      <c r="S95" s="301"/>
      <c r="T95" s="301"/>
      <c r="U95" s="301"/>
      <c r="V95" s="301"/>
      <c r="W95" s="301"/>
      <c r="X95" s="301"/>
      <c r="Y95" s="301"/>
      <c r="Z95" s="301"/>
      <c r="AA95" s="301"/>
      <c r="AB95" s="301"/>
      <c r="AC95" s="301"/>
      <c r="AD95" s="301"/>
      <c r="AE95" s="301"/>
      <c r="AF95" s="301"/>
      <c r="AG95" s="301"/>
      <c r="AH95" s="301"/>
      <c r="AI95" s="301"/>
      <c r="AJ95" s="301"/>
      <c r="AK95" s="301"/>
      <c r="AL95" s="301"/>
      <c r="AM95" s="301"/>
      <c r="AN95" s="301"/>
      <c r="AO95" s="301"/>
      <c r="AP95" s="301"/>
      <c r="AQ95" s="301"/>
      <c r="AR95" s="301"/>
      <c r="AS95" s="301"/>
      <c r="AT95" s="301"/>
      <c r="AU95" s="301"/>
      <c r="AV95" s="301"/>
      <c r="AW95" s="301"/>
      <c r="AX95" s="301"/>
      <c r="AY95" s="301"/>
      <c r="AZ95" s="301"/>
      <c r="BA95" s="301"/>
      <c r="BB95" s="301"/>
      <c r="BC95" s="301"/>
      <c r="BD95" s="301"/>
      <c r="BE95" s="301"/>
      <c r="BF95" s="301"/>
      <c r="BG95" s="301"/>
      <c r="BH95" s="301"/>
      <c r="BI95" s="301"/>
      <c r="BJ95" s="301"/>
      <c r="BK95" s="301"/>
      <c r="BL95" s="301"/>
    </row>
    <row r="96" spans="1:64" ht="63.75" hidden="1">
      <c r="A96" s="316" t="s">
        <v>219</v>
      </c>
      <c r="B96" s="316" t="s">
        <v>135</v>
      </c>
      <c r="C96" s="316" t="s">
        <v>7</v>
      </c>
      <c r="D96" s="319" t="s">
        <v>248</v>
      </c>
      <c r="E96" s="316" t="s">
        <v>7</v>
      </c>
      <c r="F96" s="319" t="s">
        <v>248</v>
      </c>
      <c r="G96" s="1050"/>
      <c r="H96" s="301"/>
      <c r="I96" s="301"/>
      <c r="J96" s="301"/>
      <c r="K96" s="301"/>
      <c r="L96" s="301"/>
      <c r="M96" s="301"/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  <c r="Y96" s="301"/>
      <c r="Z96" s="301"/>
      <c r="AA96" s="301"/>
      <c r="AB96" s="301"/>
      <c r="AC96" s="301"/>
      <c r="AD96" s="301"/>
      <c r="AE96" s="301"/>
      <c r="AF96" s="301"/>
      <c r="AG96" s="301"/>
      <c r="AH96" s="301"/>
      <c r="AI96" s="301"/>
      <c r="AJ96" s="301"/>
      <c r="AK96" s="301"/>
      <c r="AL96" s="301"/>
      <c r="AM96" s="301"/>
      <c r="AN96" s="301"/>
      <c r="AO96" s="301"/>
      <c r="AP96" s="301"/>
      <c r="AQ96" s="301"/>
      <c r="AR96" s="301"/>
      <c r="AS96" s="301"/>
      <c r="AT96" s="301"/>
      <c r="AU96" s="301"/>
      <c r="AV96" s="301"/>
      <c r="AW96" s="301"/>
      <c r="AX96" s="301"/>
      <c r="AY96" s="301"/>
      <c r="AZ96" s="301"/>
      <c r="BA96" s="301"/>
      <c r="BB96" s="301"/>
      <c r="BC96" s="301"/>
      <c r="BD96" s="301"/>
      <c r="BE96" s="301"/>
      <c r="BF96" s="301"/>
      <c r="BG96" s="301"/>
      <c r="BH96" s="301"/>
      <c r="BI96" s="301"/>
      <c r="BJ96" s="301"/>
      <c r="BK96" s="301"/>
      <c r="BL96" s="301"/>
    </row>
    <row r="97" spans="1:64" ht="12.75" hidden="1">
      <c r="A97" s="316">
        <v>1</v>
      </c>
      <c r="B97" s="316">
        <v>66</v>
      </c>
      <c r="C97" s="317">
        <v>2</v>
      </c>
      <c r="D97" s="318" t="s">
        <v>39</v>
      </c>
      <c r="E97" s="317">
        <v>2</v>
      </c>
      <c r="F97" s="318" t="s">
        <v>38</v>
      </c>
      <c r="G97" s="1049"/>
      <c r="H97" s="301"/>
      <c r="I97" s="301"/>
      <c r="J97" s="301"/>
      <c r="K97" s="301"/>
      <c r="L97" s="301"/>
      <c r="M97" s="301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  <c r="Y97" s="301"/>
      <c r="Z97" s="301"/>
      <c r="AA97" s="301"/>
      <c r="AB97" s="301"/>
      <c r="AC97" s="301"/>
      <c r="AD97" s="301"/>
      <c r="AE97" s="301"/>
      <c r="AF97" s="301"/>
      <c r="AG97" s="301"/>
      <c r="AH97" s="301"/>
      <c r="AI97" s="301"/>
      <c r="AJ97" s="301"/>
      <c r="AK97" s="301"/>
      <c r="AL97" s="301"/>
      <c r="AM97" s="301"/>
      <c r="AN97" s="301"/>
      <c r="AO97" s="301"/>
      <c r="AP97" s="301"/>
      <c r="AQ97" s="301"/>
      <c r="AR97" s="301"/>
      <c r="AS97" s="301"/>
      <c r="AT97" s="301"/>
      <c r="AU97" s="301"/>
      <c r="AV97" s="301"/>
      <c r="AW97" s="301"/>
      <c r="AX97" s="301"/>
      <c r="AY97" s="301"/>
      <c r="AZ97" s="301"/>
      <c r="BA97" s="301"/>
      <c r="BB97" s="301"/>
      <c r="BC97" s="301"/>
      <c r="BD97" s="301"/>
      <c r="BE97" s="301"/>
      <c r="BF97" s="301"/>
      <c r="BG97" s="301"/>
      <c r="BH97" s="301"/>
      <c r="BI97" s="301"/>
      <c r="BJ97" s="301"/>
      <c r="BK97" s="301"/>
      <c r="BL97" s="301"/>
    </row>
    <row r="98" spans="1:64" ht="63.75" hidden="1">
      <c r="A98" s="316" t="s">
        <v>219</v>
      </c>
      <c r="B98" s="316" t="s">
        <v>135</v>
      </c>
      <c r="C98" s="316" t="s">
        <v>7</v>
      </c>
      <c r="D98" s="319" t="s">
        <v>249</v>
      </c>
      <c r="E98" s="316" t="s">
        <v>7</v>
      </c>
      <c r="F98" s="319" t="s">
        <v>249</v>
      </c>
      <c r="G98" s="1050"/>
      <c r="H98" s="301"/>
      <c r="I98" s="301"/>
      <c r="J98" s="301"/>
      <c r="K98" s="301"/>
      <c r="L98" s="301"/>
      <c r="M98" s="301"/>
      <c r="N98" s="301"/>
      <c r="O98" s="301"/>
      <c r="P98" s="301"/>
      <c r="Q98" s="301"/>
      <c r="R98" s="301"/>
      <c r="S98" s="301"/>
      <c r="T98" s="301"/>
      <c r="U98" s="301"/>
      <c r="V98" s="301"/>
      <c r="W98" s="301"/>
      <c r="X98" s="301"/>
      <c r="Y98" s="301"/>
      <c r="Z98" s="301"/>
      <c r="AA98" s="301"/>
      <c r="AB98" s="301"/>
      <c r="AC98" s="301"/>
      <c r="AD98" s="301"/>
      <c r="AE98" s="301"/>
      <c r="AF98" s="301"/>
      <c r="AG98" s="301"/>
      <c r="AH98" s="301"/>
      <c r="AI98" s="301"/>
      <c r="AJ98" s="301"/>
      <c r="AK98" s="301"/>
      <c r="AL98" s="301"/>
      <c r="AM98" s="301"/>
      <c r="AN98" s="301"/>
      <c r="AO98" s="301"/>
      <c r="AP98" s="301"/>
      <c r="AQ98" s="301"/>
      <c r="AR98" s="301"/>
      <c r="AS98" s="301"/>
      <c r="AT98" s="301"/>
      <c r="AU98" s="301"/>
      <c r="AV98" s="301"/>
      <c r="AW98" s="301"/>
      <c r="AX98" s="301"/>
      <c r="AY98" s="301"/>
      <c r="AZ98" s="301"/>
      <c r="BA98" s="301"/>
      <c r="BB98" s="301"/>
      <c r="BC98" s="301"/>
      <c r="BD98" s="301"/>
      <c r="BE98" s="301"/>
      <c r="BF98" s="301"/>
      <c r="BG98" s="301"/>
      <c r="BH98" s="301"/>
      <c r="BI98" s="301"/>
      <c r="BJ98" s="301"/>
      <c r="BK98" s="301"/>
      <c r="BL98" s="301"/>
    </row>
    <row r="99" spans="1:64" ht="12.75" hidden="1">
      <c r="A99" s="316">
        <v>1</v>
      </c>
      <c r="B99" s="316">
        <v>75</v>
      </c>
      <c r="C99" s="317">
        <v>2</v>
      </c>
      <c r="D99" s="318" t="s">
        <v>39</v>
      </c>
      <c r="E99" s="317">
        <v>2</v>
      </c>
      <c r="F99" s="318" t="s">
        <v>38</v>
      </c>
      <c r="G99" s="1049"/>
      <c r="H99" s="301"/>
      <c r="I99" s="301"/>
      <c r="J99" s="301"/>
      <c r="K99" s="301"/>
      <c r="L99" s="301"/>
      <c r="M99" s="301"/>
      <c r="N99" s="301"/>
      <c r="O99" s="301"/>
      <c r="P99" s="301"/>
      <c r="Q99" s="301"/>
      <c r="R99" s="301"/>
      <c r="S99" s="301"/>
      <c r="T99" s="301"/>
      <c r="U99" s="301"/>
      <c r="V99" s="301"/>
      <c r="W99" s="301"/>
      <c r="X99" s="301"/>
      <c r="Y99" s="301"/>
      <c r="Z99" s="301"/>
      <c r="AA99" s="301"/>
      <c r="AB99" s="301"/>
      <c r="AC99" s="301"/>
      <c r="AD99" s="301"/>
      <c r="AE99" s="301"/>
      <c r="AF99" s="301"/>
      <c r="AG99" s="301"/>
      <c r="AH99" s="301"/>
      <c r="AI99" s="301"/>
      <c r="AJ99" s="301"/>
      <c r="AK99" s="301"/>
      <c r="AL99" s="301"/>
      <c r="AM99" s="301"/>
      <c r="AN99" s="301"/>
      <c r="AO99" s="301"/>
      <c r="AP99" s="301"/>
      <c r="AQ99" s="301"/>
      <c r="AR99" s="301"/>
      <c r="AS99" s="301"/>
      <c r="AT99" s="301"/>
      <c r="AU99" s="301"/>
      <c r="AV99" s="301"/>
      <c r="AW99" s="301"/>
      <c r="AX99" s="301"/>
      <c r="AY99" s="301"/>
      <c r="AZ99" s="301"/>
      <c r="BA99" s="301"/>
      <c r="BB99" s="301"/>
      <c r="BC99" s="301"/>
      <c r="BD99" s="301"/>
      <c r="BE99" s="301"/>
      <c r="BF99" s="301"/>
      <c r="BG99" s="301"/>
      <c r="BH99" s="301"/>
      <c r="BI99" s="301"/>
      <c r="BJ99" s="301"/>
      <c r="BK99" s="301"/>
      <c r="BL99" s="301"/>
    </row>
    <row r="100" spans="1:64" ht="63.75" hidden="1">
      <c r="A100" s="316" t="s">
        <v>219</v>
      </c>
      <c r="B100" s="316" t="s">
        <v>135</v>
      </c>
      <c r="C100" s="316" t="s">
        <v>7</v>
      </c>
      <c r="D100" s="319" t="s">
        <v>250</v>
      </c>
      <c r="E100" s="316" t="s">
        <v>7</v>
      </c>
      <c r="F100" s="319" t="s">
        <v>250</v>
      </c>
      <c r="G100" s="1050"/>
      <c r="H100" s="301"/>
      <c r="I100" s="301"/>
      <c r="J100" s="301"/>
      <c r="K100" s="301"/>
      <c r="L100" s="301"/>
      <c r="M100" s="301"/>
      <c r="N100" s="301"/>
      <c r="O100" s="301"/>
      <c r="P100" s="301"/>
      <c r="Q100" s="301"/>
      <c r="R100" s="301"/>
      <c r="S100" s="301"/>
      <c r="T100" s="301"/>
      <c r="U100" s="301"/>
      <c r="V100" s="301"/>
      <c r="W100" s="301"/>
      <c r="X100" s="301"/>
      <c r="Y100" s="301"/>
      <c r="Z100" s="301"/>
      <c r="AA100" s="301"/>
      <c r="AB100" s="301"/>
      <c r="AC100" s="301"/>
      <c r="AD100" s="301"/>
      <c r="AE100" s="301"/>
      <c r="AF100" s="301"/>
      <c r="AG100" s="301"/>
      <c r="AH100" s="301"/>
      <c r="AI100" s="301"/>
      <c r="AJ100" s="301"/>
      <c r="AK100" s="301"/>
      <c r="AL100" s="301"/>
      <c r="AM100" s="301"/>
      <c r="AN100" s="301"/>
      <c r="AO100" s="301"/>
      <c r="AP100" s="301"/>
      <c r="AQ100" s="301"/>
      <c r="AR100" s="301"/>
      <c r="AS100" s="301"/>
      <c r="AT100" s="301"/>
      <c r="AU100" s="301"/>
      <c r="AV100" s="301"/>
      <c r="AW100" s="301"/>
      <c r="AX100" s="301"/>
      <c r="AY100" s="301"/>
      <c r="AZ100" s="301"/>
      <c r="BA100" s="301"/>
      <c r="BB100" s="301"/>
      <c r="BC100" s="301"/>
      <c r="BD100" s="301"/>
      <c r="BE100" s="301"/>
      <c r="BF100" s="301"/>
      <c r="BG100" s="301"/>
      <c r="BH100" s="301"/>
      <c r="BI100" s="301"/>
      <c r="BJ100" s="301"/>
      <c r="BK100" s="301"/>
      <c r="BL100" s="301"/>
    </row>
    <row r="101" spans="1:64" ht="12.75" hidden="1">
      <c r="A101" s="316">
        <v>1</v>
      </c>
      <c r="B101" s="316">
        <v>84</v>
      </c>
      <c r="C101" s="317">
        <v>2</v>
      </c>
      <c r="D101" s="318" t="s">
        <v>39</v>
      </c>
      <c r="E101" s="317">
        <v>2</v>
      </c>
      <c r="F101" s="318" t="s">
        <v>38</v>
      </c>
      <c r="G101" s="1049"/>
      <c r="H101" s="301"/>
      <c r="I101" s="301"/>
      <c r="J101" s="301"/>
      <c r="K101" s="301"/>
      <c r="L101" s="301"/>
      <c r="M101" s="301"/>
      <c r="N101" s="301"/>
      <c r="O101" s="301"/>
      <c r="P101" s="301"/>
      <c r="Q101" s="301"/>
      <c r="R101" s="301"/>
      <c r="S101" s="301"/>
      <c r="T101" s="301"/>
      <c r="U101" s="301"/>
      <c r="V101" s="301"/>
      <c r="W101" s="301"/>
      <c r="X101" s="301"/>
      <c r="Y101" s="301"/>
      <c r="Z101" s="301"/>
      <c r="AA101" s="301"/>
      <c r="AB101" s="301"/>
      <c r="AC101" s="301"/>
      <c r="AD101" s="301"/>
      <c r="AE101" s="301"/>
      <c r="AF101" s="301"/>
      <c r="AG101" s="301"/>
      <c r="AH101" s="301"/>
      <c r="AI101" s="301"/>
      <c r="AJ101" s="301"/>
      <c r="AK101" s="301"/>
      <c r="AL101" s="301"/>
      <c r="AM101" s="301"/>
      <c r="AN101" s="301"/>
      <c r="AO101" s="301"/>
      <c r="AP101" s="301"/>
      <c r="AQ101" s="301"/>
      <c r="AR101" s="301"/>
      <c r="AS101" s="301"/>
      <c r="AT101" s="301"/>
      <c r="AU101" s="301"/>
      <c r="AV101" s="301"/>
      <c r="AW101" s="301"/>
      <c r="AX101" s="301"/>
      <c r="AY101" s="301"/>
      <c r="AZ101" s="301"/>
      <c r="BA101" s="301"/>
      <c r="BB101" s="301"/>
      <c r="BC101" s="301"/>
      <c r="BD101" s="301"/>
      <c r="BE101" s="301"/>
      <c r="BF101" s="301"/>
      <c r="BG101" s="301"/>
      <c r="BH101" s="301"/>
      <c r="BI101" s="301"/>
      <c r="BJ101" s="301"/>
      <c r="BK101" s="301"/>
      <c r="BL101" s="301"/>
    </row>
    <row r="102" spans="1:64" ht="63.75" hidden="1">
      <c r="A102" s="316" t="s">
        <v>219</v>
      </c>
      <c r="B102" s="316" t="s">
        <v>135</v>
      </c>
      <c r="C102" s="316" t="s">
        <v>7</v>
      </c>
      <c r="D102" s="319" t="s">
        <v>251</v>
      </c>
      <c r="E102" s="316" t="s">
        <v>7</v>
      </c>
      <c r="F102" s="319" t="s">
        <v>251</v>
      </c>
      <c r="G102" s="1050"/>
      <c r="H102" s="301"/>
      <c r="I102" s="301"/>
      <c r="J102" s="301"/>
      <c r="K102" s="301"/>
      <c r="L102" s="301"/>
      <c r="M102" s="301"/>
      <c r="N102" s="301"/>
      <c r="O102" s="301"/>
      <c r="P102" s="301"/>
      <c r="Q102" s="301"/>
      <c r="R102" s="301"/>
      <c r="S102" s="301"/>
      <c r="T102" s="301"/>
      <c r="U102" s="301"/>
      <c r="V102" s="301"/>
      <c r="W102" s="301"/>
      <c r="X102" s="301"/>
      <c r="Y102" s="301"/>
      <c r="Z102" s="301"/>
      <c r="AA102" s="301"/>
      <c r="AB102" s="301"/>
      <c r="AC102" s="301"/>
      <c r="AD102" s="301"/>
      <c r="AE102" s="301"/>
      <c r="AF102" s="301"/>
      <c r="AG102" s="301"/>
      <c r="AH102" s="301"/>
      <c r="AI102" s="301"/>
      <c r="AJ102" s="301"/>
      <c r="AK102" s="301"/>
      <c r="AL102" s="301"/>
      <c r="AM102" s="301"/>
      <c r="AN102" s="301"/>
      <c r="AO102" s="301"/>
      <c r="AP102" s="301"/>
      <c r="AQ102" s="301"/>
      <c r="AR102" s="301"/>
      <c r="AS102" s="301"/>
      <c r="AT102" s="301"/>
      <c r="AU102" s="301"/>
      <c r="AV102" s="301"/>
      <c r="AW102" s="301"/>
      <c r="AX102" s="301"/>
      <c r="AY102" s="301"/>
      <c r="AZ102" s="301"/>
      <c r="BA102" s="301"/>
      <c r="BB102" s="301"/>
      <c r="BC102" s="301"/>
      <c r="BD102" s="301"/>
      <c r="BE102" s="301"/>
      <c r="BF102" s="301"/>
      <c r="BG102" s="301"/>
      <c r="BH102" s="301"/>
      <c r="BI102" s="301"/>
      <c r="BJ102" s="301"/>
      <c r="BK102" s="301"/>
      <c r="BL102" s="301"/>
    </row>
    <row r="103" spans="1:64" ht="12.75" hidden="1">
      <c r="A103" s="316">
        <v>1</v>
      </c>
      <c r="B103" s="316">
        <v>93</v>
      </c>
      <c r="C103" s="317">
        <v>2</v>
      </c>
      <c r="D103" s="318" t="s">
        <v>39</v>
      </c>
      <c r="E103" s="317">
        <v>2</v>
      </c>
      <c r="F103" s="318" t="s">
        <v>38</v>
      </c>
      <c r="G103" s="1049"/>
      <c r="H103" s="301"/>
      <c r="I103" s="301"/>
      <c r="J103" s="301"/>
      <c r="K103" s="301"/>
      <c r="L103" s="301"/>
      <c r="M103" s="301"/>
      <c r="N103" s="301"/>
      <c r="O103" s="301"/>
      <c r="P103" s="301"/>
      <c r="Q103" s="301"/>
      <c r="R103" s="301"/>
      <c r="S103" s="301"/>
      <c r="T103" s="301"/>
      <c r="U103" s="301"/>
      <c r="V103" s="301"/>
      <c r="W103" s="301"/>
      <c r="X103" s="301"/>
      <c r="Y103" s="301"/>
      <c r="Z103" s="301"/>
      <c r="AA103" s="301"/>
      <c r="AB103" s="301"/>
      <c r="AC103" s="301"/>
      <c r="AD103" s="301"/>
      <c r="AE103" s="301"/>
      <c r="AF103" s="301"/>
      <c r="AG103" s="301"/>
      <c r="AH103" s="301"/>
      <c r="AI103" s="301"/>
      <c r="AJ103" s="301"/>
      <c r="AK103" s="301"/>
      <c r="AL103" s="301"/>
      <c r="AM103" s="301"/>
      <c r="AN103" s="301"/>
      <c r="AO103" s="301"/>
      <c r="AP103" s="301"/>
      <c r="AQ103" s="301"/>
      <c r="AR103" s="301"/>
      <c r="AS103" s="301"/>
      <c r="AT103" s="301"/>
      <c r="AU103" s="301"/>
      <c r="AV103" s="301"/>
      <c r="AW103" s="301"/>
      <c r="AX103" s="301"/>
      <c r="AY103" s="301"/>
      <c r="AZ103" s="301"/>
      <c r="BA103" s="301"/>
      <c r="BB103" s="301"/>
      <c r="BC103" s="301"/>
      <c r="BD103" s="301"/>
      <c r="BE103" s="301"/>
      <c r="BF103" s="301"/>
      <c r="BG103" s="301"/>
      <c r="BH103" s="301"/>
      <c r="BI103" s="301"/>
      <c r="BJ103" s="301"/>
      <c r="BK103" s="301"/>
      <c r="BL103" s="301"/>
    </row>
    <row r="104" spans="1:64" ht="63.75" hidden="1">
      <c r="A104" s="316" t="s">
        <v>219</v>
      </c>
      <c r="B104" s="316" t="s">
        <v>135</v>
      </c>
      <c r="C104" s="316" t="s">
        <v>7</v>
      </c>
      <c r="D104" s="319" t="s">
        <v>252</v>
      </c>
      <c r="E104" s="316" t="s">
        <v>7</v>
      </c>
      <c r="F104" s="319" t="s">
        <v>252</v>
      </c>
      <c r="G104" s="1050"/>
      <c r="H104" s="301"/>
      <c r="I104" s="301"/>
      <c r="J104" s="301"/>
      <c r="K104" s="301"/>
      <c r="L104" s="301"/>
      <c r="M104" s="301"/>
      <c r="N104" s="301"/>
      <c r="O104" s="301"/>
      <c r="P104" s="301"/>
      <c r="Q104" s="301"/>
      <c r="R104" s="301"/>
      <c r="S104" s="301"/>
      <c r="T104" s="301"/>
      <c r="U104" s="301"/>
      <c r="V104" s="301"/>
      <c r="W104" s="301"/>
      <c r="X104" s="301"/>
      <c r="Y104" s="301"/>
      <c r="Z104" s="301"/>
      <c r="AA104" s="301"/>
      <c r="AB104" s="301"/>
      <c r="AC104" s="301"/>
      <c r="AD104" s="301"/>
      <c r="AE104" s="301"/>
      <c r="AF104" s="301"/>
      <c r="AG104" s="301"/>
      <c r="AH104" s="301"/>
      <c r="AI104" s="301"/>
      <c r="AJ104" s="301"/>
      <c r="AK104" s="301"/>
      <c r="AL104" s="301"/>
      <c r="AM104" s="301"/>
      <c r="AN104" s="301"/>
      <c r="AO104" s="301"/>
      <c r="AP104" s="301"/>
      <c r="AQ104" s="301"/>
      <c r="AR104" s="301"/>
      <c r="AS104" s="301"/>
      <c r="AT104" s="301"/>
      <c r="AU104" s="301"/>
      <c r="AV104" s="301"/>
      <c r="AW104" s="301"/>
      <c r="AX104" s="301"/>
      <c r="AY104" s="301"/>
      <c r="AZ104" s="301"/>
      <c r="BA104" s="301"/>
      <c r="BB104" s="301"/>
      <c r="BC104" s="301"/>
      <c r="BD104" s="301"/>
      <c r="BE104" s="301"/>
      <c r="BF104" s="301"/>
      <c r="BG104" s="301"/>
      <c r="BH104" s="301"/>
      <c r="BI104" s="301"/>
      <c r="BJ104" s="301"/>
      <c r="BK104" s="301"/>
      <c r="BL104" s="301"/>
    </row>
    <row r="105" spans="1:64" ht="12.75" hidden="1">
      <c r="A105" s="316">
        <v>1</v>
      </c>
      <c r="B105" s="316">
        <v>102</v>
      </c>
      <c r="C105" s="314"/>
      <c r="H105" s="301"/>
      <c r="I105" s="301"/>
      <c r="J105" s="301"/>
      <c r="K105" s="301"/>
      <c r="L105" s="301"/>
      <c r="M105" s="301"/>
      <c r="N105" s="301"/>
      <c r="O105" s="301"/>
      <c r="P105" s="301"/>
      <c r="Q105" s="301"/>
      <c r="R105" s="301"/>
      <c r="S105" s="301"/>
      <c r="T105" s="301"/>
      <c r="U105" s="301"/>
      <c r="V105" s="301"/>
      <c r="W105" s="301"/>
      <c r="X105" s="301"/>
      <c r="Y105" s="301"/>
      <c r="Z105" s="301"/>
      <c r="AA105" s="301"/>
      <c r="AB105" s="301"/>
      <c r="AC105" s="301"/>
      <c r="AD105" s="301"/>
      <c r="AE105" s="301"/>
      <c r="AF105" s="301"/>
      <c r="AG105" s="301"/>
      <c r="AH105" s="301"/>
      <c r="AI105" s="301"/>
      <c r="AJ105" s="301"/>
      <c r="AK105" s="301"/>
      <c r="AL105" s="301"/>
      <c r="AM105" s="301"/>
      <c r="AN105" s="301"/>
      <c r="AO105" s="301"/>
      <c r="AP105" s="301"/>
      <c r="AQ105" s="301"/>
      <c r="AR105" s="301"/>
      <c r="AS105" s="301"/>
      <c r="AT105" s="301"/>
      <c r="AU105" s="301"/>
      <c r="AV105" s="301"/>
      <c r="AW105" s="301"/>
      <c r="AX105" s="301"/>
      <c r="AY105" s="301"/>
      <c r="AZ105" s="301"/>
      <c r="BA105" s="301"/>
      <c r="BB105" s="301"/>
      <c r="BC105" s="301"/>
      <c r="BD105" s="301"/>
      <c r="BE105" s="301"/>
      <c r="BF105" s="301"/>
      <c r="BG105" s="301"/>
      <c r="BH105" s="301"/>
      <c r="BI105" s="301"/>
      <c r="BJ105" s="301"/>
      <c r="BK105" s="301"/>
      <c r="BL105" s="301"/>
    </row>
    <row r="106" spans="1:64" ht="12.75" hidden="1">
      <c r="A106" s="316" t="s">
        <v>219</v>
      </c>
      <c r="B106" s="316" t="s">
        <v>135</v>
      </c>
      <c r="C106" s="314"/>
      <c r="H106" s="301"/>
      <c r="I106" s="301"/>
      <c r="J106" s="301"/>
      <c r="K106" s="301"/>
      <c r="L106" s="301"/>
      <c r="M106" s="301"/>
      <c r="N106" s="301"/>
      <c r="O106" s="301"/>
      <c r="P106" s="301"/>
      <c r="Q106" s="301"/>
      <c r="R106" s="301"/>
      <c r="S106" s="301"/>
      <c r="T106" s="301"/>
      <c r="U106" s="301"/>
      <c r="V106" s="301"/>
      <c r="W106" s="301"/>
      <c r="X106" s="301"/>
      <c r="Y106" s="301"/>
      <c r="Z106" s="301"/>
      <c r="AA106" s="301"/>
      <c r="AB106" s="301"/>
      <c r="AC106" s="301"/>
      <c r="AD106" s="301"/>
      <c r="AE106" s="301"/>
      <c r="AF106" s="301"/>
      <c r="AG106" s="301"/>
      <c r="AH106" s="301"/>
      <c r="AI106" s="301"/>
      <c r="AJ106" s="301"/>
      <c r="AK106" s="301"/>
      <c r="AL106" s="301"/>
      <c r="AM106" s="301"/>
      <c r="AN106" s="301"/>
      <c r="AO106" s="301"/>
      <c r="AP106" s="301"/>
      <c r="AQ106" s="301"/>
      <c r="AR106" s="301"/>
      <c r="AS106" s="301"/>
      <c r="AT106" s="301"/>
      <c r="AU106" s="301"/>
      <c r="AV106" s="301"/>
      <c r="AW106" s="301"/>
      <c r="AX106" s="301"/>
      <c r="AY106" s="301"/>
      <c r="AZ106" s="301"/>
      <c r="BA106" s="301"/>
      <c r="BB106" s="301"/>
      <c r="BC106" s="301"/>
      <c r="BD106" s="301"/>
      <c r="BE106" s="301"/>
      <c r="BF106" s="301"/>
      <c r="BG106" s="301"/>
      <c r="BH106" s="301"/>
      <c r="BI106" s="301"/>
      <c r="BJ106" s="301"/>
      <c r="BK106" s="301"/>
      <c r="BL106" s="301"/>
    </row>
    <row r="107" spans="8:64" ht="12.75" hidden="1">
      <c r="H107" s="301"/>
      <c r="I107" s="301"/>
      <c r="J107" s="301"/>
      <c r="K107" s="301"/>
      <c r="L107" s="301"/>
      <c r="M107" s="301"/>
      <c r="N107" s="301"/>
      <c r="O107" s="301"/>
      <c r="P107" s="301"/>
      <c r="Q107" s="301"/>
      <c r="R107" s="301"/>
      <c r="S107" s="301"/>
      <c r="T107" s="301"/>
      <c r="U107" s="301"/>
      <c r="V107" s="301"/>
      <c r="W107" s="301"/>
      <c r="X107" s="301"/>
      <c r="Y107" s="301"/>
      <c r="Z107" s="301"/>
      <c r="AA107" s="301"/>
      <c r="AB107" s="301"/>
      <c r="AC107" s="301"/>
      <c r="AD107" s="301"/>
      <c r="AE107" s="301"/>
      <c r="AF107" s="301"/>
      <c r="AG107" s="301"/>
      <c r="AH107" s="301"/>
      <c r="AI107" s="301"/>
      <c r="AJ107" s="301"/>
      <c r="AK107" s="301"/>
      <c r="AL107" s="301"/>
      <c r="AM107" s="301"/>
      <c r="AN107" s="301"/>
      <c r="AO107" s="301"/>
      <c r="AP107" s="301"/>
      <c r="AQ107" s="301"/>
      <c r="AR107" s="301"/>
      <c r="AS107" s="301"/>
      <c r="AT107" s="301"/>
      <c r="AU107" s="301"/>
      <c r="AV107" s="301"/>
      <c r="AW107" s="301"/>
      <c r="AX107" s="301"/>
      <c r="AY107" s="301"/>
      <c r="AZ107" s="301"/>
      <c r="BA107" s="301"/>
      <c r="BB107" s="301"/>
      <c r="BC107" s="301"/>
      <c r="BD107" s="301"/>
      <c r="BE107" s="301"/>
      <c r="BF107" s="301"/>
      <c r="BG107" s="301"/>
      <c r="BH107" s="301"/>
      <c r="BI107" s="301"/>
      <c r="BJ107" s="301"/>
      <c r="BK107" s="301"/>
      <c r="BL107" s="301"/>
    </row>
  </sheetData>
  <sheetProtection selectLockedCells="1" sort="0" autoFilter="0" selectUnlockedCells="1"/>
  <autoFilter ref="A8:BL8"/>
  <mergeCells count="163">
    <mergeCell ref="W1:BJ1"/>
    <mergeCell ref="B31:H31"/>
    <mergeCell ref="B41:I41"/>
    <mergeCell ref="B47:I47"/>
    <mergeCell ref="AE81:AL81"/>
    <mergeCell ref="AM81:AT81"/>
    <mergeCell ref="AU81:BB81"/>
    <mergeCell ref="BC81:BJ81"/>
    <mergeCell ref="AM80:AT80"/>
    <mergeCell ref="AU80:BB80"/>
    <mergeCell ref="A84:B84"/>
    <mergeCell ref="C84:D84"/>
    <mergeCell ref="E84:F84"/>
    <mergeCell ref="B80:M80"/>
    <mergeCell ref="N80:V80"/>
    <mergeCell ref="AE80:AL80"/>
    <mergeCell ref="BC80:BJ80"/>
    <mergeCell ref="W80:AD80"/>
    <mergeCell ref="W81:AD81"/>
    <mergeCell ref="N81:V81"/>
    <mergeCell ref="BF79:BG79"/>
    <mergeCell ref="BH79:BJ79"/>
    <mergeCell ref="AJ79:AL79"/>
    <mergeCell ref="AM79:AN79"/>
    <mergeCell ref="AR79:AT79"/>
    <mergeCell ref="AU79:AV79"/>
    <mergeCell ref="AW79:AX79"/>
    <mergeCell ref="AZ78:BB78"/>
    <mergeCell ref="BC78:BE78"/>
    <mergeCell ref="BF78:BG78"/>
    <mergeCell ref="BH78:BJ78"/>
    <mergeCell ref="AR78:AT78"/>
    <mergeCell ref="AU78:AV78"/>
    <mergeCell ref="AW78:AX78"/>
    <mergeCell ref="AZ79:BB79"/>
    <mergeCell ref="BC79:BE79"/>
    <mergeCell ref="AO79:AP79"/>
    <mergeCell ref="B79:M79"/>
    <mergeCell ref="N79:O79"/>
    <mergeCell ref="P79:R79"/>
    <mergeCell ref="AE79:AF79"/>
    <mergeCell ref="AG79:AH79"/>
    <mergeCell ref="W79:X79"/>
    <mergeCell ref="Y79:Z79"/>
    <mergeCell ref="AB79:AD79"/>
    <mergeCell ref="B78:M78"/>
    <mergeCell ref="N78:O78"/>
    <mergeCell ref="AE78:AF78"/>
    <mergeCell ref="AG78:AH78"/>
    <mergeCell ref="W78:X78"/>
    <mergeCell ref="Y78:Z78"/>
    <mergeCell ref="AB78:AD78"/>
    <mergeCell ref="P78:R78"/>
    <mergeCell ref="N77:V77"/>
    <mergeCell ref="AE77:AL77"/>
    <mergeCell ref="AM77:AT77"/>
    <mergeCell ref="AU77:BB77"/>
    <mergeCell ref="AM78:AN78"/>
    <mergeCell ref="AO78:AP78"/>
    <mergeCell ref="AJ78:AL78"/>
    <mergeCell ref="BC77:BJ77"/>
    <mergeCell ref="B76:M76"/>
    <mergeCell ref="N76:V76"/>
    <mergeCell ref="AE76:AL76"/>
    <mergeCell ref="AM76:AT76"/>
    <mergeCell ref="AU76:BB76"/>
    <mergeCell ref="BC76:BJ76"/>
    <mergeCell ref="W76:AD76"/>
    <mergeCell ref="W77:AD77"/>
    <mergeCell ref="B77:M77"/>
    <mergeCell ref="AE75:AL75"/>
    <mergeCell ref="AM75:AT75"/>
    <mergeCell ref="AU75:BB75"/>
    <mergeCell ref="BC75:BJ75"/>
    <mergeCell ref="B74:M74"/>
    <mergeCell ref="N74:V74"/>
    <mergeCell ref="AE74:AL74"/>
    <mergeCell ref="AM74:AT74"/>
    <mergeCell ref="AU74:BB74"/>
    <mergeCell ref="B51:I51"/>
    <mergeCell ref="B46:I46"/>
    <mergeCell ref="B75:M75"/>
    <mergeCell ref="BC74:BJ74"/>
    <mergeCell ref="W74:AD74"/>
    <mergeCell ref="W75:AD75"/>
    <mergeCell ref="B71:I71"/>
    <mergeCell ref="B72:I72"/>
    <mergeCell ref="B73:I73"/>
    <mergeCell ref="N75:V75"/>
    <mergeCell ref="BK1:BK7"/>
    <mergeCell ref="BL1:BL7"/>
    <mergeCell ref="AE2:AL2"/>
    <mergeCell ref="AM2:AT2"/>
    <mergeCell ref="B81:M81"/>
    <mergeCell ref="B62:C62"/>
    <mergeCell ref="A67:C67"/>
    <mergeCell ref="B54:C54"/>
    <mergeCell ref="B9:C9"/>
    <mergeCell ref="B10:C10"/>
    <mergeCell ref="BD6:BH6"/>
    <mergeCell ref="BG4:BI4"/>
    <mergeCell ref="AE4:AF4"/>
    <mergeCell ref="AH4:AK4"/>
    <mergeCell ref="AM4:AN4"/>
    <mergeCell ref="AU4:AV4"/>
    <mergeCell ref="AX4:BA4"/>
    <mergeCell ref="BC4:BE4"/>
    <mergeCell ref="AM6:AO6"/>
    <mergeCell ref="AU5:AV5"/>
    <mergeCell ref="A1:A7"/>
    <mergeCell ref="B1:B7"/>
    <mergeCell ref="C1:C7"/>
    <mergeCell ref="A68:C68"/>
    <mergeCell ref="B69:I69"/>
    <mergeCell ref="B70:I70"/>
    <mergeCell ref="D1:I2"/>
    <mergeCell ref="B30:H30"/>
    <mergeCell ref="B15:I15"/>
    <mergeCell ref="B40:I40"/>
    <mergeCell ref="L1:M6"/>
    <mergeCell ref="N1:V1"/>
    <mergeCell ref="P4:P7"/>
    <mergeCell ref="Q4:Q7"/>
    <mergeCell ref="R4:R7"/>
    <mergeCell ref="D3:D7"/>
    <mergeCell ref="E3:E7"/>
    <mergeCell ref="H3:H7"/>
    <mergeCell ref="I3:I7"/>
    <mergeCell ref="O3:O7"/>
    <mergeCell ref="U3:U7"/>
    <mergeCell ref="V3:V7"/>
    <mergeCell ref="N2:N7"/>
    <mergeCell ref="O2:V2"/>
    <mergeCell ref="P3:R3"/>
    <mergeCell ref="S3:S7"/>
    <mergeCell ref="T3:T7"/>
    <mergeCell ref="J1:K6"/>
    <mergeCell ref="BD5:BE5"/>
    <mergeCell ref="AU2:BB2"/>
    <mergeCell ref="BC2:BJ2"/>
    <mergeCell ref="AE3:AF3"/>
    <mergeCell ref="AM3:AN3"/>
    <mergeCell ref="AU3:AV3"/>
    <mergeCell ref="BC3:BE3"/>
    <mergeCell ref="AR4:AT4"/>
    <mergeCell ref="W3:X3"/>
    <mergeCell ref="W4:X4"/>
    <mergeCell ref="Z4:AC4"/>
    <mergeCell ref="W5:X5"/>
    <mergeCell ref="AX5:AZ5"/>
    <mergeCell ref="AX6:AZ6"/>
    <mergeCell ref="W2:AD2"/>
    <mergeCell ref="W6:Y6"/>
    <mergeCell ref="AE5:AF5"/>
    <mergeCell ref="AE6:AG6"/>
    <mergeCell ref="AM5:AN5"/>
    <mergeCell ref="AU6:AW6"/>
    <mergeCell ref="AB5:AC5"/>
    <mergeCell ref="AB6:AC6"/>
    <mergeCell ref="AJ5:AK5"/>
    <mergeCell ref="AJ6:AK6"/>
    <mergeCell ref="AR5:AS5"/>
    <mergeCell ref="AR6:AS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64"/>
  <sheetViews>
    <sheetView showZeros="0" zoomScalePageLayoutView="0" workbookViewId="0" topLeftCell="B26">
      <selection activeCell="U11" sqref="U11"/>
    </sheetView>
  </sheetViews>
  <sheetFormatPr defaultColWidth="9.33203125" defaultRowHeight="12.75"/>
  <cols>
    <col min="1" max="1" width="17.66015625" style="0" hidden="1" customWidth="1"/>
    <col min="2" max="2" width="30.33203125" style="0" customWidth="1"/>
    <col min="3" max="3" width="16.83203125" style="0" hidden="1" customWidth="1"/>
    <col min="4" max="4" width="6" style="0" customWidth="1"/>
    <col min="5" max="5" width="6.33203125" style="0" customWidth="1"/>
    <col min="6" max="6" width="5.66015625" style="0" customWidth="1"/>
    <col min="7" max="8" width="5.5" style="0" customWidth="1"/>
    <col min="9" max="9" width="6.66015625" style="0" hidden="1" customWidth="1"/>
    <col min="10" max="10" width="7.5" style="0" hidden="1" customWidth="1"/>
    <col min="11" max="11" width="8.33203125" style="0" customWidth="1"/>
    <col min="12" max="12" width="8.33203125" style="0" hidden="1" customWidth="1"/>
    <col min="13" max="14" width="7.83203125" style="0" hidden="1" customWidth="1"/>
    <col min="15" max="15" width="7.16015625" style="0" hidden="1" customWidth="1"/>
    <col min="16" max="17" width="7.66015625" style="0" hidden="1" customWidth="1"/>
    <col min="18" max="18" width="6.33203125" style="0" hidden="1" customWidth="1"/>
    <col min="19" max="19" width="7.16015625" style="0" hidden="1" customWidth="1"/>
    <col min="21" max="21" width="5.83203125" style="0" customWidth="1"/>
    <col min="22" max="22" width="5.16015625" style="0" customWidth="1"/>
    <col min="23" max="23" width="4.33203125" style="0" customWidth="1"/>
    <col min="24" max="24" width="4.66015625" style="0" customWidth="1"/>
    <col min="25" max="25" width="5" style="0" customWidth="1"/>
    <col min="26" max="26" width="40" style="0" customWidth="1"/>
  </cols>
  <sheetData>
    <row r="1" spans="1:26" ht="12.75" customHeight="1">
      <c r="A1" s="836" t="s">
        <v>149</v>
      </c>
      <c r="B1" s="734" t="s">
        <v>487</v>
      </c>
      <c r="C1" s="734" t="s">
        <v>65</v>
      </c>
      <c r="D1" s="839" t="s">
        <v>489</v>
      </c>
      <c r="E1" s="840"/>
      <c r="F1" s="840"/>
      <c r="G1" s="840"/>
      <c r="H1" s="840"/>
      <c r="I1" s="843" t="s">
        <v>195</v>
      </c>
      <c r="J1" s="844"/>
      <c r="K1" s="268" t="s">
        <v>2</v>
      </c>
      <c r="L1" s="236"/>
      <c r="M1" s="236"/>
      <c r="N1" s="236"/>
      <c r="O1" s="236"/>
      <c r="P1" s="236"/>
      <c r="Q1" s="236"/>
      <c r="R1" s="236"/>
      <c r="S1" s="236"/>
      <c r="T1" s="278" t="s">
        <v>433</v>
      </c>
      <c r="U1" s="801" t="s">
        <v>4</v>
      </c>
      <c r="V1" s="802"/>
      <c r="W1" s="802"/>
      <c r="X1" s="802"/>
      <c r="Y1" s="802"/>
      <c r="Z1" s="798" t="s">
        <v>64</v>
      </c>
    </row>
    <row r="2" spans="1:26" ht="12.75">
      <c r="A2" s="837"/>
      <c r="B2" s="735"/>
      <c r="C2" s="735"/>
      <c r="D2" s="841"/>
      <c r="E2" s="842"/>
      <c r="F2" s="842"/>
      <c r="G2" s="842"/>
      <c r="H2" s="842"/>
      <c r="I2" s="845"/>
      <c r="J2" s="846"/>
      <c r="K2" s="815" t="s">
        <v>429</v>
      </c>
      <c r="L2" s="773" t="s">
        <v>3</v>
      </c>
      <c r="M2" s="774"/>
      <c r="N2" s="774"/>
      <c r="O2" s="774"/>
      <c r="P2" s="774"/>
      <c r="Q2" s="774"/>
      <c r="R2" s="774"/>
      <c r="S2" s="772"/>
      <c r="T2" s="821" t="s">
        <v>428</v>
      </c>
      <c r="U2" s="770"/>
      <c r="V2" s="771"/>
      <c r="W2" s="771"/>
      <c r="X2" s="771"/>
      <c r="Y2" s="771"/>
      <c r="Z2" s="799"/>
    </row>
    <row r="3" spans="1:26" ht="12.75" customHeight="1">
      <c r="A3" s="837"/>
      <c r="B3" s="735"/>
      <c r="C3" s="735"/>
      <c r="D3" s="757" t="s">
        <v>58</v>
      </c>
      <c r="E3" s="757" t="s">
        <v>490</v>
      </c>
      <c r="F3" s="331"/>
      <c r="G3" s="757" t="s">
        <v>493</v>
      </c>
      <c r="H3" s="759" t="s">
        <v>491</v>
      </c>
      <c r="I3" s="845"/>
      <c r="J3" s="846"/>
      <c r="K3" s="816"/>
      <c r="L3" s="812" t="s">
        <v>71</v>
      </c>
      <c r="M3" s="772" t="s">
        <v>72</v>
      </c>
      <c r="N3" s="736"/>
      <c r="O3" s="736"/>
      <c r="P3" s="736"/>
      <c r="Q3" s="773"/>
      <c r="R3" s="667" t="s">
        <v>131</v>
      </c>
      <c r="S3" s="811" t="s">
        <v>73</v>
      </c>
      <c r="T3" s="822"/>
      <c r="U3" s="757" t="s">
        <v>58</v>
      </c>
      <c r="V3" s="757" t="s">
        <v>490</v>
      </c>
      <c r="W3" s="331"/>
      <c r="X3" s="757" t="s">
        <v>493</v>
      </c>
      <c r="Y3" s="759" t="s">
        <v>491</v>
      </c>
      <c r="Z3" s="799"/>
    </row>
    <row r="4" spans="1:26" ht="12.75">
      <c r="A4" s="837"/>
      <c r="B4" s="735"/>
      <c r="C4" s="735"/>
      <c r="D4" s="758"/>
      <c r="E4" s="758"/>
      <c r="F4" s="332"/>
      <c r="G4" s="758"/>
      <c r="H4" s="760"/>
      <c r="I4" s="845"/>
      <c r="J4" s="846"/>
      <c r="K4" s="816"/>
      <c r="L4" s="813"/>
      <c r="M4" s="667" t="s">
        <v>60</v>
      </c>
      <c r="N4" s="667" t="s">
        <v>256</v>
      </c>
      <c r="O4" s="667" t="s">
        <v>61</v>
      </c>
      <c r="P4" s="667" t="s">
        <v>198</v>
      </c>
      <c r="Q4" s="667" t="s">
        <v>257</v>
      </c>
      <c r="R4" s="668"/>
      <c r="S4" s="811"/>
      <c r="T4" s="822"/>
      <c r="U4" s="758"/>
      <c r="V4" s="758"/>
      <c r="W4" s="332"/>
      <c r="X4" s="758"/>
      <c r="Y4" s="760"/>
      <c r="Z4" s="799"/>
    </row>
    <row r="5" spans="1:26" ht="12.75">
      <c r="A5" s="837"/>
      <c r="B5" s="735"/>
      <c r="C5" s="735"/>
      <c r="D5" s="758"/>
      <c r="E5" s="758"/>
      <c r="F5" s="332"/>
      <c r="G5" s="758"/>
      <c r="H5" s="760"/>
      <c r="I5" s="845"/>
      <c r="J5" s="846"/>
      <c r="K5" s="816"/>
      <c r="L5" s="813"/>
      <c r="M5" s="668"/>
      <c r="N5" s="668"/>
      <c r="O5" s="668"/>
      <c r="P5" s="668"/>
      <c r="Q5" s="668"/>
      <c r="R5" s="668"/>
      <c r="S5" s="811"/>
      <c r="T5" s="822"/>
      <c r="U5" s="758"/>
      <c r="V5" s="758"/>
      <c r="W5" s="332"/>
      <c r="X5" s="758"/>
      <c r="Y5" s="760"/>
      <c r="Z5" s="799"/>
    </row>
    <row r="6" spans="1:26" ht="12.75">
      <c r="A6" s="837"/>
      <c r="B6" s="735"/>
      <c r="C6" s="735"/>
      <c r="D6" s="758"/>
      <c r="E6" s="758"/>
      <c r="F6" s="332"/>
      <c r="G6" s="758"/>
      <c r="H6" s="760"/>
      <c r="I6" s="847"/>
      <c r="J6" s="848"/>
      <c r="K6" s="816"/>
      <c r="L6" s="813"/>
      <c r="M6" s="668"/>
      <c r="N6" s="668"/>
      <c r="O6" s="668"/>
      <c r="P6" s="668"/>
      <c r="Q6" s="668"/>
      <c r="R6" s="668"/>
      <c r="S6" s="811"/>
      <c r="T6" s="822"/>
      <c r="U6" s="758"/>
      <c r="V6" s="758"/>
      <c r="W6" s="332"/>
      <c r="X6" s="758"/>
      <c r="Y6" s="760"/>
      <c r="Z6" s="799"/>
    </row>
    <row r="7" spans="1:26" ht="135.75" thickBot="1">
      <c r="A7" s="838"/>
      <c r="B7" s="735"/>
      <c r="C7" s="735"/>
      <c r="D7" s="758"/>
      <c r="E7" s="758"/>
      <c r="F7" s="332" t="s">
        <v>59</v>
      </c>
      <c r="G7" s="758"/>
      <c r="H7" s="803"/>
      <c r="I7" s="53" t="s">
        <v>157</v>
      </c>
      <c r="J7" s="54" t="s">
        <v>217</v>
      </c>
      <c r="K7" s="816"/>
      <c r="L7" s="814"/>
      <c r="M7" s="669"/>
      <c r="N7" s="669"/>
      <c r="O7" s="669"/>
      <c r="P7" s="669"/>
      <c r="Q7" s="669"/>
      <c r="R7" s="669"/>
      <c r="S7" s="811"/>
      <c r="T7" s="822"/>
      <c r="U7" s="758"/>
      <c r="V7" s="758"/>
      <c r="W7" s="332" t="s">
        <v>59</v>
      </c>
      <c r="X7" s="758"/>
      <c r="Y7" s="803"/>
      <c r="Z7" s="800"/>
    </row>
    <row r="8" spans="1:26" ht="13.5" thickBot="1">
      <c r="A8" s="237"/>
      <c r="B8" s="832" t="s">
        <v>371</v>
      </c>
      <c r="C8" s="833"/>
      <c r="D8" s="143"/>
      <c r="E8" s="143"/>
      <c r="F8" s="143"/>
      <c r="G8" s="143"/>
      <c r="H8" s="143"/>
      <c r="I8" s="136">
        <v>2970</v>
      </c>
      <c r="J8" s="142">
        <v>1980</v>
      </c>
      <c r="K8" s="269">
        <f>'Учебный план'!L27</f>
        <v>3993</v>
      </c>
      <c r="L8" s="256" t="e">
        <f aca="true" t="shared" si="0" ref="L8:S8">L9+L14+L18</f>
        <v>#VALUE!</v>
      </c>
      <c r="M8" s="137" t="e">
        <f t="shared" si="0"/>
        <v>#REF!</v>
      </c>
      <c r="N8" s="137" t="e">
        <f t="shared" si="0"/>
        <v>#REF!</v>
      </c>
      <c r="O8" s="137" t="e">
        <f t="shared" si="0"/>
        <v>#REF!</v>
      </c>
      <c r="P8" s="137" t="e">
        <f t="shared" si="0"/>
        <v>#REF!</v>
      </c>
      <c r="Q8" s="137" t="e">
        <f t="shared" si="0"/>
        <v>#VALUE!</v>
      </c>
      <c r="R8" s="137" t="e">
        <f t="shared" si="0"/>
        <v>#VALUE!</v>
      </c>
      <c r="S8" s="138" t="e">
        <f t="shared" si="0"/>
        <v>#REF!</v>
      </c>
      <c r="T8" s="279">
        <f>'Учебный план (заочная)'!N9</f>
        <v>3993</v>
      </c>
      <c r="U8" s="181"/>
      <c r="V8" s="181"/>
      <c r="W8" s="181"/>
      <c r="X8" s="181"/>
      <c r="Y8" s="181"/>
      <c r="Z8" s="280"/>
    </row>
    <row r="9" spans="1:26" ht="12.75">
      <c r="A9" s="238" t="s">
        <v>150</v>
      </c>
      <c r="B9" s="834" t="s">
        <v>151</v>
      </c>
      <c r="C9" s="835"/>
      <c r="D9" s="182"/>
      <c r="E9" s="182"/>
      <c r="F9" s="182"/>
      <c r="G9" s="182"/>
      <c r="H9" s="182"/>
      <c r="I9" s="183">
        <v>612</v>
      </c>
      <c r="J9" s="184">
        <v>408</v>
      </c>
      <c r="K9" s="270">
        <f>'Учебный план'!L28</f>
        <v>737</v>
      </c>
      <c r="L9" s="257" t="e">
        <f aca="true" t="shared" si="1" ref="L9:S9">SUM(L10:L13)</f>
        <v>#VALUE!</v>
      </c>
      <c r="M9" s="185">
        <f t="shared" si="1"/>
        <v>1</v>
      </c>
      <c r="N9" s="185">
        <f t="shared" si="1"/>
        <v>3</v>
      </c>
      <c r="O9" s="185">
        <f t="shared" si="1"/>
        <v>4</v>
      </c>
      <c r="P9" s="185">
        <f t="shared" si="1"/>
        <v>0</v>
      </c>
      <c r="Q9" s="185" t="e">
        <f t="shared" si="1"/>
        <v>#VALUE!</v>
      </c>
      <c r="R9" s="185" t="e">
        <f t="shared" si="1"/>
        <v>#VALUE!</v>
      </c>
      <c r="S9" s="184" t="e">
        <f t="shared" si="1"/>
        <v>#REF!</v>
      </c>
      <c r="T9" s="281">
        <f>'Учебный план (заочная)'!N10</f>
        <v>737</v>
      </c>
      <c r="U9" s="186"/>
      <c r="V9" s="186"/>
      <c r="W9" s="186"/>
      <c r="X9" s="186"/>
      <c r="Y9" s="186"/>
      <c r="Z9" s="282"/>
    </row>
    <row r="10" spans="1:26" ht="12.75">
      <c r="A10" s="239" t="s">
        <v>152</v>
      </c>
      <c r="B10" s="271" t="str">
        <f>'Учебный план'!B29</f>
        <v>Основы философии</v>
      </c>
      <c r="C10" s="113">
        <f>'Учебный план'!C29</f>
        <v>0</v>
      </c>
      <c r="D10" s="113">
        <f>'Учебный план'!D29</f>
        <v>0</v>
      </c>
      <c r="E10" s="113" t="str">
        <f>'Учебный план'!E29</f>
        <v>3</v>
      </c>
      <c r="F10" s="113">
        <f>'Учебный план'!F29</f>
        <v>0</v>
      </c>
      <c r="G10" s="113">
        <f>'Учебный план'!H29</f>
        <v>0</v>
      </c>
      <c r="H10" s="113">
        <f>'Учебный план'!I29</f>
        <v>0</v>
      </c>
      <c r="I10" s="107"/>
      <c r="J10" s="110">
        <v>48</v>
      </c>
      <c r="K10" s="269">
        <f>'Учебный план'!L29</f>
        <v>72</v>
      </c>
      <c r="L10" s="258">
        <f>SUM(M10:Q10)</f>
        <v>1</v>
      </c>
      <c r="M10" s="108">
        <f aca="true" t="shared" si="2" ref="M10:R13">U10+AB10+AJ10+AR10+AZ10+BH10+BP10+BX10+CF10+CN10</f>
        <v>0</v>
      </c>
      <c r="N10" s="108">
        <f t="shared" si="2"/>
        <v>1</v>
      </c>
      <c r="O10" s="108">
        <f t="shared" si="2"/>
        <v>0</v>
      </c>
      <c r="P10" s="108">
        <f t="shared" si="2"/>
        <v>0</v>
      </c>
      <c r="Q10" s="108">
        <f t="shared" si="2"/>
        <v>0</v>
      </c>
      <c r="R10" s="108" t="e">
        <f t="shared" si="2"/>
        <v>#VALUE!</v>
      </c>
      <c r="S10" s="129" t="e">
        <f>#REF!+AH10+AP10+AX10+BF10+BN10+BV10+CD10+CL10+CT10</f>
        <v>#REF!</v>
      </c>
      <c r="T10" s="279">
        <f>'Учебный план (заочная)'!N11</f>
        <v>72</v>
      </c>
      <c r="U10" s="181">
        <f>'Учебный план (заочная)'!D11</f>
        <v>0</v>
      </c>
      <c r="V10" s="181" t="str">
        <f>'Учебный план (заочная)'!E11</f>
        <v>1</v>
      </c>
      <c r="W10" s="181">
        <f>'Учебный план (заочная)'!F11</f>
        <v>0</v>
      </c>
      <c r="X10" s="181">
        <f>'Учебный план (заочная)'!H11</f>
        <v>0</v>
      </c>
      <c r="Y10" s="181">
        <f>'Учебный план (заочная)'!I11</f>
        <v>0</v>
      </c>
      <c r="Z10" s="280" t="str">
        <f>'Учебный план (заочная)'!B11</f>
        <v>Основы философии</v>
      </c>
    </row>
    <row r="11" spans="1:26" ht="12.75">
      <c r="A11" s="239" t="s">
        <v>153</v>
      </c>
      <c r="B11" s="271" t="str">
        <f>'Учебный план'!B30</f>
        <v>История</v>
      </c>
      <c r="C11" s="113">
        <f>'Учебный план'!C30</f>
        <v>0</v>
      </c>
      <c r="D11" s="113" t="str">
        <f>'Учебный план'!D30</f>
        <v>3</v>
      </c>
      <c r="E11" s="113">
        <f>'Учебный план'!E30</f>
        <v>0</v>
      </c>
      <c r="F11" s="113">
        <f>'Учебный план'!F30</f>
        <v>0</v>
      </c>
      <c r="G11" s="113">
        <f>'Учебный план'!H30</f>
        <v>0</v>
      </c>
      <c r="H11" s="113">
        <f>'Учебный план'!I30</f>
        <v>0</v>
      </c>
      <c r="I11" s="107"/>
      <c r="J11" s="110">
        <v>48</v>
      </c>
      <c r="K11" s="269">
        <f>'Учебный план'!L30</f>
        <v>72</v>
      </c>
      <c r="L11" s="258">
        <f>SUM(M11:Q11)</f>
        <v>1</v>
      </c>
      <c r="M11" s="108">
        <f t="shared" si="2"/>
        <v>1</v>
      </c>
      <c r="N11" s="108">
        <f t="shared" si="2"/>
        <v>0</v>
      </c>
      <c r="O11" s="108">
        <f t="shared" si="2"/>
        <v>0</v>
      </c>
      <c r="P11" s="108">
        <f t="shared" si="2"/>
        <v>0</v>
      </c>
      <c r="Q11" s="108">
        <f t="shared" si="2"/>
        <v>0</v>
      </c>
      <c r="R11" s="108" t="e">
        <f t="shared" si="2"/>
        <v>#VALUE!</v>
      </c>
      <c r="S11" s="129" t="e">
        <f>#REF!+AH11+AP11+AX11+BF11+BN11+BV11+CD11+CL11+CT11</f>
        <v>#REF!</v>
      </c>
      <c r="T11" s="279">
        <f>'Учебный план (заочная)'!N12</f>
        <v>72</v>
      </c>
      <c r="U11" s="181" t="str">
        <f>'Учебный план (заочная)'!D12</f>
        <v>1</v>
      </c>
      <c r="V11" s="181">
        <f>'Учебный план (заочная)'!E12</f>
        <v>0</v>
      </c>
      <c r="W11" s="181">
        <f>'Учебный план (заочная)'!F12</f>
        <v>0</v>
      </c>
      <c r="X11" s="181">
        <f>'Учебный план (заочная)'!H12</f>
        <v>0</v>
      </c>
      <c r="Y11" s="181">
        <f>'Учебный план (заочная)'!I12</f>
        <v>0</v>
      </c>
      <c r="Z11" s="280" t="str">
        <f>'Учебный план (заочная)'!B12</f>
        <v>История</v>
      </c>
    </row>
    <row r="12" spans="1:26" ht="25.5">
      <c r="A12" s="239" t="s">
        <v>154</v>
      </c>
      <c r="B12" s="271" t="str">
        <f>'Учебный план'!B31</f>
        <v>Иностранный язык</v>
      </c>
      <c r="C12" s="113">
        <f>'Учебный план'!C31</f>
        <v>0</v>
      </c>
      <c r="D12" s="113">
        <f>'Учебный план'!D31</f>
        <v>0</v>
      </c>
      <c r="E12" s="113" t="str">
        <f>'Учебный план'!E31</f>
        <v>5,8</v>
      </c>
      <c r="F12" s="113">
        <f>'Учебный план'!F31</f>
        <v>0</v>
      </c>
      <c r="G12" s="113">
        <f>'Учебный план'!H31</f>
        <v>0</v>
      </c>
      <c r="H12" s="113" t="str">
        <f>'Учебный план'!I31</f>
        <v>3,4,6,7</v>
      </c>
      <c r="I12" s="107"/>
      <c r="J12" s="110">
        <v>156</v>
      </c>
      <c r="K12" s="269">
        <f>'Учебный план'!L31</f>
        <v>281</v>
      </c>
      <c r="L12" s="258">
        <f>SUM(M12:Q12)</f>
        <v>3</v>
      </c>
      <c r="M12" s="108">
        <f t="shared" si="2"/>
        <v>0</v>
      </c>
      <c r="N12" s="108">
        <f t="shared" si="2"/>
        <v>2</v>
      </c>
      <c r="O12" s="108">
        <f t="shared" si="2"/>
        <v>0</v>
      </c>
      <c r="P12" s="108">
        <f t="shared" si="2"/>
        <v>0</v>
      </c>
      <c r="Q12" s="108">
        <f t="shared" si="2"/>
        <v>1</v>
      </c>
      <c r="R12" s="108" t="e">
        <f t="shared" si="2"/>
        <v>#VALUE!</v>
      </c>
      <c r="S12" s="129" t="e">
        <f>#REF!+AH12+AP12+AX12+BF12+BN12+BV12+CD12+CL12+CT12</f>
        <v>#REF!</v>
      </c>
      <c r="T12" s="279">
        <f>'Учебный план (заочная)'!N13</f>
        <v>281</v>
      </c>
      <c r="U12" s="181">
        <f>'Учебный план (заочная)'!D13</f>
        <v>0</v>
      </c>
      <c r="V12" s="181" t="str">
        <f>'Учебный план (заочная)'!E13</f>
        <v>2,4</v>
      </c>
      <c r="W12" s="181">
        <f>'Учебный план (заочная)'!F13</f>
        <v>0</v>
      </c>
      <c r="X12" s="181">
        <f>'Учебный план (заочная)'!H13</f>
        <v>0</v>
      </c>
      <c r="Y12" s="181" t="str">
        <f>'Учебный план (заочная)'!I13</f>
        <v>1,3</v>
      </c>
      <c r="Z12" s="280" t="str">
        <f>'Учебный план (заочная)'!B13</f>
        <v>Иностранный язык</v>
      </c>
    </row>
    <row r="13" spans="1:26" ht="25.5">
      <c r="A13" s="240" t="s">
        <v>155</v>
      </c>
      <c r="B13" s="271" t="str">
        <f>'Учебный план'!B32</f>
        <v>Физическая культура</v>
      </c>
      <c r="C13" s="113">
        <f>'Учебный план'!C32</f>
        <v>0</v>
      </c>
      <c r="D13" s="113">
        <f>'Учебный план'!D32</f>
        <v>0</v>
      </c>
      <c r="E13" s="113">
        <f>'Учебный план'!E32</f>
        <v>0</v>
      </c>
      <c r="F13" s="113" t="str">
        <f>'Учебный план'!F32</f>
        <v>3,4,5,6,7,8</v>
      </c>
      <c r="G13" s="113">
        <f>'Учебный план'!H32</f>
        <v>0</v>
      </c>
      <c r="H13" s="113">
        <f>'Учебный план'!I32</f>
        <v>0</v>
      </c>
      <c r="I13" s="92">
        <v>312</v>
      </c>
      <c r="J13" s="95">
        <v>156</v>
      </c>
      <c r="K13" s="269">
        <f>'Учебный план'!L32</f>
        <v>312</v>
      </c>
      <c r="L13" s="258" t="e">
        <f>SUM(M13:Q13)</f>
        <v>#VALUE!</v>
      </c>
      <c r="M13" s="93">
        <f t="shared" si="2"/>
        <v>0</v>
      </c>
      <c r="N13" s="108">
        <f t="shared" si="2"/>
        <v>0</v>
      </c>
      <c r="O13" s="108">
        <f t="shared" si="2"/>
        <v>4</v>
      </c>
      <c r="P13" s="93">
        <f t="shared" si="2"/>
        <v>0</v>
      </c>
      <c r="Q13" s="93" t="e">
        <f t="shared" si="2"/>
        <v>#VALUE!</v>
      </c>
      <c r="R13" s="93" t="e">
        <f t="shared" si="2"/>
        <v>#VALUE!</v>
      </c>
      <c r="S13" s="144" t="e">
        <f>#REF!+AH13+AP13+AX13+BF13+BN13+BV13+CD13+CL13+CT13</f>
        <v>#REF!</v>
      </c>
      <c r="T13" s="279">
        <f>'Учебный план (заочная)'!N14</f>
        <v>312</v>
      </c>
      <c r="U13" s="181">
        <f>'Учебный план (заочная)'!D14</f>
        <v>0</v>
      </c>
      <c r="V13" s="181">
        <f>'Учебный план (заочная)'!E14</f>
        <v>0</v>
      </c>
      <c r="W13" s="181" t="str">
        <f>'Учебный план (заочная)'!F14</f>
        <v>4</v>
      </c>
      <c r="X13" s="181">
        <f>'Учебный план (заочная)'!H14</f>
        <v>0</v>
      </c>
      <c r="Y13" s="181" t="str">
        <f>'Учебный план (заочная)'!I14</f>
        <v>1,2,3</v>
      </c>
      <c r="Z13" s="280" t="str">
        <f>'Учебный план (заочная)'!B14</f>
        <v>Физическая культура</v>
      </c>
    </row>
    <row r="14" spans="1:26" ht="25.5">
      <c r="A14" s="241" t="s">
        <v>158</v>
      </c>
      <c r="B14" s="804" t="s">
        <v>162</v>
      </c>
      <c r="C14" s="805"/>
      <c r="D14" s="805"/>
      <c r="E14" s="805"/>
      <c r="F14" s="805"/>
      <c r="G14" s="805"/>
      <c r="H14" s="806"/>
      <c r="I14" s="187">
        <v>162</v>
      </c>
      <c r="J14" s="188">
        <v>108</v>
      </c>
      <c r="K14" s="270">
        <f>'Учебный план'!L33</f>
        <v>192</v>
      </c>
      <c r="L14" s="259">
        <f aca="true" t="shared" si="3" ref="L14:S14">SUM(L15:L17)</f>
        <v>5</v>
      </c>
      <c r="M14" s="180">
        <f t="shared" si="3"/>
        <v>1</v>
      </c>
      <c r="N14" s="180">
        <f t="shared" si="3"/>
        <v>4</v>
      </c>
      <c r="O14" s="180">
        <f t="shared" si="3"/>
        <v>0</v>
      </c>
      <c r="P14" s="180">
        <f t="shared" si="3"/>
        <v>0</v>
      </c>
      <c r="Q14" s="180">
        <f t="shared" si="3"/>
        <v>0</v>
      </c>
      <c r="R14" s="180" t="e">
        <f t="shared" si="3"/>
        <v>#VALUE!</v>
      </c>
      <c r="S14" s="189" t="e">
        <f t="shared" si="3"/>
        <v>#REF!</v>
      </c>
      <c r="T14" s="279">
        <f>'Учебный план (заочная)'!N15</f>
        <v>192</v>
      </c>
      <c r="U14" s="186">
        <f>'Учебный план (заочная)'!D15</f>
        <v>0</v>
      </c>
      <c r="V14" s="186">
        <f>'Учебный план (заочная)'!E15</f>
        <v>0</v>
      </c>
      <c r="W14" s="186">
        <f>'Учебный план (заочная)'!F15</f>
        <v>0</v>
      </c>
      <c r="X14" s="186">
        <f>'Учебный план (заочная)'!H15</f>
        <v>0</v>
      </c>
      <c r="Y14" s="186">
        <f>'Учебный план (заочная)'!I15</f>
        <v>0</v>
      </c>
      <c r="Z14" s="283" t="str">
        <f>'Учебный план (заочная)'!B15</f>
        <v>Математический и общий естественнонаучный цикл</v>
      </c>
    </row>
    <row r="15" spans="1:26" ht="12.75">
      <c r="A15" s="239" t="s">
        <v>159</v>
      </c>
      <c r="B15" s="271" t="str">
        <f>'Учебный план'!B34</f>
        <v>Математика</v>
      </c>
      <c r="C15" s="113">
        <f>'Учебный план'!C34</f>
        <v>0</v>
      </c>
      <c r="D15" s="113" t="str">
        <f>'Учебный план'!D34</f>
        <v>3</v>
      </c>
      <c r="E15" s="113">
        <f>'Учебный план'!E34</f>
        <v>0</v>
      </c>
      <c r="F15" s="113">
        <f>'Учебный план'!F34</f>
        <v>0</v>
      </c>
      <c r="G15" s="113">
        <f>'Учебный план'!H34</f>
        <v>0</v>
      </c>
      <c r="H15" s="113">
        <f>'Учебный план'!I34</f>
        <v>0</v>
      </c>
      <c r="I15" s="107"/>
      <c r="J15" s="110"/>
      <c r="K15" s="269">
        <f>'Учебный план'!L34</f>
        <v>72</v>
      </c>
      <c r="L15" s="258">
        <f>SUM(M15:Q15)</f>
        <v>1</v>
      </c>
      <c r="M15" s="108">
        <f aca="true" t="shared" si="4" ref="M15:R17">U15+AB15+AJ15+AR15+AZ15+BH15+BP15+BX15+CF15+CN15</f>
        <v>1</v>
      </c>
      <c r="N15" s="108">
        <f t="shared" si="4"/>
        <v>0</v>
      </c>
      <c r="O15" s="108">
        <f t="shared" si="4"/>
        <v>0</v>
      </c>
      <c r="P15" s="108">
        <f t="shared" si="4"/>
        <v>0</v>
      </c>
      <c r="Q15" s="108">
        <f t="shared" si="4"/>
        <v>0</v>
      </c>
      <c r="R15" s="108" t="e">
        <f t="shared" si="4"/>
        <v>#VALUE!</v>
      </c>
      <c r="S15" s="129" t="e">
        <f>#REF!+AH15+AP15+AX15+BF15+BN15+BV15+CD15+CL15+CT15</f>
        <v>#REF!</v>
      </c>
      <c r="T15" s="279">
        <f>'Учебный план (заочная)'!N16</f>
        <v>72</v>
      </c>
      <c r="U15" s="181" t="str">
        <f>'Учебный план (заочная)'!D16</f>
        <v>1</v>
      </c>
      <c r="V15" s="181">
        <f>'Учебный план (заочная)'!E16</f>
        <v>0</v>
      </c>
      <c r="W15" s="181">
        <f>'Учебный план (заочная)'!F16</f>
        <v>0</v>
      </c>
      <c r="X15" s="181">
        <f>'Учебный план (заочная)'!H16</f>
        <v>0</v>
      </c>
      <c r="Y15" s="181">
        <f>'Учебный план (заочная)'!I16</f>
        <v>0</v>
      </c>
      <c r="Z15" s="280" t="str">
        <f>'Учебный план (заочная)'!B16</f>
        <v>Математика</v>
      </c>
    </row>
    <row r="16" spans="1:26" ht="12.75">
      <c r="A16" s="239" t="s">
        <v>160</v>
      </c>
      <c r="B16" s="271" t="str">
        <f>'Учебный план'!B35</f>
        <v>Информатика</v>
      </c>
      <c r="C16" s="113">
        <f>'Учебный план'!C35</f>
        <v>0</v>
      </c>
      <c r="D16" s="113">
        <f>'Учебный план'!D35</f>
        <v>0</v>
      </c>
      <c r="E16" s="113" t="str">
        <f>'Учебный план'!E35</f>
        <v>3</v>
      </c>
      <c r="F16" s="113">
        <f>'Учебный план'!F35</f>
        <v>0</v>
      </c>
      <c r="G16" s="113">
        <f>'Учебный план'!H35</f>
        <v>0</v>
      </c>
      <c r="H16" s="113">
        <f>'Учебный план'!I35</f>
        <v>0</v>
      </c>
      <c r="I16" s="107"/>
      <c r="J16" s="110"/>
      <c r="K16" s="269">
        <f>'Учебный план'!L35</f>
        <v>72</v>
      </c>
      <c r="L16" s="258">
        <f>SUM(M16:Q16)</f>
        <v>1</v>
      </c>
      <c r="M16" s="108">
        <f t="shared" si="4"/>
        <v>0</v>
      </c>
      <c r="N16" s="108">
        <f t="shared" si="4"/>
        <v>1</v>
      </c>
      <c r="O16" s="108">
        <f t="shared" si="4"/>
        <v>0</v>
      </c>
      <c r="P16" s="108">
        <f t="shared" si="4"/>
        <v>0</v>
      </c>
      <c r="Q16" s="108">
        <f t="shared" si="4"/>
        <v>0</v>
      </c>
      <c r="R16" s="108" t="e">
        <f t="shared" si="4"/>
        <v>#VALUE!</v>
      </c>
      <c r="S16" s="129" t="e">
        <f>#REF!+AH16+AP16+AX16+BF16+BN16+BV16+CD16+CL16+CT16</f>
        <v>#REF!</v>
      </c>
      <c r="T16" s="279">
        <f>'Учебный план (заочная)'!N17</f>
        <v>72</v>
      </c>
      <c r="U16" s="181">
        <f>'Учебный план (заочная)'!D17</f>
        <v>0</v>
      </c>
      <c r="V16" s="181" t="str">
        <f>'Учебный план (заочная)'!E17</f>
        <v>1</v>
      </c>
      <c r="W16" s="181">
        <f>'Учебный план (заочная)'!F17</f>
        <v>0</v>
      </c>
      <c r="X16" s="181">
        <f>'Учебный план (заочная)'!H17</f>
        <v>0</v>
      </c>
      <c r="Y16" s="181">
        <f>'Учебный план (заочная)'!I17</f>
        <v>0</v>
      </c>
      <c r="Z16" s="280" t="str">
        <f>'Учебный план (заочная)'!B17</f>
        <v>Информатика</v>
      </c>
    </row>
    <row r="17" spans="1:26" ht="25.5">
      <c r="A17" s="239" t="s">
        <v>274</v>
      </c>
      <c r="B17" s="271" t="str">
        <f>'Учебный план'!B36</f>
        <v>Экологические основы природопользования</v>
      </c>
      <c r="C17" s="113">
        <f>'Учебный план'!C36</f>
        <v>0</v>
      </c>
      <c r="D17" s="113">
        <f>'Учебный план'!D36</f>
        <v>0</v>
      </c>
      <c r="E17" s="113" t="str">
        <f>'Учебный план'!E36</f>
        <v>3</v>
      </c>
      <c r="F17" s="113">
        <f>'Учебный план'!F36</f>
        <v>0</v>
      </c>
      <c r="G17" s="113">
        <f>'Учебный план'!H36</f>
        <v>0</v>
      </c>
      <c r="H17" s="113">
        <f>'Учебный план'!I36</f>
        <v>0</v>
      </c>
      <c r="I17" s="107"/>
      <c r="J17" s="110"/>
      <c r="K17" s="269">
        <f>'Учебный план'!L36</f>
        <v>48</v>
      </c>
      <c r="L17" s="258">
        <f>SUM(M17:Q17)</f>
        <v>3</v>
      </c>
      <c r="M17" s="108">
        <f t="shared" si="4"/>
        <v>0</v>
      </c>
      <c r="N17" s="108">
        <f t="shared" si="4"/>
        <v>3</v>
      </c>
      <c r="O17" s="108">
        <f t="shared" si="4"/>
        <v>0</v>
      </c>
      <c r="P17" s="108">
        <f t="shared" si="4"/>
        <v>0</v>
      </c>
      <c r="Q17" s="108">
        <f t="shared" si="4"/>
        <v>0</v>
      </c>
      <c r="R17" s="108" t="e">
        <f t="shared" si="4"/>
        <v>#VALUE!</v>
      </c>
      <c r="S17" s="129" t="e">
        <f>#REF!+AH17+AP17+AX17+BF17+BN17+BV17+CD17+CL17+CT17</f>
        <v>#REF!</v>
      </c>
      <c r="T17" s="279">
        <f>'Учебный план (заочная)'!N18</f>
        <v>48</v>
      </c>
      <c r="U17" s="181">
        <f>'Учебный план (заочная)'!D18</f>
        <v>0</v>
      </c>
      <c r="V17" s="181" t="str">
        <f>'Учебный план (заочная)'!E18</f>
        <v>3</v>
      </c>
      <c r="W17" s="181">
        <f>'Учебный план (заочная)'!F18</f>
        <v>0</v>
      </c>
      <c r="X17" s="181">
        <f>'Учебный план (заочная)'!H18</f>
        <v>0</v>
      </c>
      <c r="Y17" s="181">
        <f>'Учебный план (заочная)'!I18</f>
        <v>0</v>
      </c>
      <c r="Z17" s="284" t="str">
        <f>'Учебный план (заочная)'!B18</f>
        <v>Экологические основы природопользования</v>
      </c>
    </row>
    <row r="18" spans="1:26" ht="12.75">
      <c r="A18" s="242" t="s">
        <v>178</v>
      </c>
      <c r="B18" s="804" t="s">
        <v>66</v>
      </c>
      <c r="C18" s="805"/>
      <c r="D18" s="114" t="s">
        <v>26</v>
      </c>
      <c r="E18" s="114"/>
      <c r="F18" s="114"/>
      <c r="G18" s="114"/>
      <c r="H18" s="114"/>
      <c r="I18" s="190">
        <v>2196</v>
      </c>
      <c r="J18" s="191">
        <v>1464</v>
      </c>
      <c r="K18" s="270">
        <f>'Учебный план'!L37</f>
        <v>3064</v>
      </c>
      <c r="L18" s="260" t="e">
        <f aca="true" t="shared" si="5" ref="L18:S18">L19+L28</f>
        <v>#REF!</v>
      </c>
      <c r="M18" s="192" t="e">
        <f t="shared" si="5"/>
        <v>#REF!</v>
      </c>
      <c r="N18" s="192" t="e">
        <f t="shared" si="5"/>
        <v>#REF!</v>
      </c>
      <c r="O18" s="192" t="e">
        <f t="shared" si="5"/>
        <v>#REF!</v>
      </c>
      <c r="P18" s="192" t="e">
        <f t="shared" si="5"/>
        <v>#REF!</v>
      </c>
      <c r="Q18" s="192" t="e">
        <f t="shared" si="5"/>
        <v>#REF!</v>
      </c>
      <c r="R18" s="192" t="e">
        <f t="shared" si="5"/>
        <v>#VALUE!</v>
      </c>
      <c r="S18" s="193" t="e">
        <f t="shared" si="5"/>
        <v>#REF!</v>
      </c>
      <c r="T18" s="279">
        <f>'Учебный план (заочная)'!N19</f>
        <v>3064</v>
      </c>
      <c r="U18" s="186" t="str">
        <f>'Учебный план (заочная)'!D19</f>
        <v> </v>
      </c>
      <c r="V18" s="186">
        <f>'Учебный план (заочная)'!E19</f>
        <v>0</v>
      </c>
      <c r="W18" s="186">
        <f>'Учебный план (заочная)'!F19</f>
        <v>0</v>
      </c>
      <c r="X18" s="186">
        <f>'Учебный план (заочная)'!H19</f>
        <v>0</v>
      </c>
      <c r="Y18" s="186">
        <f>'Учебный план (заочная)'!I19</f>
        <v>0</v>
      </c>
      <c r="Z18" s="282" t="str">
        <f>'Учебный план (заочная)'!B19</f>
        <v>Профессиональный учебный цикл</v>
      </c>
    </row>
    <row r="19" spans="1:26" ht="12.75">
      <c r="A19" s="243" t="s">
        <v>167</v>
      </c>
      <c r="B19" s="807" t="s">
        <v>166</v>
      </c>
      <c r="C19" s="808"/>
      <c r="D19" s="194"/>
      <c r="E19" s="194"/>
      <c r="F19" s="194"/>
      <c r="G19" s="194"/>
      <c r="H19" s="194"/>
      <c r="I19" s="118">
        <v>804</v>
      </c>
      <c r="J19" s="175">
        <v>536</v>
      </c>
      <c r="K19" s="270">
        <f>'Учебный план'!L38</f>
        <v>974</v>
      </c>
      <c r="L19" s="228">
        <f aca="true" t="shared" si="6" ref="L19:S19">SUM(L20:L27)</f>
        <v>22</v>
      </c>
      <c r="M19" s="195">
        <f t="shared" si="6"/>
        <v>6</v>
      </c>
      <c r="N19" s="195">
        <f t="shared" si="6"/>
        <v>10</v>
      </c>
      <c r="O19" s="195">
        <f t="shared" si="6"/>
        <v>0</v>
      </c>
      <c r="P19" s="195">
        <f t="shared" si="6"/>
        <v>0</v>
      </c>
      <c r="Q19" s="195">
        <f t="shared" si="6"/>
        <v>6</v>
      </c>
      <c r="R19" s="195" t="e">
        <f t="shared" si="6"/>
        <v>#VALUE!</v>
      </c>
      <c r="S19" s="196" t="e">
        <f t="shared" si="6"/>
        <v>#REF!</v>
      </c>
      <c r="T19" s="279">
        <f>'Учебный план (заочная)'!N20</f>
        <v>974</v>
      </c>
      <c r="U19" s="186">
        <f>'Учебный план (заочная)'!D20</f>
        <v>0</v>
      </c>
      <c r="V19" s="186">
        <f>'Учебный план (заочная)'!E20</f>
        <v>0</v>
      </c>
      <c r="W19" s="186">
        <f>'Учебный план (заочная)'!F20</f>
        <v>0</v>
      </c>
      <c r="X19" s="186">
        <f>'Учебный план (заочная)'!H20</f>
        <v>0</v>
      </c>
      <c r="Y19" s="186">
        <f>'Учебный план (заочная)'!I20</f>
        <v>0</v>
      </c>
      <c r="Z19" s="282" t="str">
        <f>'Учебный план (заочная)'!B20</f>
        <v>Общепрофессиональные дисциплины</v>
      </c>
    </row>
    <row r="20" spans="1:26" ht="12.75">
      <c r="A20" s="239" t="s">
        <v>168</v>
      </c>
      <c r="B20" s="271" t="str">
        <f>'Учебный план'!B39</f>
        <v>Инженерная графика</v>
      </c>
      <c r="C20" s="113">
        <f>'Учебный план'!C39</f>
        <v>0</v>
      </c>
      <c r="D20" s="113">
        <f>'Учебный план'!D39</f>
        <v>0</v>
      </c>
      <c r="E20" s="113" t="str">
        <f>'Учебный план'!E39</f>
        <v>4</v>
      </c>
      <c r="F20" s="113">
        <f>'Учебный план'!F39</f>
        <v>0</v>
      </c>
      <c r="G20" s="113">
        <f>'Учебный план'!H39</f>
        <v>0</v>
      </c>
      <c r="H20" s="113" t="str">
        <f>'Учебный план'!I39</f>
        <v>3</v>
      </c>
      <c r="I20" s="113">
        <f>'Учебный план'!J39</f>
        <v>0</v>
      </c>
      <c r="J20" s="113">
        <f>'Учебный план'!K39</f>
        <v>0</v>
      </c>
      <c r="K20" s="269">
        <f>'Учебный план'!L39</f>
        <v>93</v>
      </c>
      <c r="L20" s="258">
        <f>SUM(M20:Q20)</f>
        <v>1</v>
      </c>
      <c r="M20" s="108">
        <f aca="true" t="shared" si="7" ref="M20:R22">U20+AB20+AJ20+AR20+AZ20+BH20+BP20+BX20+CF20+CN20</f>
        <v>0</v>
      </c>
      <c r="N20" s="108">
        <f t="shared" si="7"/>
        <v>1</v>
      </c>
      <c r="O20" s="108">
        <f t="shared" si="7"/>
        <v>0</v>
      </c>
      <c r="P20" s="108">
        <f t="shared" si="7"/>
        <v>0</v>
      </c>
      <c r="Q20" s="108">
        <f t="shared" si="7"/>
        <v>0</v>
      </c>
      <c r="R20" s="108" t="e">
        <f t="shared" si="7"/>
        <v>#VALUE!</v>
      </c>
      <c r="S20" s="129" t="e">
        <f>#REF!+AH20+AP20+AX20+BF20+BN20+BV20+CD20+CL20+CT20</f>
        <v>#REF!</v>
      </c>
      <c r="T20" s="279">
        <f>'Учебный план (заочная)'!N21</f>
        <v>93</v>
      </c>
      <c r="U20" s="181">
        <f>'Учебный план (заочная)'!D21</f>
        <v>0</v>
      </c>
      <c r="V20" s="181" t="str">
        <f>'Учебный план (заочная)'!E21</f>
        <v>1</v>
      </c>
      <c r="W20" s="181">
        <f>'Учебный план (заочная)'!F21</f>
        <v>0</v>
      </c>
      <c r="X20" s="181">
        <f>'Учебный план (заочная)'!H21</f>
        <v>0</v>
      </c>
      <c r="Y20" s="181">
        <f>'Учебный план (заочная)'!I21</f>
        <v>0</v>
      </c>
      <c r="Z20" s="280" t="str">
        <f>'Учебный план (заочная)'!B21</f>
        <v>Инженерная графика</v>
      </c>
    </row>
    <row r="21" spans="1:26" ht="12.75">
      <c r="A21" s="239" t="s">
        <v>170</v>
      </c>
      <c r="B21" s="271" t="str">
        <f>'Учебный план'!B40</f>
        <v>Механика</v>
      </c>
      <c r="C21" s="113">
        <f>'Учебный план'!C40</f>
        <v>0</v>
      </c>
      <c r="D21" s="113" t="str">
        <f>'Учебный план'!D40</f>
        <v>4</v>
      </c>
      <c r="E21" s="113">
        <f>'Учебный план'!E40</f>
        <v>0</v>
      </c>
      <c r="F21" s="113">
        <f>'Учебный план'!F40</f>
        <v>0</v>
      </c>
      <c r="G21" s="113">
        <f>'Учебный план'!H40</f>
        <v>0</v>
      </c>
      <c r="H21" s="113" t="str">
        <f>'Учебный план'!I40</f>
        <v>3</v>
      </c>
      <c r="I21" s="107"/>
      <c r="J21" s="110"/>
      <c r="K21" s="269">
        <f>'Учебный план'!L40</f>
        <v>205</v>
      </c>
      <c r="L21" s="258">
        <f aca="true" t="shared" si="8" ref="L21:L27">SUM(M21:Q21)</f>
        <v>3</v>
      </c>
      <c r="M21" s="108">
        <f t="shared" si="7"/>
        <v>2</v>
      </c>
      <c r="N21" s="108">
        <f t="shared" si="7"/>
        <v>0</v>
      </c>
      <c r="O21" s="108">
        <f t="shared" si="7"/>
        <v>0</v>
      </c>
      <c r="P21" s="108">
        <f t="shared" si="7"/>
        <v>0</v>
      </c>
      <c r="Q21" s="108">
        <f t="shared" si="7"/>
        <v>1</v>
      </c>
      <c r="R21" s="108" t="e">
        <f t="shared" si="7"/>
        <v>#VALUE!</v>
      </c>
      <c r="S21" s="129" t="e">
        <f>#REF!+AH21+AP21+AX21+BF21+BN21+BV21+CD21+CL21+CT21</f>
        <v>#REF!</v>
      </c>
      <c r="T21" s="279">
        <f>'Учебный план (заочная)'!N22</f>
        <v>205</v>
      </c>
      <c r="U21" s="181" t="str">
        <f>'Учебный план (заочная)'!D22</f>
        <v>2</v>
      </c>
      <c r="V21" s="181">
        <f>'Учебный план (заочная)'!E22</f>
        <v>0</v>
      </c>
      <c r="W21" s="181">
        <f>'Учебный план (заочная)'!F22</f>
        <v>0</v>
      </c>
      <c r="X21" s="181">
        <f>'Учебный план (заочная)'!H22</f>
        <v>0</v>
      </c>
      <c r="Y21" s="181" t="str">
        <f>'Учебный план (заочная)'!I22</f>
        <v>1</v>
      </c>
      <c r="Z21" s="280" t="str">
        <f>'Учебный план (заочная)'!B22</f>
        <v>Механика</v>
      </c>
    </row>
    <row r="22" spans="1:26" ht="12.75">
      <c r="A22" s="239" t="s">
        <v>171</v>
      </c>
      <c r="B22" s="271" t="str">
        <f>'Учебный план'!B41</f>
        <v>Электроника и электротехника</v>
      </c>
      <c r="C22" s="113" t="str">
        <f>'Учебный план'!C41</f>
        <v>Электроника</v>
      </c>
      <c r="D22" s="113">
        <f>'Учебный план'!D41</f>
        <v>0</v>
      </c>
      <c r="E22" s="113" t="str">
        <f>'Учебный план'!E41</f>
        <v>4</v>
      </c>
      <c r="F22" s="113">
        <f>'Учебный план'!F41</f>
        <v>0</v>
      </c>
      <c r="G22" s="113">
        <f>'Учебный план'!H41</f>
        <v>0</v>
      </c>
      <c r="H22" s="113" t="str">
        <f>'Учебный план'!I41</f>
        <v>3</v>
      </c>
      <c r="I22" s="107"/>
      <c r="J22" s="110"/>
      <c r="K22" s="269">
        <f>'Учебный план'!L41</f>
        <v>126</v>
      </c>
      <c r="L22" s="258">
        <f t="shared" si="8"/>
        <v>5</v>
      </c>
      <c r="M22" s="108">
        <f t="shared" si="7"/>
        <v>0</v>
      </c>
      <c r="N22" s="108">
        <f t="shared" si="7"/>
        <v>3</v>
      </c>
      <c r="O22" s="108">
        <f t="shared" si="7"/>
        <v>0</v>
      </c>
      <c r="P22" s="108">
        <f t="shared" si="7"/>
        <v>0</v>
      </c>
      <c r="Q22" s="108">
        <f t="shared" si="7"/>
        <v>2</v>
      </c>
      <c r="R22" s="108" t="e">
        <f t="shared" si="7"/>
        <v>#VALUE!</v>
      </c>
      <c r="S22" s="129" t="e">
        <f>#REF!+AH22+AP22+AX22+BF22+BN22+BV22+CD22+CL22+CT22</f>
        <v>#REF!</v>
      </c>
      <c r="T22" s="279">
        <f>'Учебный план (заочная)'!N23</f>
        <v>126</v>
      </c>
      <c r="U22" s="181">
        <f>'Учебный план (заочная)'!D23</f>
        <v>0</v>
      </c>
      <c r="V22" s="181" t="str">
        <f>'Учебный план (заочная)'!E23</f>
        <v>3</v>
      </c>
      <c r="W22" s="181">
        <f>'Учебный план (заочная)'!F23</f>
        <v>0</v>
      </c>
      <c r="X22" s="181">
        <f>'Учебный план (заочная)'!H23</f>
        <v>0</v>
      </c>
      <c r="Y22" s="181" t="str">
        <f>'Учебный план (заочная)'!I23</f>
        <v>2</v>
      </c>
      <c r="Z22" s="280" t="str">
        <f>'Учебный план (заочная)'!B23</f>
        <v>Электроника и электротехника</v>
      </c>
    </row>
    <row r="23" spans="1:26" ht="12.75">
      <c r="A23" s="244" t="s">
        <v>173</v>
      </c>
      <c r="B23" s="271" t="str">
        <f>'Учебный план'!B42</f>
        <v>Материаловедение</v>
      </c>
      <c r="C23" s="113">
        <f>'Учебный план'!C42</f>
        <v>0</v>
      </c>
      <c r="D23" s="113">
        <f>'Учебный план'!D42</f>
        <v>0</v>
      </c>
      <c r="E23" s="113" t="str">
        <f>'Учебный план'!E42</f>
        <v>4</v>
      </c>
      <c r="F23" s="113">
        <f>'Учебный план'!F42</f>
        <v>0</v>
      </c>
      <c r="G23" s="113">
        <f>'Учебный план'!H42</f>
        <v>0</v>
      </c>
      <c r="H23" s="113" t="str">
        <f>'Учебный план'!I42</f>
        <v>3</v>
      </c>
      <c r="I23" s="107"/>
      <c r="J23" s="110"/>
      <c r="K23" s="269">
        <f>'Учебный план'!L42</f>
        <v>115</v>
      </c>
      <c r="L23" s="258">
        <f t="shared" si="8"/>
        <v>1</v>
      </c>
      <c r="M23" s="108">
        <f aca="true" t="shared" si="9" ref="M23:P27">U23+AB23+AJ23+AR23+AZ23+BH23+BP23+BX23+CF23+CN23</f>
        <v>0</v>
      </c>
      <c r="N23" s="108">
        <f t="shared" si="9"/>
        <v>1</v>
      </c>
      <c r="O23" s="108">
        <f t="shared" si="9"/>
        <v>0</v>
      </c>
      <c r="P23" s="108">
        <f t="shared" si="9"/>
        <v>0</v>
      </c>
      <c r="Q23" s="108"/>
      <c r="R23" s="108" t="e">
        <f>Z23+AG23+AO23+AW23+BE23+BM23+BU23+CC23+CK23+CS23</f>
        <v>#VALUE!</v>
      </c>
      <c r="S23" s="129" t="e">
        <f>#REF!+AH23+AP23+AX23+BF23+BN23+BV23+CD23+CL23+CT23</f>
        <v>#REF!</v>
      </c>
      <c r="T23" s="279">
        <f>'Учебный план (заочная)'!N24</f>
        <v>115</v>
      </c>
      <c r="U23" s="181">
        <f>'Учебный план (заочная)'!D24</f>
        <v>0</v>
      </c>
      <c r="V23" s="181" t="str">
        <f>'Учебный план (заочная)'!E24</f>
        <v>1</v>
      </c>
      <c r="W23" s="181">
        <f>'Учебный план (заочная)'!F24</f>
        <v>0</v>
      </c>
      <c r="X23" s="181">
        <f>'Учебный план (заочная)'!H24</f>
        <v>0</v>
      </c>
      <c r="Y23" s="181">
        <f>'Учебный план (заочная)'!I24</f>
        <v>0</v>
      </c>
      <c r="Z23" s="280" t="str">
        <f>'Учебный план (заочная)'!B24</f>
        <v>Материаловедение</v>
      </c>
    </row>
    <row r="24" spans="1:26" ht="12.75">
      <c r="A24" s="239" t="s">
        <v>174</v>
      </c>
      <c r="B24" s="271" t="str">
        <f>'Учебный план'!B43</f>
        <v>Метрология и стандартизация</v>
      </c>
      <c r="C24" s="113" t="str">
        <f>'Учебный план'!C43</f>
        <v>Метрология</v>
      </c>
      <c r="D24" s="113">
        <f>'Учебный план'!D43</f>
        <v>0</v>
      </c>
      <c r="E24" s="113" t="str">
        <f>'Учебный план'!E43</f>
        <v>4</v>
      </c>
      <c r="F24" s="113">
        <f>'Учебный план'!F43</f>
        <v>0</v>
      </c>
      <c r="G24" s="113">
        <f>'Учебный план'!H43</f>
        <v>0</v>
      </c>
      <c r="H24" s="113" t="str">
        <f>'Учебный план'!I43</f>
        <v>3</v>
      </c>
      <c r="I24" s="107"/>
      <c r="J24" s="110"/>
      <c r="K24" s="269">
        <f>'Учебный план'!L43</f>
        <v>93</v>
      </c>
      <c r="L24" s="258">
        <f t="shared" si="8"/>
        <v>3</v>
      </c>
      <c r="M24" s="108">
        <f t="shared" si="9"/>
        <v>0</v>
      </c>
      <c r="N24" s="108">
        <f t="shared" si="9"/>
        <v>2</v>
      </c>
      <c r="O24" s="108">
        <f t="shared" si="9"/>
        <v>0</v>
      </c>
      <c r="P24" s="108">
        <f t="shared" si="9"/>
        <v>0</v>
      </c>
      <c r="Q24" s="108">
        <f>Y24+AF24+AN24+AV24+BD24+BL24+BT24+CB24+CJ24+CR24</f>
        <v>1</v>
      </c>
      <c r="R24" s="108" t="e">
        <f>Z24+AG24+AO24+AW24+BE24+BM24+BU24+CC24+CK24+CS24</f>
        <v>#VALUE!</v>
      </c>
      <c r="S24" s="129" t="e">
        <f>#REF!+AH24+AP24+AX24+BF24+BN24+BV24+CD24+CL24+CT24</f>
        <v>#REF!</v>
      </c>
      <c r="T24" s="279">
        <f>'Учебный план (заочная)'!N25</f>
        <v>93</v>
      </c>
      <c r="U24" s="181">
        <f>'Учебный план (заочная)'!D25</f>
        <v>0</v>
      </c>
      <c r="V24" s="181" t="str">
        <f>'Учебный план (заочная)'!E25</f>
        <v>2</v>
      </c>
      <c r="W24" s="181">
        <f>'Учебный план (заочная)'!F25</f>
        <v>0</v>
      </c>
      <c r="X24" s="181">
        <f>'Учебный план (заочная)'!H25</f>
        <v>0</v>
      </c>
      <c r="Y24" s="181" t="str">
        <f>'Учебный план (заочная)'!I25</f>
        <v>1</v>
      </c>
      <c r="Z24" s="280" t="str">
        <f>'Учебный план (заочная)'!B25</f>
        <v>Метрология и стандартизация</v>
      </c>
    </row>
    <row r="25" spans="1:26" ht="12.75">
      <c r="A25" s="239" t="s">
        <v>175</v>
      </c>
      <c r="B25" s="271" t="str">
        <f>'Учебный план'!B44</f>
        <v>Теория и устройство судна</v>
      </c>
      <c r="C25" s="113" t="str">
        <f>'Учебный план'!C44</f>
        <v>ТУС</v>
      </c>
      <c r="D25" s="113" t="str">
        <f>'Учебный план'!D44</f>
        <v>4</v>
      </c>
      <c r="E25" s="113">
        <f>'Учебный план'!E44</f>
        <v>0</v>
      </c>
      <c r="F25" s="113">
        <f>'Учебный план'!F44</f>
        <v>0</v>
      </c>
      <c r="G25" s="113">
        <f>'Учебный план'!H44</f>
        <v>0</v>
      </c>
      <c r="H25" s="113" t="str">
        <f>'Учебный план'!I44</f>
        <v>3</v>
      </c>
      <c r="I25" s="107"/>
      <c r="J25" s="110"/>
      <c r="K25" s="269">
        <f>'Учебный план'!L44</f>
        <v>138</v>
      </c>
      <c r="L25" s="258">
        <f t="shared" si="8"/>
        <v>3</v>
      </c>
      <c r="M25" s="108">
        <f t="shared" si="9"/>
        <v>2</v>
      </c>
      <c r="N25" s="108">
        <f t="shared" si="9"/>
        <v>0</v>
      </c>
      <c r="O25" s="108">
        <f t="shared" si="9"/>
        <v>0</v>
      </c>
      <c r="P25" s="108">
        <f t="shared" si="9"/>
        <v>0</v>
      </c>
      <c r="Q25" s="108">
        <f>Y25+AF25+AN25+AV25+BD25+BL25+BT25+CB25+CJ25+CR25</f>
        <v>1</v>
      </c>
      <c r="R25" s="108" t="e">
        <f>Z25+AG25+AO25+AW25+BE25+BM25+BU25+CC25+CK25+CS25</f>
        <v>#VALUE!</v>
      </c>
      <c r="S25" s="129" t="e">
        <f>#REF!+AH25+AP25+AX25+BF25+BN25+BV25+CD25+CL25+CT25</f>
        <v>#REF!</v>
      </c>
      <c r="T25" s="279">
        <f>'Учебный план (заочная)'!N26</f>
        <v>138</v>
      </c>
      <c r="U25" s="181" t="str">
        <f>'Учебный план (заочная)'!D26</f>
        <v>2</v>
      </c>
      <c r="V25" s="181">
        <f>'Учебный план (заочная)'!E26</f>
        <v>0</v>
      </c>
      <c r="W25" s="181">
        <f>'Учебный план (заочная)'!F26</f>
        <v>0</v>
      </c>
      <c r="X25" s="181">
        <f>'Учебный план (заочная)'!H26</f>
        <v>0</v>
      </c>
      <c r="Y25" s="181" t="str">
        <f>'Учебный план (заочная)'!I26</f>
        <v>1</v>
      </c>
      <c r="Z25" s="280" t="str">
        <f>'Учебный план (заочная)'!B26</f>
        <v>Теория и устройство судна</v>
      </c>
    </row>
    <row r="26" spans="1:26" ht="25.5">
      <c r="A26" s="239" t="s">
        <v>176</v>
      </c>
      <c r="B26" s="271" t="str">
        <f>'Учебный план'!B45</f>
        <v>Техническая термодинамика и теплопередача</v>
      </c>
      <c r="C26" s="113">
        <f>'Учебный план'!C45</f>
        <v>0</v>
      </c>
      <c r="D26" s="113" t="str">
        <f>'Учебный план'!D45</f>
        <v>5</v>
      </c>
      <c r="E26" s="113">
        <f>'Учебный план'!E45</f>
        <v>0</v>
      </c>
      <c r="F26" s="113">
        <f>'Учебный план'!F45</f>
        <v>0</v>
      </c>
      <c r="G26" s="113">
        <f>'Учебный план'!H45</f>
        <v>0</v>
      </c>
      <c r="H26" s="113" t="str">
        <f>'Учебный план'!I45</f>
        <v>4</v>
      </c>
      <c r="I26" s="107"/>
      <c r="J26" s="110"/>
      <c r="K26" s="269">
        <f>'Учебный план'!L45</f>
        <v>116</v>
      </c>
      <c r="L26" s="258">
        <f t="shared" si="8"/>
        <v>3</v>
      </c>
      <c r="M26" s="108">
        <f t="shared" si="9"/>
        <v>2</v>
      </c>
      <c r="N26" s="108">
        <f t="shared" si="9"/>
        <v>0</v>
      </c>
      <c r="O26" s="108">
        <f t="shared" si="9"/>
        <v>0</v>
      </c>
      <c r="P26" s="108">
        <f t="shared" si="9"/>
        <v>0</v>
      </c>
      <c r="Q26" s="108">
        <f>Y26+AF26+AN26+AV26+BD26+BL26+BT26+CB26+CJ26+CR26</f>
        <v>1</v>
      </c>
      <c r="R26" s="108" t="e">
        <f>Z26+AG26+AO26+AW26+BE26+BM26+BU26+CC26+CK26+CS26</f>
        <v>#VALUE!</v>
      </c>
      <c r="S26" s="129" t="e">
        <f>#REF!+AH26+AP26+AX26+BF26+BN26+BV26+CD26+CL26+CT26</f>
        <v>#REF!</v>
      </c>
      <c r="T26" s="279">
        <f>'Учебный план (заочная)'!N27</f>
        <v>116</v>
      </c>
      <c r="U26" s="181" t="str">
        <f>'Учебный план (заочная)'!D27</f>
        <v>2</v>
      </c>
      <c r="V26" s="181">
        <f>'Учебный план (заочная)'!E27</f>
        <v>0</v>
      </c>
      <c r="W26" s="181">
        <f>'Учебный план (заочная)'!F27</f>
        <v>0</v>
      </c>
      <c r="X26" s="181">
        <f>'Учебный план (заочная)'!H27</f>
        <v>0</v>
      </c>
      <c r="Y26" s="181" t="str">
        <f>'Учебный план (заочная)'!I27</f>
        <v>1</v>
      </c>
      <c r="Z26" s="284" t="str">
        <f>'Учебный план (заочная)'!B27</f>
        <v>Техническая термодинамика и теплопередача</v>
      </c>
    </row>
    <row r="27" spans="1:26" ht="25.5">
      <c r="A27" s="239" t="s">
        <v>177</v>
      </c>
      <c r="B27" s="271" t="str">
        <f>'Учебный план'!B46</f>
        <v>Безопасность жизнедеятельности</v>
      </c>
      <c r="C27" s="113">
        <f>'Учебный план'!C46</f>
        <v>0</v>
      </c>
      <c r="D27" s="113">
        <f>'Учебный план'!D46</f>
        <v>0</v>
      </c>
      <c r="E27" s="113" t="str">
        <f>'Учебный план'!E46</f>
        <v>5</v>
      </c>
      <c r="F27" s="113">
        <f>'Учебный план'!F46</f>
        <v>0</v>
      </c>
      <c r="G27" s="113">
        <f>'Учебный план'!H46</f>
        <v>0</v>
      </c>
      <c r="H27" s="113">
        <f>'Учебный план'!I46</f>
        <v>0</v>
      </c>
      <c r="I27" s="107"/>
      <c r="J27" s="110"/>
      <c r="K27" s="269">
        <f>'Учебный план'!L46</f>
        <v>88</v>
      </c>
      <c r="L27" s="258">
        <f t="shared" si="8"/>
        <v>3</v>
      </c>
      <c r="M27" s="108">
        <f t="shared" si="9"/>
        <v>0</v>
      </c>
      <c r="N27" s="108">
        <f t="shared" si="9"/>
        <v>3</v>
      </c>
      <c r="O27" s="108">
        <f t="shared" si="9"/>
        <v>0</v>
      </c>
      <c r="P27" s="108">
        <f t="shared" si="9"/>
        <v>0</v>
      </c>
      <c r="Q27" s="108">
        <f>Y27+AF27+AN27+AV27+BD27+BL27+BT27+CB27+CJ27+CR27</f>
        <v>0</v>
      </c>
      <c r="R27" s="108" t="e">
        <f>Z27+AG27+AO27+AW27+BE27+BM27+BU27+CC27+CK27+CS27</f>
        <v>#VALUE!</v>
      </c>
      <c r="S27" s="129" t="e">
        <f>#REF!+AH27+AP27+AX27+BF27+BN27+BV27+CD27+CL27+CT27</f>
        <v>#REF!</v>
      </c>
      <c r="T27" s="279">
        <f>'Учебный план (заочная)'!N28</f>
        <v>88</v>
      </c>
      <c r="U27" s="181">
        <f>'Учебный план (заочная)'!D28</f>
        <v>0</v>
      </c>
      <c r="V27" s="181" t="str">
        <f>'Учебный план (заочная)'!E28</f>
        <v>3</v>
      </c>
      <c r="W27" s="181">
        <f>'Учебный план (заочная)'!F28</f>
        <v>0</v>
      </c>
      <c r="X27" s="181">
        <f>'Учебный план (заочная)'!H28</f>
        <v>0</v>
      </c>
      <c r="Y27" s="181">
        <f>'Учебный план (заочная)'!I28</f>
        <v>0</v>
      </c>
      <c r="Z27" s="280" t="str">
        <f>'Учебный план (заочная)'!B28</f>
        <v>Безопасность жизнедеятельности</v>
      </c>
    </row>
    <row r="28" spans="1:26" ht="13.5" thickBot="1">
      <c r="A28" s="233" t="s">
        <v>161</v>
      </c>
      <c r="B28" s="809" t="s">
        <v>164</v>
      </c>
      <c r="C28" s="810"/>
      <c r="D28" s="114"/>
      <c r="E28" s="114"/>
      <c r="F28" s="114"/>
      <c r="G28" s="114"/>
      <c r="H28" s="114"/>
      <c r="I28" s="119">
        <v>1392</v>
      </c>
      <c r="J28" s="176">
        <v>928</v>
      </c>
      <c r="K28" s="270">
        <f>'Учебный план'!L47</f>
        <v>2090</v>
      </c>
      <c r="L28" s="261" t="e">
        <f aca="true" t="shared" si="10" ref="L28:S28">L29+L38+L43+L46</f>
        <v>#REF!</v>
      </c>
      <c r="M28" s="115" t="e">
        <f t="shared" si="10"/>
        <v>#REF!</v>
      </c>
      <c r="N28" s="115" t="e">
        <f t="shared" si="10"/>
        <v>#REF!</v>
      </c>
      <c r="O28" s="115" t="e">
        <f t="shared" si="10"/>
        <v>#REF!</v>
      </c>
      <c r="P28" s="115" t="e">
        <f t="shared" si="10"/>
        <v>#REF!</v>
      </c>
      <c r="Q28" s="115" t="e">
        <f t="shared" si="10"/>
        <v>#REF!</v>
      </c>
      <c r="R28" s="115" t="e">
        <f t="shared" si="10"/>
        <v>#VALUE!</v>
      </c>
      <c r="S28" s="123" t="e">
        <f t="shared" si="10"/>
        <v>#REF!</v>
      </c>
      <c r="T28" s="279">
        <f>'Учебный план (заочная)'!N29</f>
        <v>2090</v>
      </c>
      <c r="U28" s="186">
        <f>'Учебный план (заочная)'!D29</f>
        <v>0</v>
      </c>
      <c r="V28" s="186">
        <f>'Учебный план (заочная)'!E29</f>
        <v>0</v>
      </c>
      <c r="W28" s="186">
        <f>'Учебный план (заочная)'!F29</f>
        <v>0</v>
      </c>
      <c r="X28" s="186">
        <f>'Учебный план (заочная)'!H29</f>
        <v>0</v>
      </c>
      <c r="Y28" s="186">
        <f>'Учебный план (заочная)'!I29</f>
        <v>0</v>
      </c>
      <c r="Z28" s="282" t="str">
        <f>'Учебный план (заочная)'!B29</f>
        <v>Профессиональные модули</v>
      </c>
    </row>
    <row r="29" spans="1:26" ht="39" thickBot="1">
      <c r="A29" s="245" t="s">
        <v>362</v>
      </c>
      <c r="B29" s="823" t="s">
        <v>365</v>
      </c>
      <c r="C29" s="824"/>
      <c r="D29" s="824"/>
      <c r="E29" s="824"/>
      <c r="F29" s="824"/>
      <c r="G29" s="824"/>
      <c r="H29" s="825"/>
      <c r="I29" s="120"/>
      <c r="J29" s="177"/>
      <c r="K29" s="270">
        <f>'Учебный план'!L48</f>
        <v>1394</v>
      </c>
      <c r="L29" s="262" t="e">
        <f aca="true" t="shared" si="11" ref="L29:S29">SUM(L30:L37)</f>
        <v>#REF!</v>
      </c>
      <c r="M29" s="121" t="e">
        <f t="shared" si="11"/>
        <v>#REF!</v>
      </c>
      <c r="N29" s="121" t="e">
        <f t="shared" si="11"/>
        <v>#REF!</v>
      </c>
      <c r="O29" s="121" t="e">
        <f t="shared" si="11"/>
        <v>#REF!</v>
      </c>
      <c r="P29" s="121" t="e">
        <f t="shared" si="11"/>
        <v>#REF!</v>
      </c>
      <c r="Q29" s="121" t="e">
        <f t="shared" si="11"/>
        <v>#REF!</v>
      </c>
      <c r="R29" s="121" t="e">
        <f t="shared" si="11"/>
        <v>#VALUE!</v>
      </c>
      <c r="S29" s="122" t="e">
        <f t="shared" si="11"/>
        <v>#REF!</v>
      </c>
      <c r="T29" s="279">
        <f>'Учебный план (заочная)'!N30</f>
        <v>1394</v>
      </c>
      <c r="U29" s="186">
        <f>'Учебный план (заочная)'!D30</f>
        <v>0</v>
      </c>
      <c r="V29" s="186">
        <f>'Учебный план (заочная)'!E30</f>
        <v>0</v>
      </c>
      <c r="W29" s="186">
        <f>'Учебный план (заочная)'!F30</f>
        <v>0</v>
      </c>
      <c r="X29" s="186">
        <f>'Учебный план (заочная)'!H30</f>
        <v>0</v>
      </c>
      <c r="Y29" s="186">
        <f>'Учебный план (заочная)'!I30</f>
        <v>0</v>
      </c>
      <c r="Z29" s="285" t="str">
        <f>'Учебный план (заочная)'!B30</f>
        <v>Эксплуатация, техническое обслуживание и ремонт судового энергетического оборудования</v>
      </c>
    </row>
    <row r="30" spans="1:26" ht="51">
      <c r="A30" s="246" t="s">
        <v>403</v>
      </c>
      <c r="B30" s="271" t="str">
        <f>'Учебный план'!B50</f>
        <v>Судовые энергетические установки и их эксплуатация (включая тренажер вахтенного механика)</v>
      </c>
      <c r="C30" s="113" t="str">
        <f>'Учебный план'!C50</f>
        <v>СЭУ</v>
      </c>
      <c r="D30" s="113">
        <f>'Учебный план'!D50</f>
        <v>0</v>
      </c>
      <c r="E30" s="113" t="str">
        <f>'Учебный план'!E50</f>
        <v>8</v>
      </c>
      <c r="F30" s="113">
        <f>'Учебный план'!F50</f>
        <v>0</v>
      </c>
      <c r="G30" s="113" t="str">
        <f>'Учебный план'!H50</f>
        <v>6</v>
      </c>
      <c r="H30" s="113" t="str">
        <f>'Учебный план'!I50</f>
        <v>5,6,7</v>
      </c>
      <c r="I30" s="107"/>
      <c r="J30" s="110"/>
      <c r="K30" s="269">
        <f>'Учебный план'!L50</f>
        <v>406</v>
      </c>
      <c r="L30" s="258">
        <f aca="true" t="shared" si="12" ref="L30:L38">SUM(M30:Q30)</f>
        <v>9</v>
      </c>
      <c r="M30" s="108">
        <f aca="true" t="shared" si="13" ref="M30:R33">U30+AB30+AJ30+AR30+AZ30+BH30+BP30+BX30+CF30+CN30</f>
        <v>0</v>
      </c>
      <c r="N30" s="108">
        <f t="shared" si="13"/>
        <v>4</v>
      </c>
      <c r="O30" s="108">
        <f t="shared" si="13"/>
        <v>0</v>
      </c>
      <c r="P30" s="108">
        <f t="shared" si="13"/>
        <v>3</v>
      </c>
      <c r="Q30" s="108">
        <f t="shared" si="13"/>
        <v>2</v>
      </c>
      <c r="R30" s="108" t="e">
        <f t="shared" si="13"/>
        <v>#VALUE!</v>
      </c>
      <c r="S30" s="129" t="e">
        <f>#REF!+AH30+AP30+AX30+BF30+BN30+BV30+CD30+CL30+CT30</f>
        <v>#REF!</v>
      </c>
      <c r="T30" s="279">
        <f>'Учебный план (заочная)'!N32</f>
        <v>406</v>
      </c>
      <c r="U30" s="181">
        <f>'Учебный план (заочная)'!D32</f>
        <v>0</v>
      </c>
      <c r="V30" s="181" t="str">
        <f>'Учебный план (заочная)'!E32</f>
        <v>4</v>
      </c>
      <c r="W30" s="181">
        <f>'Учебный план (заочная)'!F32</f>
        <v>0</v>
      </c>
      <c r="X30" s="181" t="str">
        <f>'Учебный план (заочная)'!H32</f>
        <v>3</v>
      </c>
      <c r="Y30" s="181" t="str">
        <f>'Учебный план (заочная)'!I32</f>
        <v>2,3</v>
      </c>
      <c r="Z30" s="284" t="str">
        <f>'Учебный план (заочная)'!B32</f>
        <v>Судовые энергетические установки и их эксплуатация (включая тренажер вахтенного механика)</v>
      </c>
    </row>
    <row r="31" spans="1:26" ht="25.5">
      <c r="A31" s="246" t="s">
        <v>404</v>
      </c>
      <c r="B31" s="271" t="str">
        <f>'Учебный план'!B51</f>
        <v>Судовые вспомогательные механизмы и их эксплуатация</v>
      </c>
      <c r="C31" s="113" t="str">
        <f>'Учебный план'!C51</f>
        <v>СВМ</v>
      </c>
      <c r="D31" s="113" t="str">
        <f>'Учебный план'!D51</f>
        <v>6</v>
      </c>
      <c r="E31" s="113" t="str">
        <f>'Учебный план'!E51</f>
        <v>8</v>
      </c>
      <c r="F31" s="113">
        <f>'Учебный план'!F51</f>
        <v>0</v>
      </c>
      <c r="G31" s="113">
        <f>'Учебный план'!H51</f>
        <v>0</v>
      </c>
      <c r="H31" s="113" t="str">
        <f>'Учебный план'!I51</f>
        <v>5,7</v>
      </c>
      <c r="I31" s="107"/>
      <c r="J31" s="110"/>
      <c r="K31" s="269">
        <f>'Учебный план'!L51</f>
        <v>324</v>
      </c>
      <c r="L31" s="258">
        <f t="shared" si="12"/>
        <v>9</v>
      </c>
      <c r="M31" s="108">
        <f t="shared" si="13"/>
        <v>3</v>
      </c>
      <c r="N31" s="108">
        <f t="shared" si="13"/>
        <v>4</v>
      </c>
      <c r="O31" s="108">
        <f t="shared" si="13"/>
        <v>0</v>
      </c>
      <c r="P31" s="108">
        <f t="shared" si="13"/>
        <v>0</v>
      </c>
      <c r="Q31" s="108">
        <f t="shared" si="13"/>
        <v>2</v>
      </c>
      <c r="R31" s="108" t="e">
        <f t="shared" si="13"/>
        <v>#VALUE!</v>
      </c>
      <c r="S31" s="129" t="e">
        <f>#REF!+AH31+AP31+AX31+BF31+BN31+BV31+CD31+CL31+CT31</f>
        <v>#REF!</v>
      </c>
      <c r="T31" s="279">
        <f>'Учебный план (заочная)'!N33</f>
        <v>324</v>
      </c>
      <c r="U31" s="181" t="str">
        <f>'Учебный план (заочная)'!D33</f>
        <v>3</v>
      </c>
      <c r="V31" s="181" t="str">
        <f>'Учебный план (заочная)'!E33</f>
        <v>4</v>
      </c>
      <c r="W31" s="181">
        <f>'Учебный план (заочная)'!F33</f>
        <v>0</v>
      </c>
      <c r="X31" s="181">
        <f>'Учебный план (заочная)'!H33</f>
        <v>0</v>
      </c>
      <c r="Y31" s="181" t="str">
        <f>'Учебный план (заочная)'!I33</f>
        <v>2</v>
      </c>
      <c r="Z31" s="284" t="str">
        <f>'Учебный план (заочная)'!B33</f>
        <v>Судовые вспомогательные механизмы и их эксплуатация</v>
      </c>
    </row>
    <row r="32" spans="1:26" ht="38.25">
      <c r="A32" s="246" t="s">
        <v>405</v>
      </c>
      <c r="B32" s="271" t="str">
        <f>'Учебный план'!B52</f>
        <v>Техническое обслуживание и ремонт судового оборудования</v>
      </c>
      <c r="C32" s="113" t="str">
        <f>'Учебный план'!C52</f>
        <v>ТОиРСО</v>
      </c>
      <c r="D32" s="113">
        <f>'Учебный план'!D52</f>
        <v>0</v>
      </c>
      <c r="E32" s="113" t="str">
        <f>'Учебный план'!E52</f>
        <v>8</v>
      </c>
      <c r="F32" s="113">
        <f>'Учебный план'!F52</f>
        <v>0</v>
      </c>
      <c r="G32" s="113">
        <f>'Учебный план'!H52</f>
        <v>0</v>
      </c>
      <c r="H32" s="113" t="str">
        <f>'Учебный план'!I52</f>
        <v>5,6,7</v>
      </c>
      <c r="I32" s="107"/>
      <c r="J32" s="110"/>
      <c r="K32" s="269">
        <f>'Учебный план'!L52</f>
        <v>297</v>
      </c>
      <c r="L32" s="258">
        <f t="shared" si="12"/>
        <v>4</v>
      </c>
      <c r="M32" s="108">
        <f t="shared" si="13"/>
        <v>0</v>
      </c>
      <c r="N32" s="108">
        <f t="shared" si="13"/>
        <v>4</v>
      </c>
      <c r="O32" s="108">
        <f t="shared" si="13"/>
        <v>0</v>
      </c>
      <c r="P32" s="108">
        <f t="shared" si="13"/>
        <v>0</v>
      </c>
      <c r="Q32" s="108">
        <f t="shared" si="13"/>
        <v>0</v>
      </c>
      <c r="R32" s="108" t="e">
        <f t="shared" si="13"/>
        <v>#VALUE!</v>
      </c>
      <c r="S32" s="129" t="e">
        <f>#REF!+AH32+AP32+AX32+BF32+BN32+BV32+CD32+CL32+CT32</f>
        <v>#REF!</v>
      </c>
      <c r="T32" s="279">
        <f>'Учебный план (заочная)'!N34</f>
        <v>297</v>
      </c>
      <c r="U32" s="181">
        <f>'Учебный план (заочная)'!D34</f>
        <v>0</v>
      </c>
      <c r="V32" s="181" t="str">
        <f>'Учебный план (заочная)'!E34</f>
        <v>4</v>
      </c>
      <c r="W32" s="181">
        <f>'Учебный план (заочная)'!F34</f>
        <v>0</v>
      </c>
      <c r="X32" s="181">
        <f>'Учебный план (заочная)'!H34</f>
        <v>0</v>
      </c>
      <c r="Y32" s="181">
        <f>'Учебный план (заочная)'!I34</f>
        <v>0</v>
      </c>
      <c r="Z32" s="284" t="str">
        <f>'Учебный план (заочная)'!B34</f>
        <v>Техническое обслуживание и ремонт судового оборудования</v>
      </c>
    </row>
    <row r="33" spans="1:26" ht="25.5">
      <c r="A33" s="246" t="s">
        <v>406</v>
      </c>
      <c r="B33" s="271" t="str">
        <f>'Учебный план'!B53</f>
        <v>Техническая эксплуатация судовой автоматики</v>
      </c>
      <c r="C33" s="113" t="str">
        <f>'Учебный план'!C53</f>
        <v>ТЭСА</v>
      </c>
      <c r="D33" s="113">
        <f>'Учебный план'!D53</f>
        <v>0</v>
      </c>
      <c r="E33" s="113" t="str">
        <f>'Учебный план'!E53</f>
        <v>6</v>
      </c>
      <c r="F33" s="113">
        <f>'Учебный план'!F53</f>
        <v>0</v>
      </c>
      <c r="G33" s="113">
        <f>'Учебный план'!H53</f>
        <v>0</v>
      </c>
      <c r="H33" s="113">
        <f>'Учебный план'!I53</f>
        <v>0</v>
      </c>
      <c r="I33" s="107"/>
      <c r="J33" s="110"/>
      <c r="K33" s="269">
        <f>'Учебный план'!L53</f>
        <v>74</v>
      </c>
      <c r="L33" s="258">
        <f t="shared" si="12"/>
        <v>3</v>
      </c>
      <c r="M33" s="108">
        <f t="shared" si="13"/>
        <v>0</v>
      </c>
      <c r="N33" s="108">
        <f t="shared" si="13"/>
        <v>3</v>
      </c>
      <c r="O33" s="108">
        <f t="shared" si="13"/>
        <v>0</v>
      </c>
      <c r="P33" s="108">
        <f t="shared" si="13"/>
        <v>0</v>
      </c>
      <c r="Q33" s="108">
        <f t="shared" si="13"/>
        <v>0</v>
      </c>
      <c r="R33" s="108" t="e">
        <f t="shared" si="13"/>
        <v>#VALUE!</v>
      </c>
      <c r="S33" s="129" t="e">
        <f>#REF!+AH33+AP33+AX33+BF33+BN33+BV33+CD33+CL33+CT33</f>
        <v>#REF!</v>
      </c>
      <c r="T33" s="279">
        <f>'Учебный план (заочная)'!N35</f>
        <v>74</v>
      </c>
      <c r="U33" s="181">
        <f>'Учебный план (заочная)'!D35</f>
        <v>0</v>
      </c>
      <c r="V33" s="181" t="str">
        <f>'Учебный план (заочная)'!E35</f>
        <v>3</v>
      </c>
      <c r="W33" s="181">
        <f>'Учебный план (заочная)'!F35</f>
        <v>0</v>
      </c>
      <c r="X33" s="181">
        <f>'Учебный план (заочная)'!H35</f>
        <v>0</v>
      </c>
      <c r="Y33" s="181">
        <f>'Учебный план (заочная)'!I35</f>
        <v>0</v>
      </c>
      <c r="Z33" s="284" t="str">
        <f>'Учебный план (заочная)'!B35</f>
        <v>Техническая эксплуатация судовой автоматики</v>
      </c>
    </row>
    <row r="34" spans="1:26" ht="12.75">
      <c r="A34" s="246"/>
      <c r="B34" s="271" t="str">
        <f>'Учебный план'!B54</f>
        <v>Электрооборудование судов</v>
      </c>
      <c r="C34" s="113">
        <f>'Учебный план'!C54</f>
        <v>0</v>
      </c>
      <c r="D34" s="113">
        <f>'Учебный план'!D54</f>
        <v>0</v>
      </c>
      <c r="E34" s="113" t="str">
        <f>'Учебный план'!E54</f>
        <v>6,8</v>
      </c>
      <c r="F34" s="113">
        <f>'Учебный план'!F54</f>
        <v>0</v>
      </c>
      <c r="G34" s="113">
        <f>'Учебный план'!H54</f>
        <v>0</v>
      </c>
      <c r="H34" s="113" t="str">
        <f>'Учебный план'!I54</f>
        <v>5,7</v>
      </c>
      <c r="I34" s="107"/>
      <c r="J34" s="110"/>
      <c r="K34" s="269">
        <f>'Учебный план'!L54</f>
        <v>243</v>
      </c>
      <c r="L34" s="258">
        <f t="shared" si="12"/>
        <v>4</v>
      </c>
      <c r="M34" s="108">
        <f aca="true" t="shared" si="14" ref="M34:R37">U34+AB34+AJ34+AR34+AZ34+BH34+BP34+BX34+CF34+CN34</f>
        <v>0</v>
      </c>
      <c r="N34" s="108">
        <f t="shared" si="14"/>
        <v>4</v>
      </c>
      <c r="O34" s="108">
        <f t="shared" si="14"/>
        <v>0</v>
      </c>
      <c r="P34" s="108">
        <f t="shared" si="14"/>
        <v>0</v>
      </c>
      <c r="Q34" s="108">
        <f t="shared" si="14"/>
        <v>0</v>
      </c>
      <c r="R34" s="108" t="e">
        <f t="shared" si="14"/>
        <v>#VALUE!</v>
      </c>
      <c r="S34" s="129" t="e">
        <f>#REF!+AH34+AP34+AX34+BF34+BN34+BV34+CD34+CL34+CT34</f>
        <v>#REF!</v>
      </c>
      <c r="T34" s="279">
        <f>'Учебный план (заочная)'!N36</f>
        <v>243</v>
      </c>
      <c r="U34" s="181">
        <f>'Учебный план (заочная)'!D36</f>
        <v>0</v>
      </c>
      <c r="V34" s="181" t="str">
        <f>'Учебный план (заочная)'!E36</f>
        <v>4</v>
      </c>
      <c r="W34" s="181">
        <f>'Учебный план (заочная)'!F36</f>
        <v>0</v>
      </c>
      <c r="X34" s="181">
        <f>'Учебный план (заочная)'!H36</f>
        <v>0</v>
      </c>
      <c r="Y34" s="181">
        <f>'Учебный план (заочная)'!I36</f>
        <v>0</v>
      </c>
      <c r="Z34" s="284" t="str">
        <f>'Учебный план (заочная)'!B36</f>
        <v>Электрооборудование судов</v>
      </c>
    </row>
    <row r="35" spans="1:26" ht="38.25">
      <c r="A35" s="246" t="s">
        <v>407</v>
      </c>
      <c r="B35" s="271" t="str">
        <f>'Учебный план'!B55</f>
        <v>Национальные и международные требования по эксплуатации судна</v>
      </c>
      <c r="C35" s="113">
        <f>'Учебный план'!C55</f>
        <v>0</v>
      </c>
      <c r="D35" s="113">
        <f>'Учебный план'!D55</f>
        <v>0</v>
      </c>
      <c r="E35" s="113" t="str">
        <f>'Учебный план'!E55</f>
        <v>6</v>
      </c>
      <c r="F35" s="113">
        <f>'Учебный план'!F55</f>
        <v>0</v>
      </c>
      <c r="G35" s="113">
        <f>'Учебный план'!H55</f>
        <v>0</v>
      </c>
      <c r="H35" s="113">
        <f>'Учебный план'!I55</f>
        <v>0</v>
      </c>
      <c r="I35" s="107"/>
      <c r="J35" s="110"/>
      <c r="K35" s="269">
        <f>'Учебный план'!L55</f>
        <v>50</v>
      </c>
      <c r="L35" s="258">
        <f t="shared" si="12"/>
        <v>3</v>
      </c>
      <c r="M35" s="108">
        <f t="shared" si="14"/>
        <v>0</v>
      </c>
      <c r="N35" s="108">
        <f t="shared" si="14"/>
        <v>3</v>
      </c>
      <c r="O35" s="108">
        <f t="shared" si="14"/>
        <v>0</v>
      </c>
      <c r="P35" s="108">
        <f t="shared" si="14"/>
        <v>0</v>
      </c>
      <c r="Q35" s="108">
        <f t="shared" si="14"/>
        <v>0</v>
      </c>
      <c r="R35" s="108" t="e">
        <f t="shared" si="14"/>
        <v>#VALUE!</v>
      </c>
      <c r="S35" s="129" t="e">
        <f>#REF!+AH35+AP35+AX35+BF35+BN35+BV35+CD35+CL35+CT35</f>
        <v>#REF!</v>
      </c>
      <c r="T35" s="279">
        <f>'Учебный план (заочная)'!N37</f>
        <v>50</v>
      </c>
      <c r="U35" s="181">
        <f>'Учебный план (заочная)'!D37</f>
        <v>0</v>
      </c>
      <c r="V35" s="181" t="str">
        <f>'Учебный план (заочная)'!E37</f>
        <v>3</v>
      </c>
      <c r="W35" s="181">
        <f>'Учебный план (заочная)'!F37</f>
        <v>0</v>
      </c>
      <c r="X35" s="181">
        <f>'Учебный план (заочная)'!H37</f>
        <v>0</v>
      </c>
      <c r="Y35" s="181">
        <f>'Учебный план (заочная)'!I37</f>
        <v>0</v>
      </c>
      <c r="Z35" s="284" t="str">
        <f>'Учебный план (заочная)'!B37</f>
        <v>Национальные и международные требования по эксплуатации судна</v>
      </c>
    </row>
    <row r="36" spans="1:26" ht="13.5" thickBot="1">
      <c r="A36" s="246" t="s">
        <v>408</v>
      </c>
      <c r="B36" s="271" t="e">
        <f>'Учебный план'!#REF!</f>
        <v>#REF!</v>
      </c>
      <c r="C36" s="113" t="e">
        <f>'Учебный план'!#REF!</f>
        <v>#REF!</v>
      </c>
      <c r="D36" s="113">
        <f>'Учебный план'!D56</f>
        <v>0</v>
      </c>
      <c r="E36" s="113">
        <f>'Учебный план'!E56</f>
        <v>0</v>
      </c>
      <c r="F36" s="113">
        <f>'Учебный план'!F56</f>
        <v>0</v>
      </c>
      <c r="G36" s="113">
        <f>'Учебный план'!H56</f>
        <v>0</v>
      </c>
      <c r="H36" s="113">
        <f>'Учебный план'!I56</f>
        <v>0</v>
      </c>
      <c r="I36" s="107"/>
      <c r="J36" s="110"/>
      <c r="K36" s="269" t="e">
        <f>'Учебный план'!#REF!</f>
        <v>#REF!</v>
      </c>
      <c r="L36" s="258">
        <f t="shared" si="12"/>
        <v>0</v>
      </c>
      <c r="M36" s="108">
        <f t="shared" si="14"/>
        <v>0</v>
      </c>
      <c r="N36" s="108">
        <f t="shared" si="14"/>
        <v>0</v>
      </c>
      <c r="O36" s="108">
        <f t="shared" si="14"/>
        <v>0</v>
      </c>
      <c r="P36" s="108">
        <f t="shared" si="14"/>
        <v>0</v>
      </c>
      <c r="Q36" s="108">
        <f t="shared" si="14"/>
        <v>0</v>
      </c>
      <c r="R36" s="108" t="e">
        <f t="shared" si="14"/>
        <v>#REF!</v>
      </c>
      <c r="S36" s="129" t="e">
        <f>#REF!+AH36+AP36+AX36+BF36+BN36+BV36+CD36+CL36+CT36</f>
        <v>#REF!</v>
      </c>
      <c r="T36" s="279" t="e">
        <f>'Учебный план (заочная)'!#REF!</f>
        <v>#REF!</v>
      </c>
      <c r="U36" s="181">
        <f>'Учебный план (заочная)'!D38</f>
        <v>0</v>
      </c>
      <c r="V36" s="181">
        <f>'Учебный план (заочная)'!E38</f>
        <v>0</v>
      </c>
      <c r="W36" s="181">
        <f>'Учебный план (заочная)'!F38</f>
        <v>0</v>
      </c>
      <c r="X36" s="181">
        <f>'Учебный план (заочная)'!H38</f>
        <v>0</v>
      </c>
      <c r="Y36" s="181">
        <f>'Учебный план (заочная)'!I38</f>
        <v>0</v>
      </c>
      <c r="Z36" s="284" t="e">
        <f>'Учебный план (заочная)'!#REF!</f>
        <v>#REF!</v>
      </c>
    </row>
    <row r="37" spans="1:26" ht="13.5" hidden="1" thickBot="1">
      <c r="A37" s="246" t="s">
        <v>409</v>
      </c>
      <c r="B37" s="271" t="e">
        <f>'Учебный план'!#REF!</f>
        <v>#REF!</v>
      </c>
      <c r="C37" s="113" t="e">
        <f>'Учебный план'!#REF!</f>
        <v>#REF!</v>
      </c>
      <c r="D37" s="113" t="e">
        <f>'Учебный план'!#REF!</f>
        <v>#REF!</v>
      </c>
      <c r="E37" s="113" t="e">
        <f>'Учебный план'!#REF!</f>
        <v>#REF!</v>
      </c>
      <c r="F37" s="113" t="e">
        <f>'Учебный план'!#REF!</f>
        <v>#REF!</v>
      </c>
      <c r="G37" s="113" t="e">
        <f>'Учебный план'!#REF!</f>
        <v>#REF!</v>
      </c>
      <c r="H37" s="113" t="e">
        <f>'Учебный план'!#REF!</f>
        <v>#REF!</v>
      </c>
      <c r="I37" s="107"/>
      <c r="J37" s="110"/>
      <c r="K37" s="269" t="e">
        <f>'Учебный план'!#REF!</f>
        <v>#REF!</v>
      </c>
      <c r="L37" s="258" t="e">
        <f t="shared" si="12"/>
        <v>#REF!</v>
      </c>
      <c r="M37" s="108" t="e">
        <f t="shared" si="14"/>
        <v>#REF!</v>
      </c>
      <c r="N37" s="108" t="e">
        <f t="shared" si="14"/>
        <v>#REF!</v>
      </c>
      <c r="O37" s="108" t="e">
        <f t="shared" si="14"/>
        <v>#REF!</v>
      </c>
      <c r="P37" s="108" t="e">
        <f t="shared" si="14"/>
        <v>#REF!</v>
      </c>
      <c r="Q37" s="108" t="e">
        <f t="shared" si="14"/>
        <v>#REF!</v>
      </c>
      <c r="R37" s="108" t="e">
        <f t="shared" si="14"/>
        <v>#REF!</v>
      </c>
      <c r="S37" s="129" t="e">
        <f>#REF!+AH37+AP37+AX37+BF37+BN37+BV37+CD37+CL37+CT37</f>
        <v>#REF!</v>
      </c>
      <c r="T37" s="279" t="e">
        <f>'Учебный план (заочная)'!#REF!</f>
        <v>#REF!</v>
      </c>
      <c r="U37" s="181" t="e">
        <f>'Учебный план (заочная)'!#REF!</f>
        <v>#REF!</v>
      </c>
      <c r="V37" s="181" t="e">
        <f>'Учебный план (заочная)'!#REF!</f>
        <v>#REF!</v>
      </c>
      <c r="W37" s="181" t="e">
        <f>'Учебный план (заочная)'!#REF!</f>
        <v>#REF!</v>
      </c>
      <c r="X37" s="181" t="e">
        <f>'Учебный план (заочная)'!#REF!</f>
        <v>#REF!</v>
      </c>
      <c r="Y37" s="181" t="e">
        <f>'Учебный план (заочная)'!#REF!</f>
        <v>#REF!</v>
      </c>
      <c r="Z37" s="284" t="e">
        <f>'Учебный план (заочная)'!#REF!</f>
        <v>#REF!</v>
      </c>
    </row>
    <row r="38" spans="1:26" ht="26.25" thickBot="1">
      <c r="A38" s="247" t="s">
        <v>316</v>
      </c>
      <c r="B38" s="823" t="s">
        <v>366</v>
      </c>
      <c r="C38" s="824"/>
      <c r="D38" s="824"/>
      <c r="E38" s="824"/>
      <c r="F38" s="824"/>
      <c r="G38" s="824"/>
      <c r="H38" s="825"/>
      <c r="I38" s="120"/>
      <c r="J38" s="177"/>
      <c r="K38" s="270">
        <f>'Учебный план'!L58</f>
        <v>381</v>
      </c>
      <c r="L38" s="262">
        <f t="shared" si="12"/>
        <v>0</v>
      </c>
      <c r="M38" s="121">
        <f aca="true" t="shared" si="15" ref="M38:R38">U38+AB38+AJ38+AR38+AZ38+BH38+BP38+BX38+CF38+CN38</f>
        <v>0</v>
      </c>
      <c r="N38" s="121">
        <f t="shared" si="15"/>
        <v>0</v>
      </c>
      <c r="O38" s="121">
        <f t="shared" si="15"/>
        <v>0</v>
      </c>
      <c r="P38" s="121">
        <f t="shared" si="15"/>
        <v>0</v>
      </c>
      <c r="Q38" s="121">
        <f t="shared" si="15"/>
        <v>0</v>
      </c>
      <c r="R38" s="121" t="e">
        <f t="shared" si="15"/>
        <v>#VALUE!</v>
      </c>
      <c r="S38" s="122" t="e">
        <f>#REF!+AH38+AP38+AX38+BF38+BN38+BV38+CD38+CL38+CT38</f>
        <v>#REF!</v>
      </c>
      <c r="T38" s="279">
        <f>'Учебный план (заочная)'!N40</f>
        <v>381</v>
      </c>
      <c r="U38" s="186">
        <f>'Учебный план (заочная)'!D40</f>
        <v>0</v>
      </c>
      <c r="V38" s="186">
        <f>'Учебный план (заочная)'!E40</f>
        <v>0</v>
      </c>
      <c r="W38" s="186">
        <f>'Учебный план (заочная)'!F40</f>
        <v>0</v>
      </c>
      <c r="X38" s="186">
        <f>'Учебный план (заочная)'!H40</f>
        <v>0</v>
      </c>
      <c r="Y38" s="186">
        <f>'Учебный план (заочная)'!I40</f>
        <v>0</v>
      </c>
      <c r="Z38" s="285" t="str">
        <f>'Учебный план (заочная)'!B40</f>
        <v>Обеспечение безопасности плавания</v>
      </c>
    </row>
    <row r="39" spans="1:26" ht="39" thickBot="1">
      <c r="A39" s="248" t="s">
        <v>410</v>
      </c>
      <c r="B39" s="271" t="str">
        <f>'Учебный план'!B60</f>
        <v>Безопасность жизнедеятельности на судне и транспортная безопасность </v>
      </c>
      <c r="C39" s="113">
        <f>'Учебный план'!C60</f>
        <v>0</v>
      </c>
      <c r="D39" s="113">
        <f>'Учебный план'!D60</f>
        <v>0</v>
      </c>
      <c r="E39" s="113">
        <f>'Учебный план'!E60</f>
        <v>0</v>
      </c>
      <c r="F39" s="113" t="str">
        <f>'Учебный план'!F60</f>
        <v>4,8</v>
      </c>
      <c r="G39" s="113">
        <f>'Учебный план'!H60</f>
        <v>0</v>
      </c>
      <c r="H39" s="113" t="str">
        <f>'Учебный план'!I60</f>
        <v>3,7</v>
      </c>
      <c r="I39" s="147"/>
      <c r="J39" s="146"/>
      <c r="K39" s="269">
        <f>'Учебный план'!L60</f>
        <v>273</v>
      </c>
      <c r="L39" s="134"/>
      <c r="M39" s="134"/>
      <c r="N39" s="134"/>
      <c r="O39" s="134"/>
      <c r="P39" s="134"/>
      <c r="Q39" s="134"/>
      <c r="R39" s="134"/>
      <c r="S39" s="135"/>
      <c r="T39" s="279">
        <f>'Учебный план (заочная)'!N42</f>
        <v>273</v>
      </c>
      <c r="U39" s="181">
        <f>'Учебный план (заочная)'!D42</f>
        <v>0</v>
      </c>
      <c r="V39" s="181">
        <f>'Учебный план (заочная)'!E42</f>
        <v>0</v>
      </c>
      <c r="W39" s="181" t="str">
        <f>'Учебный план (заочная)'!F42</f>
        <v>3</v>
      </c>
      <c r="X39" s="181">
        <f>'Учебный план (заочная)'!H42</f>
        <v>0</v>
      </c>
      <c r="Y39" s="181" t="str">
        <f>'Учебный план (заочная)'!I42</f>
        <v>2</v>
      </c>
      <c r="Z39" s="284" t="str">
        <f>'Учебный план (заочная)'!B42</f>
        <v>Безопасность жизнедеятельности на судне и транспортная безопасность </v>
      </c>
    </row>
    <row r="40" spans="1:26" ht="26.25" thickBot="1">
      <c r="A40" s="248" t="s">
        <v>414</v>
      </c>
      <c r="B40" s="271" t="str">
        <f>'Учебный план'!B62</f>
        <v>Охрана труда и техника безопасности на судах</v>
      </c>
      <c r="C40" s="113">
        <f>'Учебный план'!C62</f>
        <v>0</v>
      </c>
      <c r="D40" s="113">
        <f>'Учебный план'!D62</f>
        <v>0</v>
      </c>
      <c r="E40" s="113" t="str">
        <f>'Учебный план'!E62</f>
        <v>5</v>
      </c>
      <c r="F40" s="113">
        <f>'Учебный план'!F62</f>
        <v>0</v>
      </c>
      <c r="G40" s="113">
        <f>'Учебный план'!H62</f>
        <v>0</v>
      </c>
      <c r="H40" s="113">
        <f>'Учебный план'!I62</f>
        <v>0</v>
      </c>
      <c r="I40" s="147"/>
      <c r="J40" s="146"/>
      <c r="K40" s="269">
        <f>'Учебный план'!L62</f>
        <v>54</v>
      </c>
      <c r="L40" s="263">
        <f aca="true" t="shared" si="16" ref="L40:L47">SUM(M40:Q40)</f>
        <v>2</v>
      </c>
      <c r="M40" s="130"/>
      <c r="N40" s="130">
        <f aca="true" t="shared" si="17" ref="N40:O42">V40+AC40+AK40+AS40+BA40+BI40+BQ40+BY40+CG40+CO40</f>
        <v>2</v>
      </c>
      <c r="O40" s="130">
        <f t="shared" si="17"/>
        <v>0</v>
      </c>
      <c r="P40" s="131"/>
      <c r="Q40" s="131"/>
      <c r="R40" s="131"/>
      <c r="S40" s="132" t="e">
        <f>#REF!+AH40+AP40+AX40+BF40+BN40+BV40+CD40+CL40+CT40</f>
        <v>#REF!</v>
      </c>
      <c r="T40" s="279">
        <f>'Учебный план (заочная)'!N44</f>
        <v>54</v>
      </c>
      <c r="U40" s="181">
        <f>'Учебный план (заочная)'!D44</f>
        <v>0</v>
      </c>
      <c r="V40" s="181" t="str">
        <f>'Учебный план (заочная)'!E44</f>
        <v>2</v>
      </c>
      <c r="W40" s="181">
        <f>'Учебный план (заочная)'!F44</f>
        <v>0</v>
      </c>
      <c r="X40" s="181">
        <f>'Учебный план (заочная)'!H44</f>
        <v>0</v>
      </c>
      <c r="Y40" s="181">
        <f>'Учебный план (заочная)'!I44</f>
        <v>0</v>
      </c>
      <c r="Z40" s="284" t="str">
        <f>'Учебный план (заочная)'!B44</f>
        <v>Охрана труда и техника безопасности на судах</v>
      </c>
    </row>
    <row r="41" spans="1:26" ht="13.5" hidden="1" thickBot="1">
      <c r="A41" s="248" t="s">
        <v>415</v>
      </c>
      <c r="B41" s="271" t="e">
        <f>'Учебный план'!#REF!</f>
        <v>#REF!</v>
      </c>
      <c r="C41" s="113" t="e">
        <f>'Учебный план'!#REF!</f>
        <v>#REF!</v>
      </c>
      <c r="D41" s="113" t="e">
        <f>'Учебный план'!#REF!</f>
        <v>#REF!</v>
      </c>
      <c r="E41" s="113" t="e">
        <f>'Учебный план'!#REF!</f>
        <v>#REF!</v>
      </c>
      <c r="F41" s="113" t="e">
        <f>'Учебный план'!#REF!</f>
        <v>#REF!</v>
      </c>
      <c r="G41" s="113" t="e">
        <f>'Учебный план'!#REF!</f>
        <v>#REF!</v>
      </c>
      <c r="H41" s="113" t="e">
        <f>'Учебный план'!#REF!</f>
        <v>#REF!</v>
      </c>
      <c r="I41" s="147"/>
      <c r="J41" s="146"/>
      <c r="K41" s="269" t="e">
        <f>'Учебный план'!#REF!</f>
        <v>#REF!</v>
      </c>
      <c r="L41" s="264" t="e">
        <f t="shared" si="16"/>
        <v>#REF!</v>
      </c>
      <c r="M41" s="124"/>
      <c r="N41" s="125" t="e">
        <f t="shared" si="17"/>
        <v>#REF!</v>
      </c>
      <c r="O41" s="125" t="e">
        <f t="shared" si="17"/>
        <v>#REF!</v>
      </c>
      <c r="P41" s="124"/>
      <c r="Q41" s="124"/>
      <c r="R41" s="124"/>
      <c r="S41" s="128" t="e">
        <f>#REF!+AH41+AP41+AX41+BF41+BN41+BV41+CD41+CL41+CT41</f>
        <v>#REF!</v>
      </c>
      <c r="T41" s="279" t="e">
        <f>'Учебный план (заочная)'!#REF!</f>
        <v>#REF!</v>
      </c>
      <c r="U41" s="181" t="e">
        <f>'Учебный план (заочная)'!#REF!</f>
        <v>#REF!</v>
      </c>
      <c r="V41" s="181" t="e">
        <f>'Учебный план (заочная)'!#REF!</f>
        <v>#REF!</v>
      </c>
      <c r="W41" s="181" t="e">
        <f>'Учебный план (заочная)'!#REF!</f>
        <v>#REF!</v>
      </c>
      <c r="X41" s="181" t="e">
        <f>'Учебный план (заочная)'!#REF!</f>
        <v>#REF!</v>
      </c>
      <c r="Y41" s="181" t="e">
        <f>'Учебный план (заочная)'!#REF!</f>
        <v>#REF!</v>
      </c>
      <c r="Z41" s="284" t="e">
        <f>'Учебный план (заочная)'!#REF!</f>
        <v>#REF!</v>
      </c>
    </row>
    <row r="42" spans="1:26" ht="13.5" hidden="1" thickBot="1">
      <c r="A42" s="248" t="s">
        <v>416</v>
      </c>
      <c r="B42" s="271">
        <f>'Учебный план'!B63</f>
        <v>0</v>
      </c>
      <c r="C42" s="113">
        <f>'Учебный план'!C63</f>
        <v>0</v>
      </c>
      <c r="D42" s="113">
        <f>'Учебный план'!D63</f>
        <v>0</v>
      </c>
      <c r="E42" s="113">
        <f>'Учебный план'!E63</f>
        <v>0</v>
      </c>
      <c r="F42" s="113">
        <f>'Учебный план'!H63</f>
        <v>0</v>
      </c>
      <c r="G42" s="113" t="e">
        <f>'Учебный план'!#REF!</f>
        <v>#REF!</v>
      </c>
      <c r="H42" s="113">
        <f>'Учебный план'!I63</f>
        <v>0</v>
      </c>
      <c r="I42" s="147"/>
      <c r="J42" s="146"/>
      <c r="K42" s="269">
        <f>'Учебный план'!L63</f>
        <v>0</v>
      </c>
      <c r="L42" s="264" t="e">
        <f t="shared" si="16"/>
        <v>#REF!</v>
      </c>
      <c r="M42" s="124"/>
      <c r="N42" s="125" t="e">
        <f t="shared" si="17"/>
        <v>#REF!</v>
      </c>
      <c r="O42" s="125" t="e">
        <f t="shared" si="17"/>
        <v>#REF!</v>
      </c>
      <c r="P42" s="124"/>
      <c r="Q42" s="124"/>
      <c r="R42" s="124"/>
      <c r="S42" s="128" t="e">
        <f>#REF!+AH42+AP42+AX42+BF42+BN42+BV42+CD42+CL42+CT42</f>
        <v>#REF!</v>
      </c>
      <c r="T42" s="279" t="e">
        <f>'Учебный план (заочная)'!#REF!</f>
        <v>#REF!</v>
      </c>
      <c r="U42" s="181" t="e">
        <f>'Учебный план (заочная)'!#REF!</f>
        <v>#REF!</v>
      </c>
      <c r="V42" s="181" t="e">
        <f>'Учебный план (заочная)'!#REF!</f>
        <v>#REF!</v>
      </c>
      <c r="W42" s="181" t="e">
        <f>'Учебный план (заочная)'!#REF!</f>
        <v>#REF!</v>
      </c>
      <c r="X42" s="181" t="e">
        <f>'Учебный план (заочная)'!#REF!</f>
        <v>#REF!</v>
      </c>
      <c r="Y42" s="181" t="e">
        <f>'Учебный план (заочная)'!#REF!</f>
        <v>#REF!</v>
      </c>
      <c r="Z42" s="284" t="e">
        <f>'Учебный план (заочная)'!#REF!</f>
        <v>#REF!</v>
      </c>
    </row>
    <row r="43" spans="1:26" ht="26.25" thickBot="1">
      <c r="A43" s="247" t="s">
        <v>363</v>
      </c>
      <c r="B43" s="826" t="s">
        <v>364</v>
      </c>
      <c r="C43" s="827"/>
      <c r="D43" s="827"/>
      <c r="E43" s="827"/>
      <c r="F43" s="827"/>
      <c r="G43" s="827"/>
      <c r="H43" s="828"/>
      <c r="I43" s="120"/>
      <c r="J43" s="177"/>
      <c r="K43" s="270">
        <f>'Учебный план'!L65</f>
        <v>154</v>
      </c>
      <c r="L43" s="262">
        <f t="shared" si="16"/>
        <v>0</v>
      </c>
      <c r="M43" s="121">
        <f aca="true" t="shared" si="18" ref="M43:R45">U43+AB43+AJ43+AR43+AZ43+BH43+BP43+BX43+CF43+CN43</f>
        <v>0</v>
      </c>
      <c r="N43" s="121">
        <f t="shared" si="18"/>
        <v>0</v>
      </c>
      <c r="O43" s="121">
        <f t="shared" si="18"/>
        <v>0</v>
      </c>
      <c r="P43" s="121">
        <f t="shared" si="18"/>
        <v>0</v>
      </c>
      <c r="Q43" s="121">
        <f t="shared" si="18"/>
        <v>0</v>
      </c>
      <c r="R43" s="121" t="e">
        <f t="shared" si="18"/>
        <v>#VALUE!</v>
      </c>
      <c r="S43" s="122" t="e">
        <f>#REF!+AH43+AP43+AX43+BF43+BN43+BV43+CD43+CL43+CT43</f>
        <v>#REF!</v>
      </c>
      <c r="T43" s="279">
        <f>'Учебный план (заочная)'!N46</f>
        <v>154</v>
      </c>
      <c r="U43" s="186">
        <f>'Учебный план (заочная)'!D46</f>
        <v>0</v>
      </c>
      <c r="V43" s="186">
        <f>'Учебный план (заочная)'!E46</f>
        <v>0</v>
      </c>
      <c r="W43" s="186">
        <f>'Учебный план (заочная)'!F46</f>
        <v>0</v>
      </c>
      <c r="X43" s="186">
        <f>'Учебный план (заочная)'!H46</f>
        <v>0</v>
      </c>
      <c r="Y43" s="186">
        <f>'Учебный план (заочная)'!I46</f>
        <v>0</v>
      </c>
      <c r="Z43" s="285" t="str">
        <f>'Учебный план (заочная)'!B46</f>
        <v>Организация работы структурного подразделения </v>
      </c>
    </row>
    <row r="44" spans="1:26" ht="38.25">
      <c r="A44" s="246" t="s">
        <v>411</v>
      </c>
      <c r="B44" s="271" t="str">
        <f>'Учебный план'!B67</f>
        <v>Планирование и руководство работы структурного подразделения</v>
      </c>
      <c r="C44" s="113">
        <f>'Учебный план'!C67</f>
        <v>0</v>
      </c>
      <c r="D44" s="113">
        <f>'Учебный план'!D67</f>
        <v>0</v>
      </c>
      <c r="E44" s="113" t="str">
        <f>'Учебный план'!E67</f>
        <v>5</v>
      </c>
      <c r="F44" s="113">
        <f>'Учебный план'!F67</f>
        <v>0</v>
      </c>
      <c r="G44" s="113">
        <f>'Учебный план'!H67</f>
        <v>0</v>
      </c>
      <c r="H44" s="113">
        <f>'Учебный план'!I67</f>
        <v>0</v>
      </c>
      <c r="I44" s="107"/>
      <c r="J44" s="110"/>
      <c r="K44" s="269">
        <f>'Учебный план'!L67</f>
        <v>48</v>
      </c>
      <c r="L44" s="258">
        <f t="shared" si="16"/>
        <v>3</v>
      </c>
      <c r="M44" s="108">
        <f t="shared" si="18"/>
        <v>0</v>
      </c>
      <c r="N44" s="108">
        <f t="shared" si="18"/>
        <v>3</v>
      </c>
      <c r="O44" s="108">
        <f t="shared" si="18"/>
        <v>0</v>
      </c>
      <c r="P44" s="108">
        <f t="shared" si="18"/>
        <v>0</v>
      </c>
      <c r="Q44" s="108">
        <f t="shared" si="18"/>
        <v>0</v>
      </c>
      <c r="R44" s="108" t="e">
        <f t="shared" si="18"/>
        <v>#VALUE!</v>
      </c>
      <c r="S44" s="129" t="e">
        <f>#REF!+AH44+AP44+AX44+BF44+BN44+BV44+CD44+CL44+CT44</f>
        <v>#REF!</v>
      </c>
      <c r="T44" s="279">
        <f>'Учебный план (заочная)'!N48</f>
        <v>48</v>
      </c>
      <c r="U44" s="181">
        <f>'Учебный план (заочная)'!D48</f>
        <v>0</v>
      </c>
      <c r="V44" s="181" t="str">
        <f>'Учебный план (заочная)'!E48</f>
        <v>3</v>
      </c>
      <c r="W44" s="181">
        <f>'Учебный план (заочная)'!F48</f>
        <v>0</v>
      </c>
      <c r="X44" s="181">
        <f>'Учебный план (заочная)'!H48</f>
        <v>0</v>
      </c>
      <c r="Y44" s="181">
        <f>'Учебный план (заочная)'!I48</f>
        <v>0</v>
      </c>
      <c r="Z44" s="280" t="str">
        <f>'Учебный план (заочная)'!B48</f>
        <v>Планирование и руководство работы структурного подразделения</v>
      </c>
    </row>
    <row r="45" spans="1:26" ht="26.25" thickBot="1">
      <c r="A45" s="246" t="s">
        <v>412</v>
      </c>
      <c r="B45" s="271" t="str">
        <f>'Учебный план'!B68</f>
        <v>Анализ деятельности структурного подразделения</v>
      </c>
      <c r="C45" s="113">
        <f>'Учебный план'!C68</f>
        <v>0</v>
      </c>
      <c r="D45" s="113">
        <f>'Учебный план'!D68</f>
        <v>0</v>
      </c>
      <c r="E45" s="113" t="str">
        <f>'Учебный план'!E68</f>
        <v>8</v>
      </c>
      <c r="F45" s="113">
        <f>'Учебный план'!F68</f>
        <v>0</v>
      </c>
      <c r="G45" s="113" t="str">
        <f>'Учебный план'!H68</f>
        <v>8</v>
      </c>
      <c r="H45" s="113" t="str">
        <f>'Учебный план'!I68</f>
        <v>7</v>
      </c>
      <c r="I45" s="107"/>
      <c r="J45" s="110"/>
      <c r="K45" s="269">
        <f>'Учебный план'!L68</f>
        <v>106</v>
      </c>
      <c r="L45" s="258">
        <f t="shared" si="16"/>
        <v>8</v>
      </c>
      <c r="M45" s="108">
        <f t="shared" si="18"/>
        <v>0</v>
      </c>
      <c r="N45" s="108">
        <f t="shared" si="18"/>
        <v>4</v>
      </c>
      <c r="O45" s="108">
        <f t="shared" si="18"/>
        <v>0</v>
      </c>
      <c r="P45" s="108">
        <f t="shared" si="18"/>
        <v>4</v>
      </c>
      <c r="Q45" s="108">
        <f t="shared" si="18"/>
        <v>0</v>
      </c>
      <c r="R45" s="108" t="e">
        <f t="shared" si="18"/>
        <v>#VALUE!</v>
      </c>
      <c r="S45" s="129" t="e">
        <f>#REF!+AH45+AP45+AX45+BF45+BN45+BV45+CD45+CL45+CT45</f>
        <v>#REF!</v>
      </c>
      <c r="T45" s="279">
        <f>'Учебный план (заочная)'!N49</f>
        <v>106</v>
      </c>
      <c r="U45" s="181">
        <f>'Учебный план (заочная)'!D49</f>
        <v>0</v>
      </c>
      <c r="V45" s="181" t="str">
        <f>'Учебный план (заочная)'!E49</f>
        <v>4</v>
      </c>
      <c r="W45" s="181">
        <f>'Учебный план (заочная)'!F49</f>
        <v>0</v>
      </c>
      <c r="X45" s="181" t="str">
        <f>'Учебный план (заочная)'!H49</f>
        <v>4</v>
      </c>
      <c r="Y45" s="181">
        <f>'Учебный план (заочная)'!I49</f>
        <v>0</v>
      </c>
      <c r="Z45" s="280" t="str">
        <f>'Учебный план (заочная)'!B49</f>
        <v>Анализ деятельности структурного подразделения</v>
      </c>
    </row>
    <row r="46" spans="1:26" ht="38.25">
      <c r="A46" s="249" t="s">
        <v>180</v>
      </c>
      <c r="B46" s="829" t="s">
        <v>181</v>
      </c>
      <c r="C46" s="830"/>
      <c r="D46" s="830"/>
      <c r="E46" s="830"/>
      <c r="F46" s="830"/>
      <c r="G46" s="830"/>
      <c r="H46" s="831"/>
      <c r="I46" s="171"/>
      <c r="J46" s="178" t="e">
        <f>SUM(#REF!)</f>
        <v>#REF!</v>
      </c>
      <c r="K46" s="270">
        <f>'Учебный план'!L70</f>
        <v>161</v>
      </c>
      <c r="L46" s="265">
        <f t="shared" si="16"/>
        <v>0</v>
      </c>
      <c r="M46" s="172">
        <f aca="true" t="shared" si="19" ref="M46:R47">U46+AB46+AJ46+AR46+AZ46+BH46+BP46+BX46+CF46+CN46</f>
        <v>0</v>
      </c>
      <c r="N46" s="172">
        <f t="shared" si="19"/>
        <v>0</v>
      </c>
      <c r="O46" s="172">
        <f t="shared" si="19"/>
        <v>0</v>
      </c>
      <c r="P46" s="172">
        <f t="shared" si="19"/>
        <v>0</v>
      </c>
      <c r="Q46" s="172">
        <f t="shared" si="19"/>
        <v>0</v>
      </c>
      <c r="R46" s="172" t="e">
        <f t="shared" si="19"/>
        <v>#VALUE!</v>
      </c>
      <c r="S46" s="173" t="e">
        <f>#REF!+AH46+AP46+AX46+BF46+BN46+BV46+CD46+CL46+CT46</f>
        <v>#REF!</v>
      </c>
      <c r="T46" s="279">
        <f>'Учебный план (заочная)'!N51</f>
        <v>161</v>
      </c>
      <c r="U46" s="186">
        <f>'Учебный план (заочная)'!D51</f>
        <v>0</v>
      </c>
      <c r="V46" s="186">
        <f>'Учебный план (заочная)'!E51</f>
        <v>0</v>
      </c>
      <c r="W46" s="186">
        <f>'Учебный план (заочная)'!F51</f>
        <v>0</v>
      </c>
      <c r="X46" s="186">
        <f>'Учебный план (заочная)'!H51</f>
        <v>0</v>
      </c>
      <c r="Y46" s="186">
        <f>'Учебный план (заочная)'!I51</f>
        <v>0</v>
      </c>
      <c r="Z46" s="285" t="str">
        <f>'Учебный план (заочная)'!B51</f>
        <v>Выполнение работ по одной или нескольким профессиям рабочих, должностям служащих</v>
      </c>
    </row>
    <row r="47" spans="1:26" ht="13.5" thickBot="1">
      <c r="A47" s="250" t="s">
        <v>413</v>
      </c>
      <c r="B47" s="271" t="str">
        <f>'Учебный план'!B71</f>
        <v>Моторист (машинист)</v>
      </c>
      <c r="C47" s="113" t="str">
        <f>'Учебный план'!C71</f>
        <v>Моторист</v>
      </c>
      <c r="D47" s="113">
        <f>'Учебный план'!D71</f>
        <v>0</v>
      </c>
      <c r="E47" s="113" t="str">
        <f>'Учебный план'!E71</f>
        <v>5</v>
      </c>
      <c r="F47" s="113">
        <f>'Учебный план'!F71</f>
        <v>0</v>
      </c>
      <c r="G47" s="113">
        <f>'Учебный план'!H71</f>
        <v>0</v>
      </c>
      <c r="H47" s="113" t="str">
        <f>'Учебный план'!I71</f>
        <v>4</v>
      </c>
      <c r="I47" s="109"/>
      <c r="J47" s="127"/>
      <c r="K47" s="269">
        <f>'Учебный план'!L71</f>
        <v>161</v>
      </c>
      <c r="L47" s="258">
        <f t="shared" si="16"/>
        <v>2</v>
      </c>
      <c r="M47" s="108">
        <f t="shared" si="19"/>
        <v>0</v>
      </c>
      <c r="N47" s="108">
        <f t="shared" si="19"/>
        <v>2</v>
      </c>
      <c r="O47" s="108">
        <f t="shared" si="19"/>
        <v>0</v>
      </c>
      <c r="P47" s="108">
        <f t="shared" si="19"/>
        <v>0</v>
      </c>
      <c r="Q47" s="108">
        <f t="shared" si="19"/>
        <v>0</v>
      </c>
      <c r="R47" s="108" t="e">
        <f t="shared" si="19"/>
        <v>#VALUE!</v>
      </c>
      <c r="S47" s="129" t="e">
        <f>#REF!+AH47+AP47+AX47+BF47+BN47+BV47+CD47+CL47+CT47</f>
        <v>#REF!</v>
      </c>
      <c r="T47" s="279">
        <f>'Учебный план (заочная)'!N52</f>
        <v>161</v>
      </c>
      <c r="U47" s="181">
        <f>'Учебный план (заочная)'!D52</f>
        <v>0</v>
      </c>
      <c r="V47" s="181" t="str">
        <f>'Учебный план (заочная)'!E52</f>
        <v>2</v>
      </c>
      <c r="W47" s="181">
        <f>'Учебный план (заочная)'!F52</f>
        <v>0</v>
      </c>
      <c r="X47" s="181">
        <f>'Учебный план (заочная)'!H52</f>
        <v>0</v>
      </c>
      <c r="Y47" s="181">
        <f>'Учебный план (заочная)'!I52</f>
        <v>0</v>
      </c>
      <c r="Z47" s="280" t="str">
        <f>'Учебный план (заочная)'!B52</f>
        <v>Моторист (машинист)</v>
      </c>
    </row>
    <row r="48" spans="1:26" ht="13.5" hidden="1" thickBot="1">
      <c r="A48" s="250"/>
      <c r="B48" s="271">
        <f>'Учебный план'!B72</f>
        <v>0</v>
      </c>
      <c r="C48" s="113">
        <f>'Учебный план'!C72</f>
        <v>0</v>
      </c>
      <c r="D48" s="113">
        <f>'Учебный план'!D72</f>
        <v>0</v>
      </c>
      <c r="E48" s="113">
        <f>'Учебный план'!E72</f>
        <v>0</v>
      </c>
      <c r="F48" s="113">
        <f>'Учебный план'!H72</f>
        <v>0</v>
      </c>
      <c r="G48" s="113" t="e">
        <f>'Учебный план'!#REF!</f>
        <v>#REF!</v>
      </c>
      <c r="H48" s="113">
        <f>'Учебный план'!I72</f>
        <v>0</v>
      </c>
      <c r="I48" s="109"/>
      <c r="J48" s="127"/>
      <c r="K48" s="269">
        <f>'Учебный план'!L72</f>
        <v>0</v>
      </c>
      <c r="L48" s="258"/>
      <c r="M48" s="108"/>
      <c r="N48" s="108"/>
      <c r="O48" s="108"/>
      <c r="P48" s="108"/>
      <c r="Q48" s="108"/>
      <c r="R48" s="108"/>
      <c r="S48" s="129"/>
      <c r="T48" s="279" t="e">
        <f>'Учебный план (заочная)'!#REF!</f>
        <v>#REF!</v>
      </c>
      <c r="U48" s="181" t="e">
        <f>'Учебный план (заочная)'!#REF!</f>
        <v>#REF!</v>
      </c>
      <c r="V48" s="181" t="e">
        <f>'Учебный план (заочная)'!#REF!</f>
        <v>#REF!</v>
      </c>
      <c r="W48" s="181" t="e">
        <f>'Учебный план (заочная)'!#REF!</f>
        <v>#REF!</v>
      </c>
      <c r="X48" s="181" t="e">
        <f>'Учебный план (заочная)'!#REF!</f>
        <v>#REF!</v>
      </c>
      <c r="Y48" s="181" t="e">
        <f>'Учебный план (заочная)'!#REF!</f>
        <v>#REF!</v>
      </c>
      <c r="Z48" s="280" t="e">
        <f>'Учебный план (заочная)'!#REF!</f>
        <v>#REF!</v>
      </c>
    </row>
    <row r="49" spans="1:26" ht="13.5" thickBot="1">
      <c r="A49" s="237"/>
      <c r="B49" s="272" t="s">
        <v>372</v>
      </c>
      <c r="C49" s="197"/>
      <c r="D49" s="198" t="s">
        <v>26</v>
      </c>
      <c r="E49" s="198"/>
      <c r="F49" s="198"/>
      <c r="G49" s="198"/>
      <c r="H49" s="198"/>
      <c r="I49" s="199">
        <v>1242</v>
      </c>
      <c r="J49" s="200">
        <v>828</v>
      </c>
      <c r="K49" s="270">
        <f>'Учебный план'!L74</f>
        <v>219</v>
      </c>
      <c r="L49" s="201" t="e">
        <f aca="true" t="shared" si="20" ref="L49:S49">SUM(L50:L53)</f>
        <v>#REF!</v>
      </c>
      <c r="M49" s="201" t="e">
        <f t="shared" si="20"/>
        <v>#REF!</v>
      </c>
      <c r="N49" s="201" t="e">
        <f t="shared" si="20"/>
        <v>#REF!</v>
      </c>
      <c r="O49" s="201" t="e">
        <f t="shared" si="20"/>
        <v>#REF!</v>
      </c>
      <c r="P49" s="201" t="e">
        <f t="shared" si="20"/>
        <v>#REF!</v>
      </c>
      <c r="Q49" s="201" t="e">
        <f t="shared" si="20"/>
        <v>#REF!</v>
      </c>
      <c r="R49" s="201" t="e">
        <f t="shared" si="20"/>
        <v>#REF!</v>
      </c>
      <c r="S49" s="200" t="e">
        <f t="shared" si="20"/>
        <v>#REF!</v>
      </c>
      <c r="T49" s="279">
        <f>'Учебный план (заочная)'!N54</f>
        <v>219</v>
      </c>
      <c r="U49" s="186" t="str">
        <f>'Учебный план (заочная)'!D54</f>
        <v> </v>
      </c>
      <c r="V49" s="186">
        <f>'Учебный план (заочная)'!E54</f>
        <v>0</v>
      </c>
      <c r="W49" s="186">
        <f>'Учебный план (заочная)'!F54</f>
        <v>0</v>
      </c>
      <c r="X49" s="186">
        <f>'Учебный план (заочная)'!H54</f>
        <v>0</v>
      </c>
      <c r="Y49" s="186">
        <f>'Учебный план (заочная)'!I54</f>
        <v>0</v>
      </c>
      <c r="Z49" s="282" t="str">
        <f>'Учебный план (заочная)'!B54</f>
        <v>Вариативная часть циклов ППССЗ</v>
      </c>
    </row>
    <row r="50" spans="1:26" ht="12.75">
      <c r="A50" s="251" t="s">
        <v>190</v>
      </c>
      <c r="B50" s="271" t="e">
        <f>'Учебный план'!#REF!</f>
        <v>#REF!</v>
      </c>
      <c r="C50" s="113" t="e">
        <f>'Учебный план'!#REF!</f>
        <v>#REF!</v>
      </c>
      <c r="D50" s="113" t="e">
        <f>'Учебный план'!#REF!</f>
        <v>#REF!</v>
      </c>
      <c r="E50" s="113" t="e">
        <f>'Учебный план'!#REF!</f>
        <v>#REF!</v>
      </c>
      <c r="F50" s="113" t="e">
        <f>'Учебный план'!#REF!</f>
        <v>#REF!</v>
      </c>
      <c r="G50" s="113" t="e">
        <f>'Учебный план'!#REF!</f>
        <v>#REF!</v>
      </c>
      <c r="H50" s="113" t="e">
        <f>'Учебный план'!#REF!</f>
        <v>#REF!</v>
      </c>
      <c r="I50" s="139"/>
      <c r="J50" s="141"/>
      <c r="K50" s="269" t="e">
        <f>'Учебный план'!#REF!</f>
        <v>#REF!</v>
      </c>
      <c r="L50" s="266" t="e">
        <f>SUM(M50:Q50)</f>
        <v>#REF!</v>
      </c>
      <c r="M50" s="140" t="e">
        <f aca="true" t="shared" si="21" ref="M50:R53">U50+AB50+AJ50+AR50+AZ50+BH50+BP50+BX50+CF50+CN50</f>
        <v>#REF!</v>
      </c>
      <c r="N50" s="140" t="e">
        <f t="shared" si="21"/>
        <v>#REF!</v>
      </c>
      <c r="O50" s="140" t="e">
        <f t="shared" si="21"/>
        <v>#REF!</v>
      </c>
      <c r="P50" s="140" t="e">
        <f t="shared" si="21"/>
        <v>#REF!</v>
      </c>
      <c r="Q50" s="140" t="e">
        <f t="shared" si="21"/>
        <v>#REF!</v>
      </c>
      <c r="R50" s="140" t="e">
        <f t="shared" si="21"/>
        <v>#REF!</v>
      </c>
      <c r="S50" s="145" t="e">
        <f>#REF!+AH50+AP50+AX50+BF50+BN50+BV50+CD50+CL50+CT50</f>
        <v>#REF!</v>
      </c>
      <c r="T50" s="279" t="e">
        <f>'Учебный план (заочная)'!#REF!</f>
        <v>#REF!</v>
      </c>
      <c r="U50" s="181" t="e">
        <f>'Учебный план (заочная)'!#REF!</f>
        <v>#REF!</v>
      </c>
      <c r="V50" s="181" t="e">
        <f>'Учебный план (заочная)'!#REF!</f>
        <v>#REF!</v>
      </c>
      <c r="W50" s="181" t="e">
        <f>'Учебный план (заочная)'!#REF!</f>
        <v>#REF!</v>
      </c>
      <c r="X50" s="181" t="e">
        <f>'Учебный план (заочная)'!#REF!</f>
        <v>#REF!</v>
      </c>
      <c r="Y50" s="181" t="e">
        <f>'Учебный план (заочная)'!#REF!</f>
        <v>#REF!</v>
      </c>
      <c r="Z50" s="280" t="e">
        <f>'Учебный план (заочная)'!#REF!</f>
        <v>#REF!</v>
      </c>
    </row>
    <row r="51" spans="1:26" ht="12.75">
      <c r="A51" s="251"/>
      <c r="B51" s="271" t="str">
        <f>'Учебный план'!B75</f>
        <v>Компьютерная графика</v>
      </c>
      <c r="C51" s="113">
        <f>'Учебный план'!C75</f>
        <v>0</v>
      </c>
      <c r="D51" s="113">
        <f>'Учебный план'!D75</f>
        <v>0</v>
      </c>
      <c r="E51" s="113" t="str">
        <f>'Учебный план'!E75</f>
        <v>8</v>
      </c>
      <c r="F51" s="113">
        <f>'Учебный план'!F75</f>
        <v>0</v>
      </c>
      <c r="G51" s="113">
        <f>'Учебный план'!H75</f>
        <v>0</v>
      </c>
      <c r="H51" s="113">
        <f>'Учебный план'!I75</f>
        <v>0</v>
      </c>
      <c r="I51" s="139"/>
      <c r="J51" s="141"/>
      <c r="K51" s="269">
        <f>'Учебный план'!L75</f>
        <v>54</v>
      </c>
      <c r="L51" s="266">
        <f>SUM(M51:Q51)</f>
        <v>4</v>
      </c>
      <c r="M51" s="140">
        <f t="shared" si="21"/>
        <v>0</v>
      </c>
      <c r="N51" s="140">
        <f t="shared" si="21"/>
        <v>4</v>
      </c>
      <c r="O51" s="140">
        <f t="shared" si="21"/>
        <v>0</v>
      </c>
      <c r="P51" s="140">
        <f t="shared" si="21"/>
        <v>0</v>
      </c>
      <c r="Q51" s="140">
        <f t="shared" si="21"/>
        <v>0</v>
      </c>
      <c r="R51" s="140" t="e">
        <f t="shared" si="21"/>
        <v>#VALUE!</v>
      </c>
      <c r="S51" s="145" t="e">
        <f>#REF!+AH51+AP51+AX51+BF51+BN51+BV51+CD51+CL51+CT51</f>
        <v>#REF!</v>
      </c>
      <c r="T51" s="279">
        <f>'Учебный план (заочная)'!N55</f>
        <v>54</v>
      </c>
      <c r="U51" s="181">
        <f>'Учебный план (заочная)'!D55</f>
        <v>0</v>
      </c>
      <c r="V51" s="181" t="str">
        <f>'Учебный план (заочная)'!E55</f>
        <v>4</v>
      </c>
      <c r="W51" s="181">
        <f>'Учебный план (заочная)'!F55</f>
        <v>0</v>
      </c>
      <c r="X51" s="181">
        <f>'Учебный план (заочная)'!H55</f>
        <v>0</v>
      </c>
      <c r="Y51" s="181">
        <f>'Учебный план (заочная)'!I55</f>
        <v>0</v>
      </c>
      <c r="Z51" s="280" t="str">
        <f>'Учебный план (заочная)'!B55</f>
        <v>Компьютерная графика</v>
      </c>
    </row>
    <row r="52" spans="1:26" ht="25.5">
      <c r="A52" s="251"/>
      <c r="B52" s="271" t="str">
        <f>'Учебный план'!B76</f>
        <v>Эксплуатация судна на вспомогательном уровне</v>
      </c>
      <c r="C52" s="113">
        <f>'Учебный план'!C76</f>
        <v>0</v>
      </c>
      <c r="D52" s="113">
        <f>'Учебный план'!D76</f>
        <v>0</v>
      </c>
      <c r="E52" s="113" t="str">
        <f>'Учебный план'!E76</f>
        <v>5</v>
      </c>
      <c r="F52" s="113">
        <f>'Учебный план'!F76</f>
        <v>0</v>
      </c>
      <c r="G52" s="113">
        <f>'Учебный план'!H76</f>
        <v>0</v>
      </c>
      <c r="H52" s="113" t="str">
        <f>'Учебный план'!I76</f>
        <v>4</v>
      </c>
      <c r="I52" s="139"/>
      <c r="J52" s="141"/>
      <c r="K52" s="269">
        <f>'Учебный план'!L76</f>
        <v>117</v>
      </c>
      <c r="L52" s="266">
        <f>SUM(M52:Q52)</f>
        <v>3</v>
      </c>
      <c r="M52" s="140">
        <f t="shared" si="21"/>
        <v>0</v>
      </c>
      <c r="N52" s="140">
        <f t="shared" si="21"/>
        <v>3</v>
      </c>
      <c r="O52" s="140">
        <f t="shared" si="21"/>
        <v>0</v>
      </c>
      <c r="P52" s="140">
        <f t="shared" si="21"/>
        <v>0</v>
      </c>
      <c r="Q52" s="140">
        <f t="shared" si="21"/>
        <v>0</v>
      </c>
      <c r="R52" s="140" t="e">
        <f t="shared" si="21"/>
        <v>#VALUE!</v>
      </c>
      <c r="S52" s="145" t="e">
        <f>#REF!+AH52+AP52+AX52+BF52+BN52+BV52+CD52+CL52+CT52</f>
        <v>#REF!</v>
      </c>
      <c r="T52" s="279">
        <f>'Учебный план (заочная)'!N56</f>
        <v>117</v>
      </c>
      <c r="U52" s="181">
        <f>'Учебный план (заочная)'!D56</f>
        <v>0</v>
      </c>
      <c r="V52" s="181" t="str">
        <f>'Учебный план (заочная)'!E56</f>
        <v>3</v>
      </c>
      <c r="W52" s="181">
        <f>'Учебный план (заочная)'!F56</f>
        <v>0</v>
      </c>
      <c r="X52" s="181">
        <f>'Учебный план (заочная)'!H56</f>
        <v>0</v>
      </c>
      <c r="Y52" s="181">
        <f>'Учебный план (заочная)'!I56</f>
        <v>0</v>
      </c>
      <c r="Z52" s="284" t="str">
        <f>'Учебный план (заочная)'!B56</f>
        <v>Эксплуатация судна на вспомогательном уровне</v>
      </c>
    </row>
    <row r="53" spans="1:26" ht="13.5" thickBot="1">
      <c r="A53" s="251"/>
      <c r="B53" s="271" t="str">
        <f>'Учебный план'!B77</f>
        <v>Гидравлика</v>
      </c>
      <c r="C53" s="113">
        <f>'Учебный план'!C77</f>
        <v>0</v>
      </c>
      <c r="D53" s="113">
        <f>'Учебный план'!D77</f>
        <v>0</v>
      </c>
      <c r="E53" s="113" t="str">
        <f>'Учебный план'!E77</f>
        <v>3</v>
      </c>
      <c r="F53" s="113">
        <f>'Учебный план'!F77</f>
        <v>0</v>
      </c>
      <c r="G53" s="113">
        <f>'Учебный план'!H77</f>
        <v>0</v>
      </c>
      <c r="H53" s="113">
        <f>'Учебный план'!I77</f>
        <v>0</v>
      </c>
      <c r="I53" s="139"/>
      <c r="J53" s="141"/>
      <c r="K53" s="269">
        <f>'Учебный план'!L77</f>
        <v>48</v>
      </c>
      <c r="L53" s="266">
        <f>SUM(M53:Q53)</f>
        <v>1</v>
      </c>
      <c r="M53" s="140">
        <f t="shared" si="21"/>
        <v>0</v>
      </c>
      <c r="N53" s="140">
        <f t="shared" si="21"/>
        <v>1</v>
      </c>
      <c r="O53" s="140">
        <f t="shared" si="21"/>
        <v>0</v>
      </c>
      <c r="P53" s="140">
        <f t="shared" si="21"/>
        <v>0</v>
      </c>
      <c r="Q53" s="140">
        <f t="shared" si="21"/>
        <v>0</v>
      </c>
      <c r="R53" s="140" t="e">
        <f t="shared" si="21"/>
        <v>#VALUE!</v>
      </c>
      <c r="S53" s="145" t="e">
        <f>#REF!+AH53+AP53+AX53+BF53+BN53+BV53+CD53+CL53+CT53</f>
        <v>#REF!</v>
      </c>
      <c r="T53" s="279">
        <f>'Учебный план (заочная)'!N57</f>
        <v>48</v>
      </c>
      <c r="U53" s="181">
        <f>'Учебный план (заочная)'!D57</f>
        <v>0</v>
      </c>
      <c r="V53" s="181" t="str">
        <f>'Учебный план (заочная)'!E57</f>
        <v>1</v>
      </c>
      <c r="W53" s="181">
        <f>'Учебный план (заочная)'!F57</f>
        <v>0</v>
      </c>
      <c r="X53" s="181">
        <f>'Учебный план (заочная)'!H57</f>
        <v>0</v>
      </c>
      <c r="Y53" s="181">
        <f>'Учебный план (заочная)'!I57</f>
        <v>0</v>
      </c>
      <c r="Z53" s="280" t="str">
        <f>'Учебный план (заочная)'!B57</f>
        <v>Гидравлика</v>
      </c>
    </row>
    <row r="54" spans="1:26" ht="13.5" thickBot="1">
      <c r="A54" s="237" t="s">
        <v>183</v>
      </c>
      <c r="B54" s="819" t="s">
        <v>6</v>
      </c>
      <c r="C54" s="820"/>
      <c r="D54" s="198"/>
      <c r="E54" s="198"/>
      <c r="F54" s="198"/>
      <c r="G54" s="198"/>
      <c r="H54" s="198"/>
      <c r="I54" s="199"/>
      <c r="J54" s="200"/>
      <c r="K54" s="270">
        <f>'Учебный план'!L78</f>
        <v>0</v>
      </c>
      <c r="L54" s="201" t="e">
        <f aca="true" t="shared" si="22" ref="L54:S54">SUM(L55:L58)</f>
        <v>#REF!</v>
      </c>
      <c r="M54" s="201" t="e">
        <f t="shared" si="22"/>
        <v>#REF!</v>
      </c>
      <c r="N54" s="201" t="e">
        <f t="shared" si="22"/>
        <v>#REF!</v>
      </c>
      <c r="O54" s="201" t="e">
        <f t="shared" si="22"/>
        <v>#REF!</v>
      </c>
      <c r="P54" s="201" t="e">
        <f t="shared" si="22"/>
        <v>#REF!</v>
      </c>
      <c r="Q54" s="201" t="e">
        <f t="shared" si="22"/>
        <v>#REF!</v>
      </c>
      <c r="R54" s="201" t="e">
        <f t="shared" si="22"/>
        <v>#REF!</v>
      </c>
      <c r="S54" s="200" t="e">
        <f t="shared" si="22"/>
        <v>#REF!</v>
      </c>
      <c r="T54" s="279">
        <f>'Учебный план (заочная)'!N58</f>
        <v>0</v>
      </c>
      <c r="U54" s="186">
        <f>'Учебный план (заочная)'!D58</f>
        <v>0</v>
      </c>
      <c r="V54" s="186" t="str">
        <f>'Учебный план (заочная)'!E58</f>
        <v>2</v>
      </c>
      <c r="W54" s="186">
        <f>'Учебный план (заочная)'!F58</f>
        <v>0</v>
      </c>
      <c r="X54" s="186">
        <f>'Учебный план (заочная)'!H58</f>
        <v>0</v>
      </c>
      <c r="Y54" s="186">
        <f>'Учебный план (заочная)'!I58</f>
        <v>0</v>
      </c>
      <c r="Z54" s="282" t="str">
        <f>'Учебный план (заочная)'!B58</f>
        <v>Учебная практика</v>
      </c>
    </row>
    <row r="55" spans="1:26" ht="12.75">
      <c r="A55" s="252" t="s">
        <v>184</v>
      </c>
      <c r="B55" s="271" t="str">
        <f>'Учебный план'!B79</f>
        <v>Слесарная</v>
      </c>
      <c r="C55" s="113">
        <f>'Учебный план'!C79</f>
        <v>0</v>
      </c>
      <c r="D55" s="113">
        <f>'Учебный план'!D79</f>
        <v>0</v>
      </c>
      <c r="E55" s="113" t="str">
        <f>'Учебный план'!E79</f>
        <v>4</v>
      </c>
      <c r="F55" s="113">
        <f>'Учебный план'!F79</f>
        <v>0</v>
      </c>
      <c r="G55" s="113">
        <f>'Учебный план'!H79</f>
        <v>0</v>
      </c>
      <c r="H55" s="113">
        <f>'Учебный план'!I79</f>
        <v>0</v>
      </c>
      <c r="I55" s="148"/>
      <c r="J55" s="141"/>
      <c r="K55" s="269">
        <f>'Учебный план'!L79</f>
        <v>72</v>
      </c>
      <c r="L55" s="266" t="e">
        <f>SUM(M55:Q55)</f>
        <v>#REF!</v>
      </c>
      <c r="M55" s="140" t="e">
        <f aca="true" t="shared" si="23" ref="M55:R55">U55+AB55+AJ55+AR55+AZ55+BH55+BP55+BX55+CF55+CN55</f>
        <v>#REF!</v>
      </c>
      <c r="N55" s="140" t="e">
        <f t="shared" si="23"/>
        <v>#REF!</v>
      </c>
      <c r="O55" s="140" t="e">
        <f t="shared" si="23"/>
        <v>#REF!</v>
      </c>
      <c r="P55" s="140" t="e">
        <f t="shared" si="23"/>
        <v>#REF!</v>
      </c>
      <c r="Q55" s="140" t="e">
        <f t="shared" si="23"/>
        <v>#REF!</v>
      </c>
      <c r="R55" s="140" t="e">
        <f t="shared" si="23"/>
        <v>#REF!</v>
      </c>
      <c r="S55" s="145" t="e">
        <f>#REF!+AH55+AP55+AX55+BF55+BN55+BV55+CD55+CL55+CT55</f>
        <v>#REF!</v>
      </c>
      <c r="T55" s="279" t="e">
        <f>'Учебный план (заочная)'!#REF!</f>
        <v>#REF!</v>
      </c>
      <c r="U55" s="181" t="e">
        <f>'Учебный план (заочная)'!#REF!</f>
        <v>#REF!</v>
      </c>
      <c r="V55" s="181" t="e">
        <f>'Учебный план (заочная)'!#REF!</f>
        <v>#REF!</v>
      </c>
      <c r="W55" s="181" t="e">
        <f>'Учебный план (заочная)'!#REF!</f>
        <v>#REF!</v>
      </c>
      <c r="X55" s="181" t="e">
        <f>'Учебный план (заочная)'!#REF!</f>
        <v>#REF!</v>
      </c>
      <c r="Y55" s="181" t="e">
        <f>'Учебный план (заочная)'!#REF!</f>
        <v>#REF!</v>
      </c>
      <c r="Z55" s="284" t="e">
        <f>'Учебный план (заочная)'!#REF!</f>
        <v>#REF!</v>
      </c>
    </row>
    <row r="56" spans="1:26" ht="12.75">
      <c r="A56" s="253" t="s">
        <v>379</v>
      </c>
      <c r="B56" s="271" t="str">
        <f>'Учебный план'!B80</f>
        <v>Шлюпочно-такелажная</v>
      </c>
      <c r="C56" s="113">
        <f>'Учебный план'!C80</f>
        <v>0</v>
      </c>
      <c r="D56" s="113">
        <f>'Учебный план'!D80</f>
        <v>0</v>
      </c>
      <c r="E56" s="113" t="str">
        <f>'Учебный план'!E80</f>
        <v>4</v>
      </c>
      <c r="F56" s="113">
        <f>'Учебный план'!F80</f>
        <v>0</v>
      </c>
      <c r="G56" s="113">
        <f>'Учебный план'!H80</f>
        <v>0</v>
      </c>
      <c r="H56" s="113">
        <f>'Учебный план'!I80</f>
        <v>0</v>
      </c>
      <c r="I56" s="149"/>
      <c r="J56" s="110"/>
      <c r="K56" s="269">
        <f>'Учебный план'!L80</f>
        <v>72</v>
      </c>
      <c r="L56" s="258" t="e">
        <f>SUM(M56:Q56)</f>
        <v>#REF!</v>
      </c>
      <c r="M56" s="108"/>
      <c r="N56" s="108" t="e">
        <f>V56+AC56+AK56+AS56+BA56+BI56+BQ56+BY56+CG56+CO56</f>
        <v>#REF!</v>
      </c>
      <c r="O56" s="108" t="e">
        <f>W56+AD56+AL56+AT56+BB56+BJ56+BR56+BZ56+CH56+CP56</f>
        <v>#REF!</v>
      </c>
      <c r="P56" s="108"/>
      <c r="Q56" s="108"/>
      <c r="R56" s="108"/>
      <c r="S56" s="129" t="e">
        <f>#REF!+AH56+AP56+AX56+BF56+BN56+BV56+CD56+CL56+CT56</f>
        <v>#REF!</v>
      </c>
      <c r="T56" s="279" t="e">
        <f>'Учебный план (заочная)'!#REF!</f>
        <v>#REF!</v>
      </c>
      <c r="U56" s="181" t="e">
        <f>'Учебный план (заочная)'!#REF!</f>
        <v>#REF!</v>
      </c>
      <c r="V56" s="181" t="e">
        <f>'Учебный план (заочная)'!#REF!</f>
        <v>#REF!</v>
      </c>
      <c r="W56" s="181" t="e">
        <f>'Учебный план (заочная)'!#REF!</f>
        <v>#REF!</v>
      </c>
      <c r="X56" s="181" t="e">
        <f>'Учебный план (заочная)'!#REF!</f>
        <v>#REF!</v>
      </c>
      <c r="Y56" s="181" t="e">
        <f>'Учебный план (заочная)'!#REF!</f>
        <v>#REF!</v>
      </c>
      <c r="Z56" s="284" t="e">
        <f>'Учебный план (заочная)'!#REF!</f>
        <v>#REF!</v>
      </c>
    </row>
    <row r="57" spans="1:26" ht="12.75">
      <c r="A57" s="253" t="s">
        <v>381</v>
      </c>
      <c r="B57" s="271" t="str">
        <f>'Учебный план'!B81</f>
        <v>Групповая плавательская</v>
      </c>
      <c r="C57" s="113">
        <f>'Учебный план'!C81</f>
        <v>0</v>
      </c>
      <c r="D57" s="113">
        <f>'Учебный план'!D81</f>
        <v>0</v>
      </c>
      <c r="E57" s="113" t="str">
        <f>'Учебный план'!E81</f>
        <v>4</v>
      </c>
      <c r="F57" s="113">
        <f>'Учебный план'!F81</f>
        <v>0</v>
      </c>
      <c r="G57" s="113">
        <f>'Учебный план'!H81</f>
        <v>0</v>
      </c>
      <c r="H57" s="113">
        <f>'Учебный план'!I81</f>
        <v>0</v>
      </c>
      <c r="I57" s="149"/>
      <c r="J57" s="110"/>
      <c r="K57" s="269">
        <f>'Учебный план'!L81</f>
        <v>252</v>
      </c>
      <c r="L57" s="258" t="e">
        <f>SUM(M57:Q57)</f>
        <v>#REF!</v>
      </c>
      <c r="M57" s="108"/>
      <c r="N57" s="108" t="e">
        <f>V57+AC57+AK57+AS57+BA57+BI57+BQ57+BY57+CG57+CO57</f>
        <v>#REF!</v>
      </c>
      <c r="O57" s="108" t="e">
        <f>W57+AD57+AL57+AT57+BB57+BJ57+BR57+BZ57+CH57+CP57</f>
        <v>#REF!</v>
      </c>
      <c r="P57" s="108"/>
      <c r="Q57" s="108"/>
      <c r="R57" s="108"/>
      <c r="S57" s="129" t="e">
        <f>#REF!+AH57+AP57+AX57+BF57+BN57+BV57+CD57+CL57+CT57</f>
        <v>#REF!</v>
      </c>
      <c r="T57" s="279" t="e">
        <f>'Учебный план (заочная)'!#REF!</f>
        <v>#REF!</v>
      </c>
      <c r="U57" s="181" t="e">
        <f>'Учебный план (заочная)'!#REF!</f>
        <v>#REF!</v>
      </c>
      <c r="V57" s="181" t="e">
        <f>'Учебный план (заочная)'!#REF!</f>
        <v>#REF!</v>
      </c>
      <c r="W57" s="181" t="e">
        <f>'Учебный план (заочная)'!#REF!</f>
        <v>#REF!</v>
      </c>
      <c r="X57" s="181" t="e">
        <f>'Учебный план (заочная)'!#REF!</f>
        <v>#REF!</v>
      </c>
      <c r="Y57" s="181" t="e">
        <f>'Учебный план (заочная)'!#REF!</f>
        <v>#REF!</v>
      </c>
      <c r="Z57" s="284" t="e">
        <f>'Учебный план (заочная)'!#REF!</f>
        <v>#REF!</v>
      </c>
    </row>
    <row r="58" spans="1:26" ht="13.5" thickBot="1">
      <c r="A58" s="154" t="s">
        <v>393</v>
      </c>
      <c r="B58" s="271" t="str">
        <f>'Учебный план'!B82</f>
        <v>Практика по БЖС и ОСПС</v>
      </c>
      <c r="C58" s="113">
        <f>'Учебный план'!C82</f>
        <v>0</v>
      </c>
      <c r="D58" s="113">
        <f>'Учебный план'!D82</f>
        <v>0</v>
      </c>
      <c r="E58" s="113">
        <f>'Учебный план'!E82</f>
        <v>0</v>
      </c>
      <c r="F58" s="113">
        <f>'Учебный план'!F82</f>
        <v>0</v>
      </c>
      <c r="G58" s="113">
        <f>'Учебный план'!H82</f>
        <v>0</v>
      </c>
      <c r="H58" s="113">
        <f>'Учебный план'!I82</f>
        <v>0</v>
      </c>
      <c r="I58" s="150"/>
      <c r="J58" s="179"/>
      <c r="K58" s="269">
        <f>'Учебный план'!L82</f>
        <v>0</v>
      </c>
      <c r="L58" s="134" t="e">
        <f>SUM(#REF!)</f>
        <v>#REF!</v>
      </c>
      <c r="M58" s="134" t="e">
        <f>SUM(#REF!)</f>
        <v>#REF!</v>
      </c>
      <c r="N58" s="134" t="e">
        <f>SUM(#REF!)</f>
        <v>#REF!</v>
      </c>
      <c r="O58" s="134" t="e">
        <f>SUM(#REF!)</f>
        <v>#REF!</v>
      </c>
      <c r="P58" s="134" t="e">
        <f>SUM(#REF!)</f>
        <v>#REF!</v>
      </c>
      <c r="Q58" s="134" t="e">
        <f>SUM(#REF!)</f>
        <v>#REF!</v>
      </c>
      <c r="R58" s="134" t="e">
        <f>SUM(#REF!)</f>
        <v>#REF!</v>
      </c>
      <c r="S58" s="135" t="e">
        <f>SUM(#REF!)</f>
        <v>#REF!</v>
      </c>
      <c r="T58" s="279" t="e">
        <f>'Учебный план (заочная)'!#REF!</f>
        <v>#REF!</v>
      </c>
      <c r="U58" s="181" t="e">
        <f>'Учебный план (заочная)'!#REF!</f>
        <v>#REF!</v>
      </c>
      <c r="V58" s="181" t="e">
        <f>'Учебный план (заочная)'!#REF!</f>
        <v>#REF!</v>
      </c>
      <c r="W58" s="181" t="e">
        <f>'Учебный план (заочная)'!#REF!</f>
        <v>#REF!</v>
      </c>
      <c r="X58" s="181" t="e">
        <f>'Учебный план (заочная)'!#REF!</f>
        <v>#REF!</v>
      </c>
      <c r="Y58" s="181" t="e">
        <f>'Учебный план (заочная)'!#REF!</f>
        <v>#REF!</v>
      </c>
      <c r="Z58" s="284" t="e">
        <f>'Учебный план (заочная)'!#REF!</f>
        <v>#REF!</v>
      </c>
    </row>
    <row r="59" spans="1:26" ht="12.75">
      <c r="A59" s="254" t="s">
        <v>185</v>
      </c>
      <c r="B59" s="817" t="s">
        <v>125</v>
      </c>
      <c r="C59" s="818"/>
      <c r="D59" s="202"/>
      <c r="E59" s="202"/>
      <c r="F59" s="202"/>
      <c r="G59" s="202"/>
      <c r="H59" s="203"/>
      <c r="I59" s="204"/>
      <c r="J59" s="205"/>
      <c r="K59" s="270">
        <f>'Учебный план'!L85</f>
        <v>0</v>
      </c>
      <c r="L59" s="204" t="e">
        <f>SUM(#REF!)</f>
        <v>#REF!</v>
      </c>
      <c r="M59" s="206" t="e">
        <f>SUM(#REF!)</f>
        <v>#REF!</v>
      </c>
      <c r="N59" s="206" t="e">
        <f>SUM(#REF!)</f>
        <v>#REF!</v>
      </c>
      <c r="O59" s="206" t="e">
        <f>SUM(#REF!)</f>
        <v>#REF!</v>
      </c>
      <c r="P59" s="206" t="e">
        <f>SUM(#REF!)</f>
        <v>#REF!</v>
      </c>
      <c r="Q59" s="206" t="e">
        <f>SUM(#REF!)</f>
        <v>#REF!</v>
      </c>
      <c r="R59" s="206" t="e">
        <f>SUM(#REF!)</f>
        <v>#REF!</v>
      </c>
      <c r="S59" s="207" t="e">
        <f>SUM(#REF!)</f>
        <v>#REF!</v>
      </c>
      <c r="T59" s="279">
        <f>'Учебный план (заочная)'!N59</f>
        <v>0</v>
      </c>
      <c r="U59" s="186">
        <f>'Учебный план (заочная)'!D59</f>
        <v>0</v>
      </c>
      <c r="V59" s="186">
        <f>'Учебный план (заочная)'!E59</f>
        <v>0</v>
      </c>
      <c r="W59" s="186">
        <f>'Учебный план (заочная)'!F59</f>
        <v>0</v>
      </c>
      <c r="X59" s="186">
        <f>'Учебный план (заочная)'!H59</f>
        <v>0</v>
      </c>
      <c r="Y59" s="186">
        <f>'Учебный план (заочная)'!I59</f>
        <v>0</v>
      </c>
      <c r="Z59" s="282" t="str">
        <f>'Учебный план (заочная)'!B59</f>
        <v>Производственная практика</v>
      </c>
    </row>
    <row r="60" spans="1:26" ht="25.5">
      <c r="A60" s="240"/>
      <c r="B60" s="271" t="str">
        <f>'Учебный план'!B86</f>
        <v>Производственная практика (по профилю специальности)</v>
      </c>
      <c r="C60" s="113">
        <f>'Учебный план'!C86</f>
        <v>0</v>
      </c>
      <c r="D60" s="113">
        <f>'Учебный план'!D86</f>
        <v>0</v>
      </c>
      <c r="E60" s="113" t="str">
        <f>'Учебный план'!E86</f>
        <v>7</v>
      </c>
      <c r="F60" s="113">
        <f>'Учебный план'!F86</f>
        <v>0</v>
      </c>
      <c r="G60" s="113">
        <f>'Учебный план'!H86</f>
        <v>0</v>
      </c>
      <c r="H60" s="113">
        <f>'Учебный план'!I86</f>
        <v>0</v>
      </c>
      <c r="I60" s="94"/>
      <c r="J60" s="95"/>
      <c r="K60" s="269">
        <f>'Учебный план'!L86</f>
        <v>0</v>
      </c>
      <c r="L60" s="264"/>
      <c r="M60" s="93"/>
      <c r="N60" s="93"/>
      <c r="O60" s="93"/>
      <c r="P60" s="93"/>
      <c r="Q60" s="93"/>
      <c r="R60" s="93"/>
      <c r="S60" s="144"/>
      <c r="T60" s="279">
        <f>'Учебный план (заочная)'!N60</f>
        <v>0</v>
      </c>
      <c r="U60" s="181">
        <f>'Учебный план (заочная)'!D60</f>
        <v>0</v>
      </c>
      <c r="V60" s="181" t="str">
        <f>'Учебный план (заочная)'!E60</f>
        <v>4</v>
      </c>
      <c r="W60" s="181">
        <f>'Учебный план (заочная)'!F60</f>
        <v>0</v>
      </c>
      <c r="X60" s="181">
        <f>'Учебный план (заочная)'!H60</f>
        <v>0</v>
      </c>
      <c r="Y60" s="181">
        <f>'Учебный план (заочная)'!I60</f>
        <v>0</v>
      </c>
      <c r="Z60" s="284" t="str">
        <f>'Учебный план (заочная)'!B60</f>
        <v>Производственная практика (по профилю специальности)</v>
      </c>
    </row>
    <row r="61" spans="1:26" ht="26.25" thickBot="1">
      <c r="A61" s="240"/>
      <c r="B61" s="271" t="str">
        <f>'Учебный план'!B87</f>
        <v>Производственная практика (преддипломная)</v>
      </c>
      <c r="C61" s="113">
        <f>'Учебный план'!C87</f>
        <v>0</v>
      </c>
      <c r="D61" s="113">
        <f>'Учебный план'!D87</f>
        <v>0</v>
      </c>
      <c r="E61" s="113" t="str">
        <f>'Учебный план'!E87</f>
        <v>7</v>
      </c>
      <c r="F61" s="113">
        <f>'Учебный план'!F87</f>
        <v>0</v>
      </c>
      <c r="G61" s="113">
        <f>'Учебный план'!H87</f>
        <v>0</v>
      </c>
      <c r="H61" s="113">
        <f>'Учебный план'!I87</f>
        <v>0</v>
      </c>
      <c r="I61" s="94"/>
      <c r="J61" s="95"/>
      <c r="K61" s="269">
        <f>'Учебный план'!L87</f>
        <v>0</v>
      </c>
      <c r="L61" s="264"/>
      <c r="M61" s="93"/>
      <c r="N61" s="93"/>
      <c r="O61" s="93"/>
      <c r="P61" s="93"/>
      <c r="Q61" s="93"/>
      <c r="R61" s="93"/>
      <c r="S61" s="144"/>
      <c r="T61" s="279">
        <f>'Учебный план (заочная)'!N60</f>
        <v>0</v>
      </c>
      <c r="U61" s="181">
        <f>'Учебный план (заочная)'!D61</f>
        <v>0</v>
      </c>
      <c r="V61" s="181" t="str">
        <f>'Учебный план (заочная)'!E61</f>
        <v>4</v>
      </c>
      <c r="W61" s="181">
        <f>'Учебный план (заочная)'!F61</f>
        <v>0</v>
      </c>
      <c r="X61" s="181">
        <f>'Учебный план (заочная)'!H61</f>
        <v>0</v>
      </c>
      <c r="Y61" s="181">
        <f>'Учебный план (заочная)'!I61</f>
        <v>0</v>
      </c>
      <c r="Z61" s="284" t="str">
        <f>'Учебный план (заочная)'!B61</f>
        <v>Производственная практика (преддипломная)</v>
      </c>
    </row>
    <row r="62" spans="1:26" ht="29.25" customHeight="1" thickBot="1">
      <c r="A62" s="237" t="s">
        <v>187</v>
      </c>
      <c r="B62" s="819" t="s">
        <v>495</v>
      </c>
      <c r="C62" s="820"/>
      <c r="D62" s="198"/>
      <c r="E62" s="198"/>
      <c r="F62" s="198"/>
      <c r="G62" s="198"/>
      <c r="H62" s="198"/>
      <c r="I62" s="199"/>
      <c r="J62" s="200" t="s">
        <v>22</v>
      </c>
      <c r="K62" s="270">
        <f>'Учебный план'!L88</f>
        <v>216</v>
      </c>
      <c r="L62" s="201">
        <f aca="true" t="shared" si="24" ref="L62:S62">SUM(L63:L64)</f>
        <v>0</v>
      </c>
      <c r="M62" s="208">
        <f t="shared" si="24"/>
        <v>0</v>
      </c>
      <c r="N62" s="208">
        <f t="shared" si="24"/>
        <v>0</v>
      </c>
      <c r="O62" s="208">
        <f t="shared" si="24"/>
        <v>0</v>
      </c>
      <c r="P62" s="208">
        <f t="shared" si="24"/>
        <v>0</v>
      </c>
      <c r="Q62" s="208">
        <f t="shared" si="24"/>
        <v>0</v>
      </c>
      <c r="R62" s="208" t="e">
        <f t="shared" si="24"/>
        <v>#VALUE!</v>
      </c>
      <c r="S62" s="209" t="e">
        <f t="shared" si="24"/>
        <v>#REF!</v>
      </c>
      <c r="T62" s="279">
        <f>'Учебный план (заочная)'!N62</f>
        <v>216</v>
      </c>
      <c r="U62" s="186">
        <f>'Учебный план (заочная)'!D62</f>
        <v>0</v>
      </c>
      <c r="V62" s="186">
        <f>'Учебный план (заочная)'!E62</f>
        <v>0</v>
      </c>
      <c r="W62" s="186">
        <f>'Учебный план (заочная)'!F62</f>
        <v>0</v>
      </c>
      <c r="X62" s="186">
        <f>'Учебный план (заочная)'!H62</f>
        <v>0</v>
      </c>
      <c r="Y62" s="186">
        <f>'Учебный план (заочная)'!I62</f>
        <v>0</v>
      </c>
      <c r="Z62" s="282" t="str">
        <f>'Учебный план (заочная)'!B62</f>
        <v>Государственная итоговая аттестация</v>
      </c>
    </row>
    <row r="63" spans="1:26" ht="38.25">
      <c r="A63" s="251" t="s">
        <v>188</v>
      </c>
      <c r="B63" s="271" t="str">
        <f>'Учебный план'!B89</f>
        <v>Подготовка и защита выпускной квалификационной работы</v>
      </c>
      <c r="C63" s="113">
        <f>'Учебный план'!C89</f>
        <v>0</v>
      </c>
      <c r="D63" s="113">
        <f>'Учебный план'!D89</f>
        <v>0</v>
      </c>
      <c r="E63" s="113">
        <f>'Учебный план'!E89</f>
        <v>0</v>
      </c>
      <c r="F63" s="113">
        <f>'Учебный план'!F89</f>
        <v>0</v>
      </c>
      <c r="G63" s="113">
        <f>'Учебный план'!H89</f>
        <v>0</v>
      </c>
      <c r="H63" s="113">
        <f>'Учебный план'!I89</f>
        <v>0</v>
      </c>
      <c r="I63" s="139"/>
      <c r="J63" s="141"/>
      <c r="K63" s="269">
        <f>'Учебный план'!L89</f>
        <v>216</v>
      </c>
      <c r="L63" s="266">
        <f>SUM(M63:Q63)</f>
        <v>0</v>
      </c>
      <c r="M63" s="140">
        <f aca="true" t="shared" si="25" ref="M63:R64">U63+AB63+AJ63+AR63+AZ63+BH63+BP63+BX63+CF63+CN63</f>
        <v>0</v>
      </c>
      <c r="N63" s="140">
        <f t="shared" si="25"/>
        <v>0</v>
      </c>
      <c r="O63" s="140">
        <f t="shared" si="25"/>
        <v>0</v>
      </c>
      <c r="P63" s="140">
        <f t="shared" si="25"/>
        <v>0</v>
      </c>
      <c r="Q63" s="140">
        <f t="shared" si="25"/>
        <v>0</v>
      </c>
      <c r="R63" s="140" t="e">
        <f t="shared" si="25"/>
        <v>#VALUE!</v>
      </c>
      <c r="S63" s="145" t="e">
        <f>#REF!+AH63+AP63+AX63+BF63+BN63+BV63+CD63+CL63+CT63</f>
        <v>#REF!</v>
      </c>
      <c r="T63" s="279">
        <f>'Учебный план (заочная)'!N63</f>
        <v>216</v>
      </c>
      <c r="U63" s="181">
        <f>'Учебный план (заочная)'!D63</f>
        <v>0</v>
      </c>
      <c r="V63" s="181">
        <f>'Учебный план (заочная)'!E63</f>
        <v>0</v>
      </c>
      <c r="W63" s="181">
        <f>'Учебный план (заочная)'!F63</f>
        <v>0</v>
      </c>
      <c r="X63" s="181">
        <f>'Учебный план (заочная)'!H63</f>
        <v>0</v>
      </c>
      <c r="Y63" s="181">
        <f>'Учебный план (заочная)'!I63</f>
        <v>0</v>
      </c>
      <c r="Z63" s="280" t="str">
        <f>'Учебный план (заочная)'!B63</f>
        <v>Подготовка и защита выпускной квалификационной работы</v>
      </c>
    </row>
    <row r="64" spans="1:26" ht="13.5" thickBot="1">
      <c r="A64" s="255" t="s">
        <v>189</v>
      </c>
      <c r="B64" s="273">
        <f>'Учебный план'!B90</f>
        <v>0</v>
      </c>
      <c r="C64" s="274">
        <f>'Учебный план'!C90</f>
        <v>0</v>
      </c>
      <c r="D64" s="113">
        <f>'Учебный план'!D90</f>
        <v>0</v>
      </c>
      <c r="E64" s="113">
        <f>'Учебный план'!E90</f>
        <v>0</v>
      </c>
      <c r="F64" s="113">
        <f>'Учебный план'!F90</f>
        <v>0</v>
      </c>
      <c r="G64" s="113">
        <f>'Учебный план'!H90</f>
        <v>0</v>
      </c>
      <c r="H64" s="113">
        <f>'Учебный план'!I90</f>
        <v>0</v>
      </c>
      <c r="I64" s="275"/>
      <c r="J64" s="276"/>
      <c r="K64" s="277">
        <f>'Учебный план'!L90</f>
        <v>0</v>
      </c>
      <c r="L64" s="267">
        <f>SUM(M64:Q64)</f>
        <v>0</v>
      </c>
      <c r="M64" s="117">
        <f t="shared" si="25"/>
        <v>0</v>
      </c>
      <c r="N64" s="117">
        <f t="shared" si="25"/>
        <v>0</v>
      </c>
      <c r="O64" s="117">
        <f t="shared" si="25"/>
        <v>0</v>
      </c>
      <c r="P64" s="117">
        <f t="shared" si="25"/>
        <v>0</v>
      </c>
      <c r="Q64" s="117">
        <f t="shared" si="25"/>
        <v>0</v>
      </c>
      <c r="R64" s="117">
        <f t="shared" si="25"/>
        <v>0</v>
      </c>
      <c r="S64" s="133" t="e">
        <f>#REF!+AH64+AP64+AX64+BF64+BN64+BV64+CD64+CL64+CT64</f>
        <v>#REF!</v>
      </c>
      <c r="T64" s="286">
        <f>'Учебный план (заочная)'!N64</f>
        <v>0</v>
      </c>
      <c r="U64" s="181">
        <f>'Учебный план (заочная)'!D64</f>
        <v>0</v>
      </c>
      <c r="V64" s="181">
        <f>'Учебный план (заочная)'!E64</f>
        <v>0</v>
      </c>
      <c r="W64" s="181">
        <f>'Учебный план (заочная)'!F64</f>
        <v>0</v>
      </c>
      <c r="X64" s="181">
        <f>'Учебный план (заочная)'!H64</f>
        <v>0</v>
      </c>
      <c r="Y64" s="181">
        <f>'Учебный план (заочная)'!I64</f>
        <v>0</v>
      </c>
      <c r="Z64" s="287">
        <f>'Учебный план (заочная)'!B64</f>
        <v>0</v>
      </c>
    </row>
  </sheetData>
  <sheetProtection password="CC6B" sheet="1" objects="1" scenarios="1" selectLockedCells="1" selectUnlockedCells="1"/>
  <mergeCells count="40">
    <mergeCell ref="B9:C9"/>
    <mergeCell ref="A1:A7"/>
    <mergeCell ref="B1:B7"/>
    <mergeCell ref="C1:C7"/>
    <mergeCell ref="D1:H2"/>
    <mergeCell ref="I1:J6"/>
    <mergeCell ref="D3:D7"/>
    <mergeCell ref="E3:E7"/>
    <mergeCell ref="G3:G7"/>
    <mergeCell ref="H3:H7"/>
    <mergeCell ref="M4:M7"/>
    <mergeCell ref="B59:C59"/>
    <mergeCell ref="B62:C62"/>
    <mergeCell ref="T2:T7"/>
    <mergeCell ref="B29:H29"/>
    <mergeCell ref="B38:H38"/>
    <mergeCell ref="B43:H43"/>
    <mergeCell ref="B46:H46"/>
    <mergeCell ref="B54:C54"/>
    <mergeCell ref="B8:C8"/>
    <mergeCell ref="Y3:Y7"/>
    <mergeCell ref="B14:H14"/>
    <mergeCell ref="B18:C18"/>
    <mergeCell ref="B19:C19"/>
    <mergeCell ref="B28:C28"/>
    <mergeCell ref="S3:S7"/>
    <mergeCell ref="L3:L7"/>
    <mergeCell ref="R3:R7"/>
    <mergeCell ref="K2:K7"/>
    <mergeCell ref="L2:S2"/>
    <mergeCell ref="N4:N7"/>
    <mergeCell ref="O4:O7"/>
    <mergeCell ref="P4:P7"/>
    <mergeCell ref="Q4:Q7"/>
    <mergeCell ref="M3:Q3"/>
    <mergeCell ref="Z1:Z7"/>
    <mergeCell ref="U1:Y2"/>
    <mergeCell ref="U3:U7"/>
    <mergeCell ref="V3:V7"/>
    <mergeCell ref="X3:X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"/>
  <sheetViews>
    <sheetView view="pageBreakPreview" zoomScale="85" zoomScaleSheetLayoutView="85" zoomScalePageLayoutView="0" workbookViewId="0" topLeftCell="A3">
      <selection activeCell="I12" sqref="I12"/>
    </sheetView>
  </sheetViews>
  <sheetFormatPr defaultColWidth="9.33203125" defaultRowHeight="12.75"/>
  <cols>
    <col min="1" max="1" width="58.16015625" style="70" customWidth="1"/>
    <col min="2" max="3" width="12.66015625" style="70" customWidth="1"/>
    <col min="4" max="4" width="14.66015625" style="70" customWidth="1"/>
    <col min="5" max="5" width="16.16015625" style="70" customWidth="1"/>
    <col min="6" max="6" width="16.33203125" style="70" customWidth="1"/>
    <col min="7" max="7" width="15.5" style="70" customWidth="1"/>
    <col min="8" max="9" width="28.5" style="70" customWidth="1"/>
    <col min="10" max="16384" width="9.33203125" style="70" customWidth="1"/>
  </cols>
  <sheetData>
    <row r="1" spans="1:9" s="55" customFormat="1" ht="12.75">
      <c r="A1" s="885" t="s">
        <v>92</v>
      </c>
      <c r="B1" s="885"/>
      <c r="C1" s="885"/>
      <c r="D1" s="885"/>
      <c r="E1" s="885"/>
      <c r="F1" s="885"/>
      <c r="G1" s="885"/>
      <c r="H1" s="885"/>
      <c r="I1" s="885"/>
    </row>
    <row r="2" spans="1:9" s="55" customFormat="1" ht="24.75" customHeight="1">
      <c r="A2" s="866" t="s">
        <v>87</v>
      </c>
      <c r="B2" s="867"/>
      <c r="C2" s="868"/>
      <c r="D2" s="882" t="s">
        <v>91</v>
      </c>
      <c r="E2" s="884"/>
      <c r="F2" s="886" t="s">
        <v>93</v>
      </c>
      <c r="G2" s="886"/>
      <c r="H2" s="888" t="s">
        <v>132</v>
      </c>
      <c r="I2" s="889"/>
    </row>
    <row r="3" spans="1:9" s="55" customFormat="1" ht="76.5">
      <c r="A3" s="869"/>
      <c r="B3" s="870"/>
      <c r="C3" s="871"/>
      <c r="D3" s="18" t="s">
        <v>157</v>
      </c>
      <c r="E3" s="18" t="s">
        <v>218</v>
      </c>
      <c r="F3" s="18" t="s">
        <v>157</v>
      </c>
      <c r="G3" s="18" t="s">
        <v>218</v>
      </c>
      <c r="H3" s="18" t="s">
        <v>157</v>
      </c>
      <c r="I3" s="18" t="s">
        <v>218</v>
      </c>
    </row>
    <row r="4" spans="1:9" s="55" customFormat="1" ht="12.75" hidden="1">
      <c r="A4" s="48"/>
      <c r="B4" s="15"/>
      <c r="C4" s="15"/>
      <c r="D4" s="15"/>
      <c r="E4" s="15"/>
      <c r="F4" s="15"/>
      <c r="G4" s="15"/>
      <c r="H4" s="15"/>
      <c r="I4" s="16"/>
    </row>
    <row r="5" spans="1:9" s="55" customFormat="1" ht="15.75" hidden="1">
      <c r="A5" s="875" t="s">
        <v>326</v>
      </c>
      <c r="B5" s="876"/>
      <c r="C5" s="876"/>
      <c r="D5" s="876"/>
      <c r="E5" s="17"/>
      <c r="F5" s="17"/>
      <c r="G5" s="17"/>
      <c r="H5" s="19"/>
      <c r="I5" s="20"/>
    </row>
    <row r="6" spans="1:9" s="55" customFormat="1" ht="12.75">
      <c r="A6" s="872" t="s">
        <v>474</v>
      </c>
      <c r="B6" s="873"/>
      <c r="C6" s="874"/>
      <c r="D6" s="56">
        <f>G34*G38</f>
        <v>2106</v>
      </c>
      <c r="E6" s="39">
        <v>1404</v>
      </c>
      <c r="F6" s="34">
        <f>'Учебный план'!L10</f>
        <v>2106</v>
      </c>
      <c r="G6" s="34">
        <f>'Учебный план'!M10</f>
        <v>1404</v>
      </c>
      <c r="H6" s="36" t="str">
        <f>IF(OR(D6="",E6=""),"введите данные ФГОС",IF('Учебный план'!L95=0,"заполняйте учебный план",IF(OR(D6="-",D6=F6),"норма",IF(F6&lt;D6,F6-D6,IF(F6&gt;D6,F6-D6,"норма")))))</f>
        <v>норма</v>
      </c>
      <c r="I6" s="36" t="str">
        <f>IF(OR(D6="",E6=""),"введите данные ФГОС",IF('Учебный план'!L95=0,"заполняйте учебный план",IF(OR(E6="-",E6=G6),"норма",IF(G6&lt;E6,G6-E6,IF(G6&gt;E6,G6-E6,"норма")))))</f>
        <v>норма</v>
      </c>
    </row>
    <row r="7" spans="1:9" s="55" customFormat="1" ht="12.75" hidden="1">
      <c r="A7" s="872" t="s">
        <v>235</v>
      </c>
      <c r="B7" s="873"/>
      <c r="C7" s="874"/>
      <c r="D7" s="56" t="s">
        <v>22</v>
      </c>
      <c r="E7" s="151" t="s">
        <v>22</v>
      </c>
      <c r="F7" s="34">
        <f>'Учебный план'!L11</f>
        <v>1380</v>
      </c>
      <c r="G7" s="34">
        <f>'Учебный план'!M11</f>
        <v>920</v>
      </c>
      <c r="H7" s="36" t="str">
        <f>IF(OR(D7="",E7=""),"введите данные ФГОС",IF('Учебный план'!L95=0,"заполняйте учебный план",IF(OR(D7="-",D7=F7),"норма",IF(F7&lt;D7,F7-D7,IF(F7&gt;D7,F7-D7,"норма")))))</f>
        <v>норма</v>
      </c>
      <c r="I7" s="36" t="str">
        <f>IF(OR(D7="",E7=""),"введите данные ФГОС",IF('Учебный план'!L95=0,"заполняйте учебный план",IF(OR(E7="-",E7=G7),"норма",IF(G7&lt;E7,G7-E7,IF(G7&gt;E7,G7-E7,"норма")))))</f>
        <v>норма</v>
      </c>
    </row>
    <row r="8" spans="1:9" s="55" customFormat="1" ht="12.75" hidden="1">
      <c r="A8" s="880" t="s">
        <v>234</v>
      </c>
      <c r="B8" s="873"/>
      <c r="C8" s="874"/>
      <c r="D8" s="56" t="s">
        <v>22</v>
      </c>
      <c r="E8" s="151" t="s">
        <v>22</v>
      </c>
      <c r="F8" s="34" t="e">
        <f>'Учебный план'!#REF!</f>
        <v>#REF!</v>
      </c>
      <c r="G8" s="34" t="e">
        <f>'Учебный план'!#REF!</f>
        <v>#REF!</v>
      </c>
      <c r="H8" s="36" t="e">
        <f>IF(OR(D8="",E8=""),"введите данные ФГОС",IF('Учебный план'!L95=0,"заполняйте учебный план",IF(OR(D8="-",D8=F8),"норма",IF(F8&lt;D8,F8-D8,IF(F8&gt;D8,F8-D8,"норма")))))</f>
        <v>#REF!</v>
      </c>
      <c r="I8" s="36" t="e">
        <f>IF(OR(D8="",E8=""),"введите данные ФГОС",IF('Учебный план'!L95=0,"заполняйте учебный план",IF(OR(E8="-",E8=G8),"норма",IF(G8&lt;E8,G8-E8,IF(G8&gt;E8,G8-E8,"норма")))))</f>
        <v>#REF!</v>
      </c>
    </row>
    <row r="9" spans="1:9" s="55" customFormat="1" ht="12.75">
      <c r="A9" s="872" t="s">
        <v>371</v>
      </c>
      <c r="B9" s="873"/>
      <c r="C9" s="874"/>
      <c r="D9" s="39">
        <v>2970</v>
      </c>
      <c r="E9" s="39">
        <v>1980</v>
      </c>
      <c r="F9" s="34">
        <f>'Учебный план'!L27</f>
        <v>3993</v>
      </c>
      <c r="G9" s="34">
        <f>'Учебный план'!M27</f>
        <v>2656</v>
      </c>
      <c r="H9" s="36">
        <f>IF(OR(D9="",E9=""),"введите данные ФГОС",IF('Учебный план'!L95=0,"заполняйте учебный план",IF(OR(D9="-",D9=F9),"норма",IF(F9&lt;D9,F9-D9,IF(F9&gt;D9,F9-D9,"норма")))))</f>
        <v>1023</v>
      </c>
      <c r="I9" s="36">
        <f>IF(OR(D9="",E9=""),"введите данные ФГОС",IF('Учебный план'!L95=0,"заполняйте учебный план",IF(OR(E9="-",E9=G9),"норма",IF(G9&lt;E9,G9-E9,IF(G9&gt;E9,G9-E9,"норма")))))</f>
        <v>676</v>
      </c>
    </row>
    <row r="10" spans="1:9" s="55" customFormat="1" ht="12.75">
      <c r="A10" s="880" t="s">
        <v>151</v>
      </c>
      <c r="B10" s="873"/>
      <c r="C10" s="874"/>
      <c r="D10" s="39">
        <v>612</v>
      </c>
      <c r="E10" s="39">
        <v>408</v>
      </c>
      <c r="F10" s="34">
        <f>'Учебный план'!L28</f>
        <v>737</v>
      </c>
      <c r="G10" s="34">
        <f>'Учебный план'!M28</f>
        <v>445</v>
      </c>
      <c r="H10" s="36">
        <f>IF(OR(D10="",E10=""),"введите данные ФГОС",IF('Учебный план'!L95=0,"заполняйте учебный план",IF(OR(D10="-",D10=F10),"норма",IF(F10&lt;D10,F10-D10,IF(F10&gt;D10,F10-D10,"норма")))))</f>
        <v>125</v>
      </c>
      <c r="I10" s="36">
        <f>IF(OR(D10="",E10=""),"введите данные ФГОС",IF('Учебный план'!L95=0,"заполняйте учебный план",IF(OR(E10="-",E10=G10),"норма",IF(G10&lt;E10,G10-E10,IF(G10&gt;E10,G10-E10,"норма")))))</f>
        <v>37</v>
      </c>
    </row>
    <row r="11" spans="1:9" s="55" customFormat="1" ht="12.75">
      <c r="A11" s="872" t="s">
        <v>233</v>
      </c>
      <c r="B11" s="873"/>
      <c r="C11" s="874"/>
      <c r="D11" s="39">
        <v>162</v>
      </c>
      <c r="E11" s="39">
        <v>108</v>
      </c>
      <c r="F11" s="34">
        <f>'Учебный план'!L33</f>
        <v>192</v>
      </c>
      <c r="G11" s="34">
        <f>'Учебный план'!M33</f>
        <v>128</v>
      </c>
      <c r="H11" s="36">
        <f>IF(OR(D11="",E11=""),"введите данные ФГОС",IF('Учебный план'!L95=0,"заполняйте учебный план",IF(OR(D11="-",D11=F11),"норма",IF(F11&lt;D11,F11-D11,IF(F11&gt;D11,F11-D11,"норма")))))</f>
        <v>30</v>
      </c>
      <c r="I11" s="36">
        <f>IF(OR(D11="",E11=""),"введите данные ФГОС",IF('Учебный план'!L95=0,"заполняйте учебный план",IF(OR(E11="-",E11=G11),"норма",IF(G11&lt;E11,G11-E11,IF(G11&gt;E11,G11-E11,"норма")))))</f>
        <v>20</v>
      </c>
    </row>
    <row r="12" spans="1:9" s="55" customFormat="1" ht="12.75">
      <c r="A12" s="880" t="s">
        <v>66</v>
      </c>
      <c r="B12" s="873"/>
      <c r="C12" s="874"/>
      <c r="D12" s="39">
        <v>2196</v>
      </c>
      <c r="E12" s="39">
        <v>1464</v>
      </c>
      <c r="F12" s="34">
        <f>'Учебный план'!L37</f>
        <v>3064</v>
      </c>
      <c r="G12" s="34">
        <f>'Учебный план'!M37</f>
        <v>2083</v>
      </c>
      <c r="H12" s="36">
        <f>IF(OR(D12="",E12=""),"введите данные ФГОС",IF('Учебный план'!L95=0,"заполняйте учебный план",IF(OR(D12="-",D12=F12),"норма",IF(F12&lt;D12,F12-D12,IF(F12&gt;D12,F12-D12,"норма")))))</f>
        <v>868</v>
      </c>
      <c r="I12" s="36">
        <f>IF(OR(D12="",E12=""),"введите данные ФГОС",IF('Учебный план'!L95=0,"заполняйте учебный план",IF(OR(E12="-",E12=G12),"норма",IF(G12&lt;E12,G12-E12,IF(G12&gt;E12,G12-E12,"норма")))))</f>
        <v>619</v>
      </c>
    </row>
    <row r="13" spans="1:9" s="55" customFormat="1" ht="12.75">
      <c r="A13" s="880" t="s">
        <v>166</v>
      </c>
      <c r="B13" s="873"/>
      <c r="C13" s="874"/>
      <c r="D13" s="39">
        <v>804</v>
      </c>
      <c r="E13" s="39">
        <v>536</v>
      </c>
      <c r="F13" s="34">
        <f>'Учебный план'!L38</f>
        <v>974</v>
      </c>
      <c r="G13" s="34">
        <f>'Учебный план'!M38</f>
        <v>679</v>
      </c>
      <c r="H13" s="36">
        <f>IF(OR(D13="",E13=""),"введите данные ФГОС",IF('Учебный план'!L95=0,"заполняйте учебный план",IF(OR(D13="-",D13=F13),"норма",IF(F13&lt;D13,F13-D13,IF(F13&gt;D13,F13-D13,"норма")))))</f>
        <v>170</v>
      </c>
      <c r="I13" s="36">
        <f>IF(OR(D13="",E13=""),"введите данные ФГОС",IF('Учебный план'!L95=0,"заполняйте учебный план",IF(OR(E13="-",E13=G13),"норма",IF(G13&lt;E13,G13-E13,IF(G13&gt;E13,G13-E13,"норма")))))</f>
        <v>143</v>
      </c>
    </row>
    <row r="14" spans="1:9" s="55" customFormat="1" ht="12.75">
      <c r="A14" s="880" t="s">
        <v>164</v>
      </c>
      <c r="B14" s="873"/>
      <c r="C14" s="874"/>
      <c r="D14" s="39">
        <v>1392</v>
      </c>
      <c r="E14" s="39">
        <v>928</v>
      </c>
      <c r="F14" s="34">
        <f>'Учебный план'!L47</f>
        <v>2090</v>
      </c>
      <c r="G14" s="34">
        <f>'Учебный план'!M47</f>
        <v>1404</v>
      </c>
      <c r="H14" s="36">
        <f>IF(OR(D14="",E14=""),"введите данные ФГОС",IF('Учебный план'!L95=0,"заполняйте учебный план",IF(OR(D14="-",D14=F14),"норма",IF(F14&lt;D14,F14-D14,IF(F14&gt;D14,F14-D14,"норма")))))</f>
        <v>698</v>
      </c>
      <c r="I14" s="36">
        <f>IF(OR(D14="",E14=""),"введите данные ФГОС",IF('Учебный план'!L95=0,"заполняйте учебный план",IF(OR(E14="-",E14=G14),"норма",IF(G14&lt;E14,G14-E14,IF(G14&gt;E14,G14-E14,"норма")))))</f>
        <v>476</v>
      </c>
    </row>
    <row r="15" spans="1:9" s="55" customFormat="1" ht="12.75">
      <c r="A15" s="872" t="s">
        <v>372</v>
      </c>
      <c r="B15" s="873"/>
      <c r="C15" s="874"/>
      <c r="D15" s="39">
        <v>1242</v>
      </c>
      <c r="E15" s="39">
        <v>828</v>
      </c>
      <c r="F15" s="34">
        <f>'Учебный план'!L74</f>
        <v>219</v>
      </c>
      <c r="G15" s="34">
        <f>'Учебный план'!M74</f>
        <v>152</v>
      </c>
      <c r="H15" s="36">
        <f>IF(OR(D15="",E15=""),"введите данные ФГОС",IF('Учебный план'!L95=0,"заполняйте учебный план",IF(OR(D15="-",D15=F15),"норма",IF(F15&lt;D15,F15-D15,IF(F15&gt;D15,F15-D15,"норма")))))</f>
        <v>-1023</v>
      </c>
      <c r="I15" s="36">
        <f>IF(OR(D15="",E15=""),"введите данные ФГОС",IF('Учебный план'!L95=0,"заполняйте учебный план",IF(OR(E15="-",E15=G15),"норма",IF(G15&lt;E15,G15-E15,IF(G15&gt;E15,G15-E15,"норма")))))</f>
        <v>-676</v>
      </c>
    </row>
    <row r="16" spans="1:9" s="55" customFormat="1" ht="12.75">
      <c r="A16" s="872" t="s">
        <v>373</v>
      </c>
      <c r="B16" s="873"/>
      <c r="C16" s="874"/>
      <c r="D16" s="39">
        <v>4212</v>
      </c>
      <c r="E16" s="39">
        <v>2808</v>
      </c>
      <c r="F16" s="34">
        <f>F9+F15</f>
        <v>4212</v>
      </c>
      <c r="G16" s="34">
        <f>G9+G15</f>
        <v>2808</v>
      </c>
      <c r="H16" s="36" t="str">
        <f>IF(OR(D16="",E16=""),"введите данные ФГОС",IF('Учебный план'!L95=0,"заполняйте учебный план",IF(OR(D16="-",D16=F16),"норма",IF(F16&lt;D16,F16-D16,IF(F16&gt;D16,F16-D16,"норма")))))</f>
        <v>норма</v>
      </c>
      <c r="I16" s="36" t="str">
        <f>IF(OR(D16="",E16=""),"введите данные ФГОС",IF('Учебный план'!L95=0,"заполняйте учебный план",IF(OR(E16="-",E16=G16),"норма",IF(G16&lt;E16,G16-E16,IF(G16&gt;E16,G16-E16,"норма")))))</f>
        <v>норма</v>
      </c>
    </row>
    <row r="17" spans="1:9" s="55" customFormat="1" ht="12.75" hidden="1">
      <c r="A17" s="880" t="s">
        <v>232</v>
      </c>
      <c r="B17" s="873"/>
      <c r="C17" s="874"/>
      <c r="D17" s="39">
        <f>D18+D19</f>
        <v>2268</v>
      </c>
      <c r="E17" s="39">
        <f>E18+E19</f>
        <v>1512</v>
      </c>
      <c r="F17" s="34">
        <f>'Учебный план'!L78+'Учебный план'!L85</f>
        <v>0</v>
      </c>
      <c r="G17" s="34">
        <f>'Учебный план'!M78+'Учебный план'!M85</f>
        <v>1512</v>
      </c>
      <c r="H17" s="36">
        <f>IF(OR(D17="",E17=""),"введите данные ФГОС",IF('Учебный план'!L95=0,"заполняйте учебный план",IF(OR(D17="-",D17=F17),"норма",IF(F17&lt;D17,F17-D17,IF(F17&gt;D17,F17-D17,"норма")))))</f>
        <v>-2268</v>
      </c>
      <c r="I17" s="36" t="str">
        <f>IF(OR(D17="",E17=""),"введите данные ФГОС",IF('Учебный план'!L95=0,"заполняйте учебный план",IF(OR(E17="-",E17=G17),"норма",IF(G17&lt;E17,G17-E17,IF(G17&gt;E17,G17-E17,"норма")))))</f>
        <v>норма</v>
      </c>
    </row>
    <row r="18" spans="1:9" s="55" customFormat="1" ht="12.75" hidden="1">
      <c r="A18" s="880" t="s">
        <v>6</v>
      </c>
      <c r="B18" s="873"/>
      <c r="C18" s="874"/>
      <c r="D18" s="56">
        <v>594</v>
      </c>
      <c r="E18" s="56">
        <v>396</v>
      </c>
      <c r="F18" s="34">
        <f>'Учебный план'!L78</f>
        <v>0</v>
      </c>
      <c r="G18" s="34">
        <f>'Учебный план'!M78</f>
        <v>396</v>
      </c>
      <c r="H18" s="36">
        <f>IF(OR(D18="",E18=""),"введите данные ФГОС",IF('Учебный план'!L95=0,"заполняйте учебный план",IF(OR(D18="-",D18=F18),"норма",IF(F18&lt;D18,F18-D18,IF(F18&gt;D18,F18-D18,"норма")))))</f>
        <v>-594</v>
      </c>
      <c r="I18" s="36" t="str">
        <f>IF(OR(D18="",E18=""),"введите данные ФГОС",IF('Учебный план'!L95=0,"заполняйте учебный план",IF(OR(E18="-",E18=G18),"норма",IF(G18&lt;E18,G18-E18,IF(G18&gt;E18,G18-E18,"норма")))))</f>
        <v>норма</v>
      </c>
    </row>
    <row r="19" spans="1:9" s="55" customFormat="1" ht="12.75" hidden="1">
      <c r="A19" s="880" t="s">
        <v>125</v>
      </c>
      <c r="B19" s="873"/>
      <c r="C19" s="874"/>
      <c r="D19" s="56">
        <v>1674</v>
      </c>
      <c r="E19" s="56">
        <v>1116</v>
      </c>
      <c r="F19" s="34">
        <f>'Учебный план'!L85</f>
        <v>0</v>
      </c>
      <c r="G19" s="34">
        <f>'Учебный план'!M85</f>
        <v>1116</v>
      </c>
      <c r="H19" s="36">
        <f>IF(OR(D19="",E19=""),"введите данные ФГОС",IF('Учебный план'!L95=0,"заполняйте учебный план",IF(OR(D19="-",D19=F19),"норма",IF(F19&lt;D19,F19-D19,IF(F19&gt;D19,F19-D19,"норма")))))</f>
        <v>-1674</v>
      </c>
      <c r="I19" s="36" t="str">
        <f>IF(OR(D19="",E19=""),"введите данные ФГОС",IF('Учебный план'!L95=0,"заполняйте учебный план",IF(OR(E19="-",E19=G19),"норма",IF(G19&lt;E19,G19-E19,IF(G19&gt;E19,G19-E19,"норма")))))</f>
        <v>норма</v>
      </c>
    </row>
    <row r="20" spans="1:9" s="55" customFormat="1" ht="12.75" hidden="1">
      <c r="A20" s="872" t="s">
        <v>495</v>
      </c>
      <c r="B20" s="873"/>
      <c r="C20" s="874"/>
      <c r="D20" s="56">
        <v>216</v>
      </c>
      <c r="E20" s="56">
        <v>144</v>
      </c>
      <c r="F20" s="34">
        <f>'Учебный план'!L88</f>
        <v>216</v>
      </c>
      <c r="G20" s="34">
        <f>'Учебный план'!M88</f>
        <v>0</v>
      </c>
      <c r="H20" s="36" t="str">
        <f>IF(OR(D20="",E20=""),"введите данные ФГОС",IF('Учебный план'!L95=0,"заполняйте учебный план",IF(OR(D20="-",D20=F20),"норма",IF(F20&lt;D20,F20-D20,IF(F20&gt;D20,F20-D20,"норма")))))</f>
        <v>норма</v>
      </c>
      <c r="I20" s="36">
        <f>IF(OR(D20="",E20=""),"введите данные ФГОС",IF('Учебный план'!L95=0,"заполняйте учебный план",IF(OR(E20="-",E20=G20),"норма",IF(G20&lt;E20,G20-E20,IF(G20&gt;E20,G20-E20,"норма")))))</f>
        <v>-144</v>
      </c>
    </row>
    <row r="21" spans="1:17" s="55" customFormat="1" ht="12.75" hidden="1">
      <c r="A21" s="880" t="s">
        <v>165</v>
      </c>
      <c r="B21" s="873"/>
      <c r="C21" s="874"/>
      <c r="D21" s="56">
        <v>0</v>
      </c>
      <c r="E21" s="56" t="s">
        <v>22</v>
      </c>
      <c r="F21" s="34">
        <f>'Учебный план'!L91</f>
        <v>0</v>
      </c>
      <c r="G21" s="34">
        <f>'Учебный план'!M91</f>
        <v>0</v>
      </c>
      <c r="H21" s="36" t="str">
        <f>IF(OR(D21="",E21=""),"введите данные ФГОС",IF('Учебный план'!L95=0,"заполняйте учебный план",IF(OR(D21="-",D21=F21),"норма",IF(F21&lt;D21,F21-D21,IF(F21&gt;D21,F21-D21,"норма")))))</f>
        <v>норма</v>
      </c>
      <c r="I21" s="36" t="str">
        <f>IF(OR(D21="",E21=""),"введите данные ФГОС",IF('Учебный план'!L95=0,"заполняйте учебный план",IF(OR(E21="-",E21=G21),"норма",IF(G21&lt;E21,G21-E21,IF(G21&gt;E21,G21-E21,"норма")))))</f>
        <v>норма</v>
      </c>
      <c r="Q21" s="55" t="s">
        <v>26</v>
      </c>
    </row>
    <row r="22" spans="1:9" s="55" customFormat="1" ht="12.75" hidden="1">
      <c r="A22" s="902" t="s">
        <v>85</v>
      </c>
      <c r="B22" s="903"/>
      <c r="C22" s="904"/>
      <c r="D22" s="35">
        <f>D6+D9+D15+D17+D20</f>
        <v>8802</v>
      </c>
      <c r="E22" s="35">
        <f>E6+E9+E15+SUM(E18:E20)</f>
        <v>5868</v>
      </c>
      <c r="F22" s="35">
        <f>F6+F9+F15+F17+F20</f>
        <v>6534</v>
      </c>
      <c r="G22" s="35">
        <f>G6+G9+G15+G17+G20</f>
        <v>5724</v>
      </c>
      <c r="H22" s="36">
        <f>IF(OR(D22="",E22=""),"введите данные ФГОС",IF('Учебный план'!L95=0,"заполняйте учебный план",IF(OR(D22="-",D22=F22),"норма",IF(F22&lt;D22,F22-D22,IF(F22&gt;D22,F22-D22,"норма")))))</f>
        <v>-2268</v>
      </c>
      <c r="I22" s="36">
        <f>IF(OR(D22="",E22=""),"введите данные ФГОС",IF('Учебный план'!L95=0,"заполняйте учебный план",IF(OR(E22="-",E22=G22),"норма",IF(G22&lt;E22,G22-E22,IF(G22&gt;E22,G22-E22,"норма")))))</f>
        <v>-144</v>
      </c>
    </row>
    <row r="23" spans="1:9" s="55" customFormat="1" ht="12.75">
      <c r="A23" s="21"/>
      <c r="B23" s="21"/>
      <c r="C23" s="21"/>
      <c r="D23" s="21"/>
      <c r="E23" s="21"/>
      <c r="F23" s="21"/>
      <c r="G23" s="21"/>
      <c r="H23" s="21"/>
      <c r="I23" s="21"/>
    </row>
    <row r="24" spans="1:13" s="55" customFormat="1" ht="12.75">
      <c r="A24" s="887" t="s">
        <v>86</v>
      </c>
      <c r="B24" s="887"/>
      <c r="C24" s="887"/>
      <c r="D24" s="887"/>
      <c r="E24" s="887"/>
      <c r="F24" s="887"/>
      <c r="G24" s="887"/>
      <c r="H24" s="887"/>
      <c r="I24" s="887"/>
      <c r="M24" s="55" t="s">
        <v>26</v>
      </c>
    </row>
    <row r="25" spans="1:9" s="55" customFormat="1" ht="78" customHeight="1">
      <c r="A25" s="882" t="s">
        <v>100</v>
      </c>
      <c r="B25" s="883"/>
      <c r="C25" s="883"/>
      <c r="D25" s="883"/>
      <c r="E25" s="884"/>
      <c r="F25" s="82" t="s">
        <v>330</v>
      </c>
      <c r="G25" s="82" t="s">
        <v>329</v>
      </c>
      <c r="H25" s="18" t="s">
        <v>101</v>
      </c>
      <c r="I25" s="18" t="s">
        <v>102</v>
      </c>
    </row>
    <row r="26" spans="1:9" s="55" customFormat="1" ht="12.75">
      <c r="A26" s="890"/>
      <c r="B26" s="891"/>
      <c r="C26" s="891"/>
      <c r="D26" s="891"/>
      <c r="E26" s="892"/>
      <c r="F26" s="49"/>
      <c r="G26" s="57"/>
      <c r="H26" s="50"/>
      <c r="I26" s="51"/>
    </row>
    <row r="27" spans="1:9" s="55" customFormat="1" ht="12.75">
      <c r="A27" s="881" t="s">
        <v>374</v>
      </c>
      <c r="B27" s="862"/>
      <c r="C27" s="862"/>
      <c r="D27" s="862"/>
      <c r="E27" s="863"/>
      <c r="F27" s="37">
        <v>147</v>
      </c>
      <c r="G27" s="47">
        <v>147</v>
      </c>
      <c r="H27" s="37">
        <f>IF(G27="","введите данные ФГОС",IF(F27="","введите рекомендации УМУ",IF('Титульный лист'!BL30=0,"заполняйте титульный лист",SUM('Титульный лист'!BL26:BL29))))</f>
        <v>147</v>
      </c>
      <c r="I27" s="52" t="str">
        <f aca="true" t="shared" si="0" ref="I27:I36">IF(G27="","введите данные ФГОС",IF(F27="","введите рекомендации УМУ",IF(H27="заполняйте титульный лист","заполняйте титульный лист",IF(AND(H27=G27,H27=F27),"норма","отклонение"))))</f>
        <v>норма</v>
      </c>
    </row>
    <row r="28" spans="1:9" s="55" customFormat="1" ht="12.75">
      <c r="A28" s="861" t="s">
        <v>220</v>
      </c>
      <c r="B28" s="862"/>
      <c r="C28" s="862"/>
      <c r="D28" s="862"/>
      <c r="E28" s="863"/>
      <c r="F28" s="37">
        <v>78</v>
      </c>
      <c r="G28" s="47">
        <v>78</v>
      </c>
      <c r="H28" s="37">
        <f>IF(G28="","введите данные ФГОС",IF(F28="","введите рекомендации УМУ",IF('Титульный лист'!BL30=0,"заполняйте титульный лист",SUM('Титульный лист'!BD26:BD29))))</f>
        <v>78</v>
      </c>
      <c r="I28" s="52" t="str">
        <f t="shared" si="0"/>
        <v>норма</v>
      </c>
    </row>
    <row r="29" spans="1:9" s="55" customFormat="1" ht="12.75">
      <c r="A29" s="861" t="s">
        <v>221</v>
      </c>
      <c r="B29" s="862"/>
      <c r="C29" s="862"/>
      <c r="D29" s="862"/>
      <c r="E29" s="863"/>
      <c r="F29" s="37">
        <v>42</v>
      </c>
      <c r="G29" s="47">
        <v>42</v>
      </c>
      <c r="H29" s="37">
        <f>IF(G29="","введите данные ФГОС",IF(F29="","введите рекомендации УМУ",IF('Титульный лист'!BL30=0,"заполняйте титульный лист",SUM('Титульный лист'!BH25:BI29))))</f>
        <v>42</v>
      </c>
      <c r="I29" s="52" t="str">
        <f t="shared" si="0"/>
        <v>норма</v>
      </c>
    </row>
    <row r="30" spans="1:9" s="55" customFormat="1" ht="12.75">
      <c r="A30" s="861" t="s">
        <v>222</v>
      </c>
      <c r="B30" s="862"/>
      <c r="C30" s="862"/>
      <c r="D30" s="862"/>
      <c r="E30" s="863"/>
      <c r="F30" s="37">
        <v>5</v>
      </c>
      <c r="G30" s="47">
        <v>5</v>
      </c>
      <c r="H30" s="37">
        <f>IF(G30="","введите данные ФГОС",IF(F30="","введите рекомендации УМУ",IF('Титульный лист'!BL30=0,"заполняйте титульный лист",SUM('Титульный лист'!BG26:BG29))))</f>
        <v>5</v>
      </c>
      <c r="I30" s="52" t="str">
        <f t="shared" si="0"/>
        <v>норма</v>
      </c>
    </row>
    <row r="31" spans="1:9" s="55" customFormat="1" ht="12.75">
      <c r="A31" s="881" t="s">
        <v>505</v>
      </c>
      <c r="B31" s="862"/>
      <c r="C31" s="862"/>
      <c r="D31" s="862"/>
      <c r="E31" s="863"/>
      <c r="F31" s="37">
        <v>4</v>
      </c>
      <c r="G31" s="47">
        <v>4</v>
      </c>
      <c r="H31" s="37">
        <f>IF(G31="","введите данные ФГОС",IF(F31="","введите рекомендации УМУ",IF('Титульный лист'!BL30=0,"заполняйте титульный лист",SUM('Титульный лист'!BJ25:BJ29))))</f>
        <v>4</v>
      </c>
      <c r="I31" s="52" t="str">
        <f t="shared" si="0"/>
        <v>норма</v>
      </c>
    </row>
    <row r="32" spans="1:9" s="55" customFormat="1" ht="12.75">
      <c r="A32" s="861" t="s">
        <v>223</v>
      </c>
      <c r="B32" s="862"/>
      <c r="C32" s="862"/>
      <c r="D32" s="862"/>
      <c r="E32" s="863"/>
      <c r="F32" s="37">
        <v>18</v>
      </c>
      <c r="G32" s="47">
        <v>18</v>
      </c>
      <c r="H32" s="37">
        <f>IF(G32="","введите данные ФГОС",IF(F32="","введите рекомендации УМУ",IF('Титульный лист'!BL30=0,"заполняйте титульный лист",SUM('Титульный лист'!BK26:BK29))))</f>
        <v>18</v>
      </c>
      <c r="I32" s="52" t="str">
        <f t="shared" si="0"/>
        <v>норма</v>
      </c>
    </row>
    <row r="33" spans="1:9" s="55" customFormat="1" ht="12.75">
      <c r="A33" s="881" t="s">
        <v>375</v>
      </c>
      <c r="B33" s="862"/>
      <c r="C33" s="862"/>
      <c r="D33" s="862"/>
      <c r="E33" s="863"/>
      <c r="F33" s="37">
        <v>52</v>
      </c>
      <c r="G33" s="47">
        <v>52</v>
      </c>
      <c r="H33" s="37">
        <f>IF(G33="","введите данные ФГОС",IF(F33="","введите рекомендации УМУ",IF('Титульный лист'!BL30=0,"заполняйте титульный лист",'Титульный лист'!BL25)))</f>
        <v>52</v>
      </c>
      <c r="I33" s="52" t="str">
        <f t="shared" si="0"/>
        <v>норма</v>
      </c>
    </row>
    <row r="34" spans="1:9" s="55" customFormat="1" ht="12.75">
      <c r="A34" s="881" t="s">
        <v>376</v>
      </c>
      <c r="B34" s="862"/>
      <c r="C34" s="862"/>
      <c r="D34" s="862"/>
      <c r="E34" s="863"/>
      <c r="F34" s="37">
        <v>39</v>
      </c>
      <c r="G34" s="47">
        <v>39</v>
      </c>
      <c r="H34" s="37">
        <f>IF(G34="","введите данные ФГОС",IF(F34="","введите рекомендации УМУ",IF('Титульный лист'!BL30=0,"заполняйте титульный лист",'Титульный лист'!BD25)))</f>
        <v>39</v>
      </c>
      <c r="I34" s="52" t="str">
        <f t="shared" si="0"/>
        <v>норма</v>
      </c>
    </row>
    <row r="35" spans="1:9" s="55" customFormat="1" ht="12.75">
      <c r="A35" s="881" t="s">
        <v>377</v>
      </c>
      <c r="B35" s="862"/>
      <c r="C35" s="862"/>
      <c r="D35" s="862"/>
      <c r="E35" s="863"/>
      <c r="F35" s="37">
        <v>2</v>
      </c>
      <c r="G35" s="47">
        <v>2</v>
      </c>
      <c r="H35" s="37">
        <f>IF(G35="","введите данные ФГОС",IF(F35="","введите рекомендации УМУ",IF('Титульный лист'!BL30=0,"заполняйте титульный лист",'Титульный лист'!BG25)))</f>
        <v>2</v>
      </c>
      <c r="I35" s="52" t="str">
        <f t="shared" si="0"/>
        <v>норма</v>
      </c>
    </row>
    <row r="36" spans="1:9" s="55" customFormat="1" ht="12.75">
      <c r="A36" s="881" t="s">
        <v>378</v>
      </c>
      <c r="B36" s="862"/>
      <c r="C36" s="862"/>
      <c r="D36" s="862"/>
      <c r="E36" s="863"/>
      <c r="F36" s="37">
        <v>11</v>
      </c>
      <c r="G36" s="47">
        <v>11</v>
      </c>
      <c r="H36" s="37">
        <f>IF(G36="","введите данные ФГОС",IF(F36="","введите рекомендации УМУ",IF('Титульный лист'!BL30=0,"заполняйте титульный лист",'Титульный лист'!BK25)))</f>
        <v>11</v>
      </c>
      <c r="I36" s="52" t="str">
        <f t="shared" si="0"/>
        <v>норма</v>
      </c>
    </row>
    <row r="37" spans="1:9" s="55" customFormat="1" ht="12.75">
      <c r="A37" s="890"/>
      <c r="B37" s="891"/>
      <c r="C37" s="891"/>
      <c r="D37" s="891"/>
      <c r="E37" s="892"/>
      <c r="F37" s="49"/>
      <c r="G37" s="57"/>
      <c r="H37" s="49"/>
      <c r="I37" s="51"/>
    </row>
    <row r="38" spans="1:9" s="55" customFormat="1" ht="12.75">
      <c r="A38" s="861" t="s">
        <v>224</v>
      </c>
      <c r="B38" s="862"/>
      <c r="C38" s="862"/>
      <c r="D38" s="862"/>
      <c r="E38" s="863"/>
      <c r="F38" s="33">
        <v>54</v>
      </c>
      <c r="G38" s="45">
        <v>54</v>
      </c>
      <c r="H38" s="33">
        <f>IF(G38="","введите данные ФГОС",IF(F38="","введите рекомендации УМУ",IF('Учебный план'!L95=0,"заполняйте учебный план",'Учебный план'!L102)))</f>
        <v>54</v>
      </c>
      <c r="I38" s="52" t="str">
        <f>IF(G38="","введите данные ФГОС",IF(F38="","введите рекомендации УМУ",IF(H38="заполняйте учебный план","заполняйте учебный план",IF(AND(H38&lt;=G38,H38&lt;=F38),"норма","отклонение"))))</f>
        <v>норма</v>
      </c>
    </row>
    <row r="39" spans="1:9" s="55" customFormat="1" ht="12.75" customHeight="1">
      <c r="A39" s="861" t="s">
        <v>225</v>
      </c>
      <c r="B39" s="862"/>
      <c r="C39" s="862"/>
      <c r="D39" s="862"/>
      <c r="E39" s="863"/>
      <c r="F39" s="33">
        <v>36</v>
      </c>
      <c r="G39" s="45">
        <v>36</v>
      </c>
      <c r="H39" s="33">
        <f>IF(G39="","введите данные ФГОС",IF(F39="","введите рекомендации УМУ",IF('Учебный план'!L95=0,"заполняйте учебный план",'Учебный план'!L103)))</f>
        <v>36</v>
      </c>
      <c r="I39" s="52" t="str">
        <f>IF(G39="","введите данные ФГОС",IF(F39="","введите рекомендации УМУ",IF(H39="заполняйте учебный план","заполняйте учебный план",IF(AND(H39&lt;=G39,H39&lt;=F39),"норма","отклонение"))))</f>
        <v>норма</v>
      </c>
    </row>
    <row r="40" spans="1:9" s="58" customFormat="1" ht="12.75" customHeight="1">
      <c r="A40" s="861" t="s">
        <v>104</v>
      </c>
      <c r="B40" s="862"/>
      <c r="C40" s="862"/>
      <c r="D40" s="862"/>
      <c r="E40" s="863"/>
      <c r="F40" s="37">
        <v>11</v>
      </c>
      <c r="G40" s="47">
        <v>11</v>
      </c>
      <c r="H40" s="37">
        <f>IF(G40="","введите данные ФГОС",IF(F40="","введите рекомендации УМУ",IF('Титульный лист'!BL30=0,"заполняйте титульный лист",DMAX('Титульный лист'!BK21:BL29,1,F61:G62))))</f>
        <v>11</v>
      </c>
      <c r="I40" s="22" t="str">
        <f>IF(G40="","введите данные ФГОС",IF(F40="","введите рекомендации УМУ",IF(H40="заполняйте титульный лист","заполняйте титульный лист",IF(AND(H40&lt;=F40,H40&lt;=G40),"норма","отклонение"))))</f>
        <v>норма</v>
      </c>
    </row>
    <row r="41" spans="1:9" s="58" customFormat="1" ht="12.75" customHeight="1">
      <c r="A41" s="861" t="s">
        <v>103</v>
      </c>
      <c r="B41" s="862"/>
      <c r="C41" s="862"/>
      <c r="D41" s="862"/>
      <c r="E41" s="863"/>
      <c r="F41" s="37">
        <v>8</v>
      </c>
      <c r="G41" s="47">
        <v>8</v>
      </c>
      <c r="H41" s="37">
        <f>IF(G41="","введите данные ФГОС",IF(F41="","введите рекомендации УМУ",IF('Титульный лист'!BL30=0,"заполняйте титульный лист",DMIN('Титульный лист'!BK21:BL29,1,F63:G64))))</f>
        <v>8</v>
      </c>
      <c r="I41" s="22" t="str">
        <f>IF(G41="","введите данные ФГОС",IF(F41="","введите рекомендации УМУ",IF(H41="заполняйте титульный лист","заполняйте титульный лист",IF(AND(H41&gt;=F41,H41&gt;=G41),"норма","отклонение"))))</f>
        <v>норма</v>
      </c>
    </row>
    <row r="42" spans="1:9" s="58" customFormat="1" ht="12.75" customHeight="1">
      <c r="A42" s="861" t="s">
        <v>226</v>
      </c>
      <c r="B42" s="862"/>
      <c r="C42" s="862"/>
      <c r="D42" s="862"/>
      <c r="E42" s="863"/>
      <c r="F42" s="34">
        <v>2</v>
      </c>
      <c r="G42" s="46">
        <v>3</v>
      </c>
      <c r="H42" s="34">
        <v>3</v>
      </c>
      <c r="I42" s="52" t="str">
        <f>IF(G42="","введите данные ФГОС",IF(F42="","введите рекомендации УМУ",IF(H42="заполняйте учебный план","заполняйте учебный план",IF(OR(H42=G42,H42=F42),"норма","отклонение"))))</f>
        <v>норма</v>
      </c>
    </row>
    <row r="43" spans="1:9" s="58" customFormat="1" ht="12.75" customHeight="1">
      <c r="A43" s="861" t="s">
        <v>227</v>
      </c>
      <c r="B43" s="862"/>
      <c r="C43" s="862"/>
      <c r="D43" s="862"/>
      <c r="E43" s="863"/>
      <c r="F43" s="34">
        <v>2</v>
      </c>
      <c r="G43" s="46">
        <v>2</v>
      </c>
      <c r="H43" s="34">
        <f>IF(G43="","введите данные ФГОС",IF(F43="","введите рекомендации УМУ",IF('Учебный план'!L95=0,"заполняйте учебный план",IF(F68&lt;&gt;G43,F68,IF(G68&lt;&gt;G43,G68,G43)))))</f>
        <v>2</v>
      </c>
      <c r="I43" s="52" t="str">
        <f>IF(G43="","введите данные ФГОС",IF(F43="","введите рекомендации УМУ",IF(H43="заполняйте учебный план","заполняйте учебный план",IF(AND(H43=G43,H43=F43),"норма","отклонение"))))</f>
        <v>норма</v>
      </c>
    </row>
    <row r="44" spans="1:9" s="58" customFormat="1" ht="12.75" customHeight="1" hidden="1">
      <c r="A44" s="861" t="s">
        <v>261</v>
      </c>
      <c r="B44" s="862"/>
      <c r="C44" s="862"/>
      <c r="D44" s="862"/>
      <c r="E44" s="863"/>
      <c r="F44" s="34">
        <v>100</v>
      </c>
      <c r="G44" s="46">
        <v>100</v>
      </c>
      <c r="H44" s="34">
        <v>100</v>
      </c>
      <c r="I44" s="52" t="str">
        <f>IF(G44="","введите данные ФГОС",IF(F44="","введите рекомендации УМУ",IF(H44="заполняйте титульный лист","заполняйте титульный лист",IF(H44="заполняйте учебный план","заполняйте учебный план",IF(AND(H44=G44,H44=F44),"норма","отклонение")))))</f>
        <v>норма</v>
      </c>
    </row>
    <row r="45" spans="1:9" s="58" customFormat="1" ht="12.75" customHeight="1">
      <c r="A45" s="861" t="s">
        <v>253</v>
      </c>
      <c r="B45" s="862"/>
      <c r="C45" s="862"/>
      <c r="D45" s="862"/>
      <c r="E45" s="863"/>
      <c r="F45" s="37">
        <v>8</v>
      </c>
      <c r="G45" s="47">
        <v>8</v>
      </c>
      <c r="H45" s="37">
        <f>IF(G45="","введите данные ФГОС",IF(F45="","введите рекомендации УМУ",IF('Учебный план'!L104=0,"заполняйте учебный план",MAX('Учебный план'!Y104,'Учебный план'!AM104+'Учебный план'!AT104,'Учебный план'!BA104+'Учебный план'!BH104,'Учебный план'!BN104+'Учебный план'!BT104))))</f>
        <v>4</v>
      </c>
      <c r="I45" s="52" t="str">
        <f>IF(G45="","введите данные ФГОС",IF(F45="","введите рекомендации УМУ",IF(H45="заполняйте учебный план","заполняйте учебный план",IF(AND(H45&lt;=G45,H45&lt;=F45),"норма","отклонение"))))</f>
        <v>норма</v>
      </c>
    </row>
    <row r="46" spans="1:9" s="58" customFormat="1" ht="12.75" customHeight="1">
      <c r="A46" s="861" t="s">
        <v>254</v>
      </c>
      <c r="B46" s="862"/>
      <c r="C46" s="862"/>
      <c r="D46" s="862"/>
      <c r="E46" s="863"/>
      <c r="F46" s="37">
        <v>10</v>
      </c>
      <c r="G46" s="47">
        <v>10</v>
      </c>
      <c r="H46" s="37">
        <f>IF(G46="","введите данные ФГОС",IF(F46="","введите рекомендации УМУ",IF('Учебный план'!L105=0,"заполняйте учебный план",MAX('Учебный план'!Y105,'Учебный план'!AM105+'Учебный план'!AT105,'Учебный план'!BA105+'Учебный план'!BH105,'Учебный план'!BN105+'Учебный план'!BT105))))</f>
        <v>10</v>
      </c>
      <c r="I46" s="52" t="str">
        <f>IF(G46="","введите данные ФГОС",IF(F46="","введите рекомендации УМУ",IF(H46="заполняйте учебный план","заполняйте учебный план",IF(AND(H46&lt;=G46,H46&lt;=F46),"норма","отклонение"))))</f>
        <v>норма</v>
      </c>
    </row>
    <row r="47" spans="1:9" s="58" customFormat="1" ht="12.75" customHeight="1">
      <c r="A47" s="861" t="s">
        <v>228</v>
      </c>
      <c r="B47" s="862"/>
      <c r="C47" s="862"/>
      <c r="D47" s="862"/>
      <c r="E47" s="863"/>
      <c r="F47" s="37">
        <v>3</v>
      </c>
      <c r="G47" s="47">
        <v>3</v>
      </c>
      <c r="H47" s="37">
        <f>'Учебный план'!L106</f>
        <v>2</v>
      </c>
      <c r="I47" s="22" t="str">
        <f>IF(G47="","введите данные ФГОС",IF(F47="","введите рекомендации УМУ",IF(H47="заполняйте учебный план","заполняйте учебный план",IF(AND(H47&lt;=F47,H47&lt;=G47),"норма","отклонение"))))</f>
        <v>норма</v>
      </c>
    </row>
    <row r="48" spans="1:9" s="58" customFormat="1" ht="12.75" customHeight="1">
      <c r="A48" s="861" t="s">
        <v>229</v>
      </c>
      <c r="B48" s="862"/>
      <c r="C48" s="862"/>
      <c r="D48" s="862"/>
      <c r="E48" s="863"/>
      <c r="F48" s="34" t="s">
        <v>136</v>
      </c>
      <c r="G48" s="46" t="s">
        <v>136</v>
      </c>
      <c r="H48" s="81" t="s">
        <v>136</v>
      </c>
      <c r="I48" s="22" t="str">
        <f>IF(G48="","введите данные ФГОС",IF(F48="","введите рекомендации УМУ",IF(H48="заполняйте учебный план","заполняйте учебный план",IF(AND(H48&lt;=F48,H48&lt;=G48),"норма","отклонение"))))</f>
        <v>норма</v>
      </c>
    </row>
    <row r="49" spans="1:9" s="58" customFormat="1" ht="12.75" customHeight="1">
      <c r="A49" s="861" t="s">
        <v>126</v>
      </c>
      <c r="B49" s="862"/>
      <c r="C49" s="862"/>
      <c r="D49" s="862"/>
      <c r="E49" s="863"/>
      <c r="F49" s="34" t="s">
        <v>136</v>
      </c>
      <c r="G49" s="46" t="s">
        <v>136</v>
      </c>
      <c r="H49" s="81" t="s">
        <v>136</v>
      </c>
      <c r="I49" s="22" t="str">
        <f>IF(G49="","введите данные ФГОС",IF(F49="","введите рекомендации УМУ",IF(H49="запоняйте учебный план","заполняйте учебный план",IF(H49="да","норма","отклонение"))))</f>
        <v>норма</v>
      </c>
    </row>
    <row r="50" spans="1:9" s="55" customFormat="1" ht="12.75">
      <c r="A50" s="21"/>
      <c r="B50" s="21"/>
      <c r="C50" s="21"/>
      <c r="D50" s="21"/>
      <c r="E50" s="21"/>
      <c r="F50" s="21"/>
      <c r="G50" s="21"/>
      <c r="H50" s="21"/>
      <c r="I50" s="21"/>
    </row>
    <row r="51" spans="1:9" s="55" customFormat="1" ht="12.75">
      <c r="A51" s="21"/>
      <c r="B51" s="21"/>
      <c r="C51" s="21"/>
      <c r="D51" s="21"/>
      <c r="E51" s="21"/>
      <c r="F51" s="21"/>
      <c r="G51" s="21"/>
      <c r="H51" s="21"/>
      <c r="I51" s="21"/>
    </row>
    <row r="52" spans="1:9" s="55" customFormat="1" ht="12.75">
      <c r="A52" s="887" t="s">
        <v>88</v>
      </c>
      <c r="B52" s="887"/>
      <c r="C52" s="887"/>
      <c r="D52" s="887"/>
      <c r="E52" s="887"/>
      <c r="F52" s="887"/>
      <c r="G52" s="887"/>
      <c r="H52" s="887"/>
      <c r="I52" s="887"/>
    </row>
    <row r="53" spans="1:9" s="55" customFormat="1" ht="12.75">
      <c r="A53" s="860" t="s">
        <v>230</v>
      </c>
      <c r="B53" s="858"/>
      <c r="C53" s="858"/>
      <c r="D53" s="858"/>
      <c r="E53" s="858"/>
      <c r="F53" s="852" t="s">
        <v>478</v>
      </c>
      <c r="G53" s="853"/>
      <c r="H53" s="853"/>
      <c r="I53" s="854"/>
    </row>
    <row r="54" spans="1:9" s="55" customFormat="1" ht="12.75">
      <c r="A54" s="855"/>
      <c r="B54" s="856"/>
      <c r="C54" s="856"/>
      <c r="D54" s="856"/>
      <c r="E54" s="856"/>
      <c r="F54" s="895" t="s">
        <v>231</v>
      </c>
      <c r="G54" s="895"/>
      <c r="H54" s="895"/>
      <c r="I54" s="895"/>
    </row>
    <row r="55" spans="1:9" s="55" customFormat="1" ht="24" customHeight="1">
      <c r="A55" s="896"/>
      <c r="B55" s="897"/>
      <c r="C55" s="897"/>
      <c r="D55" s="897"/>
      <c r="E55" s="897"/>
      <c r="F55" s="865" t="s">
        <v>331</v>
      </c>
      <c r="G55" s="865"/>
      <c r="H55" s="865"/>
      <c r="I55" s="865"/>
    </row>
    <row r="56" spans="1:9" s="55" customFormat="1" ht="12.75">
      <c r="A56" s="21"/>
      <c r="B56" s="21"/>
      <c r="C56" s="21"/>
      <c r="D56" s="21"/>
      <c r="E56" s="21"/>
      <c r="F56" s="21"/>
      <c r="G56" s="21"/>
      <c r="H56" s="21"/>
      <c r="I56" s="21"/>
    </row>
    <row r="57" spans="1:9" s="55" customFormat="1" ht="12.75">
      <c r="A57" s="864" t="s">
        <v>89</v>
      </c>
      <c r="B57" s="864"/>
      <c r="C57" s="864"/>
      <c r="D57" s="864"/>
      <c r="E57" s="864"/>
      <c r="F57" s="864"/>
      <c r="G57" s="864"/>
      <c r="H57" s="864"/>
      <c r="I57" s="21"/>
    </row>
    <row r="58" spans="1:9" s="55" customFormat="1" ht="12.75" customHeight="1">
      <c r="A58" s="857" t="s">
        <v>499</v>
      </c>
      <c r="B58" s="858"/>
      <c r="C58" s="858"/>
      <c r="D58" s="858"/>
      <c r="E58" s="859"/>
      <c r="F58" s="877" t="str">
        <f>'[1]Титульный лист'!BC13</f>
        <v>07.05.2014 г. № 443</v>
      </c>
      <c r="G58" s="878"/>
      <c r="H58" s="879"/>
      <c r="I58" s="21"/>
    </row>
    <row r="59" spans="1:9" s="55" customFormat="1" ht="12.75">
      <c r="A59" s="860" t="s">
        <v>90</v>
      </c>
      <c r="B59" s="858"/>
      <c r="C59" s="858"/>
      <c r="D59" s="858"/>
      <c r="E59" s="859"/>
      <c r="F59" s="849">
        <v>43344</v>
      </c>
      <c r="G59" s="850"/>
      <c r="H59" s="851"/>
      <c r="I59" s="21"/>
    </row>
    <row r="61" spans="1:7" s="60" customFormat="1" ht="11.25" hidden="1">
      <c r="A61" s="59"/>
      <c r="B61" s="59"/>
      <c r="C61" s="59"/>
      <c r="D61" s="59"/>
      <c r="F61" s="61" t="s">
        <v>24</v>
      </c>
      <c r="G61" s="61" t="s">
        <v>5</v>
      </c>
    </row>
    <row r="62" spans="1:9" s="60" customFormat="1" ht="11.25" hidden="1">
      <c r="A62" s="59"/>
      <c r="B62" s="59"/>
      <c r="C62" s="59"/>
      <c r="D62" s="59"/>
      <c r="F62" s="61"/>
      <c r="G62" s="61" t="s">
        <v>135</v>
      </c>
      <c r="I62" s="62"/>
    </row>
    <row r="63" spans="1:7" s="60" customFormat="1" ht="11.25" hidden="1">
      <c r="A63" s="59"/>
      <c r="B63" s="59"/>
      <c r="C63" s="59"/>
      <c r="D63" s="59"/>
      <c r="F63" s="61" t="s">
        <v>24</v>
      </c>
      <c r="G63" s="61" t="s">
        <v>5</v>
      </c>
    </row>
    <row r="64" spans="1:7" s="60" customFormat="1" ht="11.25" hidden="1">
      <c r="A64" s="59"/>
      <c r="B64" s="59"/>
      <c r="C64" s="59"/>
      <c r="D64" s="59"/>
      <c r="F64" s="61" t="s">
        <v>238</v>
      </c>
      <c r="G64" s="61" t="s">
        <v>135</v>
      </c>
    </row>
    <row r="65" spans="1:4" s="60" customFormat="1" ht="11.25" hidden="1">
      <c r="A65" s="59"/>
      <c r="B65" s="59"/>
      <c r="C65" s="59"/>
      <c r="D65" s="59"/>
    </row>
    <row r="66" spans="1:7" s="60" customFormat="1" ht="11.25" hidden="1">
      <c r="A66" s="59"/>
      <c r="B66" s="59"/>
      <c r="C66" s="59"/>
      <c r="D66" s="900" t="s">
        <v>265</v>
      </c>
      <c r="E66" s="901"/>
      <c r="F66" s="898" t="s">
        <v>266</v>
      </c>
      <c r="G66" s="899"/>
    </row>
    <row r="67" spans="1:7" s="60" customFormat="1" ht="11.25" customHeight="1" hidden="1">
      <c r="A67" s="63" t="s">
        <v>134</v>
      </c>
      <c r="D67" s="64" t="s">
        <v>263</v>
      </c>
      <c r="E67" s="64" t="s">
        <v>264</v>
      </c>
      <c r="F67" s="64" t="s">
        <v>263</v>
      </c>
      <c r="G67" s="64" t="s">
        <v>264</v>
      </c>
    </row>
    <row r="68" spans="1:8" s="60" customFormat="1" ht="11.25" hidden="1">
      <c r="A68" s="65" t="e">
        <f>Примечание!#REF!</f>
        <v>#REF!</v>
      </c>
      <c r="D68" s="66">
        <v>3</v>
      </c>
      <c r="E68" s="66">
        <v>2</v>
      </c>
      <c r="F68" s="66">
        <v>2</v>
      </c>
      <c r="G68" s="66">
        <v>2</v>
      </c>
      <c r="H68" s="67"/>
    </row>
    <row r="69" spans="1:7" s="60" customFormat="1" ht="11.25" hidden="1">
      <c r="A69" s="65" t="str">
        <f>Примечание!B19</f>
        <v>Наименование</v>
      </c>
      <c r="D69" s="68">
        <v>2</v>
      </c>
      <c r="E69" s="68">
        <v>23</v>
      </c>
      <c r="F69" s="68">
        <v>2</v>
      </c>
      <c r="G69" s="68">
        <v>28</v>
      </c>
    </row>
    <row r="70" spans="1:7" s="60" customFormat="1" ht="22.5" hidden="1">
      <c r="A70" s="65" t="str">
        <f>Примечание!B20</f>
        <v>недель промежуточной аттестации</v>
      </c>
      <c r="D70" s="68" t="s">
        <v>7</v>
      </c>
      <c r="E70" s="68" t="s">
        <v>135</v>
      </c>
      <c r="F70" s="68" t="s">
        <v>7</v>
      </c>
      <c r="G70" s="68" t="s">
        <v>135</v>
      </c>
    </row>
    <row r="71" spans="1:7" s="60" customFormat="1" ht="11.25" hidden="1">
      <c r="A71" s="65" t="s">
        <v>478</v>
      </c>
      <c r="D71" s="68">
        <v>2</v>
      </c>
      <c r="E71" s="68">
        <v>32</v>
      </c>
      <c r="F71" s="68">
        <v>2</v>
      </c>
      <c r="G71" s="68">
        <v>37</v>
      </c>
    </row>
    <row r="72" spans="1:10" s="60" customFormat="1" ht="22.5" hidden="1">
      <c r="A72" s="65">
        <f>Примечание!B21</f>
        <v>0</v>
      </c>
      <c r="D72" s="68" t="s">
        <v>7</v>
      </c>
      <c r="E72" s="68" t="s">
        <v>135</v>
      </c>
      <c r="F72" s="68" t="s">
        <v>7</v>
      </c>
      <c r="G72" s="68" t="s">
        <v>135</v>
      </c>
      <c r="H72" s="67"/>
      <c r="I72" s="67"/>
      <c r="J72" s="67"/>
    </row>
    <row r="73" spans="1:7" s="60" customFormat="1" ht="11.25" hidden="1">
      <c r="A73" s="65">
        <f>Примечание!B22</f>
        <v>0</v>
      </c>
      <c r="D73" s="68">
        <v>2</v>
      </c>
      <c r="E73" s="68">
        <v>41</v>
      </c>
      <c r="F73" s="68">
        <v>2</v>
      </c>
      <c r="G73" s="68">
        <v>46</v>
      </c>
    </row>
    <row r="74" spans="1:7" s="60" customFormat="1" ht="22.5" hidden="1">
      <c r="A74" s="65" t="str">
        <f>Примечание!B23</f>
        <v>Междисциплинарный курс</v>
      </c>
      <c r="D74" s="68" t="s">
        <v>7</v>
      </c>
      <c r="E74" s="68" t="s">
        <v>135</v>
      </c>
      <c r="F74" s="68" t="s">
        <v>7</v>
      </c>
      <c r="G74" s="68" t="s">
        <v>135</v>
      </c>
    </row>
    <row r="75" spans="1:7" s="60" customFormat="1" ht="22.5" hidden="1">
      <c r="A75" s="65" t="str">
        <f>Примечание!B24</f>
        <v>Эксплуатация, техническое обслуживание и ремонт судового энергетического оборудования    </v>
      </c>
      <c r="D75" s="68">
        <v>2</v>
      </c>
      <c r="E75" s="68">
        <v>50</v>
      </c>
      <c r="F75" s="68">
        <v>2</v>
      </c>
      <c r="G75" s="68">
        <v>55</v>
      </c>
    </row>
    <row r="76" spans="1:7" s="60" customFormat="1" ht="22.5" hidden="1">
      <c r="A76" s="65" t="str">
        <f>Примечание!B25</f>
        <v>Обеспечение безопасности плавания</v>
      </c>
      <c r="D76" s="68" t="s">
        <v>7</v>
      </c>
      <c r="E76" s="68" t="s">
        <v>135</v>
      </c>
      <c r="F76" s="68" t="s">
        <v>7</v>
      </c>
      <c r="G76" s="68" t="s">
        <v>135</v>
      </c>
    </row>
    <row r="77" spans="1:7" s="60" customFormat="1" ht="11.25" hidden="1">
      <c r="A77" s="65" t="str">
        <f>Примечание!B26</f>
        <v>Организация работы структурного подразделения</v>
      </c>
      <c r="D77" s="68">
        <v>2</v>
      </c>
      <c r="E77" s="68">
        <v>59</v>
      </c>
      <c r="F77" s="68">
        <v>2</v>
      </c>
      <c r="G77" s="68">
        <v>64</v>
      </c>
    </row>
    <row r="78" spans="4:7" s="60" customFormat="1" ht="22.5" hidden="1">
      <c r="D78" s="68" t="s">
        <v>7</v>
      </c>
      <c r="E78" s="68" t="s">
        <v>135</v>
      </c>
      <c r="F78" s="68" t="s">
        <v>7</v>
      </c>
      <c r="G78" s="68" t="s">
        <v>135</v>
      </c>
    </row>
    <row r="79" spans="1:7" s="60" customFormat="1" ht="11.25" hidden="1">
      <c r="A79" s="893" t="s">
        <v>260</v>
      </c>
      <c r="B79" s="894"/>
      <c r="D79" s="68">
        <v>2</v>
      </c>
      <c r="E79" s="68">
        <v>68</v>
      </c>
      <c r="F79" s="68">
        <v>2</v>
      </c>
      <c r="G79" s="68">
        <v>73</v>
      </c>
    </row>
    <row r="80" spans="1:7" s="60" customFormat="1" ht="22.5" hidden="1">
      <c r="A80" s="65" t="str">
        <f>Примечание!B3</f>
        <v>Предметная цикловая комиссия общего гуманитарного и социально-экономического цикла </v>
      </c>
      <c r="B80" s="69" t="str">
        <f>Примечание!C3</f>
        <v>64 - 1</v>
      </c>
      <c r="D80" s="68" t="s">
        <v>7</v>
      </c>
      <c r="E80" s="68" t="s">
        <v>135</v>
      </c>
      <c r="F80" s="68" t="s">
        <v>7</v>
      </c>
      <c r="G80" s="68" t="s">
        <v>135</v>
      </c>
    </row>
    <row r="81" spans="1:7" s="60" customFormat="1" ht="22.5" hidden="1">
      <c r="A81" s="65" t="str">
        <f>Примечание!B4</f>
        <v>Предметная цикловая комиссия математического и общего естественнонаучного цикла</v>
      </c>
      <c r="B81" s="69" t="str">
        <f>Примечание!C4</f>
        <v>64 - 2</v>
      </c>
      <c r="D81" s="68">
        <v>2</v>
      </c>
      <c r="E81" s="68">
        <v>77</v>
      </c>
      <c r="F81" s="68">
        <v>2</v>
      </c>
      <c r="G81" s="68">
        <v>82</v>
      </c>
    </row>
    <row r="82" spans="1:7" s="60" customFormat="1" ht="22.5" hidden="1">
      <c r="A82" s="65" t="str">
        <f>Примечание!B5</f>
        <v>Предметная цикловая комиссия профессионального  цикла специальности «Судовождение»</v>
      </c>
      <c r="B82" s="69" t="str">
        <f>Примечание!C5</f>
        <v>64 - 3</v>
      </c>
      <c r="D82" s="68" t="s">
        <v>7</v>
      </c>
      <c r="E82" s="68" t="s">
        <v>135</v>
      </c>
      <c r="F82" s="68" t="s">
        <v>7</v>
      </c>
      <c r="G82" s="68" t="s">
        <v>135</v>
      </c>
    </row>
    <row r="83" spans="1:7" s="60" customFormat="1" ht="22.5" hidden="1">
      <c r="A83" s="65" t="str">
        <f>Примечание!B6</f>
        <v>Предметная цикловая комиссия профессионального  цикла специальности «Эксплуатация судовых энергетических установок»</v>
      </c>
      <c r="B83" s="69" t="str">
        <f>Примечание!C6</f>
        <v>64 - 4</v>
      </c>
      <c r="D83" s="68">
        <v>2</v>
      </c>
      <c r="E83" s="68">
        <v>86</v>
      </c>
      <c r="F83" s="68">
        <v>2</v>
      </c>
      <c r="G83" s="68">
        <v>91</v>
      </c>
    </row>
    <row r="84" spans="1:7" s="60" customFormat="1" ht="33.75" hidden="1">
      <c r="A84" s="65" t="str">
        <f>Примечание!B7</f>
        <v>Предметная цикловая комиссия профессионального  цикла специальности «Эксплуатация судового электрооборудования и средств автоматики»</v>
      </c>
      <c r="B84" s="69" t="str">
        <f>Примечание!C7</f>
        <v>64 - 5</v>
      </c>
      <c r="D84" s="68" t="s">
        <v>7</v>
      </c>
      <c r="E84" s="68" t="s">
        <v>135</v>
      </c>
      <c r="F84" s="68" t="s">
        <v>7</v>
      </c>
      <c r="G84" s="68" t="s">
        <v>135</v>
      </c>
    </row>
    <row r="85" spans="1:7" s="60" customFormat="1" ht="22.5" hidden="1">
      <c r="A85" s="65" t="str">
        <f>Примечание!B8</f>
        <v>Предметная цикловая комиссия профессионального  цикла гидротехнических и  общепрофессиональных дисциплин </v>
      </c>
      <c r="B85" s="69" t="str">
        <f>Примечание!C8</f>
        <v>64 - 6</v>
      </c>
      <c r="D85" s="68">
        <v>2</v>
      </c>
      <c r="E85" s="68">
        <v>95</v>
      </c>
      <c r="F85" s="68">
        <v>2</v>
      </c>
      <c r="G85" s="68">
        <v>100</v>
      </c>
    </row>
    <row r="86" spans="1:7" s="60" customFormat="1" ht="33.75" hidden="1">
      <c r="A86" s="65" t="str">
        <f>Примечание!B9</f>
        <v>Предметная цикловая комиссия профессионального  цикла специальности «Организация перевозок и управление на транспорте (по видам)»</v>
      </c>
      <c r="B86" s="69" t="str">
        <f>Примечание!C9</f>
        <v>64 - 7</v>
      </c>
      <c r="D86" s="68" t="s">
        <v>7</v>
      </c>
      <c r="E86" s="68" t="s">
        <v>135</v>
      </c>
      <c r="F86" s="68" t="s">
        <v>7</v>
      </c>
      <c r="G86" s="68" t="s">
        <v>135</v>
      </c>
    </row>
    <row r="87" spans="1:7" s="60" customFormat="1" ht="11.25" hidden="1">
      <c r="A87" s="65" t="str">
        <f>Примечание!B10</f>
        <v>Кафедра физического воспитания и спорта</v>
      </c>
      <c r="B87" s="69">
        <f>Примечание!C10</f>
        <v>20</v>
      </c>
      <c r="D87" s="68">
        <v>2</v>
      </c>
      <c r="E87" s="68">
        <v>104</v>
      </c>
      <c r="F87" s="68">
        <v>2</v>
      </c>
      <c r="G87" s="68">
        <v>109</v>
      </c>
    </row>
    <row r="88" spans="1:7" s="60" customFormat="1" ht="22.5" hidden="1">
      <c r="A88" s="65" t="e">
        <f>Примечание!#REF!</f>
        <v>#REF!</v>
      </c>
      <c r="B88" s="69" t="e">
        <f>Примечание!#REF!</f>
        <v>#REF!</v>
      </c>
      <c r="D88" s="68" t="s">
        <v>7</v>
      </c>
      <c r="E88" s="68" t="s">
        <v>135</v>
      </c>
      <c r="F88" s="68" t="s">
        <v>7</v>
      </c>
      <c r="G88" s="68" t="s">
        <v>135</v>
      </c>
    </row>
    <row r="89" spans="1:2" s="60" customFormat="1" ht="11.25" hidden="1">
      <c r="A89" s="65" t="e">
        <f>Примечание!#REF!</f>
        <v>#REF!</v>
      </c>
      <c r="B89" s="69" t="e">
        <f>Примечание!#REF!</f>
        <v>#REF!</v>
      </c>
    </row>
    <row r="90" spans="1:2" s="60" customFormat="1" ht="11.25" hidden="1">
      <c r="A90" s="65" t="e">
        <f>Примечание!#REF!</f>
        <v>#REF!</v>
      </c>
      <c r="B90" s="69" t="e">
        <f>Примечание!#REF!</f>
        <v>#REF!</v>
      </c>
    </row>
    <row r="91" spans="1:2" s="60" customFormat="1" ht="11.25" hidden="1">
      <c r="A91" s="65">
        <f>Примечание!B12</f>
        <v>0</v>
      </c>
      <c r="B91" s="69">
        <f>Примечание!C12</f>
        <v>0</v>
      </c>
    </row>
    <row r="92" spans="1:2" s="60" customFormat="1" ht="11.25" hidden="1">
      <c r="A92" s="65" t="str">
        <f>Примечание!B13</f>
        <v>Наименование отделения (факультета)</v>
      </c>
      <c r="B92" s="69" t="str">
        <f>Примечание!C13</f>
        <v>Код</v>
      </c>
    </row>
    <row r="93" spans="1:2" s="60" customFormat="1" ht="11.25" hidden="1">
      <c r="A93" s="65" t="str">
        <f>Примечание!B14</f>
        <v>Нижегородское речное училище им.И.П.Кулибина</v>
      </c>
      <c r="B93" s="69">
        <f>Примечание!C14</f>
        <v>64</v>
      </c>
    </row>
    <row r="94" spans="1:2" s="60" customFormat="1" ht="11.25" hidden="1">
      <c r="A94" s="65" t="e">
        <f>Примечание!#REF!</f>
        <v>#REF!</v>
      </c>
      <c r="B94" s="69" t="e">
        <f>Примечание!#REF!</f>
        <v>#REF!</v>
      </c>
    </row>
    <row r="95" spans="1:2" s="60" customFormat="1" ht="11.25" hidden="1">
      <c r="A95" s="65" t="e">
        <f>Примечание!#REF!</f>
        <v>#REF!</v>
      </c>
      <c r="B95" s="69" t="e">
        <f>Примечание!#REF!</f>
        <v>#REF!</v>
      </c>
    </row>
    <row r="96" spans="1:2" s="60" customFormat="1" ht="11.25" hidden="1">
      <c r="A96" s="65" t="e">
        <f>Примечание!#REF!</f>
        <v>#REF!</v>
      </c>
      <c r="B96" s="69" t="e">
        <f>Примечание!#REF!</f>
        <v>#REF!</v>
      </c>
    </row>
    <row r="97" spans="1:7" s="60" customFormat="1" ht="12.75" hidden="1">
      <c r="A97" s="65" t="str">
        <f>Примечание!B15</f>
        <v>Управление конвенционной подготовки и повышения квалификации</v>
      </c>
      <c r="B97" s="69">
        <f>Примечание!C15</f>
        <v>5</v>
      </c>
      <c r="D97" s="70"/>
      <c r="E97" s="70"/>
      <c r="F97" s="70"/>
      <c r="G97" s="70"/>
    </row>
    <row r="98" spans="1:7" s="60" customFormat="1" ht="12.75" hidden="1">
      <c r="A98" s="65">
        <f>Примечание!B17</f>
        <v>0</v>
      </c>
      <c r="B98" s="69">
        <f>Примечание!C17</f>
        <v>0</v>
      </c>
      <c r="D98" s="70"/>
      <c r="E98" s="70"/>
      <c r="F98" s="70"/>
      <c r="G98" s="70"/>
    </row>
    <row r="99" spans="1:7" s="60" customFormat="1" ht="12.75" hidden="1">
      <c r="A99" s="65">
        <f>Примечание!B18</f>
        <v>0</v>
      </c>
      <c r="B99" s="69">
        <f>Примечание!C18</f>
        <v>0</v>
      </c>
      <c r="D99" s="70"/>
      <c r="E99" s="70"/>
      <c r="F99" s="70"/>
      <c r="G99" s="70"/>
    </row>
    <row r="100" ht="12.75" hidden="1"/>
  </sheetData>
  <sheetProtection selectLockedCells="1" autoFilter="0" selectUnlockedCells="1"/>
  <mergeCells count="64">
    <mergeCell ref="F66:G66"/>
    <mergeCell ref="D66:E66"/>
    <mergeCell ref="A15:C15"/>
    <mergeCell ref="A20:C20"/>
    <mergeCell ref="A21:C21"/>
    <mergeCell ref="A22:C22"/>
    <mergeCell ref="A37:E37"/>
    <mergeCell ref="A35:E35"/>
    <mergeCell ref="A38:E38"/>
    <mergeCell ref="A36:E36"/>
    <mergeCell ref="F54:I54"/>
    <mergeCell ref="A52:I52"/>
    <mergeCell ref="A53:E53"/>
    <mergeCell ref="A42:E42"/>
    <mergeCell ref="A48:E48"/>
    <mergeCell ref="A55:E55"/>
    <mergeCell ref="A79:B79"/>
    <mergeCell ref="A8:C8"/>
    <mergeCell ref="A9:C9"/>
    <mergeCell ref="A10:C10"/>
    <mergeCell ref="A11:C11"/>
    <mergeCell ref="A12:C12"/>
    <mergeCell ref="A44:E44"/>
    <mergeCell ref="A47:E47"/>
    <mergeCell ref="A46:E46"/>
    <mergeCell ref="A45:E45"/>
    <mergeCell ref="A31:E31"/>
    <mergeCell ref="A34:E34"/>
    <mergeCell ref="A43:E43"/>
    <mergeCell ref="A39:E39"/>
    <mergeCell ref="A40:E40"/>
    <mergeCell ref="A26:E26"/>
    <mergeCell ref="A41:E41"/>
    <mergeCell ref="A27:E27"/>
    <mergeCell ref="A25:E25"/>
    <mergeCell ref="A1:I1"/>
    <mergeCell ref="F2:G2"/>
    <mergeCell ref="D2:E2"/>
    <mergeCell ref="A16:C16"/>
    <mergeCell ref="A17:C17"/>
    <mergeCell ref="A18:C18"/>
    <mergeCell ref="A19:C19"/>
    <mergeCell ref="A24:I24"/>
    <mergeCell ref="H2:I2"/>
    <mergeCell ref="A2:C3"/>
    <mergeCell ref="A6:C6"/>
    <mergeCell ref="A7:C7"/>
    <mergeCell ref="A5:D5"/>
    <mergeCell ref="F58:H58"/>
    <mergeCell ref="A13:C13"/>
    <mergeCell ref="A14:C14"/>
    <mergeCell ref="A32:E32"/>
    <mergeCell ref="A49:E49"/>
    <mergeCell ref="A33:E33"/>
    <mergeCell ref="F59:H59"/>
    <mergeCell ref="F53:I53"/>
    <mergeCell ref="A54:E54"/>
    <mergeCell ref="A58:E58"/>
    <mergeCell ref="A59:E59"/>
    <mergeCell ref="A28:E28"/>
    <mergeCell ref="A29:E29"/>
    <mergeCell ref="A57:H57"/>
    <mergeCell ref="F55:I55"/>
    <mergeCell ref="A30:E30"/>
  </mergeCells>
  <conditionalFormatting sqref="H6:I22 I26:I49">
    <cfRule type="cellIs" priority="1" dxfId="0" operator="equal" stopIfTrue="1">
      <formula>"норма"</formula>
    </cfRule>
  </conditionalFormatting>
  <dataValidations count="2">
    <dataValidation type="list" allowBlank="1" showInputMessage="1" showErrorMessage="1" sqref="F53:I53">
      <formula1>$A$68:$A$73</formula1>
    </dataValidation>
    <dataValidation type="list" allowBlank="1" showInputMessage="1" showErrorMessage="1" sqref="F55:I55">
      <formula1>$A$80:$A$99</formula1>
    </dataValidation>
  </dataValidations>
  <printOptions horizontalCentered="1"/>
  <pageMargins left="0" right="0" top="0.5905511811023623" bottom="0.3937007874015748" header="0.11811023622047245" footer="0.11811023622047245"/>
  <pageSetup fitToHeight="1" fitToWidth="1" horizontalDpi="600" verticalDpi="600" orientation="landscape" paperSize="8" scale="67" r:id="rId1"/>
  <headerFooter alignWithMargins="0">
    <oddFooter>&amp;L&amp;F&amp;C&amp;A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="90" zoomScaleNormal="90" zoomScalePageLayoutView="0" workbookViewId="0" topLeftCell="A1">
      <selection activeCell="A1" sqref="A1:E16"/>
    </sheetView>
  </sheetViews>
  <sheetFormatPr defaultColWidth="9.33203125" defaultRowHeight="12.75"/>
  <cols>
    <col min="1" max="1" width="9.33203125" style="73" customWidth="1"/>
    <col min="2" max="2" width="100.83203125" style="73" customWidth="1"/>
    <col min="3" max="4" width="9.33203125" style="73" customWidth="1"/>
    <col min="5" max="5" width="100.83203125" style="73" customWidth="1"/>
    <col min="6" max="16384" width="9.33203125" style="73" customWidth="1"/>
  </cols>
  <sheetData>
    <row r="1" spans="1:5" ht="22.5" customHeight="1">
      <c r="A1" s="905" t="s">
        <v>137</v>
      </c>
      <c r="B1" s="905"/>
      <c r="C1" s="559"/>
      <c r="D1" s="905" t="s">
        <v>0</v>
      </c>
      <c r="E1" s="905"/>
    </row>
    <row r="2" spans="1:5" ht="25.5">
      <c r="A2" s="560" t="s">
        <v>75</v>
      </c>
      <c r="B2" s="561" t="s">
        <v>271</v>
      </c>
      <c r="C2" s="559"/>
      <c r="D2" s="562" t="s">
        <v>343</v>
      </c>
      <c r="E2" s="561" t="s">
        <v>283</v>
      </c>
    </row>
    <row r="3" spans="1:5" ht="25.5">
      <c r="A3" s="560" t="s">
        <v>76</v>
      </c>
      <c r="B3" s="561" t="s">
        <v>279</v>
      </c>
      <c r="C3" s="559"/>
      <c r="D3" s="562" t="s">
        <v>344</v>
      </c>
      <c r="E3" s="561" t="s">
        <v>284</v>
      </c>
    </row>
    <row r="4" spans="1:5" ht="12.75">
      <c r="A4" s="560" t="s">
        <v>77</v>
      </c>
      <c r="B4" s="561" t="s">
        <v>268</v>
      </c>
      <c r="C4" s="559"/>
      <c r="D4" s="562" t="s">
        <v>345</v>
      </c>
      <c r="E4" s="563" t="s">
        <v>342</v>
      </c>
    </row>
    <row r="5" spans="1:5" ht="25.5">
      <c r="A5" s="560" t="s">
        <v>78</v>
      </c>
      <c r="B5" s="561" t="s">
        <v>269</v>
      </c>
      <c r="C5" s="559"/>
      <c r="D5" s="562" t="s">
        <v>346</v>
      </c>
      <c r="E5" s="561" t="s">
        <v>285</v>
      </c>
    </row>
    <row r="6" spans="1:5" ht="27" customHeight="1">
      <c r="A6" s="560" t="s">
        <v>79</v>
      </c>
      <c r="B6" s="561" t="s">
        <v>280</v>
      </c>
      <c r="C6" s="559"/>
      <c r="D6" s="562" t="s">
        <v>347</v>
      </c>
      <c r="E6" s="561" t="s">
        <v>286</v>
      </c>
    </row>
    <row r="7" spans="1:5" ht="12.75">
      <c r="A7" s="560" t="s">
        <v>80</v>
      </c>
      <c r="B7" s="561" t="s">
        <v>281</v>
      </c>
      <c r="C7" s="559"/>
      <c r="D7" s="562" t="s">
        <v>348</v>
      </c>
      <c r="E7" s="561" t="s">
        <v>287</v>
      </c>
    </row>
    <row r="8" spans="1:5" ht="25.5">
      <c r="A8" s="560" t="s">
        <v>81</v>
      </c>
      <c r="B8" s="563" t="s">
        <v>340</v>
      </c>
      <c r="C8" s="559"/>
      <c r="D8" s="562" t="s">
        <v>349</v>
      </c>
      <c r="E8" s="561" t="s">
        <v>288</v>
      </c>
    </row>
    <row r="9" spans="1:5" ht="25.5">
      <c r="A9" s="560" t="s">
        <v>82</v>
      </c>
      <c r="B9" s="563" t="s">
        <v>341</v>
      </c>
      <c r="C9" s="559"/>
      <c r="D9" s="562" t="s">
        <v>350</v>
      </c>
      <c r="E9" s="561" t="s">
        <v>289</v>
      </c>
    </row>
    <row r="10" spans="1:5" ht="12.75">
      <c r="A10" s="560" t="s">
        <v>83</v>
      </c>
      <c r="B10" s="563" t="s">
        <v>270</v>
      </c>
      <c r="C10" s="559"/>
      <c r="D10" s="562" t="s">
        <v>351</v>
      </c>
      <c r="E10" s="561" t="s">
        <v>290</v>
      </c>
    </row>
    <row r="11" spans="1:5" ht="25.5">
      <c r="A11" s="564" t="s">
        <v>84</v>
      </c>
      <c r="B11" s="565" t="s">
        <v>282</v>
      </c>
      <c r="C11" s="559"/>
      <c r="D11" s="562" t="s">
        <v>352</v>
      </c>
      <c r="E11" s="561" t="s">
        <v>291</v>
      </c>
    </row>
    <row r="12" spans="1:5" ht="25.5">
      <c r="A12" s="566"/>
      <c r="B12" s="567"/>
      <c r="C12" s="559"/>
      <c r="D12" s="562" t="s">
        <v>353</v>
      </c>
      <c r="E12" s="561" t="s">
        <v>310</v>
      </c>
    </row>
    <row r="13" spans="1:5" ht="25.5">
      <c r="A13" s="568"/>
      <c r="B13" s="569"/>
      <c r="C13" s="559"/>
      <c r="D13" s="562" t="s">
        <v>354</v>
      </c>
      <c r="E13" s="561" t="s">
        <v>292</v>
      </c>
    </row>
    <row r="14" spans="1:5" ht="12.75">
      <c r="A14" s="568"/>
      <c r="B14" s="569"/>
      <c r="C14" s="559"/>
      <c r="D14" s="562" t="s">
        <v>355</v>
      </c>
      <c r="E14" s="561" t="s">
        <v>293</v>
      </c>
    </row>
    <row r="15" spans="1:5" ht="12.75">
      <c r="A15" s="568"/>
      <c r="B15" s="569"/>
      <c r="C15" s="559"/>
      <c r="D15" s="562" t="s">
        <v>356</v>
      </c>
      <c r="E15" s="561" t="s">
        <v>294</v>
      </c>
    </row>
    <row r="16" spans="1:5" ht="12.75">
      <c r="A16" s="568"/>
      <c r="B16" s="569"/>
      <c r="C16" s="559"/>
      <c r="D16" s="562" t="s">
        <v>357</v>
      </c>
      <c r="E16" s="561" t="s">
        <v>295</v>
      </c>
    </row>
    <row r="17" spans="1:2" ht="12.75">
      <c r="A17" s="152"/>
      <c r="B17" s="71"/>
    </row>
    <row r="18" spans="1:2" ht="12.75">
      <c r="A18" s="74"/>
      <c r="B18" s="71"/>
    </row>
    <row r="19" spans="1:2" ht="12.75">
      <c r="A19" s="74"/>
      <c r="B19" s="71"/>
    </row>
    <row r="20" spans="1:2" ht="13.5">
      <c r="A20" s="72"/>
      <c r="B20" s="75"/>
    </row>
    <row r="21" spans="1:2" ht="12.75">
      <c r="A21" s="74"/>
      <c r="B21" s="75"/>
    </row>
    <row r="22" spans="1:2" ht="12.75">
      <c r="A22" s="74"/>
      <c r="B22" s="75"/>
    </row>
    <row r="23" spans="1:2" ht="12.75">
      <c r="A23" s="74"/>
      <c r="B23" s="75"/>
    </row>
    <row r="24" spans="1:2" ht="12.75">
      <c r="A24" s="74"/>
      <c r="B24" s="75"/>
    </row>
    <row r="25" spans="1:2" ht="12.75">
      <c r="A25" s="74"/>
      <c r="B25" s="75"/>
    </row>
    <row r="26" spans="1:2" ht="13.5">
      <c r="A26" s="72"/>
      <c r="B26" s="75"/>
    </row>
    <row r="27" spans="1:2" ht="12.75">
      <c r="A27" s="74"/>
      <c r="B27" s="75"/>
    </row>
    <row r="28" spans="1:2" ht="12.75">
      <c r="A28" s="74"/>
      <c r="B28" s="75"/>
    </row>
    <row r="29" spans="1:2" ht="12.75">
      <c r="A29" s="74"/>
      <c r="B29" s="75"/>
    </row>
    <row r="30" spans="1:2" ht="12.75">
      <c r="A30" s="74"/>
      <c r="B30" s="75"/>
    </row>
    <row r="31" spans="1:2" ht="12.75">
      <c r="A31" s="71"/>
      <c r="B31" s="75"/>
    </row>
    <row r="32" spans="1:2" ht="12.75">
      <c r="A32" s="74"/>
      <c r="B32" s="75"/>
    </row>
    <row r="33" spans="1:2" ht="12.75">
      <c r="A33" s="74"/>
      <c r="B33" s="75"/>
    </row>
    <row r="34" ht="12.75">
      <c r="B34" s="75"/>
    </row>
    <row r="35" ht="12.75">
      <c r="B35" s="75"/>
    </row>
    <row r="36" ht="12.75">
      <c r="B36" s="75"/>
    </row>
    <row r="37" ht="12.75">
      <c r="B37" s="75"/>
    </row>
    <row r="38" ht="12.75">
      <c r="B38" s="75"/>
    </row>
    <row r="39" ht="12.75">
      <c r="B39" s="75"/>
    </row>
    <row r="40" ht="12.75">
      <c r="B40" s="75"/>
    </row>
    <row r="41" ht="12.75">
      <c r="B41" s="75"/>
    </row>
    <row r="42" ht="12.75">
      <c r="B42" s="75"/>
    </row>
    <row r="43" ht="12.75">
      <c r="B43" s="76"/>
    </row>
  </sheetData>
  <sheetProtection password="CF70" sheet="1" formatCells="0" formatColumns="0" formatRows="0" insertColumns="0" insertRows="0" insertHyperlinks="0" deleteColumns="0" deleteRows="0" sort="0" autoFilter="0" pivotTables="0"/>
  <mergeCells count="2">
    <mergeCell ref="A1:B1"/>
    <mergeCell ref="D1:E1"/>
  </mergeCells>
  <printOptions horizontalCentered="1"/>
  <pageMargins left="0" right="0" top="0.5905511811023623" bottom="0.3937007874015748" header="0.11811023622047245" footer="0.11811023622047245"/>
  <pageSetup fitToHeight="1" fitToWidth="1" horizontalDpi="600" verticalDpi="600" orientation="landscape" paperSize="8" scale="7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="90" zoomScaleNormal="90" zoomScalePageLayoutView="0" workbookViewId="0" topLeftCell="A1">
      <selection activeCell="A3" sqref="A3:B27"/>
    </sheetView>
  </sheetViews>
  <sheetFormatPr defaultColWidth="36" defaultRowHeight="12.75"/>
  <cols>
    <col min="1" max="1" width="4.5" style="73" customWidth="1"/>
    <col min="2" max="2" width="32.16015625" style="73" customWidth="1"/>
    <col min="3" max="3" width="92.33203125" style="73" customWidth="1"/>
    <col min="4" max="16384" width="36" style="73" customWidth="1"/>
  </cols>
  <sheetData>
    <row r="1" spans="1:3" ht="12.75" customHeight="1">
      <c r="A1" s="906" t="s">
        <v>138</v>
      </c>
      <c r="B1" s="906"/>
      <c r="C1" s="906"/>
    </row>
    <row r="2" spans="1:3" ht="12.75">
      <c r="A2" s="83" t="s">
        <v>34</v>
      </c>
      <c r="B2" s="83" t="s">
        <v>139</v>
      </c>
      <c r="C2" s="83" t="s">
        <v>9</v>
      </c>
    </row>
    <row r="3" spans="1:3" ht="12.75">
      <c r="A3" s="570">
        <v>1</v>
      </c>
      <c r="B3" s="563" t="s">
        <v>200</v>
      </c>
      <c r="C3" s="327" t="s">
        <v>479</v>
      </c>
    </row>
    <row r="4" spans="1:3" ht="12.75">
      <c r="A4" s="571">
        <v>2</v>
      </c>
      <c r="B4" s="572" t="s">
        <v>200</v>
      </c>
      <c r="C4" s="99" t="s">
        <v>201</v>
      </c>
    </row>
    <row r="5" spans="1:3" ht="12.75">
      <c r="A5" s="570">
        <v>3</v>
      </c>
      <c r="B5" s="572" t="s">
        <v>200</v>
      </c>
      <c r="C5" s="99" t="s">
        <v>296</v>
      </c>
    </row>
    <row r="6" spans="1:3" ht="12.75">
      <c r="A6" s="571">
        <v>4</v>
      </c>
      <c r="B6" s="572" t="s">
        <v>200</v>
      </c>
      <c r="C6" s="99" t="s">
        <v>202</v>
      </c>
    </row>
    <row r="7" spans="1:3" ht="12.75">
      <c r="A7" s="570">
        <v>5</v>
      </c>
      <c r="B7" s="572" t="s">
        <v>200</v>
      </c>
      <c r="C7" s="99" t="s">
        <v>297</v>
      </c>
    </row>
    <row r="8" spans="1:3" ht="12.75">
      <c r="A8" s="571">
        <v>6</v>
      </c>
      <c r="B8" s="572" t="s">
        <v>200</v>
      </c>
      <c r="C8" s="99" t="s">
        <v>298</v>
      </c>
    </row>
    <row r="9" spans="1:3" ht="12.75">
      <c r="A9" s="570">
        <v>7</v>
      </c>
      <c r="B9" s="572" t="s">
        <v>200</v>
      </c>
      <c r="C9" s="99" t="s">
        <v>203</v>
      </c>
    </row>
    <row r="10" spans="1:3" ht="12.75">
      <c r="A10" s="571">
        <v>8</v>
      </c>
      <c r="B10" s="572" t="s">
        <v>200</v>
      </c>
      <c r="C10" s="99" t="s">
        <v>299</v>
      </c>
    </row>
    <row r="11" spans="1:3" ht="12.75">
      <c r="A11" s="570">
        <v>9</v>
      </c>
      <c r="B11" s="572" t="s">
        <v>200</v>
      </c>
      <c r="C11" s="99" t="s">
        <v>300</v>
      </c>
    </row>
    <row r="12" spans="1:3" ht="12.75">
      <c r="A12" s="571">
        <v>10</v>
      </c>
      <c r="B12" s="572" t="s">
        <v>200</v>
      </c>
      <c r="C12" s="99" t="s">
        <v>301</v>
      </c>
    </row>
    <row r="13" spans="1:4" ht="12.75">
      <c r="A13" s="570">
        <v>11</v>
      </c>
      <c r="B13" s="572" t="s">
        <v>200</v>
      </c>
      <c r="C13" s="99" t="s">
        <v>302</v>
      </c>
      <c r="D13" s="73" t="s">
        <v>26</v>
      </c>
    </row>
    <row r="14" spans="1:3" ht="12.75">
      <c r="A14" s="571">
        <v>12</v>
      </c>
      <c r="B14" s="572" t="s">
        <v>200</v>
      </c>
      <c r="C14" s="99" t="s">
        <v>303</v>
      </c>
    </row>
    <row r="15" spans="1:3" ht="12.75">
      <c r="A15" s="570">
        <v>13</v>
      </c>
      <c r="B15" s="572" t="s">
        <v>200</v>
      </c>
      <c r="C15" s="99" t="s">
        <v>358</v>
      </c>
    </row>
    <row r="16" spans="1:3" ht="12.75">
      <c r="A16" s="571">
        <v>14</v>
      </c>
      <c r="B16" s="572" t="s">
        <v>200</v>
      </c>
      <c r="C16" s="99" t="s">
        <v>359</v>
      </c>
    </row>
    <row r="17" spans="1:3" ht="12.75">
      <c r="A17" s="570">
        <v>15</v>
      </c>
      <c r="B17" s="572" t="s">
        <v>200</v>
      </c>
      <c r="C17" s="99" t="s">
        <v>305</v>
      </c>
    </row>
    <row r="18" spans="1:3" ht="12.75">
      <c r="A18" s="571">
        <v>16</v>
      </c>
      <c r="B18" s="572" t="s">
        <v>204</v>
      </c>
      <c r="C18" s="99" t="s">
        <v>360</v>
      </c>
    </row>
    <row r="19" spans="1:3" ht="12.75">
      <c r="A19" s="570">
        <v>17</v>
      </c>
      <c r="B19" s="572" t="s">
        <v>204</v>
      </c>
      <c r="C19" s="99" t="s">
        <v>304</v>
      </c>
    </row>
    <row r="20" spans="1:3" ht="12.75">
      <c r="A20" s="571">
        <v>18</v>
      </c>
      <c r="B20" s="572" t="s">
        <v>306</v>
      </c>
      <c r="C20" s="99" t="s">
        <v>307</v>
      </c>
    </row>
    <row r="21" spans="1:3" ht="12.75">
      <c r="A21" s="570">
        <v>19</v>
      </c>
      <c r="B21" s="572" t="s">
        <v>306</v>
      </c>
      <c r="C21" s="99" t="s">
        <v>361</v>
      </c>
    </row>
    <row r="22" spans="1:3" ht="12.75">
      <c r="A22" s="571">
        <v>20</v>
      </c>
      <c r="B22" s="572" t="s">
        <v>308</v>
      </c>
      <c r="C22" s="99" t="s">
        <v>309</v>
      </c>
    </row>
    <row r="23" spans="1:3" ht="12.75">
      <c r="A23" s="570">
        <v>21</v>
      </c>
      <c r="B23" s="573" t="s">
        <v>205</v>
      </c>
      <c r="C23" s="99" t="s">
        <v>208</v>
      </c>
    </row>
    <row r="24" spans="1:3" ht="12.75">
      <c r="A24" s="571">
        <v>22</v>
      </c>
      <c r="B24" s="573" t="s">
        <v>205</v>
      </c>
      <c r="C24" s="99" t="s">
        <v>209</v>
      </c>
    </row>
    <row r="25" spans="1:3" ht="12.75">
      <c r="A25" s="570">
        <v>23</v>
      </c>
      <c r="B25" s="573" t="s">
        <v>205</v>
      </c>
      <c r="C25" s="99" t="s">
        <v>210</v>
      </c>
    </row>
    <row r="26" spans="1:3" ht="12.75">
      <c r="A26" s="571">
        <v>24</v>
      </c>
      <c r="B26" s="572" t="s">
        <v>206</v>
      </c>
      <c r="C26" s="99" t="s">
        <v>211</v>
      </c>
    </row>
    <row r="27" spans="1:3" ht="12.75">
      <c r="A27" s="570">
        <v>25</v>
      </c>
      <c r="B27" s="572" t="s">
        <v>206</v>
      </c>
      <c r="C27" s="99" t="s">
        <v>207</v>
      </c>
    </row>
    <row r="28" ht="12.75">
      <c r="C28" s="75"/>
    </row>
    <row r="29" ht="12.75">
      <c r="C29" s="75"/>
    </row>
    <row r="30" ht="12.75">
      <c r="C30" s="75"/>
    </row>
    <row r="31" ht="12.75">
      <c r="C31" s="75"/>
    </row>
    <row r="32" ht="12.75">
      <c r="C32" s="75"/>
    </row>
    <row r="33" ht="12.75">
      <c r="C33" s="75"/>
    </row>
    <row r="34" ht="12.75">
      <c r="C34" s="75"/>
    </row>
    <row r="35" ht="12.75">
      <c r="C35" s="75"/>
    </row>
    <row r="36" ht="12.75">
      <c r="C36" s="75"/>
    </row>
    <row r="37" ht="12.75">
      <c r="C37" s="75"/>
    </row>
    <row r="38" ht="12.75">
      <c r="C38" s="75"/>
    </row>
    <row r="39" ht="12.75">
      <c r="C39" s="75"/>
    </row>
    <row r="40" ht="12.75">
      <c r="C40" s="75"/>
    </row>
    <row r="41" ht="12.75">
      <c r="C41" s="75"/>
    </row>
    <row r="42" ht="12.75">
      <c r="C42" s="75"/>
    </row>
    <row r="43" ht="12.75">
      <c r="C43" s="75"/>
    </row>
    <row r="44" ht="12.75">
      <c r="C44" s="75"/>
    </row>
    <row r="45" ht="12.75">
      <c r="C45" s="75"/>
    </row>
    <row r="46" ht="12.75">
      <c r="C46" s="76"/>
    </row>
  </sheetData>
  <sheetProtection password="CF70" sheet="1" objects="1" scenarios="1" formatCells="0" formatColumns="0" formatRows="0" insertColumns="0" insertRows="0" insertHyperlinks="0" deleteColumns="0" deleteRows="0" sort="0" autoFilter="0" pivotTables="0"/>
  <mergeCells count="1">
    <mergeCell ref="A1:C1"/>
  </mergeCells>
  <printOptions horizontalCentered="1"/>
  <pageMargins left="0" right="0" top="0.5905511811023623" bottom="0.3937007874015748" header="0.11811023622047245" footer="0.11811023622047245"/>
  <pageSetup fitToHeight="100" fitToWidth="1" horizontalDpi="600" verticalDpi="600" orientation="landscape" paperSize="8" scale="97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="80" zoomScaleNormal="80" zoomScalePageLayoutView="0" workbookViewId="0" topLeftCell="A1">
      <selection activeCell="F20" sqref="F20"/>
    </sheetView>
  </sheetViews>
  <sheetFormatPr defaultColWidth="9.33203125" defaultRowHeight="12.75"/>
  <cols>
    <col min="1" max="1" width="4.5" style="87" customWidth="1"/>
    <col min="2" max="2" width="92.33203125" style="87" customWidth="1"/>
    <col min="3" max="3" width="51.5" style="87" customWidth="1"/>
    <col min="4" max="4" width="9.33203125" style="87" customWidth="1"/>
    <col min="5" max="5" width="0" style="87" hidden="1" customWidth="1"/>
    <col min="6" max="16384" width="9.33203125" style="87" customWidth="1"/>
  </cols>
  <sheetData>
    <row r="1" spans="1:3" ht="12.75" customHeight="1">
      <c r="A1" s="906" t="s">
        <v>573</v>
      </c>
      <c r="B1" s="906"/>
      <c r="C1" s="906"/>
    </row>
    <row r="2" spans="1:3" ht="12.75">
      <c r="A2" s="83" t="s">
        <v>34</v>
      </c>
      <c r="B2" s="83" t="s">
        <v>140</v>
      </c>
      <c r="C2" s="83" t="s">
        <v>35</v>
      </c>
    </row>
    <row r="3" spans="1:3" ht="12.75">
      <c r="A3" s="511">
        <v>1</v>
      </c>
      <c r="B3" s="84" t="s">
        <v>574</v>
      </c>
      <c r="C3" s="297" t="s">
        <v>457</v>
      </c>
    </row>
    <row r="4" spans="1:3" ht="12.75">
      <c r="A4" s="511">
        <v>2</v>
      </c>
      <c r="B4" s="84" t="s">
        <v>575</v>
      </c>
      <c r="C4" s="297" t="s">
        <v>458</v>
      </c>
    </row>
    <row r="5" spans="1:4" ht="12.75">
      <c r="A5" s="511">
        <v>3</v>
      </c>
      <c r="B5" s="84" t="s">
        <v>576</v>
      </c>
      <c r="C5" s="297" t="s">
        <v>459</v>
      </c>
      <c r="D5" s="88"/>
    </row>
    <row r="6" spans="1:3" ht="25.5">
      <c r="A6" s="511">
        <v>4</v>
      </c>
      <c r="B6" s="84" t="s">
        <v>577</v>
      </c>
      <c r="C6" s="297" t="s">
        <v>460</v>
      </c>
    </row>
    <row r="7" spans="1:3" ht="29.25" customHeight="1">
      <c r="A7" s="511">
        <v>5</v>
      </c>
      <c r="B7" s="84" t="s">
        <v>578</v>
      </c>
      <c r="C7" s="297" t="s">
        <v>461</v>
      </c>
    </row>
    <row r="8" spans="1:3" ht="27.75" customHeight="1">
      <c r="A8" s="511">
        <v>6</v>
      </c>
      <c r="B8" s="84" t="s">
        <v>579</v>
      </c>
      <c r="C8" s="297" t="s">
        <v>462</v>
      </c>
    </row>
    <row r="9" spans="1:3" ht="25.5">
      <c r="A9" s="511">
        <v>7</v>
      </c>
      <c r="B9" s="84" t="s">
        <v>580</v>
      </c>
      <c r="C9" s="297" t="s">
        <v>463</v>
      </c>
    </row>
    <row r="10" spans="1:3" ht="26.25" customHeight="1">
      <c r="A10" s="511">
        <v>8</v>
      </c>
      <c r="B10" s="296" t="s">
        <v>464</v>
      </c>
      <c r="C10" s="299">
        <v>20</v>
      </c>
    </row>
    <row r="11" spans="1:3" s="512" customFormat="1" ht="23.25" customHeight="1">
      <c r="A11" s="155">
        <v>9</v>
      </c>
      <c r="B11" s="298" t="s">
        <v>437</v>
      </c>
      <c r="C11" s="153">
        <v>13</v>
      </c>
    </row>
    <row r="12" spans="1:3" ht="23.25" customHeight="1">
      <c r="A12" s="906" t="s">
        <v>133</v>
      </c>
      <c r="B12" s="906"/>
      <c r="C12" s="906"/>
    </row>
    <row r="13" spans="1:3" ht="12.75">
      <c r="A13" s="83" t="s">
        <v>34</v>
      </c>
      <c r="B13" s="83" t="s">
        <v>141</v>
      </c>
      <c r="C13" s="83" t="s">
        <v>35</v>
      </c>
    </row>
    <row r="14" spans="1:3" ht="12.75">
      <c r="A14" s="155">
        <v>1</v>
      </c>
      <c r="B14" s="84" t="s">
        <v>318</v>
      </c>
      <c r="C14" s="85">
        <v>64</v>
      </c>
    </row>
    <row r="15" spans="1:3" ht="12.75">
      <c r="A15" s="155">
        <v>2</v>
      </c>
      <c r="B15" s="298" t="s">
        <v>466</v>
      </c>
      <c r="C15" s="153">
        <v>5</v>
      </c>
    </row>
    <row r="16" spans="1:3" ht="12.75">
      <c r="A16" s="155">
        <v>3</v>
      </c>
      <c r="B16" s="298" t="s">
        <v>623</v>
      </c>
      <c r="C16" s="153">
        <v>28</v>
      </c>
    </row>
    <row r="18" spans="1:3" ht="12.75">
      <c r="A18" s="906" t="s">
        <v>94</v>
      </c>
      <c r="B18" s="906"/>
      <c r="C18" s="906"/>
    </row>
    <row r="19" spans="1:3" ht="12.75">
      <c r="A19" s="83" t="s">
        <v>34</v>
      </c>
      <c r="B19" s="83" t="s">
        <v>9</v>
      </c>
      <c r="C19" s="83" t="s">
        <v>95</v>
      </c>
    </row>
    <row r="20" spans="1:3" ht="12.75">
      <c r="A20" s="155">
        <v>1</v>
      </c>
      <c r="B20" s="156" t="s">
        <v>197</v>
      </c>
      <c r="C20" s="155" t="s">
        <v>196</v>
      </c>
    </row>
    <row r="21" ht="12.75" hidden="1">
      <c r="B21" s="88"/>
    </row>
    <row r="22" spans="1:3" ht="12.75" hidden="1">
      <c r="A22" s="909" t="s">
        <v>332</v>
      </c>
      <c r="B22" s="909"/>
      <c r="C22" s="909"/>
    </row>
    <row r="23" spans="1:3" ht="12.75" hidden="1">
      <c r="A23" s="89" t="s">
        <v>34</v>
      </c>
      <c r="B23" s="300" t="s">
        <v>467</v>
      </c>
      <c r="C23" s="89" t="s">
        <v>321</v>
      </c>
    </row>
    <row r="24" spans="1:3" ht="14.25" customHeight="1" hidden="1">
      <c r="A24" s="85">
        <v>1</v>
      </c>
      <c r="B24" s="84" t="s">
        <v>417</v>
      </c>
      <c r="C24" s="86" t="s">
        <v>322</v>
      </c>
    </row>
    <row r="25" spans="1:3" ht="12.75" hidden="1">
      <c r="A25" s="85">
        <v>2</v>
      </c>
      <c r="B25" s="84" t="s">
        <v>418</v>
      </c>
      <c r="C25" s="86" t="s">
        <v>323</v>
      </c>
    </row>
    <row r="26" spans="1:3" ht="12.75" hidden="1">
      <c r="A26" s="85">
        <v>3</v>
      </c>
      <c r="B26" s="86" t="s">
        <v>315</v>
      </c>
      <c r="C26" s="86" t="s">
        <v>179</v>
      </c>
    </row>
    <row r="27" spans="1:3" ht="12.75" hidden="1">
      <c r="A27" s="85">
        <v>4</v>
      </c>
      <c r="B27" s="84" t="s">
        <v>181</v>
      </c>
      <c r="C27" s="86" t="s">
        <v>180</v>
      </c>
    </row>
    <row r="29" spans="1:3" ht="12.75" customHeight="1">
      <c r="A29" s="909" t="s">
        <v>324</v>
      </c>
      <c r="B29" s="909"/>
      <c r="C29" s="909"/>
    </row>
    <row r="30" spans="1:3" ht="12.75">
      <c r="A30" s="89" t="s">
        <v>34</v>
      </c>
      <c r="B30" s="89" t="s">
        <v>325</v>
      </c>
      <c r="C30" s="89" t="s">
        <v>321</v>
      </c>
    </row>
    <row r="31" spans="1:3" ht="12.75">
      <c r="A31" s="85">
        <v>1</v>
      </c>
      <c r="B31" s="84" t="s">
        <v>533</v>
      </c>
      <c r="C31" s="84" t="s">
        <v>180</v>
      </c>
    </row>
    <row r="32" spans="1:3" ht="12.75">
      <c r="A32" s="85">
        <v>2</v>
      </c>
      <c r="B32" s="84" t="s">
        <v>534</v>
      </c>
      <c r="C32" s="84" t="s">
        <v>322</v>
      </c>
    </row>
    <row r="33" spans="1:3" ht="12.75">
      <c r="A33" s="85">
        <v>3</v>
      </c>
      <c r="B33" s="84" t="s">
        <v>535</v>
      </c>
      <c r="C33" s="84" t="s">
        <v>323</v>
      </c>
    </row>
    <row r="34" spans="1:3" ht="12.75">
      <c r="A34" s="85">
        <v>4</v>
      </c>
      <c r="B34" s="84" t="s">
        <v>536</v>
      </c>
      <c r="C34" s="84" t="s">
        <v>322</v>
      </c>
    </row>
    <row r="35" spans="1:3" ht="12.75">
      <c r="A35" s="85">
        <v>5</v>
      </c>
      <c r="B35" s="84" t="s">
        <v>537</v>
      </c>
      <c r="C35" s="84" t="s">
        <v>179</v>
      </c>
    </row>
    <row r="36" spans="1:3" ht="12.75">
      <c r="A36" s="85">
        <v>6</v>
      </c>
      <c r="B36" s="84" t="s">
        <v>537</v>
      </c>
      <c r="C36" s="84" t="s">
        <v>323</v>
      </c>
    </row>
    <row r="37" spans="1:3" ht="12.75">
      <c r="A37" s="85">
        <v>7</v>
      </c>
      <c r="B37" s="84" t="s">
        <v>538</v>
      </c>
      <c r="C37" s="84" t="s">
        <v>322</v>
      </c>
    </row>
    <row r="38" spans="1:3" ht="12.75">
      <c r="A38" s="85">
        <v>8</v>
      </c>
      <c r="B38" s="84" t="s">
        <v>539</v>
      </c>
      <c r="C38" s="84"/>
    </row>
    <row r="39" spans="1:3" ht="12.75">
      <c r="A39" s="909" t="s">
        <v>400</v>
      </c>
      <c r="B39" s="909"/>
      <c r="C39" s="909"/>
    </row>
    <row r="40" spans="1:5" ht="12.75">
      <c r="A40" s="89" t="s">
        <v>34</v>
      </c>
      <c r="B40" s="89" t="s">
        <v>320</v>
      </c>
      <c r="C40" s="157" t="s">
        <v>401</v>
      </c>
      <c r="E40" s="87">
        <v>1023</v>
      </c>
    </row>
    <row r="41" spans="1:5" ht="12.75">
      <c r="A41" s="383">
        <v>1</v>
      </c>
      <c r="B41" s="91" t="s">
        <v>541</v>
      </c>
      <c r="C41" s="84" t="s">
        <v>593</v>
      </c>
      <c r="E41" s="87">
        <v>125</v>
      </c>
    </row>
    <row r="42" spans="1:5" ht="12.75">
      <c r="A42" s="383">
        <v>3</v>
      </c>
      <c r="B42" s="91" t="s">
        <v>498</v>
      </c>
      <c r="C42" s="90" t="s">
        <v>581</v>
      </c>
      <c r="E42" s="87">
        <v>30</v>
      </c>
    </row>
    <row r="43" spans="1:5" ht="12.75">
      <c r="A43" s="85">
        <v>4</v>
      </c>
      <c r="B43" s="91" t="s">
        <v>434</v>
      </c>
      <c r="C43" s="90" t="s">
        <v>582</v>
      </c>
      <c r="E43" s="87">
        <v>170</v>
      </c>
    </row>
    <row r="44" spans="1:5" ht="12.75">
      <c r="A44" s="85">
        <v>5</v>
      </c>
      <c r="B44" s="91" t="s">
        <v>435</v>
      </c>
      <c r="C44" s="90" t="s">
        <v>594</v>
      </c>
      <c r="E44" s="87">
        <v>698</v>
      </c>
    </row>
    <row r="45" spans="1:3" ht="12.75">
      <c r="A45" s="158"/>
      <c r="B45" s="234"/>
      <c r="C45" s="159"/>
    </row>
    <row r="46" spans="1:3" ht="12.75">
      <c r="A46" s="158"/>
      <c r="B46" s="234"/>
      <c r="C46" s="159"/>
    </row>
    <row r="47" spans="1:3" ht="39.75" customHeight="1">
      <c r="A47" s="158"/>
      <c r="B47" s="907" t="s">
        <v>402</v>
      </c>
      <c r="C47" s="907"/>
    </row>
    <row r="48" spans="1:3" ht="27.75" customHeight="1">
      <c r="A48" s="158"/>
      <c r="B48" s="907"/>
      <c r="C48" s="907"/>
    </row>
    <row r="49" spans="1:3" ht="12.75">
      <c r="A49" s="158"/>
      <c r="B49" s="160"/>
      <c r="C49" s="160"/>
    </row>
    <row r="50" spans="2:3" ht="12.75">
      <c r="B50" s="908"/>
      <c r="C50" s="908"/>
    </row>
    <row r="51" spans="2:3" ht="12.75">
      <c r="B51" s="908"/>
      <c r="C51" s="908"/>
    </row>
  </sheetData>
  <sheetProtection formatCells="0" formatColumns="0" formatRows="0" insertColumns="0" insertRows="0" insertHyperlinks="0" deleteColumns="0" deleteRows="0" sort="0" autoFilter="0" pivotTables="0"/>
  <mergeCells count="9">
    <mergeCell ref="B47:C48"/>
    <mergeCell ref="B50:C50"/>
    <mergeCell ref="B51:C51"/>
    <mergeCell ref="A1:C1"/>
    <mergeCell ref="A29:C29"/>
    <mergeCell ref="A12:C12"/>
    <mergeCell ref="A18:C18"/>
    <mergeCell ref="A22:C22"/>
    <mergeCell ref="A39:C39"/>
  </mergeCells>
  <printOptions horizontalCentered="1"/>
  <pageMargins left="0" right="0" top="0.5905511811023623" bottom="0.3937007874015748" header="0.11811023622047245" footer="0.11811023622047245"/>
  <pageSetup fitToHeight="10" fitToWidth="1" horizontalDpi="600" verticalDpi="600" orientation="landscape" paperSize="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ВГАВТ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Зам. по уч. работе</cp:lastModifiedBy>
  <cp:lastPrinted>2021-04-14T13:30:37Z</cp:lastPrinted>
  <dcterms:created xsi:type="dcterms:W3CDTF">2001-03-30T05:31:47Z</dcterms:created>
  <dcterms:modified xsi:type="dcterms:W3CDTF">2022-05-15T09:51:11Z</dcterms:modified>
  <cp:category/>
  <cp:version/>
  <cp:contentType/>
  <cp:contentStatus/>
</cp:coreProperties>
</file>