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65" yWindow="65521" windowWidth="19320" windowHeight="7920" tabRatio="838" activeTab="1"/>
  </bookViews>
  <sheets>
    <sheet name="Титульный лист (очная)" sheetId="1" r:id="rId1"/>
    <sheet name="Учебный план (очная)" sheetId="2" r:id="rId2"/>
    <sheet name="Титульный лист З_О" sheetId="3" r:id="rId3"/>
    <sheet name="Учебный план З_О" sheetId="4" r:id="rId4"/>
    <sheet name="Нормы" sheetId="5" r:id="rId5"/>
    <sheet name="Примечание" sheetId="6" r:id="rId6"/>
    <sheet name="Компетенции" sheetId="7" r:id="rId7"/>
    <sheet name="Материально-техническая база" sheetId="8" r:id="rId8"/>
    <sheet name="ПРОВЕРКА" sheetId="9" state="hidden" r:id="rId9"/>
    <sheet name="пояснения" sheetId="10" r:id="rId10"/>
  </sheets>
  <externalReferences>
    <externalReference r:id="rId13"/>
    <externalReference r:id="rId14"/>
  </externalReferences>
  <definedNames>
    <definedName name="_xlnm._FilterDatabase" localSheetId="1" hidden="1">'Учебный план (очная)'!$A$10:$CG$103</definedName>
    <definedName name="_xlnm._FilterDatabase" localSheetId="3" hidden="1">'Учебный план З_О'!$A$8:$BE$67</definedName>
    <definedName name="_xlnm.Print_Titles" localSheetId="1">'Учебный план (очная)'!$3:$9</definedName>
    <definedName name="_xlnm.Print_Area" localSheetId="4">'Нормы'!$A$1:$I$58</definedName>
    <definedName name="_xlnm.Print_Area" localSheetId="1">'Учебный план (очная)'!$A$3:$CG$103</definedName>
    <definedName name="_xlnm.Print_Area" localSheetId="3">'Учебный план З_О'!$A$1:$BB$83</definedName>
  </definedNames>
  <calcPr fullCalcOnLoad="1" fullPrecision="0"/>
</workbook>
</file>

<file path=xl/sharedStrings.xml><?xml version="1.0" encoding="utf-8"?>
<sst xmlns="http://schemas.openxmlformats.org/spreadsheetml/2006/main" count="1969" uniqueCount="587">
  <si>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</si>
  <si>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</si>
  <si>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</si>
  <si>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</si>
  <si>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</si>
  <si>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</si>
  <si>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</si>
  <si>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</si>
  <si>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</si>
  <si>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</si>
  <si>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</si>
  <si>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</si>
  <si>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</si>
  <si>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</si>
  <si>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</si>
  <si>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</si>
  <si>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</si>
  <si>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</si>
  <si>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</si>
  <si>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</si>
  <si>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</si>
  <si>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</si>
  <si>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</si>
  <si>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</si>
  <si>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</si>
  <si>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</si>
  <si>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Ректор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</si>
  <si>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</si>
  <si>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</si>
  <si>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</si>
  <si>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</si>
  <si>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</si>
  <si>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</si>
  <si>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</si>
  <si>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</si>
  <si>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</si>
  <si>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</si>
  <si>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</si>
  <si>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</si>
  <si>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</si>
  <si>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</si>
  <si>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</si>
  <si>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</si>
  <si>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</si>
  <si>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</si>
  <si>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</si>
  <si>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</si>
  <si>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</si>
  <si>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</si>
  <si>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</si>
  <si>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</si>
  <si>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</si>
  <si>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</si>
  <si>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</si>
  <si>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выпускная работа</t>
  </si>
  <si>
    <t>государственные экзамены</t>
  </si>
  <si>
    <t>Итоговая аттестация</t>
  </si>
  <si>
    <t>ИТОГО</t>
  </si>
  <si>
    <t>недель</t>
  </si>
  <si>
    <t>Гос. экзамены</t>
  </si>
  <si>
    <t>Защита вып.работы</t>
  </si>
  <si>
    <t>итог</t>
  </si>
  <si>
    <t>Г</t>
  </si>
  <si>
    <t>экзамены</t>
  </si>
  <si>
    <t>зачеты</t>
  </si>
  <si>
    <t>курсовые проекты</t>
  </si>
  <si>
    <t>курсовые работы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</si>
  <si>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</si>
  <si>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</si>
  <si>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</si>
  <si>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</si>
  <si>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</si>
  <si>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</si>
  <si>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</si>
  <si>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</si>
  <si>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</si>
  <si>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</si>
  <si>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</si>
  <si>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</si>
  <si>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</si>
  <si>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</si>
  <si>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</si>
  <si>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</si>
  <si>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</si>
  <si>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всего самостоятельной работы</t>
  </si>
  <si>
    <t>Количество практик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</si>
  <si>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</si>
  <si>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</si>
  <si>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</si>
  <si>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</si>
  <si>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</si>
  <si>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</si>
  <si>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</si>
  <si>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</si>
  <si>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</si>
  <si>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</si>
  <si>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</si>
  <si>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</si>
  <si>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</si>
  <si>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</si>
  <si>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</si>
  <si>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</si>
  <si>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</si>
  <si>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</si>
  <si>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</si>
  <si>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</si>
  <si>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t>всего часов</t>
  </si>
  <si>
    <t>количество контролных работ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</si>
  <si>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</si>
  <si>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</si>
  <si>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</si>
  <si>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</si>
  <si>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</si>
  <si>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</si>
  <si>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</si>
  <si>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</si>
  <si>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</si>
  <si>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</si>
  <si>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</si>
  <si>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</si>
  <si>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</si>
  <si>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</si>
  <si>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</si>
  <si>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</si>
  <si>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</si>
  <si>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</si>
  <si>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</si>
  <si>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</si>
  <si>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</si>
  <si>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</si>
  <si>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</si>
  <si>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</si>
  <si>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</si>
  <si>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</si>
  <si>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</si>
  <si>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</si>
  <si>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</si>
  <si>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</si>
  <si>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</si>
  <si>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</si>
  <si>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</si>
  <si>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Основы философии</t>
  </si>
  <si>
    <t>Всего максимальной учебной нагрузки обучающегося</t>
  </si>
  <si>
    <t>ЕН.00</t>
  </si>
  <si>
    <t>ПМ.00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</si>
  <si>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</si>
  <si>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</si>
  <si>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</si>
  <si>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</si>
  <si>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</si>
  <si>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</si>
  <si>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ОП.00</t>
  </si>
  <si>
    <t>Инженерная графика</t>
  </si>
  <si>
    <t>П.00</t>
  </si>
  <si>
    <t>ПМ.01</t>
  </si>
  <si>
    <t>ПМ.02</t>
  </si>
  <si>
    <t>ПМ.03</t>
  </si>
  <si>
    <t>ПМ.04</t>
  </si>
  <si>
    <t>Выполнение работ по одной или нескольким профессиям рабочих, должностям служащих</t>
  </si>
  <si>
    <t>МДК.04.01</t>
  </si>
  <si>
    <t>Специфика:</t>
  </si>
  <si>
    <t>УП.00</t>
  </si>
  <si>
    <t>УП.01</t>
  </si>
  <si>
    <t>ПП.00</t>
  </si>
  <si>
    <t>ПП.01</t>
  </si>
  <si>
    <t>ГИА.00</t>
  </si>
  <si>
    <t>Государственная (итоговая) аттестация</t>
  </si>
  <si>
    <t>ГИА.01</t>
  </si>
  <si>
    <t>ВЧ.01</t>
  </si>
  <si>
    <t>ВЧ.02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</si>
  <si>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</si>
  <si>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</si>
  <si>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</si>
  <si>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</si>
  <si>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</si>
  <si>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</si>
  <si>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</si>
  <si>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</si>
  <si>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</si>
  <si>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</si>
  <si>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</si>
  <si>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</si>
  <si>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</si>
  <si>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</si>
  <si>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Инженерной графики</t>
  </si>
  <si>
    <t>Лаборатория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</si>
  <si>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</si>
  <si>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</si>
  <si>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</si>
  <si>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</si>
  <si>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</si>
  <si>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</si>
  <si>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</si>
  <si>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</si>
  <si>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</si>
  <si>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</si>
  <si>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</si>
  <si>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</si>
  <si>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</si>
  <si>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</si>
  <si>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Количество учебных занятий (часов) в неделю (аудиторная, самостоятельная, физическая культура, консультации и т.д.)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</si>
  <si>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</si>
  <si>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</si>
  <si>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</si>
  <si>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</si>
  <si>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</si>
  <si>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</si>
  <si>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</si>
  <si>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</si>
  <si>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</si>
  <si>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</si>
  <si>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</si>
  <si>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</si>
  <si>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</si>
  <si>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</si>
  <si>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</si>
  <si>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</si>
  <si>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</si>
  <si>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</si>
  <si>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</si>
  <si>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</si>
  <si>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</si>
  <si>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</si>
  <si>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</si>
  <si>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</si>
  <si>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</si>
  <si>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</si>
  <si>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</si>
  <si>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</si>
  <si>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</si>
  <si>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</si>
  <si>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</si>
  <si>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</si>
  <si>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</si>
  <si>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</si>
  <si>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</si>
  <si>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</si>
  <si>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</si>
  <si>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</si>
  <si>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</si>
  <si>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</si>
  <si>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</si>
  <si>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</si>
  <si>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</si>
  <si>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</si>
  <si>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</si>
  <si>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</si>
  <si>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</si>
  <si>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техник</t>
  </si>
  <si>
    <t>Метрология, стандартизация и сертификация</t>
  </si>
  <si>
    <t>Транспортная система России</t>
  </si>
  <si>
    <t>Технические средства (по видам транспорта)</t>
  </si>
  <si>
    <t>Правовое обеспечение профессиональной деятельности</t>
  </si>
  <si>
    <t>Охрана труда</t>
  </si>
  <si>
    <t>Организация перевозочного процесса (по видам транспорта)</t>
  </si>
  <si>
    <t>Технология перевозочного процесса (по видам транспорта)</t>
  </si>
  <si>
    <t>Информационное обеспечение перевозочного процесса (по видам транспорта)</t>
  </si>
  <si>
    <t>Автоматизированные системы управления на транспорте (по видам транспорта)</t>
  </si>
  <si>
    <t>Организация сервисного обслуживания на транспорте (по видам транспорта)</t>
  </si>
  <si>
    <t>Организация движения (по видам транспорта)</t>
  </si>
  <si>
    <t>Организация пассажирских перевозок и обслуживание пассажиров (по видам транспорта)</t>
  </si>
  <si>
    <t>Организация транспортно-логистической деятельности (по видам транспорта)</t>
  </si>
  <si>
    <t>Обеспечение грузовых перевозок (по видам транспорта)</t>
  </si>
  <si>
    <t>Перевозка грузов на особых условиях</t>
  </si>
  <si>
    <t>Оператор диспетчерской (производственно-диспетчерской) службы</t>
  </si>
  <si>
    <t>Бронирование и продажа перевозок и услуг</t>
  </si>
  <si>
    <t>Организация и управление безопасностью на водном транспорте</t>
  </si>
  <si>
    <t>Организовывать собственную деятельность, выбирать типовые методы и способы выполнения профессиональных задач, оценивать их эффективность и качество</t>
  </si>
  <si>
    <t>Принимать решения в стандартных и нестандартных ситуациях и нести за них ответственность</t>
  </si>
  <si>
    <t>Осуществлять поиск и использование информации, необходимой для эффективного выполнения профессиональных задач, профессионального и личностного развития</t>
  </si>
  <si>
    <t>Работать в коллективе и команде, эффективно общаться с коллегами, руководством, потребителями</t>
  </si>
  <si>
    <t>Брать на себя ответственность за работу членов команды (подчиненных), результат выполнения заданий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</si>
  <si>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</si>
  <si>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Ориентироваться в условиях частой смены технологий в профессиональной деятельности</t>
  </si>
  <si>
    <t>Понимать сущность и социальную значимость своей будущей профессии, проявлять к ней устойчивый интерес</t>
  </si>
  <si>
    <t>Использовать информационно-коммуникационные технологии в профессиональной деятельности</t>
  </si>
  <si>
    <t>Выполнять операции по осуществлению перевозочного процесса с применением современных информационных технологий управления перевозками</t>
  </si>
  <si>
    <t>Организовывать работу персонала по обеспечению безопасности перевозок и выбору оптимальных решений при работах в условиях нестандартных и аварийных ситуаций</t>
  </si>
  <si>
    <t>Оформлять документы, регламентирующие организацию перевозочного процесса</t>
  </si>
  <si>
    <t>Организовывать работу персонала по планированию и организации перевозочного процесса</t>
  </si>
  <si>
    <t>Обеспечивать безопасность движения и решать профессиональные задачи посредством применения нормативно-правовых документов</t>
  </si>
  <si>
    <t>Организовывать работу персонала по технологическому обслуживанию перевозочного процесса</t>
  </si>
  <si>
    <t>Организовывать работу персонала по обработке перевозочных документов и осуществлению расчетов за услуги, предоставляемые транспортными организациями</t>
  </si>
  <si>
    <t>Обеспечивать осуществление процесса управления перевозками на основе логистической концепции и организовывать рациональную переработку грузов</t>
  </si>
  <si>
    <t>Применять в профессиональной деятельности основные положения, регулирующие взаимоотношения пользователей транспорта и перевозчика</t>
  </si>
  <si>
    <t>Транспортной системы России</t>
  </si>
  <si>
    <t>Информатики и информационных систем</t>
  </si>
  <si>
    <t>Методический</t>
  </si>
  <si>
    <t>Управления движением</t>
  </si>
  <si>
    <t>Технических средств (по видам транспорта)</t>
  </si>
  <si>
    <t>Организации перевозочного процесса (по видам транспорта)</t>
  </si>
  <si>
    <t>Организации сервисного обслуживания на транспорте (по видам транспорта)</t>
  </si>
  <si>
    <t>Организации транспортно-логистической деятельности (по видам транспорта)</t>
  </si>
  <si>
    <t>Иностранного языка</t>
  </si>
  <si>
    <t>Автоматизированных систем управления</t>
  </si>
  <si>
    <t>Преддипломная практика</t>
  </si>
  <si>
    <t>Деловой иностранный язык</t>
  </si>
  <si>
    <t>Метрологии, стандартизации и сертификации</t>
  </si>
  <si>
    <t xml:space="preserve">Охраны труда </t>
  </si>
  <si>
    <t>Безопасности жизнедеятельности</t>
  </si>
  <si>
    <t>Управления качеством и персоналом</t>
  </si>
  <si>
    <t>Основ исследовательской деятельности</t>
  </si>
  <si>
    <t>Безопасности движения</t>
  </si>
  <si>
    <t>ВЧ.04</t>
  </si>
  <si>
    <t>ВЧ.06</t>
  </si>
  <si>
    <t>ВЧ.07</t>
  </si>
  <si>
    <t>Транспортно-экспедиционная деятельность (по видам транспорта)</t>
  </si>
  <si>
    <t>Экономика и управление на водном транспорте</t>
  </si>
  <si>
    <t>______________________ И.К. Кузьмичев</t>
  </si>
  <si>
    <t>Общий гуманитарный и социально-экономический цикл</t>
  </si>
  <si>
    <t>Основы делопроизводства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</si>
  <si>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</si>
  <si>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</si>
  <si>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</si>
  <si>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</si>
  <si>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</si>
  <si>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Учебная практика - 2 курс - 4 недели</t>
  </si>
  <si>
    <t>Внутренние водные пути России</t>
  </si>
  <si>
    <t>методическая комиссия профессионального цикла "Организация перевозок и управление на транспорте"</t>
  </si>
  <si>
    <t>22.04.2014 № 376</t>
  </si>
  <si>
    <t>ОК 1-9</t>
  </si>
  <si>
    <t>ОК 1-9; ПК 1.1-3.3</t>
  </si>
  <si>
    <t>ОК 1-9, ПК 1.3,2.1,3.1</t>
  </si>
  <si>
    <t>ОК 1-9, ПК 1.1,2.1,2.3,3.1</t>
  </si>
  <si>
    <t>ОК1-9; ПК 1.1,1.3,3.1,3.3</t>
  </si>
  <si>
    <t>ОК 2,3,6</t>
  </si>
  <si>
    <t>ОК 1-9, ПК 2.1,3.1</t>
  </si>
  <si>
    <t>ОК 1-9, ПК 1.1,1.2,2.2,2.3</t>
  </si>
  <si>
    <t>ОК 1-9, ПК 1.2, 2.1-2.3</t>
  </si>
  <si>
    <t>ОК 1-9, ПК 1.1-1.3,2.1-2.3</t>
  </si>
  <si>
    <t>ОК 1-9, ПК 1.1,1.2,2.1-2.3,3.2</t>
  </si>
  <si>
    <t>ОК 1-9; ПК 3.1-3.3</t>
  </si>
  <si>
    <t>ОК 1-9, ПК 1.1-1.3</t>
  </si>
  <si>
    <t>ОК 1-9; ПК 2.1-2.3</t>
  </si>
  <si>
    <t>ОК 1-9, ПК 1.1,2.2,3.3</t>
  </si>
  <si>
    <t>"Волжский государственный университет водного транспорта"</t>
  </si>
  <si>
    <t>Федеральное государственное бюджетное образовательное учреждение высшего образования</t>
  </si>
  <si>
    <t>Обязательная часть циклов ППССЗ</t>
  </si>
  <si>
    <t>Вариативная часть циклов ППССЗ</t>
  </si>
  <si>
    <t>Всего часов обучения по циклам ППССЗ</t>
  </si>
  <si>
    <t>Нормативный срок освоения ППССЗ, недель</t>
  </si>
  <si>
    <t>Дополнительный срок освоения ППССЗ на базе основного общего образования, недель</t>
  </si>
  <si>
    <t>Теоретическое обучение при дополнительном сроке освоения ППССЗ на базе основного общего образования, недель</t>
  </si>
  <si>
    <t>Промежуточная аттестация при дополнительном сроке освоения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</si>
  <si>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</si>
  <si>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В соответствии с  ФГОС от 22.04.2014 № 376 консультации предусматриваются образовательной организацией из расчета 4 часа на одного обучающегося на каждый учебный год.</t>
  </si>
  <si>
    <t>Принято Ученым советом университета</t>
  </si>
  <si>
    <t>23.02.01 Организация перевозок и управление на транспорте (по видам)</t>
  </si>
  <si>
    <t>География</t>
  </si>
  <si>
    <t>Бортпроводник</t>
  </si>
  <si>
    <t>Перенос часов по блокам</t>
  </si>
  <si>
    <t>ПДП.01</t>
  </si>
  <si>
    <t>Протокол № 7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</si>
  <si>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</si>
  <si>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</si>
  <si>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ОК 1</t>
  </si>
  <si>
    <t>ОК 2</t>
  </si>
  <si>
    <t>ОК 3</t>
  </si>
  <si>
    <t>ОК 4</t>
  </si>
  <si>
    <t>ОК 5</t>
  </si>
  <si>
    <t>ОК 6</t>
  </si>
  <si>
    <t>ОК 7</t>
  </si>
  <si>
    <t>ОК 8</t>
  </si>
  <si>
    <t>ОК 9</t>
  </si>
  <si>
    <t>ПК 1.1</t>
  </si>
  <si>
    <t>ПК 1.2</t>
  </si>
  <si>
    <t>ПК 1.3</t>
  </si>
  <si>
    <t>ПК 2.1</t>
  </si>
  <si>
    <t>ПК 2.2</t>
  </si>
  <si>
    <t>ПК 2.3</t>
  </si>
  <si>
    <t>ПК 3.1</t>
  </si>
  <si>
    <t>ПК 3.2</t>
  </si>
  <si>
    <t>ПК 3.3</t>
  </si>
  <si>
    <t>ОК 1-9, ПК 1.1-1.3,2.1-2.3,  3.1-3.3</t>
  </si>
  <si>
    <t>Экзамен квалификационный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</si>
  <si>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</si>
  <si>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</si>
  <si>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Добавлено часов</t>
  </si>
  <si>
    <r>
      <t>29</t>
    </r>
    <r>
      <rPr>
        <sz val="8"/>
        <rFont val="Times New Roman"/>
        <family val="1"/>
      </rPr>
      <t xml:space="preserve"> IX</t>
    </r>
  </si>
  <si>
    <r>
      <t>27</t>
    </r>
    <r>
      <rPr>
        <sz val="8"/>
        <rFont val="Times New Roman"/>
        <family val="1"/>
      </rPr>
      <t>X</t>
    </r>
  </si>
  <si>
    <r>
      <t>29</t>
    </r>
    <r>
      <rPr>
        <sz val="8"/>
        <rFont val="Times New Roman"/>
        <family val="1"/>
      </rPr>
      <t>XII</t>
    </r>
  </si>
  <si>
    <r>
      <t>26</t>
    </r>
    <r>
      <rPr>
        <sz val="8"/>
        <rFont val="Times New Roman"/>
        <family val="1"/>
      </rPr>
      <t xml:space="preserve"> I</t>
    </r>
  </si>
  <si>
    <r>
      <t xml:space="preserve"> 3</t>
    </r>
    <r>
      <rPr>
        <sz val="8"/>
        <rFont val="Times New Roman"/>
        <family val="1"/>
      </rPr>
      <t xml:space="preserve"> II</t>
    </r>
  </si>
  <si>
    <r>
      <t>30</t>
    </r>
    <r>
      <rPr>
        <sz val="8"/>
        <rFont val="Times New Roman"/>
        <family val="1"/>
      </rPr>
      <t xml:space="preserve"> III</t>
    </r>
  </si>
  <si>
    <r>
      <t>27</t>
    </r>
    <r>
      <rPr>
        <sz val="8"/>
        <rFont val="Times New Roman"/>
        <family val="1"/>
      </rPr>
      <t xml:space="preserve"> IV</t>
    </r>
  </si>
  <si>
    <r>
      <t>29</t>
    </r>
    <r>
      <rPr>
        <sz val="8"/>
        <rFont val="Times New Roman"/>
        <family val="1"/>
      </rPr>
      <t>VI</t>
    </r>
  </si>
  <si>
    <r>
      <t>27</t>
    </r>
    <r>
      <rPr>
        <sz val="8"/>
        <rFont val="Times New Roman"/>
        <family val="1"/>
      </rPr>
      <t>VII</t>
    </r>
  </si>
  <si>
    <t xml:space="preserve"> 5  X</t>
  </si>
  <si>
    <t xml:space="preserve"> 2 XI</t>
  </si>
  <si>
    <t xml:space="preserve"> 4  I</t>
  </si>
  <si>
    <t xml:space="preserve"> 1 II</t>
  </si>
  <si>
    <t xml:space="preserve"> 1 III</t>
  </si>
  <si>
    <t xml:space="preserve"> 5 IV</t>
  </si>
  <si>
    <t xml:space="preserve"> 3 V</t>
  </si>
  <si>
    <t xml:space="preserve"> 5 VII</t>
  </si>
  <si>
    <t xml:space="preserve"> 1 VIII</t>
  </si>
  <si>
    <t>ОК 1-9, ПК 1.1-1.3; 2.1 - 2.3; 3.1-3.3</t>
  </si>
  <si>
    <t>5 часов занятий*</t>
  </si>
  <si>
    <t>21 час занятий*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</si>
  <si>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</si>
  <si>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</si>
  <si>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Перевозка опасных грузов</t>
  </si>
  <si>
    <t>Коммерческая работа на транспорте</t>
  </si>
  <si>
    <t>Форма контроля</t>
  </si>
  <si>
    <t>другие формы контроля</t>
  </si>
  <si>
    <t>Страхование и риски</t>
  </si>
  <si>
    <t>ВЧ.08</t>
  </si>
  <si>
    <t>ОК 1-9, ПК 3.1-3.3</t>
  </si>
  <si>
    <t>ИТОГО по часам:</t>
  </si>
  <si>
    <t>Ставок:</t>
  </si>
  <si>
    <t>Отношение кол-ва курсантов к кол-ву ставок</t>
  </si>
  <si>
    <t>Количество курсантов</t>
  </si>
  <si>
    <t>Количество часов по курсам</t>
  </si>
  <si>
    <t>Количество ставок преподавателей</t>
  </si>
  <si>
    <t>дней</t>
  </si>
  <si>
    <t>ВЧ.00</t>
  </si>
  <si>
    <t>Вариативная часть чиклов ППССЗ</t>
  </si>
  <si>
    <t>ПП. 00</t>
  </si>
  <si>
    <t xml:space="preserve">УЧЕБНЫЙ ПЛАН СРЕДНЕГО ПРОФЕССИОНАЛЬНОГО ОБРАЗОВАНИЯ </t>
  </si>
  <si>
    <r>
      <t>29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IX</t>
    </r>
  </si>
  <si>
    <r>
      <t>27</t>
    </r>
    <r>
      <rPr>
        <sz val="6"/>
        <rFont val="Times New Roman"/>
        <family val="1"/>
      </rPr>
      <t>X</t>
    </r>
  </si>
  <si>
    <r>
      <t>29</t>
    </r>
    <r>
      <rPr>
        <sz val="6"/>
        <rFont val="Times New Roman"/>
        <family val="1"/>
      </rPr>
      <t>XII</t>
    </r>
  </si>
  <si>
    <r>
      <t>26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</t>
    </r>
  </si>
  <si>
    <r>
      <t xml:space="preserve"> 3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</t>
    </r>
  </si>
  <si>
    <r>
      <t>30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III</t>
    </r>
  </si>
  <si>
    <r>
      <t>27</t>
    </r>
    <r>
      <rPr>
        <sz val="8"/>
        <rFont val="Times New Roman"/>
        <family val="1"/>
      </rPr>
      <t xml:space="preserve"> </t>
    </r>
    <r>
      <rPr>
        <sz val="6"/>
        <rFont val="Times New Roman"/>
        <family val="1"/>
      </rPr>
      <t>IV</t>
    </r>
  </si>
  <si>
    <r>
      <t>29</t>
    </r>
    <r>
      <rPr>
        <sz val="6"/>
        <rFont val="Times New Roman"/>
        <family val="1"/>
      </rPr>
      <t>VI</t>
    </r>
  </si>
  <si>
    <r>
      <t>27</t>
    </r>
    <r>
      <rPr>
        <sz val="6"/>
        <rFont val="Times New Roman"/>
        <family val="1"/>
      </rPr>
      <t>VII</t>
    </r>
  </si>
  <si>
    <r>
      <t xml:space="preserve"> 5  </t>
    </r>
    <r>
      <rPr>
        <sz val="6"/>
        <rFont val="Times New Roman"/>
        <family val="1"/>
      </rPr>
      <t>X</t>
    </r>
  </si>
  <si>
    <r>
      <t xml:space="preserve"> 2 </t>
    </r>
    <r>
      <rPr>
        <sz val="6"/>
        <rFont val="Times New Roman"/>
        <family val="1"/>
      </rPr>
      <t>XI</t>
    </r>
  </si>
  <si>
    <r>
      <t xml:space="preserve"> 4  </t>
    </r>
    <r>
      <rPr>
        <sz val="6"/>
        <rFont val="Times New Roman"/>
        <family val="1"/>
      </rPr>
      <t>I</t>
    </r>
  </si>
  <si>
    <r>
      <t xml:space="preserve"> 1 </t>
    </r>
    <r>
      <rPr>
        <sz val="6"/>
        <rFont val="Times New Roman"/>
        <family val="1"/>
      </rPr>
      <t>II</t>
    </r>
  </si>
  <si>
    <r>
      <t xml:space="preserve"> 1 </t>
    </r>
    <r>
      <rPr>
        <sz val="6"/>
        <rFont val="Times New Roman"/>
        <family val="1"/>
      </rPr>
      <t>III</t>
    </r>
  </si>
  <si>
    <r>
      <t xml:space="preserve"> 5 </t>
    </r>
    <r>
      <rPr>
        <sz val="6"/>
        <rFont val="Times New Roman"/>
        <family val="1"/>
      </rPr>
      <t>IV</t>
    </r>
  </si>
  <si>
    <r>
      <t xml:space="preserve"> 3 </t>
    </r>
    <r>
      <rPr>
        <sz val="6"/>
        <rFont val="Times New Roman"/>
        <family val="1"/>
      </rPr>
      <t>V</t>
    </r>
  </si>
  <si>
    <r>
      <t xml:space="preserve"> 5 </t>
    </r>
    <r>
      <rPr>
        <sz val="6"/>
        <rFont val="Times New Roman"/>
        <family val="1"/>
      </rPr>
      <t>VII</t>
    </r>
  </si>
  <si>
    <r>
      <t xml:space="preserve"> 1 </t>
    </r>
    <r>
      <rPr>
        <sz val="5"/>
        <rFont val="Times New Roman"/>
        <family val="1"/>
      </rPr>
      <t>VIII</t>
    </r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</si>
  <si>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</si>
  <si>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</si>
  <si>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</si>
  <si>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</si>
  <si>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ВЧ.03</t>
  </si>
  <si>
    <t>ВЧ.05</t>
  </si>
  <si>
    <t>Информационные технологии в профессиональной деятельности</t>
  </si>
  <si>
    <t>Нижегородское речное училище им. И.П. Кулибина</t>
  </si>
  <si>
    <t>Управление конвенционной подготовки и повышения квалификации</t>
  </si>
  <si>
    <t>Методическая комиссия общего гуманитарного и социально-экономического цикла</t>
  </si>
  <si>
    <t>Методическая комиссия математического и общего естественнонаучного цикла</t>
  </si>
  <si>
    <t>Методическая комиссия общепрофессиональных дисциплин</t>
  </si>
  <si>
    <t>Методическая комиссия профессионального цикла "Судовождение"</t>
  </si>
  <si>
    <t>64 - 1</t>
  </si>
  <si>
    <t>64 - 2</t>
  </si>
  <si>
    <t>64 - 3</t>
  </si>
  <si>
    <t>64 - 4</t>
  </si>
  <si>
    <t>64 - 5</t>
  </si>
  <si>
    <t>64 - 6</t>
  </si>
  <si>
    <t>64 - 7</t>
  </si>
  <si>
    <t>64 - 8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</si>
  <si>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</si>
  <si>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</si>
  <si>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</si>
  <si>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Методическая комиссия профессионального цикла "Эксплуатация судовых энергетических установок"</t>
  </si>
  <si>
    <t>Методическая комиссия профессионального цикла "Эксплуатация судового электрооборудования и средств автоматики"</t>
  </si>
  <si>
    <t>Методическая комиссия профессионального цикла "Эксплуатация внутренних водных путей"</t>
  </si>
  <si>
    <t>Методическая комиссия профессионального цикла "Экономика и бухгалтерский учет"</t>
  </si>
  <si>
    <t>Методическая комиссия профессионального цикла "Организация перевозок и управление на транспорте"</t>
  </si>
  <si>
    <t>ОД.Б.01 Русский язык</t>
  </si>
  <si>
    <t>ОД.П.01 Математика: алгебра и начала анализа, геометрия</t>
  </si>
  <si>
    <t>ОД.П.02 Физика</t>
  </si>
  <si>
    <t>33</t>
  </si>
  <si>
    <t>64-1</t>
  </si>
  <si>
    <t>64-2</t>
  </si>
  <si>
    <t>64-3</t>
  </si>
  <si>
    <t>64-6</t>
  </si>
  <si>
    <t>64-9</t>
  </si>
  <si>
    <t>64-8</t>
  </si>
  <si>
    <t>0,3</t>
  </si>
  <si>
    <t>4 часа занятий из ВЧ</t>
  </si>
  <si>
    <t>ОГСЭ.00 Общий гуманитарный и социально-экономический цикл</t>
  </si>
  <si>
    <t>ЕН.00 Математический и общий естественно-научный цикл</t>
  </si>
  <si>
    <t>12 часов занятий из ВЧ</t>
  </si>
  <si>
    <t>2 часа занятий из ВЧ</t>
  </si>
  <si>
    <t>52 часа занятий изВЧ</t>
  </si>
  <si>
    <t>226 часов из ВЧ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</si>
  <si>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</si>
  <si>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</si>
  <si>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</si>
  <si>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Русский язык и культура речи</t>
  </si>
  <si>
    <t>Производственная практика - 3 курс - 12 недель</t>
  </si>
  <si>
    <t>ПМ.01, ПМ.02</t>
  </si>
  <si>
    <t>Производственная практика - 4 курс - 9 недель</t>
  </si>
  <si>
    <t>Преддипломная практика - 4 курс - 4 недели</t>
  </si>
  <si>
    <t>Производственная практика (по профилю специальности)</t>
  </si>
  <si>
    <t>ПМ.01, ПМ.02, ПМ.03</t>
  </si>
  <si>
    <t>ОП.00 Общепрофессиональные дисциплины</t>
  </si>
  <si>
    <t>ОП.08 Безопасность жизнедеятельности</t>
  </si>
  <si>
    <t>ПМ.00 Профессиональные модули</t>
  </si>
  <si>
    <t>ВЧ.09</t>
  </si>
  <si>
    <t>Организация доступной среды для инвалидов на транспорте</t>
  </si>
  <si>
    <t>6,8</t>
  </si>
  <si>
    <t>ОК 1-9, ПК 2.1-2.3, ПК 3.3</t>
  </si>
  <si>
    <t>3,4</t>
  </si>
  <si>
    <t>ОГСЭ.01 Основы философии</t>
  </si>
  <si>
    <t>Эксплуатационное отделение</t>
  </si>
  <si>
    <t>Электротехники и электроники</t>
  </si>
  <si>
    <t>Общеобразовательных учебных дисциплин</t>
  </si>
  <si>
    <t>ОГСЭ.01.</t>
  </si>
  <si>
    <t>ОГСЭ.02.</t>
  </si>
  <si>
    <t>ОГСЭ.03.</t>
  </si>
  <si>
    <t>ОГСЭ.04.</t>
  </si>
  <si>
    <t>ЕН.01.</t>
  </si>
  <si>
    <t>ЕН.02.</t>
  </si>
  <si>
    <t>Электротехника и электроника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</si>
  <si>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</si>
  <si>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</si>
  <si>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</si>
  <si>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</si>
  <si>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</si>
  <si>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</si>
  <si>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</si>
  <si>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</si>
  <si>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МДК.02.01.</t>
  </si>
  <si>
    <t>МДК.02.02.</t>
  </si>
  <si>
    <t>МДК.01.03.</t>
  </si>
  <si>
    <t>МДК.01.02.</t>
  </si>
  <si>
    <t>МДК.01.01.</t>
  </si>
  <si>
    <t>МДК.03.01.</t>
  </si>
  <si>
    <t>МДК.03.02.</t>
  </si>
  <si>
    <t>МДК.03.03.</t>
  </si>
  <si>
    <t>Русский язык</t>
  </si>
  <si>
    <t>Литература</t>
  </si>
  <si>
    <t>Основы безопасности жизнедеятельности</t>
  </si>
  <si>
    <t>Астрономия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</si>
  <si>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</si>
  <si>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</si>
  <si>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дифференцированные зачеты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</si>
  <si>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</si>
  <si>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</si>
  <si>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</si>
  <si>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</si>
  <si>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</si>
  <si>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</si>
  <si>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Государственная итоговая аттестация</t>
  </si>
  <si>
    <t>Количество других форм контроля</t>
  </si>
  <si>
    <t>Количество курсовых проектов (работ)</t>
  </si>
  <si>
    <t>5,7</t>
  </si>
  <si>
    <t>5,6,7</t>
  </si>
  <si>
    <t>ВЧ.10</t>
  </si>
  <si>
    <t>3,4,5,6,7,8</t>
  </si>
  <si>
    <t>Всего часов обучения по циклам</t>
  </si>
  <si>
    <t>Всего часов на государственную итоговую аттестацию</t>
  </si>
  <si>
    <t>Количество  других форм контроля</t>
  </si>
  <si>
    <t>УП. 00</t>
  </si>
  <si>
    <t>Базовые дисциплины</t>
  </si>
  <si>
    <t>Обществознание</t>
  </si>
  <si>
    <t>Профильные дисциплины</t>
  </si>
  <si>
    <r>
      <t xml:space="preserve">1. Настоящий учебный план программы подготовки специалистов среднего звена (ППССЗ) специальности </t>
    </r>
    <r>
      <rPr>
        <sz val="10"/>
        <color indexed="10"/>
        <rFont val="Times New Roman"/>
        <family val="1"/>
      </rPr>
      <t xml:space="preserve">26.02.05 Эксплуатация судовых энергетических  установок </t>
    </r>
    <r>
      <rPr>
        <sz val="10"/>
        <color indexed="8"/>
        <rFont val="Times New Roman"/>
        <family val="1"/>
      </rPr>
      <t xml:space="preserve">разработан в соответствии с ФГОС СПО по специальности </t>
    </r>
    <r>
      <rPr>
        <sz val="10"/>
        <color indexed="10"/>
        <rFont val="Times New Roman"/>
        <family val="1"/>
      </rPr>
      <t>26.02.05 Эксплуатация судовых энергетических  установок</t>
    </r>
    <r>
      <rPr>
        <sz val="10"/>
        <color indexed="8"/>
        <rFont val="Times New Roman"/>
        <family val="1"/>
      </rPr>
      <t xml:space="preserve">, утвержденного приказом Министерства образования и науки Российской Федерации </t>
    </r>
    <r>
      <rPr>
        <sz val="10"/>
        <color indexed="10"/>
        <rFont val="Times New Roman"/>
        <family val="1"/>
      </rPr>
      <t>№ 443 от 07.05.2014 г</t>
    </r>
    <r>
      <rPr>
        <sz val="10"/>
        <color indexed="8"/>
        <rFont val="Times New Roman"/>
        <family val="1"/>
      </rPr>
      <t xml:space="preserve">., разъяснений ФГУ "ФИРО" по формированию учебного плана СПО, положения о практике обучающихся, осваивающих основные профессиональные образовательные программы СПО, утвержденное приказом Министерства образования и науки РФ от 18.04.2013г. № 291 и в соответствии с приказом Министерства образования и науки Российской Федерации № 464 от 14.06.2013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образования".  </t>
    </r>
  </si>
  <si>
    <r>
      <t xml:space="preserve">2. Организация учебного процесса. Учебный процесс организован по шестидневной учебной неделе. Продолжительность академического часа - 45 минут. Консультации проводятся из расчета 4 часа на одного обучающегося ежегодно, в том числе перед экзаменами промежуточной аттестации, квалификационными экзаменами и государственной итоговой аттестацией.                                                                                                                                                                                                                
Согласно ФГОС СПО специальности </t>
    </r>
    <r>
      <rPr>
        <sz val="10"/>
        <color indexed="10"/>
        <rFont val="Times New Roman"/>
        <family val="1"/>
      </rPr>
      <t>26.02.05 Эксплуатация судовых энергетических установок (пункт 7.13)</t>
    </r>
    <r>
      <rPr>
        <sz val="10"/>
        <rFont val="Times New Roman"/>
        <family val="1"/>
      </rPr>
      <t xml:space="preserve">, Приказу Минобороны РФ и Министерства образования и науки РФ от 24.02.2010 г. № 96/134 "Об утверждении Инструкции об организации обучения граждан Российской Федерации начальным знаниям в области обороны и их подготовки по основам военной службы в образовательных учреждениях среднего (полного) общего образования, образовательных учреждениях начального профессионального и среднего профессионального образования и учебных пунктах" в период обучения с юношами проводятся учебные сборы.     </t>
    </r>
  </si>
  <si>
    <t xml:space="preserve">3. Общеобразовательный цикл. Общеобразовательный цикл сформирован в соответствии с Рекомендациями по организации получения среднего общего образования в пределах освоения образовательных программ СПО на базе основного общего образования с учетом требований ФГОС и получаемой профессии или специальности среднего профессионального образования (письмо Департамента государственной политики в сфере подготовки рабочих кадров и ДПО от 17.03.2015 № 06-259 и примерных программ общеобразовательных учебных дисциплин для профессиональных образовательных организаций - 2015 г. и уточнений Научно-методического совета Центра профессионального образования и систем квалификации ФГАУ "ФИРО" Протокол № 3 от 25 мая 2017 года. Экзамены проводятся по дисциплинам: математика (письменно), русский язык (письменно) и физика (письменно). 
Индивидуальные проекты выполняются каждым обучающимся в течение года по одной из следующих дисциплин общеобразовательного цикла по выбору: История, Обществознание, Биология под руководством преподавателя.  </t>
  </si>
  <si>
    <t>ГИА.02</t>
  </si>
  <si>
    <t>Подготовка выпускной квалификационной работы</t>
  </si>
  <si>
    <t>Защита выпускной квалификационной работы</t>
  </si>
  <si>
    <t>Государственная итоговая аттестация, недель</t>
  </si>
  <si>
    <t>Дата утверждения ФГОС СПО</t>
  </si>
  <si>
    <t>Количество учебных занятий (часов) в неделю</t>
  </si>
  <si>
    <t>Общеобразовательные дисциплины</t>
  </si>
  <si>
    <t>ОД.б.01</t>
  </si>
  <si>
    <t>ОД.б.02</t>
  </si>
  <si>
    <t>ОД.б.03</t>
  </si>
  <si>
    <t>ОД.б.04</t>
  </si>
  <si>
    <t>ОД.б.05</t>
  </si>
  <si>
    <t>ОД.б.06</t>
  </si>
  <si>
    <t>ОД.б.07</t>
  </si>
  <si>
    <t>ОД.б.08</t>
  </si>
  <si>
    <t>ОД.б.09</t>
  </si>
  <si>
    <t>ОД.б.10</t>
  </si>
  <si>
    <t>ОД.б.11</t>
  </si>
  <si>
    <t>ОД.п.01</t>
  </si>
  <si>
    <t>ОД.п.02</t>
  </si>
  <si>
    <t>ОД.п.03</t>
  </si>
  <si>
    <t>ОК 6, ПК 1.2, 2.2</t>
  </si>
  <si>
    <t>ОК 6, ПК 2.1</t>
  </si>
  <si>
    <t>ОК 4, ПК 2.3,3.3</t>
  </si>
  <si>
    <t>ОК 2,3, ПК 3.1</t>
  </si>
  <si>
    <t>ОК 4, ПК 2.3,3.33</t>
  </si>
  <si>
    <t>ОК 7, ПК 1.1-1.3</t>
  </si>
  <si>
    <t>ОК 1,9, ПК 2.3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</si>
</sst>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000"/>
    <numFmt numFmtId="187" formatCode="0.00000"/>
    <numFmt numFmtId="188" formatCode="0.0000"/>
    <numFmt numFmtId="189" formatCode="0.000"/>
  </numFmts>
  <fonts count="38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20"/>
      <color indexed="12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sz val="10"/>
      <color indexed="1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5"/>
      <name val="Times New Roman"/>
      <family val="1"/>
    </font>
    <font>
      <sz val="7.5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 style="thick"/>
      <top style="thin"/>
      <bottom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 style="thick"/>
      <right/>
      <top style="thin"/>
      <bottom/>
    </border>
    <border>
      <left style="medium"/>
      <right/>
      <top style="thin"/>
      <bottom/>
    </border>
    <border>
      <left style="thick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ck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ck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/>
    </border>
    <border>
      <left style="thick"/>
      <right style="thick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ck"/>
      <top style="thin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>
        <color indexed="63"/>
      </top>
      <bottom style="medium"/>
    </border>
  </borders>
  <cellStyleXfs count="62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2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02"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4" fillId="7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7" borderId="11" xfId="0" applyFont="1" applyFill="1" applyBorder="1" applyAlignment="1">
      <alignment horizontal="center" vertical="top" wrapText="1"/>
    </xf>
    <xf numFmtId="0" fontId="4" fillId="7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4" fillId="2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8" fillId="3" borderId="1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24" borderId="13" xfId="0" applyFont="1" applyFill="1" applyBorder="1" applyAlignment="1">
      <alignment horizontal="center" vertical="top" wrapText="1"/>
    </xf>
    <xf numFmtId="0" fontId="8" fillId="10" borderId="13" xfId="0" applyFont="1" applyFill="1" applyBorder="1" applyAlignment="1">
      <alignment horizontal="center" vertical="top" wrapText="1"/>
    </xf>
    <xf numFmtId="0" fontId="8" fillId="25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1" fontId="4" fillId="20" borderId="10" xfId="0" applyNumberFormat="1" applyFont="1" applyFill="1" applyBorder="1" applyAlignment="1">
      <alignment horizontal="center" vertical="top" wrapText="1"/>
    </xf>
    <xf numFmtId="0" fontId="0" fillId="26" borderId="0" xfId="0" applyFont="1" applyFill="1" applyBorder="1" applyAlignment="1">
      <alignment horizontal="left" vertical="top" wrapText="1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26" borderId="0" xfId="0" applyFont="1" applyFill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justify" vertical="top" wrapText="1"/>
    </xf>
    <xf numFmtId="0" fontId="0" fillId="26" borderId="0" xfId="0" applyFont="1" applyFill="1" applyBorder="1" applyAlignment="1">
      <alignment vertical="top" wrapText="1"/>
    </xf>
    <xf numFmtId="0" fontId="0" fillId="26" borderId="0" xfId="0" applyFont="1" applyFill="1" applyBorder="1" applyAlignment="1">
      <alignment horizontal="center"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3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vertical="top" wrapText="1"/>
    </xf>
    <xf numFmtId="0" fontId="4" fillId="26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horizontal="justify" vertical="top" wrapText="1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1" fontId="0" fillId="0" borderId="0" xfId="0" applyNumberFormat="1" applyFont="1" applyFill="1" applyBorder="1" applyAlignment="1" applyProtection="1">
      <alignment horizontal="left" vertical="top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1" fontId="3" fillId="3" borderId="15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1" fontId="3" fillId="3" borderId="14" xfId="0" applyNumberFormat="1" applyFont="1" applyFill="1" applyBorder="1" applyAlignment="1" applyProtection="1">
      <alignment horizontal="center" vertical="top" wrapText="1"/>
      <protection/>
    </xf>
    <xf numFmtId="0" fontId="3" fillId="17" borderId="17" xfId="0" applyFont="1" applyFill="1" applyBorder="1" applyAlignment="1" applyProtection="1">
      <alignment horizontal="center" textRotation="90" wrapText="1"/>
      <protection/>
    </xf>
    <xf numFmtId="1" fontId="3" fillId="3" borderId="18" xfId="0" applyNumberFormat="1" applyFont="1" applyFill="1" applyBorder="1" applyAlignment="1" applyProtection="1">
      <alignment horizontal="center" vertical="top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0" fontId="3" fillId="17" borderId="20" xfId="0" applyFont="1" applyFill="1" applyBorder="1" applyAlignment="1" applyProtection="1">
      <alignment horizontal="center" textRotation="90" wrapText="1"/>
      <protection/>
    </xf>
    <xf numFmtId="49" fontId="0" fillId="3" borderId="21" xfId="0" applyNumberFormat="1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horizontal="left" vertical="top" wrapText="1"/>
      <protection/>
    </xf>
    <xf numFmtId="1" fontId="0" fillId="3" borderId="14" xfId="0" applyNumberFormat="1" applyFont="1" applyFill="1" applyBorder="1" applyAlignment="1" applyProtection="1">
      <alignment horizontal="left" vertical="top" wrapText="1"/>
      <protection/>
    </xf>
    <xf numFmtId="180" fontId="0" fillId="3" borderId="14" xfId="0" applyNumberFormat="1" applyFont="1" applyFill="1" applyBorder="1" applyAlignment="1" applyProtection="1">
      <alignment horizontal="center" vertical="top" wrapText="1"/>
      <protection/>
    </xf>
    <xf numFmtId="49" fontId="0" fillId="3" borderId="15" xfId="0" applyNumberFormat="1" applyFont="1" applyFill="1" applyBorder="1" applyAlignment="1" applyProtection="1">
      <alignment vertical="top" wrapText="1"/>
      <protection/>
    </xf>
    <xf numFmtId="49" fontId="0" fillId="17" borderId="17" xfId="0" applyNumberFormat="1" applyFont="1" applyFill="1" applyBorder="1" applyAlignment="1" applyProtection="1">
      <alignment vertical="top" wrapText="1"/>
      <protection/>
    </xf>
    <xf numFmtId="1" fontId="0" fillId="3" borderId="22" xfId="0" applyNumberFormat="1" applyFont="1" applyFill="1" applyBorder="1" applyAlignment="1" applyProtection="1">
      <alignment horizontal="center" vertical="top" wrapText="1"/>
      <protection/>
    </xf>
    <xf numFmtId="49" fontId="0" fillId="3" borderId="14" xfId="0" applyNumberFormat="1" applyFont="1" applyFill="1" applyBorder="1" applyAlignment="1" applyProtection="1">
      <alignment vertical="top" wrapText="1"/>
      <protection/>
    </xf>
    <xf numFmtId="1" fontId="0" fillId="3" borderId="23" xfId="0" applyNumberFormat="1" applyFont="1" applyFill="1" applyBorder="1" applyAlignment="1" applyProtection="1">
      <alignment horizontal="center" vertical="top" wrapText="1"/>
      <protection/>
    </xf>
    <xf numFmtId="180" fontId="0" fillId="3" borderId="16" xfId="0" applyNumberFormat="1" applyFont="1" applyFill="1" applyBorder="1" applyAlignment="1" applyProtection="1">
      <alignment horizontal="center" vertical="top" wrapText="1"/>
      <protection/>
    </xf>
    <xf numFmtId="49" fontId="0" fillId="3" borderId="19" xfId="0" applyNumberFormat="1" applyFont="1" applyFill="1" applyBorder="1" applyAlignment="1" applyProtection="1">
      <alignment horizontal="center" vertical="top" wrapText="1"/>
      <protection/>
    </xf>
    <xf numFmtId="49" fontId="0" fillId="17" borderId="24" xfId="0" applyNumberFormat="1" applyFont="1" applyFill="1" applyBorder="1" applyAlignment="1" applyProtection="1">
      <alignment vertical="top" wrapText="1"/>
      <protection/>
    </xf>
    <xf numFmtId="1" fontId="0" fillId="3" borderId="25" xfId="0" applyNumberFormat="1" applyFont="1" applyFill="1" applyBorder="1" applyAlignment="1" applyProtection="1">
      <alignment horizontal="center" vertical="top" wrapText="1"/>
      <protection/>
    </xf>
    <xf numFmtId="49" fontId="0" fillId="3" borderId="26" xfId="0" applyNumberFormat="1" applyFont="1" applyFill="1" applyBorder="1" applyAlignment="1" applyProtection="1">
      <alignment horizontal="center" vertical="top" wrapText="1"/>
      <protection/>
    </xf>
    <xf numFmtId="49" fontId="0" fillId="3" borderId="16" xfId="0" applyNumberFormat="1" applyFont="1" applyFill="1" applyBorder="1" applyAlignment="1" applyProtection="1">
      <alignment horizontal="center" vertical="top" wrapText="1"/>
      <protection/>
    </xf>
    <xf numFmtId="0" fontId="3" fillId="3" borderId="27" xfId="0" applyFont="1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0" fontId="0" fillId="3" borderId="28" xfId="0" applyFont="1" applyFill="1" applyBorder="1" applyAlignment="1" applyProtection="1">
      <alignment horizontal="center" textRotation="90" wrapText="1"/>
      <protection/>
    </xf>
    <xf numFmtId="0" fontId="3" fillId="3" borderId="29" xfId="0" applyFont="1" applyFill="1" applyBorder="1" applyAlignment="1" applyProtection="1">
      <alignment horizontal="center" textRotation="90" wrapText="1"/>
      <protection/>
    </xf>
    <xf numFmtId="0" fontId="0" fillId="3" borderId="30" xfId="0" applyFont="1" applyFill="1" applyBorder="1" applyAlignment="1" applyProtection="1">
      <alignment horizontal="center" textRotation="90" wrapText="1"/>
      <protection/>
    </xf>
    <xf numFmtId="49" fontId="3" fillId="15" borderId="14" xfId="0" applyNumberFormat="1" applyFont="1" applyFill="1" applyBorder="1" applyAlignment="1" applyProtection="1">
      <alignment horizontal="left" vertical="center" wrapText="1"/>
      <protection/>
    </xf>
    <xf numFmtId="1" fontId="3" fillId="15" borderId="14" xfId="0" applyNumberFormat="1" applyFont="1" applyFill="1" applyBorder="1" applyAlignment="1" applyProtection="1">
      <alignment horizontal="left" vertical="center" wrapText="1"/>
      <protection/>
    </xf>
    <xf numFmtId="49" fontId="3" fillId="15" borderId="16" xfId="0" applyNumberFormat="1" applyFont="1" applyFill="1" applyBorder="1" applyAlignment="1" applyProtection="1">
      <alignment horizontal="left" vertical="center" wrapText="1"/>
      <protection/>
    </xf>
    <xf numFmtId="1" fontId="3" fillId="15" borderId="16" xfId="0" applyNumberFormat="1" applyFont="1" applyFill="1" applyBorder="1" applyAlignment="1" applyProtection="1">
      <alignment horizontal="left" vertical="center" wrapText="1"/>
      <protection/>
    </xf>
    <xf numFmtId="0" fontId="3" fillId="15" borderId="31" xfId="0" applyNumberFormat="1" applyFont="1" applyFill="1" applyBorder="1" applyAlignment="1" applyProtection="1">
      <alignment horizontal="left" vertical="center" wrapText="1"/>
      <protection/>
    </xf>
    <xf numFmtId="0" fontId="0" fillId="15" borderId="31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1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left" vertical="top" wrapText="1"/>
      <protection/>
    </xf>
    <xf numFmtId="0" fontId="0" fillId="25" borderId="13" xfId="0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center" vertical="top" wrapText="1"/>
      <protection/>
    </xf>
    <xf numFmtId="49" fontId="0" fillId="25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justify"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3" xfId="0" applyFont="1" applyFill="1" applyBorder="1" applyAlignment="1" applyProtection="1">
      <alignment horizontal="justify" vertical="top" wrapText="1"/>
      <protection locked="0"/>
    </xf>
    <xf numFmtId="0" fontId="0" fillId="0" borderId="13" xfId="0" applyBorder="1" applyAlignment="1" applyProtection="1">
      <alignment horizontal="justify" vertical="top" wrapText="1"/>
      <protection locked="0"/>
    </xf>
    <xf numFmtId="0" fontId="3" fillId="7" borderId="13" xfId="0" applyFont="1" applyFill="1" applyBorder="1" applyAlignment="1" applyProtection="1">
      <alignment horizontal="center" vertical="top" wrapText="1"/>
      <protection/>
    </xf>
    <xf numFmtId="0" fontId="3" fillId="7" borderId="32" xfId="0" applyFont="1" applyFill="1" applyBorder="1" applyAlignment="1" applyProtection="1">
      <alignment horizontal="center" vertical="top" wrapText="1"/>
      <protection/>
    </xf>
    <xf numFmtId="0" fontId="30" fillId="0" borderId="0" xfId="0" applyFont="1" applyAlignment="1">
      <alignment horizontal="justify" vertical="top"/>
    </xf>
    <xf numFmtId="0" fontId="30" fillId="0" borderId="0" xfId="0" applyFont="1" applyAlignment="1">
      <alignment vertical="top"/>
    </xf>
    <xf numFmtId="2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0" fillId="22" borderId="33" xfId="0" applyFill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>
      <alignment horizontal="justify" vertical="center"/>
    </xf>
    <xf numFmtId="0" fontId="0" fillId="0" borderId="13" xfId="0" applyBorder="1" applyAlignment="1" applyProtection="1">
      <alignment horizontal="justify" vertical="center" wrapText="1"/>
      <protection locked="0"/>
    </xf>
    <xf numFmtId="0" fontId="0" fillId="0" borderId="13" xfId="0" applyFont="1" applyBorder="1" applyAlignment="1">
      <alignment horizontal="justify"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justify" vertical="center" wrapText="1"/>
      <protection locked="0"/>
    </xf>
    <xf numFmtId="0" fontId="26" fillId="0" borderId="0" xfId="0" applyFont="1" applyBorder="1" applyAlignment="1" applyProtection="1">
      <alignment horizontal="justify" vertical="center" wrapText="1"/>
      <protection locked="0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vertical="center"/>
    </xf>
    <xf numFmtId="0" fontId="0" fillId="22" borderId="13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" fontId="3" fillId="10" borderId="34" xfId="0" applyNumberFormat="1" applyFont="1" applyFill="1" applyBorder="1" applyAlignment="1" applyProtection="1">
      <alignment horizontal="center" vertical="center" wrapText="1"/>
      <protection/>
    </xf>
    <xf numFmtId="0" fontId="28" fillId="24" borderId="13" xfId="0" applyFont="1" applyFill="1" applyBorder="1" applyAlignment="1" applyProtection="1">
      <alignment horizontal="left" vertical="center" wrapText="1"/>
      <protection/>
    </xf>
    <xf numFmtId="1" fontId="28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3" fillId="10" borderId="35" xfId="0" applyFont="1" applyFill="1" applyBorder="1" applyAlignment="1" applyProtection="1">
      <alignment horizontal="left" vertical="center" wrapText="1"/>
      <protection/>
    </xf>
    <xf numFmtId="0" fontId="3" fillId="10" borderId="14" xfId="0" applyFont="1" applyFill="1" applyBorder="1" applyAlignment="1" applyProtection="1">
      <alignment horizontal="left" vertical="center" wrapText="1"/>
      <protection/>
    </xf>
    <xf numFmtId="49" fontId="3" fillId="10" borderId="14" xfId="0" applyNumberFormat="1" applyFont="1" applyFill="1" applyBorder="1" applyAlignment="1" applyProtection="1">
      <alignment horizontal="center" vertical="center" wrapText="1"/>
      <protection/>
    </xf>
    <xf numFmtId="1" fontId="3" fillId="10" borderId="36" xfId="0" applyNumberFormat="1" applyFont="1" applyFill="1" applyBorder="1" applyAlignment="1" applyProtection="1">
      <alignment horizontal="center" vertical="center" wrapText="1"/>
      <protection/>
    </xf>
    <xf numFmtId="1" fontId="3" fillId="10" borderId="15" xfId="0" applyNumberFormat="1" applyFont="1" applyFill="1" applyBorder="1" applyAlignment="1" applyProtection="1">
      <alignment horizontal="center" vertical="center" wrapText="1"/>
      <protection/>
    </xf>
    <xf numFmtId="1" fontId="3" fillId="10" borderId="32" xfId="0" applyNumberFormat="1" applyFont="1" applyFill="1" applyBorder="1" applyAlignment="1" applyProtection="1">
      <alignment horizontal="center" vertical="center" wrapText="1"/>
      <protection/>
    </xf>
    <xf numFmtId="49" fontId="3" fillId="1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49" fontId="3" fillId="10" borderId="32" xfId="0" applyNumberFormat="1" applyFont="1" applyFill="1" applyBorder="1" applyAlignment="1" applyProtection="1">
      <alignment horizontal="left" vertical="center" wrapText="1"/>
      <protection/>
    </xf>
    <xf numFmtId="1" fontId="3" fillId="10" borderId="27" xfId="0" applyNumberFormat="1" applyFont="1" applyFill="1" applyBorder="1" applyAlignment="1" applyProtection="1">
      <alignment horizontal="center" vertical="center" wrapText="1"/>
      <protection/>
    </xf>
    <xf numFmtId="49" fontId="3" fillId="10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37" xfId="0" applyFont="1" applyFill="1" applyBorder="1" applyAlignment="1" applyProtection="1">
      <alignment horizontal="justify" vertical="center" wrapText="1"/>
      <protection/>
    </xf>
    <xf numFmtId="49" fontId="0" fillId="0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37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15" borderId="14" xfId="0" applyFont="1" applyFill="1" applyBorder="1" applyAlignment="1" applyProtection="1">
      <alignment horizontal="center" vertical="center" wrapText="1"/>
      <protection/>
    </xf>
    <xf numFmtId="0" fontId="0" fillId="15" borderId="16" xfId="0" applyFont="1" applyFill="1" applyBorder="1" applyAlignment="1" applyProtection="1">
      <alignment horizontal="center" vertical="center" wrapText="1"/>
      <protection/>
    </xf>
    <xf numFmtId="1" fontId="3" fillId="15" borderId="38" xfId="0" applyNumberFormat="1" applyFont="1" applyFill="1" applyBorder="1" applyAlignment="1" applyProtection="1">
      <alignment horizontal="center" vertical="center" wrapText="1"/>
      <protection/>
    </xf>
    <xf numFmtId="3" fontId="3" fillId="5" borderId="38" xfId="0" applyNumberFormat="1" applyFont="1" applyFill="1" applyBorder="1" applyAlignment="1" applyProtection="1">
      <alignment horizontal="center" vertical="center" wrapText="1"/>
      <protection/>
    </xf>
    <xf numFmtId="1" fontId="3" fillId="5" borderId="27" xfId="0" applyNumberFormat="1" applyFont="1" applyFill="1" applyBorder="1" applyAlignment="1" applyProtection="1">
      <alignment horizontal="center" vertical="center" wrapText="1"/>
      <protection/>
    </xf>
    <xf numFmtId="3" fontId="0" fillId="5" borderId="13" xfId="0" applyNumberFormat="1" applyFont="1" applyFill="1" applyBorder="1" applyAlignment="1" applyProtection="1">
      <alignment horizontal="center" vertical="center" wrapText="1"/>
      <protection/>
    </xf>
    <xf numFmtId="1" fontId="3" fillId="17" borderId="20" xfId="0" applyNumberFormat="1" applyFont="1" applyFill="1" applyBorder="1" applyAlignment="1" applyProtection="1">
      <alignment horizontal="center" vertical="center" wrapText="1"/>
      <protection/>
    </xf>
    <xf numFmtId="3" fontId="0" fillId="5" borderId="30" xfId="0" applyNumberFormat="1" applyFont="1" applyFill="1" applyBorder="1" applyAlignment="1" applyProtection="1">
      <alignment horizontal="center" vertical="center" wrapText="1"/>
      <protection/>
    </xf>
    <xf numFmtId="3" fontId="0" fillId="5" borderId="37" xfId="0" applyNumberFormat="1" applyFont="1" applyFill="1" applyBorder="1" applyAlignment="1" applyProtection="1">
      <alignment horizontal="center" vertical="center" wrapText="1"/>
      <protection/>
    </xf>
    <xf numFmtId="3" fontId="0" fillId="5" borderId="39" xfId="0" applyNumberFormat="1" applyFont="1" applyFill="1" applyBorder="1" applyAlignment="1" applyProtection="1">
      <alignment horizontal="center" vertical="center" wrapText="1"/>
      <protection/>
    </xf>
    <xf numFmtId="1" fontId="0" fillId="15" borderId="38" xfId="0" applyNumberFormat="1" applyFont="1" applyFill="1" applyBorder="1" applyAlignment="1" applyProtection="1">
      <alignment horizontal="center" vertical="center" wrapText="1"/>
      <protection/>
    </xf>
    <xf numFmtId="3" fontId="0" fillId="5" borderId="38" xfId="0" applyNumberFormat="1" applyFont="1" applyFill="1" applyBorder="1" applyAlignment="1" applyProtection="1">
      <alignment horizontal="center" vertical="center" wrapText="1"/>
      <protection/>
    </xf>
    <xf numFmtId="1" fontId="0" fillId="5" borderId="27" xfId="0" applyNumberFormat="1" applyFont="1" applyFill="1" applyBorder="1" applyAlignment="1" applyProtection="1">
      <alignment horizontal="center" vertical="center" wrapText="1"/>
      <protection/>
    </xf>
    <xf numFmtId="1" fontId="0" fillId="17" borderId="2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49" fontId="0" fillId="15" borderId="40" xfId="0" applyNumberFormat="1" applyFont="1" applyFill="1" applyBorder="1" applyAlignment="1" applyProtection="1">
      <alignment horizontal="center" vertical="center" wrapText="1"/>
      <protection/>
    </xf>
    <xf numFmtId="1" fontId="3" fillId="15" borderId="13" xfId="0" applyNumberFormat="1" applyFont="1" applyFill="1" applyBorder="1" applyAlignment="1" applyProtection="1">
      <alignment horizontal="center" vertical="center" wrapText="1"/>
      <protection/>
    </xf>
    <xf numFmtId="3" fontId="3" fillId="5" borderId="13" xfId="0" applyNumberFormat="1" applyFont="1" applyFill="1" applyBorder="1" applyAlignment="1" applyProtection="1">
      <alignment horizontal="center" vertical="center" wrapText="1"/>
      <protection/>
    </xf>
    <xf numFmtId="3" fontId="0" fillId="5" borderId="33" xfId="0" applyNumberFormat="1" applyFont="1" applyFill="1" applyBorder="1" applyAlignment="1" applyProtection="1">
      <alignment horizontal="center" vertical="center" wrapText="1"/>
      <protection/>
    </xf>
    <xf numFmtId="3" fontId="0" fillId="17" borderId="20" xfId="0" applyNumberFormat="1" applyFont="1" applyFill="1" applyBorder="1" applyAlignment="1" applyProtection="1">
      <alignment horizontal="center" vertical="center" wrapText="1"/>
      <protection/>
    </xf>
    <xf numFmtId="49" fontId="3" fillId="15" borderId="40" xfId="0" applyNumberFormat="1" applyFont="1" applyFill="1" applyBorder="1" applyAlignment="1" applyProtection="1">
      <alignment horizontal="left" vertical="center" wrapText="1"/>
      <protection/>
    </xf>
    <xf numFmtId="49" fontId="0" fillId="15" borderId="40" xfId="0" applyNumberFormat="1" applyFont="1" applyFill="1" applyBorder="1" applyAlignment="1" applyProtection="1">
      <alignment horizontal="left" vertical="center" wrapText="1"/>
      <protection/>
    </xf>
    <xf numFmtId="1" fontId="3" fillId="17" borderId="20" xfId="0" applyNumberFormat="1" applyFont="1" applyFill="1" applyBorder="1" applyAlignment="1" applyProtection="1">
      <alignment horizontal="left" vertical="center" wrapText="1"/>
      <protection/>
    </xf>
    <xf numFmtId="49" fontId="0" fillId="15" borderId="12" xfId="0" applyNumberFormat="1" applyFont="1" applyFill="1" applyBorder="1" applyAlignment="1" applyProtection="1">
      <alignment horizontal="center" vertical="center" wrapText="1"/>
      <protection/>
    </xf>
    <xf numFmtId="1" fontId="3" fillId="17" borderId="37" xfId="0" applyNumberFormat="1" applyFont="1" applyFill="1" applyBorder="1" applyAlignment="1" applyProtection="1">
      <alignment horizontal="center" vertical="center" wrapText="1"/>
      <protection/>
    </xf>
    <xf numFmtId="1" fontId="0" fillId="17" borderId="37" xfId="0" applyNumberFormat="1" applyFont="1" applyFill="1" applyBorder="1" applyAlignment="1" applyProtection="1">
      <alignment horizontal="center" vertical="center" wrapText="1"/>
      <protection/>
    </xf>
    <xf numFmtId="1" fontId="3" fillId="17" borderId="39" xfId="0" applyNumberFormat="1" applyFont="1" applyFill="1" applyBorder="1" applyAlignment="1" applyProtection="1">
      <alignment horizontal="center" vertical="center" wrapText="1"/>
      <protection/>
    </xf>
    <xf numFmtId="1" fontId="3" fillId="17" borderId="39" xfId="0" applyNumberFormat="1" applyFont="1" applyFill="1" applyBorder="1" applyAlignment="1" applyProtection="1">
      <alignment horizontal="left" vertical="center" wrapText="1"/>
      <protection/>
    </xf>
    <xf numFmtId="1" fontId="3" fillId="15" borderId="0" xfId="0" applyNumberFormat="1" applyFont="1" applyFill="1" applyBorder="1" applyAlignment="1" applyProtection="1">
      <alignment horizontal="left" vertical="center" wrapText="1"/>
      <protection/>
    </xf>
    <xf numFmtId="0" fontId="0" fillId="1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7" borderId="13" xfId="52" applyFont="1" applyFill="1" applyBorder="1" applyAlignment="1" applyProtection="1">
      <alignment horizontal="center" vertical="center" wrapText="1"/>
      <protection/>
    </xf>
    <xf numFmtId="0" fontId="3" fillId="22" borderId="35" xfId="52" applyNumberFormat="1" applyFont="1" applyFill="1" applyBorder="1" applyAlignment="1" applyProtection="1">
      <alignment horizontal="justify" vertical="center" wrapText="1"/>
      <protection/>
    </xf>
    <xf numFmtId="0" fontId="0" fillId="22" borderId="14" xfId="52" applyFont="1" applyFill="1" applyBorder="1" applyAlignment="1" applyProtection="1">
      <alignment horizontal="center" vertical="center" wrapText="1"/>
      <protection/>
    </xf>
    <xf numFmtId="0" fontId="0" fillId="22" borderId="29" xfId="52" applyFont="1" applyFill="1" applyBorder="1" applyAlignment="1" applyProtection="1">
      <alignment horizontal="center" vertical="center" wrapText="1"/>
      <protection/>
    </xf>
    <xf numFmtId="0" fontId="3" fillId="22" borderId="41" xfId="52" applyNumberFormat="1" applyFont="1" applyFill="1" applyBorder="1" applyAlignment="1" applyProtection="1">
      <alignment horizontal="justify" vertical="center" wrapText="1"/>
      <protection/>
    </xf>
    <xf numFmtId="0" fontId="0" fillId="22" borderId="16" xfId="52" applyFont="1" applyFill="1" applyBorder="1" applyAlignment="1" applyProtection="1">
      <alignment horizontal="center" vertical="center" wrapText="1"/>
      <protection/>
    </xf>
    <xf numFmtId="49" fontId="0" fillId="22" borderId="16" xfId="52" applyNumberFormat="1" applyFont="1" applyFill="1" applyBorder="1" applyAlignment="1" applyProtection="1">
      <alignment horizontal="center" vertical="center" wrapText="1" shrinkToFit="1"/>
      <protection/>
    </xf>
    <xf numFmtId="49" fontId="0" fillId="22" borderId="10" xfId="52" applyNumberFormat="1" applyFont="1" applyFill="1" applyBorder="1" applyAlignment="1" applyProtection="1">
      <alignment horizontal="center" vertical="center" wrapText="1" shrinkToFit="1"/>
      <protection/>
    </xf>
    <xf numFmtId="180" fontId="0" fillId="20" borderId="13" xfId="52" applyNumberFormat="1" applyFont="1" applyFill="1" applyBorder="1" applyAlignment="1" applyProtection="1">
      <alignment horizontal="center" vertical="center" wrapText="1"/>
      <protection/>
    </xf>
    <xf numFmtId="180" fontId="0" fillId="0" borderId="13" xfId="52" applyNumberFormat="1" applyFont="1" applyBorder="1" applyAlignment="1" applyProtection="1">
      <alignment horizontal="center" vertical="center" wrapText="1"/>
      <protection locked="0"/>
    </xf>
    <xf numFmtId="180" fontId="0" fillId="26" borderId="13" xfId="52" applyNumberFormat="1" applyFont="1" applyFill="1" applyBorder="1" applyAlignment="1" applyProtection="1">
      <alignment horizontal="center" vertical="center" wrapText="1"/>
      <protection/>
    </xf>
    <xf numFmtId="180" fontId="3" fillId="20" borderId="13" xfId="56" applyNumberFormat="1" applyFont="1" applyFill="1" applyBorder="1" applyAlignment="1" applyProtection="1">
      <alignment horizontal="center" vertical="center" wrapText="1"/>
      <protection/>
    </xf>
    <xf numFmtId="2" fontId="0" fillId="20" borderId="13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 applyAlignment="1" applyProtection="1">
      <alignment vertical="center" wrapText="1"/>
      <protection/>
    </xf>
    <xf numFmtId="0" fontId="0" fillId="27" borderId="13" xfId="52" applyFont="1" applyFill="1" applyBorder="1" applyAlignment="1" applyProtection="1">
      <alignment horizontal="center" vertical="center" wrapText="1"/>
      <protection/>
    </xf>
    <xf numFmtId="0" fontId="0" fillId="7" borderId="13" xfId="52" applyFont="1" applyFill="1" applyBorder="1" applyAlignment="1" applyProtection="1">
      <alignment horizontal="center" vertical="center" wrapText="1"/>
      <protection/>
    </xf>
    <xf numFmtId="2" fontId="0" fillId="24" borderId="13" xfId="52" applyNumberFormat="1" applyFont="1" applyFill="1" applyBorder="1" applyAlignment="1" applyProtection="1">
      <alignment horizontal="center" vertical="center" wrapText="1"/>
      <protection/>
    </xf>
    <xf numFmtId="2" fontId="27" fillId="24" borderId="13" xfId="52" applyNumberFormat="1" applyFont="1" applyFill="1" applyBorder="1" applyAlignment="1" applyProtection="1">
      <alignment horizontal="center" vertical="center" wrapText="1"/>
      <protection/>
    </xf>
    <xf numFmtId="2" fontId="0" fillId="24" borderId="13" xfId="52" applyNumberFormat="1" applyFont="1" applyFill="1" applyBorder="1" applyAlignment="1" applyProtection="1">
      <alignment horizontal="center" vertical="center" wrapText="1"/>
      <protection/>
    </xf>
    <xf numFmtId="0" fontId="3" fillId="24" borderId="13" xfId="52" applyFont="1" applyFill="1" applyBorder="1" applyAlignment="1" applyProtection="1">
      <alignment horizontal="center" vertical="center" wrapText="1"/>
      <protection/>
    </xf>
    <xf numFmtId="1" fontId="0" fillId="26" borderId="13" xfId="52" applyNumberFormat="1" applyFont="1" applyFill="1" applyBorder="1" applyAlignment="1" applyProtection="1">
      <alignment horizontal="center" vertical="center" wrapText="1"/>
      <protection/>
    </xf>
    <xf numFmtId="1" fontId="27" fillId="0" borderId="13" xfId="52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52" applyNumberFormat="1" applyFont="1" applyFill="1" applyBorder="1" applyAlignment="1" applyProtection="1">
      <alignment horizontal="center" vertical="center" wrapText="1"/>
      <protection/>
    </xf>
    <xf numFmtId="2" fontId="3" fillId="20" borderId="13" xfId="52" applyNumberFormat="1" applyFont="1" applyFill="1" applyBorder="1" applyAlignment="1" applyProtection="1">
      <alignment horizontal="center" vertical="center" wrapText="1"/>
      <protection/>
    </xf>
    <xf numFmtId="2" fontId="0" fillId="26" borderId="13" xfId="52" applyNumberFormat="1" applyFont="1" applyFill="1" applyBorder="1" applyAlignment="1" applyProtection="1">
      <alignment horizontal="center" vertical="center" wrapText="1"/>
      <protection/>
    </xf>
    <xf numFmtId="2" fontId="27" fillId="0" borderId="13" xfId="52" applyNumberFormat="1" applyFont="1" applyFill="1" applyBorder="1" applyAlignment="1" applyProtection="1">
      <alignment horizontal="center" vertical="center" wrapText="1"/>
      <protection locked="0"/>
    </xf>
    <xf numFmtId="2" fontId="0" fillId="26" borderId="13" xfId="52" applyNumberFormat="1" applyFont="1" applyFill="1" applyBorder="1" applyAlignment="1" applyProtection="1">
      <alignment horizontal="center" vertical="center" wrapText="1"/>
      <protection/>
    </xf>
    <xf numFmtId="0" fontId="3" fillId="20" borderId="13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27" fillId="0" borderId="13" xfId="52" applyNumberFormat="1" applyFont="1" applyFill="1" applyBorder="1" applyAlignment="1" applyProtection="1">
      <alignment horizontal="center" vertical="center" wrapText="1"/>
      <protection locked="0"/>
    </xf>
    <xf numFmtId="180" fontId="0" fillId="26" borderId="13" xfId="52" applyNumberFormat="1" applyFont="1" applyFill="1" applyBorder="1" applyAlignment="1" applyProtection="1">
      <alignment horizontal="center" vertical="center" wrapText="1"/>
      <protection/>
    </xf>
    <xf numFmtId="0" fontId="3" fillId="28" borderId="13" xfId="52" applyFont="1" applyFill="1" applyBorder="1" applyAlignment="1" applyProtection="1">
      <alignment horizontal="center" vertical="center" wrapText="1"/>
      <protection/>
    </xf>
    <xf numFmtId="1" fontId="0" fillId="26" borderId="13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2" fontId="4" fillId="25" borderId="13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Alignment="1" applyProtection="1">
      <alignment vertical="center" wrapText="1"/>
      <protection/>
    </xf>
    <xf numFmtId="0" fontId="29" fillId="25" borderId="13" xfId="0" applyFont="1" applyFill="1" applyBorder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vertical="center" wrapText="1"/>
      <protection/>
    </xf>
    <xf numFmtId="0" fontId="4" fillId="29" borderId="13" xfId="0" applyFont="1" applyFill="1" applyBorder="1" applyAlignment="1" applyProtection="1">
      <alignment vertical="center" wrapText="1"/>
      <protection/>
    </xf>
    <xf numFmtId="180" fontId="4" fillId="25" borderId="13" xfId="0" applyNumberFormat="1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0" fontId="4" fillId="25" borderId="13" xfId="0" applyFont="1" applyFill="1" applyBorder="1" applyAlignment="1" applyProtection="1">
      <alignment horizontal="left" vertical="center" wrapText="1"/>
      <protection/>
    </xf>
    <xf numFmtId="0" fontId="4" fillId="29" borderId="13" xfId="0" applyFont="1" applyFill="1" applyBorder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7" borderId="13" xfId="0" applyFont="1" applyFill="1" applyBorder="1" applyAlignment="1" applyProtection="1">
      <alignment horizontal="center" vertical="center" wrapText="1"/>
      <protection locked="0"/>
    </xf>
    <xf numFmtId="0" fontId="0" fillId="7" borderId="13" xfId="0" applyFill="1" applyBorder="1" applyAlignment="1" applyProtection="1">
      <alignment horizontal="center" vertical="center" wrapText="1"/>
      <protection locked="0"/>
    </xf>
    <xf numFmtId="180" fontId="0" fillId="0" borderId="13" xfId="52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7" borderId="13" xfId="0" applyFont="1" applyFill="1" applyBorder="1" applyAlignment="1" applyProtection="1">
      <alignment horizontal="center" vertical="center" wrapText="1"/>
      <protection/>
    </xf>
    <xf numFmtId="0" fontId="4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49" fontId="28" fillId="30" borderId="13" xfId="0" applyNumberFormat="1" applyFont="1" applyFill="1" applyBorder="1" applyAlignment="1" applyProtection="1">
      <alignment vertical="center"/>
      <protection locked="0"/>
    </xf>
    <xf numFmtId="0" fontId="0" fillId="31" borderId="0" xfId="0" applyFont="1" applyFill="1" applyBorder="1" applyAlignment="1" applyProtection="1">
      <alignment vertical="center" wrapText="1"/>
      <protection locked="0"/>
    </xf>
    <xf numFmtId="0" fontId="0" fillId="31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0" fillId="30" borderId="13" xfId="0" applyNumberFormat="1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horizontal="left" vertical="top" wrapText="1"/>
      <protection/>
    </xf>
    <xf numFmtId="1" fontId="0" fillId="32" borderId="0" xfId="0" applyNumberFormat="1" applyFont="1" applyFill="1" applyBorder="1" applyAlignment="1" applyProtection="1">
      <alignment horizontal="left" vertical="top" wrapText="1"/>
      <protection/>
    </xf>
    <xf numFmtId="0" fontId="0" fillId="31" borderId="0" xfId="0" applyFont="1" applyFill="1" applyBorder="1" applyAlignment="1" applyProtection="1">
      <alignment horizontal="left" vertical="top" wrapText="1"/>
      <protection/>
    </xf>
    <xf numFmtId="0" fontId="3" fillId="32" borderId="0" xfId="0" applyFont="1" applyFill="1" applyBorder="1" applyAlignment="1" applyProtection="1">
      <alignment horizontal="left" vertical="top" wrapText="1"/>
      <protection/>
    </xf>
    <xf numFmtId="0" fontId="31" fillId="31" borderId="0" xfId="0" applyFont="1" applyFill="1" applyBorder="1" applyAlignment="1" applyProtection="1">
      <alignment horizontal="left" vertical="top" wrapText="1"/>
      <protection/>
    </xf>
    <xf numFmtId="0" fontId="5" fillId="31" borderId="0" xfId="0" applyFont="1" applyFill="1" applyBorder="1" applyAlignment="1" applyProtection="1">
      <alignment horizontal="left" vertical="top" wrapText="1"/>
      <protection/>
    </xf>
    <xf numFmtId="0" fontId="0" fillId="32" borderId="0" xfId="0" applyNumberFormat="1" applyFont="1" applyFill="1" applyBorder="1" applyAlignment="1" applyProtection="1">
      <alignment horizontal="left" vertical="top" wrapText="1"/>
      <protection/>
    </xf>
    <xf numFmtId="49" fontId="0" fillId="32" borderId="0" xfId="0" applyNumberFormat="1" applyFont="1" applyFill="1" applyBorder="1" applyAlignment="1" applyProtection="1">
      <alignment horizontal="left" vertical="top" wrapText="1"/>
      <protection/>
    </xf>
    <xf numFmtId="2" fontId="0" fillId="32" borderId="0" xfId="0" applyNumberFormat="1" applyFont="1" applyFill="1" applyBorder="1" applyAlignment="1" applyProtection="1">
      <alignment horizontal="left" vertical="top" wrapText="1"/>
      <protection/>
    </xf>
    <xf numFmtId="0" fontId="3" fillId="3" borderId="14" xfId="0" applyFont="1" applyFill="1" applyBorder="1" applyAlignment="1" applyProtection="1">
      <alignment horizontal="center" vertical="top" wrapText="1"/>
      <protection/>
    </xf>
    <xf numFmtId="0" fontId="3" fillId="31" borderId="14" xfId="0" applyFont="1" applyFill="1" applyBorder="1" applyAlignment="1" applyProtection="1">
      <alignment horizontal="center" vertical="top" wrapText="1"/>
      <protection/>
    </xf>
    <xf numFmtId="0" fontId="3" fillId="31" borderId="0" xfId="0" applyFont="1" applyFill="1" applyBorder="1" applyAlignment="1" applyProtection="1">
      <alignment horizontal="center" vertical="top" wrapText="1"/>
      <protection/>
    </xf>
    <xf numFmtId="0" fontId="3" fillId="31" borderId="42" xfId="0" applyFont="1" applyFill="1" applyBorder="1" applyAlignment="1" applyProtection="1">
      <alignment horizontal="center" textRotation="90" wrapText="1"/>
      <protection/>
    </xf>
    <xf numFmtId="0" fontId="3" fillId="31" borderId="23" xfId="0" applyFont="1" applyFill="1" applyBorder="1" applyAlignment="1" applyProtection="1">
      <alignment horizontal="center" textRotation="90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31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13" xfId="0" applyBorder="1" applyAlignment="1">
      <alignment vertical="top"/>
    </xf>
    <xf numFmtId="49" fontId="3" fillId="10" borderId="13" xfId="0" applyNumberFormat="1" applyFont="1" applyFill="1" applyBorder="1" applyAlignment="1" applyProtection="1">
      <alignment horizontal="center" vertical="top" wrapText="1"/>
      <protection/>
    </xf>
    <xf numFmtId="1" fontId="0" fillId="31" borderId="0" xfId="0" applyNumberFormat="1" applyFont="1" applyFill="1" applyBorder="1" applyAlignment="1" applyProtection="1">
      <alignment horizontal="center" vertical="top" wrapText="1"/>
      <protection/>
    </xf>
    <xf numFmtId="49" fontId="3" fillId="15" borderId="14" xfId="0" applyNumberFormat="1" applyFont="1" applyFill="1" applyBorder="1" applyAlignment="1" applyProtection="1">
      <alignment horizontal="left" vertical="top" wrapText="1"/>
      <protection/>
    </xf>
    <xf numFmtId="0" fontId="0" fillId="15" borderId="14" xfId="0" applyFont="1" applyFill="1" applyBorder="1" applyAlignment="1" applyProtection="1">
      <alignment horizontal="center" vertical="top" wrapText="1"/>
      <protection/>
    </xf>
    <xf numFmtId="1" fontId="3" fillId="31" borderId="0" xfId="0" applyNumberFormat="1" applyFont="1" applyFill="1" applyBorder="1" applyAlignment="1" applyProtection="1">
      <alignment horizontal="left" vertical="center" wrapText="1"/>
      <protection/>
    </xf>
    <xf numFmtId="49" fontId="3" fillId="15" borderId="16" xfId="0" applyNumberFormat="1" applyFont="1" applyFill="1" applyBorder="1" applyAlignment="1" applyProtection="1">
      <alignment horizontal="left" vertical="top" wrapText="1"/>
      <protection/>
    </xf>
    <xf numFmtId="0" fontId="0" fillId="15" borderId="16" xfId="0" applyFont="1" applyFill="1" applyBorder="1" applyAlignment="1" applyProtection="1">
      <alignment horizontal="center" vertical="top" wrapText="1"/>
      <protection/>
    </xf>
    <xf numFmtId="1" fontId="3" fillId="15" borderId="38" xfId="0" applyNumberFormat="1" applyFont="1" applyFill="1" applyBorder="1" applyAlignment="1" applyProtection="1">
      <alignment horizontal="center" vertical="top" wrapText="1"/>
      <protection/>
    </xf>
    <xf numFmtId="3" fontId="3" fillId="5" borderId="38" xfId="0" applyNumberFormat="1" applyFont="1" applyFill="1" applyBorder="1" applyAlignment="1" applyProtection="1">
      <alignment horizontal="center" vertical="top" wrapText="1"/>
      <protection/>
    </xf>
    <xf numFmtId="3" fontId="0" fillId="5" borderId="13" xfId="0" applyNumberFormat="1" applyFont="1" applyFill="1" applyBorder="1" applyAlignment="1" applyProtection="1">
      <alignment horizontal="center" vertical="top" wrapText="1"/>
      <protection/>
    </xf>
    <xf numFmtId="1" fontId="3" fillId="31" borderId="0" xfId="0" applyNumberFormat="1" applyFont="1" applyFill="1" applyBorder="1" applyAlignment="1" applyProtection="1">
      <alignment horizontal="center" vertical="top" wrapText="1"/>
      <protection/>
    </xf>
    <xf numFmtId="1" fontId="3" fillId="5" borderId="13" xfId="0" applyNumberFormat="1" applyFont="1" applyFill="1" applyBorder="1" applyAlignment="1" applyProtection="1">
      <alignment horizontal="center" vertical="top" wrapText="1"/>
      <protection/>
    </xf>
    <xf numFmtId="1" fontId="3" fillId="5" borderId="38" xfId="0" applyNumberFormat="1" applyFont="1" applyFill="1" applyBorder="1" applyAlignment="1" applyProtection="1">
      <alignment horizontal="center" vertical="top" wrapText="1"/>
      <protection/>
    </xf>
    <xf numFmtId="3" fontId="0" fillId="31" borderId="0" xfId="0" applyNumberFormat="1" applyFont="1" applyFill="1" applyBorder="1" applyAlignment="1" applyProtection="1">
      <alignment horizontal="center" vertical="top" wrapText="1"/>
      <protection/>
    </xf>
    <xf numFmtId="1" fontId="0" fillId="15" borderId="38" xfId="0" applyNumberFormat="1" applyFont="1" applyFill="1" applyBorder="1" applyAlignment="1" applyProtection="1">
      <alignment horizontal="center" vertical="top" wrapText="1"/>
      <protection/>
    </xf>
    <xf numFmtId="3" fontId="0" fillId="5" borderId="38" xfId="0" applyNumberFormat="1" applyFont="1" applyFill="1" applyBorder="1" applyAlignment="1" applyProtection="1">
      <alignment horizontal="center" vertical="top" wrapText="1"/>
      <protection/>
    </xf>
    <xf numFmtId="3" fontId="0" fillId="5" borderId="37" xfId="0" applyNumberFormat="1" applyFont="1" applyFill="1" applyBorder="1" applyAlignment="1" applyProtection="1">
      <alignment horizontal="center" vertical="top" wrapText="1"/>
      <protection/>
    </xf>
    <xf numFmtId="1" fontId="0" fillId="31" borderId="0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Fill="1" applyBorder="1" applyAlignment="1" applyProtection="1">
      <alignment horizontal="center" vertical="top" wrapText="1"/>
      <protection/>
    </xf>
    <xf numFmtId="49" fontId="0" fillId="15" borderId="40" xfId="0" applyNumberFormat="1" applyFont="1" applyFill="1" applyBorder="1" applyAlignment="1" applyProtection="1">
      <alignment horizontal="center" vertical="top" wrapText="1"/>
      <protection/>
    </xf>
    <xf numFmtId="1" fontId="3" fillId="15" borderId="13" xfId="0" applyNumberFormat="1" applyFont="1" applyFill="1" applyBorder="1" applyAlignment="1" applyProtection="1">
      <alignment horizontal="center" vertical="top" wrapText="1"/>
      <protection/>
    </xf>
    <xf numFmtId="3" fontId="3" fillId="5" borderId="13" xfId="0" applyNumberFormat="1" applyFont="1" applyFill="1" applyBorder="1" applyAlignment="1" applyProtection="1">
      <alignment horizontal="center" vertical="top" wrapText="1"/>
      <protection/>
    </xf>
    <xf numFmtId="3" fontId="0" fillId="5" borderId="33" xfId="0" applyNumberFormat="1" applyFont="1" applyFill="1" applyBorder="1" applyAlignment="1" applyProtection="1">
      <alignment horizontal="center" vertical="top" wrapText="1"/>
      <protection/>
    </xf>
    <xf numFmtId="49" fontId="3" fillId="15" borderId="40" xfId="0" applyNumberFormat="1" applyFont="1" applyFill="1" applyBorder="1" applyAlignment="1" applyProtection="1">
      <alignment horizontal="left" vertical="top" wrapText="1"/>
      <protection/>
    </xf>
    <xf numFmtId="49" fontId="0" fillId="15" borderId="40" xfId="0" applyNumberFormat="1" applyFont="1" applyFill="1" applyBorder="1" applyAlignment="1" applyProtection="1">
      <alignment horizontal="left" vertical="top" wrapText="1"/>
      <protection/>
    </xf>
    <xf numFmtId="1" fontId="3" fillId="31" borderId="0" xfId="0" applyNumberFormat="1" applyFont="1" applyFill="1" applyBorder="1" applyAlignment="1" applyProtection="1">
      <alignment horizontal="left" vertical="top" wrapText="1"/>
      <protection/>
    </xf>
    <xf numFmtId="49" fontId="0" fillId="15" borderId="12" xfId="0" applyNumberFormat="1" applyFont="1" applyFill="1" applyBorder="1" applyAlignment="1" applyProtection="1">
      <alignment horizontal="center" vertical="top" wrapText="1"/>
      <protection/>
    </xf>
    <xf numFmtId="0" fontId="3" fillId="31" borderId="0" xfId="0" applyFont="1" applyFill="1" applyBorder="1" applyAlignment="1" applyProtection="1">
      <alignment vertical="top" wrapText="1"/>
      <protection/>
    </xf>
    <xf numFmtId="49" fontId="0" fillId="0" borderId="41" xfId="0" applyNumberFormat="1" applyFont="1" applyFill="1" applyBorder="1" applyAlignment="1" applyProtection="1">
      <alignment horizontal="left" vertical="top" wrapText="1"/>
      <protection/>
    </xf>
    <xf numFmtId="0" fontId="0" fillId="0" borderId="16" xfId="0" applyFont="1" applyFill="1" applyBorder="1" applyAlignment="1" applyProtection="1">
      <alignment horizontal="justify" vertical="top" wrapText="1"/>
      <protection/>
    </xf>
    <xf numFmtId="49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center" vertical="top" wrapText="1"/>
      <protection/>
    </xf>
    <xf numFmtId="1" fontId="3" fillId="31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/>
    </xf>
    <xf numFmtId="1" fontId="3" fillId="32" borderId="13" xfId="0" applyNumberFormat="1" applyFont="1" applyFill="1" applyBorder="1" applyAlignment="1" applyProtection="1">
      <alignment horizontal="center" vertical="top" wrapText="1"/>
      <protection/>
    </xf>
    <xf numFmtId="1" fontId="0" fillId="26" borderId="13" xfId="0" applyNumberFormat="1" applyFont="1" applyFill="1" applyBorder="1" applyAlignment="1" applyProtection="1">
      <alignment horizontal="center" vertical="center" wrapText="1"/>
      <protection/>
    </xf>
    <xf numFmtId="49" fontId="3" fillId="10" borderId="13" xfId="0" applyNumberFormat="1" applyFont="1" applyFill="1" applyBorder="1" applyAlignment="1" applyProtection="1">
      <alignment horizontal="left" vertical="top" wrapText="1"/>
      <protection/>
    </xf>
    <xf numFmtId="1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5" borderId="10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 vertical="top" wrapText="1"/>
    </xf>
    <xf numFmtId="0" fontId="9" fillId="7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1" fontId="8" fillId="20" borderId="10" xfId="0" applyNumberFormat="1" applyFont="1" applyFill="1" applyBorder="1" applyAlignment="1">
      <alignment horizontal="center" vertical="top" wrapText="1"/>
    </xf>
    <xf numFmtId="0" fontId="4" fillId="7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33" xfId="0" applyFont="1" applyFill="1" applyBorder="1" applyAlignment="1" applyProtection="1">
      <alignment horizontal="center" vertical="top" wrapText="1"/>
      <protection locked="0"/>
    </xf>
    <xf numFmtId="0" fontId="33" fillId="0" borderId="37" xfId="0" applyFont="1" applyFill="1" applyBorder="1" applyAlignment="1" applyProtection="1">
      <alignment horizontal="center" vertical="top" wrapText="1"/>
      <protection locked="0"/>
    </xf>
    <xf numFmtId="0" fontId="33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49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top" wrapText="1"/>
    </xf>
    <xf numFmtId="0" fontId="3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Fill="1" applyBorder="1" applyAlignment="1">
      <alignment horizontal="justify" vertical="top" wrapText="1"/>
    </xf>
    <xf numFmtId="0" fontId="37" fillId="0" borderId="13" xfId="0" applyFont="1" applyFill="1" applyBorder="1" applyAlignment="1" applyProtection="1">
      <alignment horizontal="justify" vertical="center" wrapText="1"/>
      <protection locked="0"/>
    </xf>
    <xf numFmtId="0" fontId="3" fillId="15" borderId="37" xfId="0" applyFont="1" applyFill="1" applyBorder="1" applyAlignment="1" applyProtection="1">
      <alignment horizontal="left" vertical="top" wrapText="1"/>
      <protection/>
    </xf>
    <xf numFmtId="0" fontId="3" fillId="15" borderId="38" xfId="0" applyFont="1" applyFill="1" applyBorder="1" applyAlignment="1" applyProtection="1">
      <alignment horizontal="left" vertical="top" wrapText="1"/>
      <protection/>
    </xf>
    <xf numFmtId="0" fontId="0" fillId="15" borderId="38" xfId="0" applyFont="1" applyFill="1" applyBorder="1" applyAlignment="1" applyProtection="1">
      <alignment horizontal="left" vertical="top" wrapText="1"/>
      <protection/>
    </xf>
    <xf numFmtId="0" fontId="3" fillId="15" borderId="14" xfId="0" applyNumberFormat="1" applyFont="1" applyFill="1" applyBorder="1" applyAlignment="1" applyProtection="1">
      <alignment horizontal="left" vertical="center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1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34" borderId="0" xfId="0" applyFill="1" applyAlignment="1">
      <alignment vertical="top"/>
    </xf>
    <xf numFmtId="0" fontId="0" fillId="34" borderId="13" xfId="0" applyFill="1" applyBorder="1" applyAlignment="1">
      <alignment vertical="top"/>
    </xf>
    <xf numFmtId="1" fontId="0" fillId="34" borderId="13" xfId="0" applyNumberFormat="1" applyFill="1" applyBorder="1" applyAlignment="1">
      <alignment vertical="top"/>
    </xf>
    <xf numFmtId="1" fontId="0" fillId="0" borderId="13" xfId="0" applyNumberFormat="1" applyBorder="1" applyAlignment="1">
      <alignment vertical="top"/>
    </xf>
    <xf numFmtId="0" fontId="0" fillId="34" borderId="43" xfId="0" applyFill="1" applyBorder="1" applyAlignment="1">
      <alignment vertical="top"/>
    </xf>
    <xf numFmtId="0" fontId="0" fillId="34" borderId="44" xfId="0" applyFill="1" applyBorder="1" applyAlignment="1">
      <alignment vertical="top"/>
    </xf>
    <xf numFmtId="1" fontId="0" fillId="34" borderId="45" xfId="0" applyNumberFormat="1" applyFill="1" applyBorder="1" applyAlignment="1">
      <alignment vertical="top"/>
    </xf>
    <xf numFmtId="0" fontId="0" fillId="0" borderId="34" xfId="0" applyBorder="1" applyAlignment="1">
      <alignment vertical="top"/>
    </xf>
    <xf numFmtId="1" fontId="0" fillId="0" borderId="28" xfId="0" applyNumberFormat="1" applyBorder="1" applyAlignment="1">
      <alignment vertical="top"/>
    </xf>
    <xf numFmtId="0" fontId="0" fillId="34" borderId="34" xfId="0" applyFill="1" applyBorder="1" applyAlignment="1">
      <alignment vertical="top"/>
    </xf>
    <xf numFmtId="1" fontId="0" fillId="34" borderId="28" xfId="0" applyNumberFormat="1" applyFill="1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47" xfId="0" applyBorder="1" applyAlignment="1">
      <alignment vertical="top"/>
    </xf>
    <xf numFmtId="1" fontId="0" fillId="0" borderId="48" xfId="0" applyNumberFormat="1" applyBorder="1" applyAlignment="1">
      <alignment vertical="top"/>
    </xf>
    <xf numFmtId="49" fontId="0" fillId="34" borderId="13" xfId="0" applyNumberFormat="1" applyFill="1" applyBorder="1" applyAlignment="1">
      <alignment vertical="top"/>
    </xf>
    <xf numFmtId="49" fontId="0" fillId="0" borderId="13" xfId="0" applyNumberFormat="1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28" xfId="0" applyBorder="1" applyAlignment="1">
      <alignment vertical="top"/>
    </xf>
    <xf numFmtId="49" fontId="0" fillId="34" borderId="34" xfId="0" applyNumberFormat="1" applyFill="1" applyBorder="1" applyAlignment="1">
      <alignment vertical="top"/>
    </xf>
    <xf numFmtId="49" fontId="0" fillId="0" borderId="34" xfId="0" applyNumberFormat="1" applyBorder="1" applyAlignment="1">
      <alignment vertical="top"/>
    </xf>
    <xf numFmtId="49" fontId="0" fillId="0" borderId="28" xfId="0" applyNumberFormat="1" applyBorder="1" applyAlignment="1">
      <alignment vertical="top"/>
    </xf>
    <xf numFmtId="49" fontId="0" fillId="34" borderId="28" xfId="0" applyNumberFormat="1" applyFill="1" applyBorder="1" applyAlignment="1">
      <alignment vertical="top"/>
    </xf>
    <xf numFmtId="49" fontId="0" fillId="0" borderId="46" xfId="0" applyNumberFormat="1" applyBorder="1" applyAlignment="1">
      <alignment vertical="top"/>
    </xf>
    <xf numFmtId="49" fontId="0" fillId="0" borderId="47" xfId="0" applyNumberFormat="1" applyBorder="1" applyAlignment="1">
      <alignment vertical="top"/>
    </xf>
    <xf numFmtId="1" fontId="0" fillId="0" borderId="47" xfId="0" applyNumberFormat="1" applyBorder="1" applyAlignment="1">
      <alignment vertical="top"/>
    </xf>
    <xf numFmtId="49" fontId="0" fillId="0" borderId="48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3" fillId="34" borderId="14" xfId="0" applyNumberFormat="1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0" xfId="0" applyNumberFormat="1" applyFont="1" applyFill="1" applyBorder="1" applyAlignment="1" applyProtection="1">
      <alignment horizontal="center" textRotation="90" wrapText="1"/>
      <protection/>
    </xf>
    <xf numFmtId="0" fontId="3" fillId="34" borderId="16" xfId="0" applyNumberFormat="1" applyFont="1" applyFill="1" applyBorder="1" applyAlignment="1" applyProtection="1">
      <alignment horizontal="center" textRotation="90" wrapText="1"/>
      <protection/>
    </xf>
    <xf numFmtId="0" fontId="3" fillId="32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3" fillId="15" borderId="38" xfId="0" applyNumberFormat="1" applyFont="1" applyFill="1" applyBorder="1" applyAlignment="1" applyProtection="1">
      <alignment horizontal="left" vertical="top" wrapText="1"/>
      <protection/>
    </xf>
    <xf numFmtId="0" fontId="0" fillId="15" borderId="38" xfId="0" applyNumberFormat="1" applyFont="1" applyFill="1" applyBorder="1" applyAlignment="1" applyProtection="1">
      <alignment horizontal="left" vertical="top" wrapText="1"/>
      <protection/>
    </xf>
    <xf numFmtId="0" fontId="3" fillId="15" borderId="3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4" fillId="29" borderId="13" xfId="0" applyFont="1" applyFill="1" applyBorder="1" applyAlignment="1" applyProtection="1">
      <alignment vertical="top" wrapText="1"/>
      <protection/>
    </xf>
    <xf numFmtId="0" fontId="0" fillId="31" borderId="13" xfId="0" applyFont="1" applyFill="1" applyBorder="1" applyAlignment="1" applyProtection="1">
      <alignment horizontal="left" vertical="top" wrapText="1"/>
      <protection/>
    </xf>
    <xf numFmtId="0" fontId="0" fillId="31" borderId="32" xfId="0" applyFont="1" applyFill="1" applyBorder="1" applyAlignment="1" applyProtection="1">
      <alignment horizontal="left" vertical="top" wrapText="1"/>
      <protection/>
    </xf>
    <xf numFmtId="0" fontId="0" fillId="31" borderId="13" xfId="0" applyFont="1" applyFill="1" applyBorder="1" applyAlignment="1" applyProtection="1">
      <alignment horizontal="justify" vertical="top" wrapText="1"/>
      <protection locked="0"/>
    </xf>
    <xf numFmtId="0" fontId="0" fillId="34" borderId="13" xfId="0" applyFont="1" applyFill="1" applyBorder="1" applyAlignment="1" applyProtection="1">
      <alignment horizontal="center" vertical="top" wrapText="1"/>
      <protection/>
    </xf>
    <xf numFmtId="0" fontId="0" fillId="34" borderId="13" xfId="0" applyFont="1" applyFill="1" applyBorder="1" applyAlignment="1" applyProtection="1">
      <alignment horizontal="center" vertical="top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/>
    </xf>
    <xf numFmtId="1" fontId="0" fillId="26" borderId="13" xfId="0" applyNumberFormat="1" applyFont="1" applyFill="1" applyBorder="1" applyAlignment="1" applyProtection="1">
      <alignment horizontal="center" vertical="center" wrapText="1"/>
      <protection/>
    </xf>
    <xf numFmtId="0" fontId="0" fillId="31" borderId="13" xfId="0" applyFont="1" applyFill="1" applyBorder="1" applyAlignment="1" applyProtection="1">
      <alignment horizontal="left" vertical="center" wrapText="1"/>
      <protection locked="0"/>
    </xf>
    <xf numFmtId="49" fontId="3" fillId="3" borderId="32" xfId="0" applyNumberFormat="1" applyFont="1" applyFill="1" applyBorder="1" applyAlignment="1" applyProtection="1">
      <alignment horizontal="center" textRotation="90" wrapText="1"/>
      <protection/>
    </xf>
    <xf numFmtId="49" fontId="3" fillId="3" borderId="40" xfId="0" applyNumberFormat="1" applyFont="1" applyFill="1" applyBorder="1" applyAlignment="1" applyProtection="1">
      <alignment horizontal="center" textRotation="90" wrapText="1"/>
      <protection/>
    </xf>
    <xf numFmtId="0" fontId="0" fillId="3" borderId="32" xfId="0" applyFill="1" applyBorder="1" applyAlignment="1" applyProtection="1">
      <alignment horizontal="center" textRotation="90" wrapText="1"/>
      <protection/>
    </xf>
    <xf numFmtId="0" fontId="0" fillId="3" borderId="32" xfId="0" applyFont="1" applyFill="1" applyBorder="1" applyAlignment="1" applyProtection="1">
      <alignment horizontal="center" textRotation="90" wrapText="1"/>
      <protection/>
    </xf>
    <xf numFmtId="0" fontId="0" fillId="0" borderId="0" xfId="0" applyAlignment="1">
      <alignment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0" xfId="0" applyFill="1" applyAlignment="1">
      <alignment/>
    </xf>
    <xf numFmtId="0" fontId="3" fillId="3" borderId="32" xfId="0" applyFont="1" applyFill="1" applyBorder="1" applyAlignment="1" applyProtection="1">
      <alignment horizontal="center" textRotation="90" wrapText="1"/>
      <protection/>
    </xf>
    <xf numFmtId="0" fontId="3" fillId="3" borderId="38" xfId="0" applyFont="1" applyFill="1" applyBorder="1" applyAlignment="1" applyProtection="1">
      <alignment horizontal="center" vertical="top" wrapText="1"/>
      <protection/>
    </xf>
    <xf numFmtId="0" fontId="3" fillId="32" borderId="13" xfId="0" applyFont="1" applyFill="1" applyBorder="1" applyAlignment="1" applyProtection="1">
      <alignment horizontal="left" vertical="top" wrapText="1"/>
      <protection/>
    </xf>
    <xf numFmtId="1" fontId="3" fillId="10" borderId="37" xfId="0" applyNumberFormat="1" applyFont="1" applyFill="1" applyBorder="1" applyAlignment="1" applyProtection="1">
      <alignment horizontal="center" vertical="center" wrapText="1"/>
      <protection/>
    </xf>
    <xf numFmtId="1" fontId="3" fillId="24" borderId="37" xfId="0" applyNumberFormat="1" applyFont="1" applyFill="1" applyBorder="1" applyAlignment="1" applyProtection="1">
      <alignment horizontal="center" vertical="center" wrapText="1"/>
      <protection/>
    </xf>
    <xf numFmtId="1" fontId="0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0" fillId="31" borderId="37" xfId="0" applyNumberFormat="1" applyFont="1" applyFill="1" applyBorder="1" applyAlignment="1" applyProtection="1">
      <alignment horizontal="center" vertical="center" wrapText="1"/>
      <protection locked="0"/>
    </xf>
    <xf numFmtId="1" fontId="3" fillId="31" borderId="37" xfId="0" applyNumberFormat="1" applyFont="1" applyFill="1" applyBorder="1" applyAlignment="1" applyProtection="1">
      <alignment horizontal="center" vertical="center" wrapText="1"/>
      <protection/>
    </xf>
    <xf numFmtId="1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28" fillId="33" borderId="13" xfId="0" applyNumberFormat="1" applyFont="1" applyFill="1" applyBorder="1" applyAlignment="1" applyProtection="1">
      <alignment vertical="center"/>
      <protection locked="0"/>
    </xf>
    <xf numFmtId="49" fontId="0" fillId="30" borderId="13" xfId="0" applyNumberFormat="1" applyFont="1" applyFill="1" applyBorder="1" applyAlignment="1" applyProtection="1">
      <alignment horizontal="center" vertical="center"/>
      <protection locked="0"/>
    </xf>
    <xf numFmtId="49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Font="1" applyFill="1" applyBorder="1" applyAlignment="1" applyProtection="1">
      <alignment horizontal="center" vertical="center" wrapText="1"/>
      <protection/>
    </xf>
    <xf numFmtId="0" fontId="0" fillId="10" borderId="13" xfId="0" applyFont="1" applyFill="1" applyBorder="1" applyAlignment="1" applyProtection="1">
      <alignment horizontal="left" vertical="center" wrapText="1"/>
      <protection/>
    </xf>
    <xf numFmtId="1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center" vertical="center" wrapText="1"/>
      <protection/>
    </xf>
    <xf numFmtId="0" fontId="0" fillId="24" borderId="13" xfId="0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1" fontId="0" fillId="31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1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0" fillId="31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3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/>
    </xf>
    <xf numFmtId="1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5" borderId="13" xfId="0" applyNumberFormat="1" applyFont="1" applyFill="1" applyBorder="1" applyAlignment="1" applyProtection="1">
      <alignment horizontal="center" vertical="center" wrapText="1"/>
      <protection/>
    </xf>
    <xf numFmtId="49" fontId="0" fillId="31" borderId="13" xfId="0" applyNumberFormat="1" applyFont="1" applyFill="1" applyBorder="1" applyAlignment="1" applyProtection="1">
      <alignment horizontal="left" vertical="center" wrapText="1"/>
      <protection locked="0"/>
    </xf>
    <xf numFmtId="1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13" xfId="0" applyNumberFormat="1" applyFont="1" applyFill="1" applyBorder="1" applyAlignment="1" applyProtection="1">
      <alignment horizontal="center" vertical="center" wrapText="1"/>
      <protection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13" xfId="0" applyFont="1" applyFill="1" applyBorder="1" applyAlignment="1" applyProtection="1">
      <alignment horizontal="center" vertical="center" wrapText="1"/>
      <protection locked="0"/>
    </xf>
    <xf numFmtId="49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1" borderId="13" xfId="0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>
      <alignment vertical="top"/>
    </xf>
    <xf numFmtId="0" fontId="0" fillId="33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1" fontId="0" fillId="3" borderId="16" xfId="0" applyNumberFormat="1" applyFont="1" applyFill="1" applyBorder="1" applyAlignment="1" applyProtection="1">
      <alignment vertical="top" wrapText="1"/>
      <protection/>
    </xf>
    <xf numFmtId="1" fontId="0" fillId="3" borderId="16" xfId="0" applyNumberFormat="1" applyFont="1" applyFill="1" applyBorder="1" applyAlignment="1" applyProtection="1">
      <alignment horizontal="center" vertical="top" wrapText="1"/>
      <protection/>
    </xf>
    <xf numFmtId="1" fontId="0" fillId="3" borderId="14" xfId="0" applyNumberFormat="1" applyFont="1" applyFill="1" applyBorder="1" applyAlignment="1" applyProtection="1">
      <alignment horizontal="center" vertical="top" wrapText="1"/>
      <protection/>
    </xf>
    <xf numFmtId="0" fontId="3" fillId="3" borderId="29" xfId="0" applyFont="1" applyFill="1" applyBorder="1" applyAlignment="1" applyProtection="1">
      <alignment horizontal="center" textRotation="90" wrapText="1"/>
      <protection/>
    </xf>
    <xf numFmtId="1" fontId="3" fillId="3" borderId="29" xfId="0" applyNumberFormat="1" applyFont="1" applyFill="1" applyBorder="1" applyAlignment="1" applyProtection="1">
      <alignment horizontal="center" vertical="top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49" fontId="0" fillId="3" borderId="10" xfId="0" applyNumberFormat="1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textRotation="90" wrapText="1"/>
      <protection/>
    </xf>
    <xf numFmtId="0" fontId="0" fillId="3" borderId="13" xfId="0" applyFill="1" applyBorder="1" applyAlignment="1" applyProtection="1">
      <alignment horizontal="center" textRotation="90" wrapText="1"/>
      <protection/>
    </xf>
    <xf numFmtId="0" fontId="0" fillId="3" borderId="13" xfId="0" applyFont="1" applyFill="1" applyBorder="1" applyAlignment="1" applyProtection="1">
      <alignment horizontal="center" textRotation="90" wrapText="1"/>
      <protection/>
    </xf>
    <xf numFmtId="1" fontId="3" fillId="3" borderId="12" xfId="0" applyNumberFormat="1" applyFont="1" applyFill="1" applyBorder="1" applyAlignment="1" applyProtection="1">
      <alignment horizontal="center" textRotation="90" wrapText="1"/>
      <protection/>
    </xf>
    <xf numFmtId="0" fontId="0" fillId="3" borderId="35" xfId="0" applyFont="1" applyFill="1" applyBorder="1" applyAlignment="1" applyProtection="1">
      <alignment horizontal="center" textRotation="90" wrapText="1"/>
      <protection/>
    </xf>
    <xf numFmtId="0" fontId="0" fillId="3" borderId="33" xfId="0" applyFont="1" applyFill="1" applyBorder="1" applyAlignment="1" applyProtection="1">
      <alignment horizontal="center" textRotation="90" wrapText="1"/>
      <protection/>
    </xf>
    <xf numFmtId="0" fontId="3" fillId="17" borderId="18" xfId="0" applyFont="1" applyFill="1" applyBorder="1" applyAlignment="1" applyProtection="1">
      <alignment horizontal="center" textRotation="90" wrapText="1"/>
      <protection/>
    </xf>
    <xf numFmtId="0" fontId="3" fillId="17" borderId="39" xfId="0" applyFont="1" applyFill="1" applyBorder="1" applyAlignment="1" applyProtection="1">
      <alignment horizontal="center" textRotation="90" wrapText="1"/>
      <protection/>
    </xf>
    <xf numFmtId="49" fontId="0" fillId="3" borderId="29" xfId="0" applyNumberFormat="1" applyFont="1" applyFill="1" applyBorder="1" applyAlignment="1" applyProtection="1">
      <alignment horizontal="center" vertical="top" wrapText="1"/>
      <protection/>
    </xf>
    <xf numFmtId="3" fontId="3" fillId="5" borderId="37" xfId="0" applyNumberFormat="1" applyFont="1" applyFill="1" applyBorder="1" applyAlignment="1" applyProtection="1">
      <alignment horizontal="center" vertical="center" wrapText="1"/>
      <protection/>
    </xf>
    <xf numFmtId="3" fontId="3" fillId="5" borderId="33" xfId="0" applyNumberFormat="1" applyFont="1" applyFill="1" applyBorder="1" applyAlignment="1" applyProtection="1">
      <alignment horizontal="center" vertical="center" wrapText="1"/>
      <protection/>
    </xf>
    <xf numFmtId="1" fontId="3" fillId="5" borderId="38" xfId="0" applyNumberFormat="1" applyFont="1" applyFill="1" applyBorder="1" applyAlignment="1" applyProtection="1">
      <alignment horizontal="center" vertical="center" wrapText="1"/>
      <protection/>
    </xf>
    <xf numFmtId="1" fontId="0" fillId="5" borderId="38" xfId="0" applyNumberFormat="1" applyFont="1" applyFill="1" applyBorder="1" applyAlignment="1" applyProtection="1">
      <alignment horizontal="center" vertical="center" wrapText="1"/>
      <protection/>
    </xf>
    <xf numFmtId="1" fontId="3" fillId="5" borderId="13" xfId="0" applyNumberFormat="1" applyFont="1" applyFill="1" applyBorder="1" applyAlignment="1" applyProtection="1">
      <alignment horizontal="center" vertical="center" wrapText="1"/>
      <protection/>
    </xf>
    <xf numFmtId="1" fontId="0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Fill="1" applyBorder="1" applyAlignment="1" applyProtection="1">
      <alignment horizontal="left" vertical="center" wrapText="1"/>
      <protection/>
    </xf>
    <xf numFmtId="0" fontId="0" fillId="35" borderId="13" xfId="0" applyFont="1" applyFill="1" applyBorder="1" applyAlignment="1" applyProtection="1">
      <alignment horizontal="center" vertical="center" wrapText="1"/>
      <protection locked="0"/>
    </xf>
    <xf numFmtId="0" fontId="3" fillId="3" borderId="13" xfId="0" applyNumberFormat="1" applyFont="1" applyFill="1" applyBorder="1" applyAlignment="1" applyProtection="1">
      <alignment horizontal="center" vertical="top" wrapText="1"/>
      <protection/>
    </xf>
    <xf numFmtId="0" fontId="3" fillId="31" borderId="13" xfId="0" applyFont="1" applyFill="1" applyBorder="1" applyAlignment="1" applyProtection="1">
      <alignment horizontal="center" vertical="top" wrapText="1"/>
      <protection/>
    </xf>
    <xf numFmtId="1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49" fontId="0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1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1" fontId="0" fillId="34" borderId="13" xfId="0" applyNumberFormat="1" applyFont="1" applyFill="1" applyBorder="1" applyAlignment="1" applyProtection="1">
      <alignment horizontal="center" vertical="center" wrapText="1"/>
      <protection/>
    </xf>
    <xf numFmtId="1" fontId="28" fillId="31" borderId="13" xfId="0" applyNumberFormat="1" applyFont="1" applyFill="1" applyBorder="1" applyAlignment="1" applyProtection="1">
      <alignment horizontal="center" vertical="center" wrapText="1"/>
      <protection/>
    </xf>
    <xf numFmtId="0" fontId="28" fillId="34" borderId="13" xfId="0" applyFont="1" applyFill="1" applyBorder="1" applyAlignment="1" applyProtection="1">
      <alignment horizontal="left" vertical="center" wrapText="1"/>
      <protection/>
    </xf>
    <xf numFmtId="49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32" borderId="13" xfId="0" applyNumberFormat="1" applyFont="1" applyFill="1" applyBorder="1" applyAlignment="1" applyProtection="1">
      <alignment horizontal="center" vertical="center" wrapText="1"/>
      <protection/>
    </xf>
    <xf numFmtId="1" fontId="0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32" borderId="13" xfId="0" applyFont="1" applyFill="1" applyBorder="1" applyAlignment="1" applyProtection="1">
      <alignment horizontal="center" vertical="center" wrapText="1"/>
      <protection locked="0"/>
    </xf>
    <xf numFmtId="49" fontId="0" fillId="33" borderId="13" xfId="0" applyNumberFormat="1" applyFont="1" applyFill="1" applyBorder="1" applyAlignment="1" applyProtection="1">
      <alignment vertical="center"/>
      <protection locked="0"/>
    </xf>
    <xf numFmtId="49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49" fontId="0" fillId="3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ont="1" applyFill="1" applyBorder="1" applyAlignment="1" applyProtection="1">
      <alignment horizontal="center" vertical="center" wrapText="1"/>
      <protection locked="0"/>
    </xf>
    <xf numFmtId="0" fontId="0" fillId="32" borderId="13" xfId="0" applyFont="1" applyFill="1" applyBorder="1" applyAlignment="1" applyProtection="1">
      <alignment horizontal="left" vertical="center" wrapText="1"/>
      <protection/>
    </xf>
    <xf numFmtId="0" fontId="0" fillId="31" borderId="13" xfId="0" applyFont="1" applyFill="1" applyBorder="1" applyAlignment="1" applyProtection="1">
      <alignment horizontal="left" vertical="center" wrapText="1"/>
      <protection/>
    </xf>
    <xf numFmtId="49" fontId="0" fillId="1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10" borderId="13" xfId="0" applyFont="1" applyFill="1" applyBorder="1" applyAlignment="1" applyProtection="1">
      <alignment horizontal="justify" vertical="center" wrapText="1"/>
      <protection locked="0"/>
    </xf>
    <xf numFmtId="0" fontId="0" fillId="1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>
      <alignment vertical="center"/>
    </xf>
    <xf numFmtId="0" fontId="0" fillId="31" borderId="13" xfId="0" applyFont="1" applyFill="1" applyBorder="1" applyAlignment="1">
      <alignment vertical="center"/>
    </xf>
    <xf numFmtId="0" fontId="0" fillId="3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8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2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10" borderId="13" xfId="0" applyNumberFormat="1" applyFill="1" applyBorder="1" applyAlignment="1" applyProtection="1">
      <alignment horizontal="center" vertical="center" wrapText="1"/>
      <protection locked="0"/>
    </xf>
    <xf numFmtId="0" fontId="0" fillId="35" borderId="13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3" fillId="5" borderId="33" xfId="0" applyNumberFormat="1" applyFont="1" applyFill="1" applyBorder="1" applyAlignment="1" applyProtection="1">
      <alignment horizontal="center" vertical="top" wrapText="1"/>
      <protection/>
    </xf>
    <xf numFmtId="1" fontId="3" fillId="5" borderId="37" xfId="0" applyNumberFormat="1" applyFont="1" applyFill="1" applyBorder="1" applyAlignment="1" applyProtection="1">
      <alignment horizontal="center" vertical="top" wrapText="1"/>
      <protection/>
    </xf>
    <xf numFmtId="1" fontId="0" fillId="5" borderId="38" xfId="0" applyNumberFormat="1" applyFont="1" applyFill="1" applyBorder="1" applyAlignment="1" applyProtection="1">
      <alignment horizontal="center" vertical="top" wrapText="1"/>
      <protection/>
    </xf>
    <xf numFmtId="1" fontId="0" fillId="5" borderId="13" xfId="0" applyNumberFormat="1" applyFont="1" applyFill="1" applyBorder="1" applyAlignment="1" applyProtection="1">
      <alignment horizontal="center" vertical="top" wrapText="1"/>
      <protection/>
    </xf>
    <xf numFmtId="3" fontId="3" fillId="5" borderId="37" xfId="0" applyNumberFormat="1" applyFont="1" applyFill="1" applyBorder="1" applyAlignment="1" applyProtection="1">
      <alignment horizontal="center" vertical="top" wrapText="1"/>
      <protection/>
    </xf>
    <xf numFmtId="3" fontId="3" fillId="5" borderId="33" xfId="0" applyNumberFormat="1" applyFont="1" applyFill="1" applyBorder="1" applyAlignment="1" applyProtection="1">
      <alignment horizontal="center" vertical="top" wrapText="1"/>
      <protection/>
    </xf>
    <xf numFmtId="0" fontId="0" fillId="34" borderId="13" xfId="0" applyFont="1" applyFill="1" applyBorder="1" applyAlignment="1" applyProtection="1">
      <alignment horizontal="left" vertical="center" wrapText="1"/>
      <protection/>
    </xf>
    <xf numFmtId="49" fontId="0" fillId="33" borderId="13" xfId="0" applyNumberForma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49" fontId="0" fillId="31" borderId="13" xfId="0" applyNumberFormat="1" applyFill="1" applyBorder="1" applyAlignment="1" applyProtection="1">
      <alignment horizontal="center" vertical="center" wrapText="1"/>
      <protection locked="0"/>
    </xf>
    <xf numFmtId="0" fontId="0" fillId="26" borderId="0" xfId="0" applyFont="1" applyFill="1" applyBorder="1" applyAlignment="1">
      <alignment horizontal="justify" vertical="top" wrapText="1"/>
    </xf>
    <xf numFmtId="0" fontId="4" fillId="7" borderId="32" xfId="0" applyFont="1" applyFill="1" applyBorder="1" applyAlignment="1">
      <alignment vertical="center" textRotation="90" wrapText="1"/>
    </xf>
    <xf numFmtId="0" fontId="6" fillId="0" borderId="4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7" borderId="32" xfId="0" applyFont="1" applyFill="1" applyBorder="1" applyAlignment="1">
      <alignment horizontal="center" textRotation="90" wrapText="1"/>
    </xf>
    <xf numFmtId="0" fontId="4" fillId="7" borderId="40" xfId="0" applyFont="1" applyFill="1" applyBorder="1" applyAlignment="1">
      <alignment horizontal="center" textRotation="90" wrapText="1"/>
    </xf>
    <xf numFmtId="0" fontId="4" fillId="7" borderId="12" xfId="0" applyFont="1" applyFill="1" applyBorder="1" applyAlignment="1">
      <alignment horizontal="center" textRotation="90" wrapText="1"/>
    </xf>
    <xf numFmtId="0" fontId="4" fillId="7" borderId="35" xfId="0" applyFont="1" applyFill="1" applyBorder="1" applyAlignment="1">
      <alignment horizontal="center" vertical="top" wrapText="1"/>
    </xf>
    <xf numFmtId="0" fontId="4" fillId="7" borderId="14" xfId="0" applyFont="1" applyFill="1" applyBorder="1" applyAlignment="1">
      <alignment horizontal="center" vertical="top" wrapText="1"/>
    </xf>
    <xf numFmtId="0" fontId="4" fillId="7" borderId="29" xfId="0" applyFont="1" applyFill="1" applyBorder="1" applyAlignment="1">
      <alignment horizontal="center" vertical="top" wrapText="1"/>
    </xf>
    <xf numFmtId="0" fontId="4" fillId="7" borderId="41" xfId="0" applyFont="1" applyFill="1" applyBorder="1" applyAlignment="1">
      <alignment horizontal="center" vertical="top" wrapText="1"/>
    </xf>
    <xf numFmtId="0" fontId="4" fillId="7" borderId="16" xfId="0" applyFont="1" applyFill="1" applyBorder="1" applyAlignment="1">
      <alignment horizontal="center" vertical="top" wrapText="1"/>
    </xf>
    <xf numFmtId="0" fontId="4" fillId="7" borderId="10" xfId="0" applyFont="1" applyFill="1" applyBorder="1" applyAlignment="1">
      <alignment horizontal="center" vertical="top" wrapText="1"/>
    </xf>
    <xf numFmtId="0" fontId="0" fillId="26" borderId="0" xfId="0" applyNumberFormat="1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40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2" fontId="0" fillId="26" borderId="0" xfId="0" applyNumberFormat="1" applyFont="1" applyFill="1" applyBorder="1" applyAlignment="1" applyProtection="1">
      <alignment horizontal="justify" vertical="top" wrapText="1"/>
      <protection locked="0"/>
    </xf>
    <xf numFmtId="0" fontId="31" fillId="26" borderId="0" xfId="0" applyFont="1" applyFill="1" applyAlignment="1">
      <alignment horizontal="center" vertical="top" wrapText="1"/>
    </xf>
    <xf numFmtId="0" fontId="0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26" borderId="0" xfId="0" applyFon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26" borderId="0" xfId="0" applyFont="1" applyFill="1" applyBorder="1" applyAlignment="1">
      <alignment horizontal="left"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justify" vertical="top" wrapText="1"/>
      <protection locked="0"/>
    </xf>
    <xf numFmtId="0" fontId="0" fillId="26" borderId="0" xfId="0" applyFont="1" applyFill="1" applyBorder="1" applyAlignment="1">
      <alignment horizontal="justify" vertical="top" wrapText="1"/>
    </xf>
    <xf numFmtId="0" fontId="0" fillId="26" borderId="0" xfId="0" applyFont="1" applyFill="1" applyAlignment="1">
      <alignment vertical="top" wrapText="1"/>
    </xf>
    <xf numFmtId="0" fontId="4" fillId="7" borderId="35" xfId="0" applyFont="1" applyFill="1" applyBorder="1" applyAlignment="1">
      <alignment horizontal="center" vertical="center" textRotation="90" wrapText="1"/>
    </xf>
    <xf numFmtId="0" fontId="4" fillId="7" borderId="14" xfId="0" applyFont="1" applyFill="1" applyBorder="1" applyAlignment="1">
      <alignment horizontal="center" vertical="center" textRotation="90" wrapText="1"/>
    </xf>
    <xf numFmtId="0" fontId="4" fillId="7" borderId="29" xfId="0" applyFont="1" applyFill="1" applyBorder="1" applyAlignment="1">
      <alignment horizontal="center" vertical="center" textRotation="90" wrapText="1"/>
    </xf>
    <xf numFmtId="0" fontId="4" fillId="7" borderId="31" xfId="0" applyFont="1" applyFill="1" applyBorder="1" applyAlignment="1">
      <alignment horizontal="center" vertical="center" textRotation="90" wrapText="1"/>
    </xf>
    <xf numFmtId="0" fontId="4" fillId="7" borderId="0" xfId="0" applyFont="1" applyFill="1" applyBorder="1" applyAlignment="1">
      <alignment horizontal="center" vertical="center" textRotation="90" wrapText="1"/>
    </xf>
    <xf numFmtId="0" fontId="4" fillId="7" borderId="11" xfId="0" applyFont="1" applyFill="1" applyBorder="1" applyAlignment="1">
      <alignment horizontal="center" vertical="center" textRotation="90" wrapText="1"/>
    </xf>
    <xf numFmtId="0" fontId="4" fillId="7" borderId="41" xfId="0" applyFont="1" applyFill="1" applyBorder="1" applyAlignment="1">
      <alignment horizontal="center" vertical="center" textRotation="90" wrapText="1"/>
    </xf>
    <xf numFmtId="0" fontId="4" fillId="7" borderId="16" xfId="0" applyFont="1" applyFill="1" applyBorder="1" applyAlignment="1">
      <alignment horizontal="center" vertical="center" textRotation="90" wrapText="1"/>
    </xf>
    <xf numFmtId="0" fontId="4" fillId="7" borderId="10" xfId="0" applyFont="1" applyFill="1" applyBorder="1" applyAlignment="1">
      <alignment horizontal="center" vertical="center" textRotation="90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26" borderId="0" xfId="0" applyFont="1" applyFill="1" applyAlignment="1">
      <alignment horizontal="center" vertical="top" wrapText="1"/>
    </xf>
    <xf numFmtId="14" fontId="0" fillId="0" borderId="0" xfId="0" applyNumberFormat="1" applyFont="1" applyFill="1" applyAlignment="1" applyProtection="1">
      <alignment horizontal="justify" vertical="top" wrapText="1"/>
      <protection locked="0"/>
    </xf>
    <xf numFmtId="0" fontId="4" fillId="26" borderId="0" xfId="0" applyFont="1" applyFill="1" applyAlignment="1">
      <alignment vertical="top" wrapText="1"/>
    </xf>
    <xf numFmtId="0" fontId="0" fillId="0" borderId="0" xfId="0" applyFont="1" applyFill="1" applyAlignment="1" applyProtection="1">
      <alignment vertical="top" wrapText="1"/>
      <protection locked="0"/>
    </xf>
    <xf numFmtId="0" fontId="7" fillId="26" borderId="0" xfId="0" applyFont="1" applyFill="1" applyBorder="1" applyAlignment="1">
      <alignment horizontal="center" vertical="top" wrapText="1"/>
    </xf>
    <xf numFmtId="0" fontId="4" fillId="26" borderId="0" xfId="0" applyFont="1" applyFill="1" applyAlignment="1">
      <alignment horizontal="justify" vertical="top" wrapText="1"/>
    </xf>
    <xf numFmtId="0" fontId="4" fillId="26" borderId="11" xfId="0" applyFont="1" applyFill="1" applyBorder="1" applyAlignment="1">
      <alignment horizontal="justify" vertical="top" wrapText="1"/>
    </xf>
    <xf numFmtId="0" fontId="4" fillId="20" borderId="13" xfId="0" applyFont="1" applyFill="1" applyBorder="1" applyAlignment="1">
      <alignment vertical="top" wrapText="1"/>
    </xf>
    <xf numFmtId="0" fontId="4" fillId="7" borderId="33" xfId="0" applyFont="1" applyFill="1" applyBorder="1" applyAlignment="1">
      <alignment horizontal="center" vertical="top" wrapText="1"/>
    </xf>
    <xf numFmtId="0" fontId="4" fillId="7" borderId="37" xfId="0" applyFont="1" applyFill="1" applyBorder="1" applyAlignment="1">
      <alignment horizontal="center" vertical="top" wrapText="1"/>
    </xf>
    <xf numFmtId="0" fontId="4" fillId="7" borderId="38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0" fontId="0" fillId="32" borderId="33" xfId="0" applyFont="1" applyFill="1" applyBorder="1" applyAlignment="1" applyProtection="1">
      <alignment horizontal="left" vertical="center" wrapText="1"/>
      <protection/>
    </xf>
    <xf numFmtId="0" fontId="0" fillId="32" borderId="37" xfId="0" applyFont="1" applyFill="1" applyBorder="1" applyAlignment="1" applyProtection="1">
      <alignment horizontal="left" vertical="center" wrapText="1"/>
      <protection/>
    </xf>
    <xf numFmtId="0" fontId="0" fillId="32" borderId="38" xfId="0" applyFont="1" applyFill="1" applyBorder="1" applyAlignment="1" applyProtection="1">
      <alignment horizontal="left" vertical="center" wrapText="1"/>
      <protection/>
    </xf>
    <xf numFmtId="0" fontId="0" fillId="24" borderId="33" xfId="0" applyFont="1" applyFill="1" applyBorder="1" applyAlignment="1" applyProtection="1">
      <alignment horizontal="left" vertical="center" wrapText="1"/>
      <protection/>
    </xf>
    <xf numFmtId="0" fontId="0" fillId="24" borderId="37" xfId="0" applyFont="1" applyFill="1" applyBorder="1" applyAlignment="1" applyProtection="1">
      <alignment horizontal="left" vertical="center" wrapText="1"/>
      <protection/>
    </xf>
    <xf numFmtId="0" fontId="0" fillId="24" borderId="38" xfId="0" applyFont="1" applyFill="1" applyBorder="1" applyAlignment="1" applyProtection="1">
      <alignment horizontal="left" vertical="center" wrapText="1"/>
      <protection/>
    </xf>
    <xf numFmtId="49" fontId="0" fillId="3" borderId="35" xfId="0" applyNumberFormat="1" applyFont="1" applyFill="1" applyBorder="1" applyAlignment="1" applyProtection="1">
      <alignment horizontal="left" vertical="top" wrapText="1"/>
      <protection/>
    </xf>
    <xf numFmtId="49" fontId="0" fillId="3" borderId="14" xfId="0" applyNumberFormat="1" applyFont="1" applyFill="1" applyBorder="1" applyAlignment="1" applyProtection="1">
      <alignment horizontal="left" vertical="top" wrapText="1"/>
      <protection/>
    </xf>
    <xf numFmtId="1" fontId="0" fillId="3" borderId="41" xfId="0" applyNumberFormat="1" applyFont="1" applyFill="1" applyBorder="1" applyAlignment="1" applyProtection="1">
      <alignment horizontal="left" vertical="top" wrapText="1"/>
      <protection/>
    </xf>
    <xf numFmtId="1" fontId="0" fillId="3" borderId="16" xfId="0" applyNumberFormat="1" applyFont="1" applyFill="1" applyBorder="1" applyAlignment="1" applyProtection="1">
      <alignment horizontal="left" vertical="top" wrapText="1"/>
      <protection/>
    </xf>
    <xf numFmtId="0" fontId="0" fillId="35" borderId="33" xfId="0" applyFont="1" applyFill="1" applyBorder="1" applyAlignment="1" applyProtection="1">
      <alignment horizontal="left" vertical="center" wrapText="1"/>
      <protection locked="0"/>
    </xf>
    <xf numFmtId="0" fontId="0" fillId="35" borderId="37" xfId="0" applyFont="1" applyFill="1" applyBorder="1" applyAlignment="1" applyProtection="1">
      <alignment horizontal="left" vertical="center" wrapText="1"/>
      <protection locked="0"/>
    </xf>
    <xf numFmtId="0" fontId="0" fillId="35" borderId="38" xfId="0" applyFont="1" applyFill="1" applyBorder="1" applyAlignment="1" applyProtection="1">
      <alignment horizontal="left" vertical="center" wrapText="1"/>
      <protection locked="0"/>
    </xf>
    <xf numFmtId="49" fontId="3" fillId="3" borderId="32" xfId="0" applyNumberFormat="1" applyFont="1" applyFill="1" applyBorder="1" applyAlignment="1" applyProtection="1">
      <alignment horizontal="center" textRotation="90" wrapText="1"/>
      <protection/>
    </xf>
    <xf numFmtId="49" fontId="3" fillId="3" borderId="40" xfId="0" applyNumberFormat="1" applyFont="1" applyFill="1" applyBorder="1" applyAlignment="1" applyProtection="1">
      <alignment horizontal="center" textRotation="90" wrapText="1"/>
      <protection/>
    </xf>
    <xf numFmtId="0" fontId="0" fillId="34" borderId="13" xfId="0" applyFont="1" applyFill="1" applyBorder="1" applyAlignment="1" applyProtection="1">
      <alignment horizontal="left" vertical="center" wrapText="1"/>
      <protection/>
    </xf>
    <xf numFmtId="0" fontId="3" fillId="37" borderId="32" xfId="0" applyFont="1" applyFill="1" applyBorder="1" applyAlignment="1" applyProtection="1">
      <alignment horizontal="center" vertical="top" wrapText="1"/>
      <protection/>
    </xf>
    <xf numFmtId="0" fontId="3" fillId="37" borderId="40" xfId="0" applyFont="1" applyFill="1" applyBorder="1" applyAlignment="1" applyProtection="1">
      <alignment horizontal="center" vertical="top" wrapText="1"/>
      <protection/>
    </xf>
    <xf numFmtId="0" fontId="3" fillId="3" borderId="33" xfId="0" applyFont="1" applyFill="1" applyBorder="1" applyAlignment="1" applyProtection="1">
      <alignment horizontal="center" textRotation="90" wrapText="1"/>
      <protection/>
    </xf>
    <xf numFmtId="0" fontId="3" fillId="3" borderId="35" xfId="0" applyFont="1" applyFill="1" applyBorder="1" applyAlignment="1" applyProtection="1">
      <alignment horizontal="center" textRotation="90" wrapText="1"/>
      <protection/>
    </xf>
    <xf numFmtId="0" fontId="28" fillId="34" borderId="13" xfId="0" applyFont="1" applyFill="1" applyBorder="1" applyAlignment="1" applyProtection="1">
      <alignment horizontal="left" vertical="center" wrapText="1"/>
      <protection/>
    </xf>
    <xf numFmtId="49" fontId="3" fillId="37" borderId="35" xfId="0" applyNumberFormat="1" applyFont="1" applyFill="1" applyBorder="1" applyAlignment="1" applyProtection="1">
      <alignment horizontal="center" textRotation="90" wrapText="1"/>
      <protection/>
    </xf>
    <xf numFmtId="49" fontId="3" fillId="37" borderId="31" xfId="0" applyNumberFormat="1" applyFont="1" applyFill="1" applyBorder="1" applyAlignment="1" applyProtection="1">
      <alignment horizontal="center" textRotation="90" wrapText="1"/>
      <protection/>
    </xf>
    <xf numFmtId="180" fontId="0" fillId="5" borderId="39" xfId="0" applyNumberFormat="1" applyFont="1" applyFill="1" applyBorder="1" applyAlignment="1" applyProtection="1">
      <alignment horizontal="center" vertical="center" wrapText="1"/>
      <protection/>
    </xf>
    <xf numFmtId="180" fontId="0" fillId="5" borderId="49" xfId="0" applyNumberFormat="1" applyFont="1" applyFill="1" applyBorder="1" applyAlignment="1" applyProtection="1">
      <alignment horizontal="center" vertical="center" wrapText="1"/>
      <protection/>
    </xf>
    <xf numFmtId="180" fontId="0" fillId="5" borderId="50" xfId="0" applyNumberFormat="1" applyFont="1" applyFill="1" applyBorder="1" applyAlignment="1" applyProtection="1">
      <alignment horizontal="center" vertical="center" wrapText="1"/>
      <protection/>
    </xf>
    <xf numFmtId="180" fontId="0" fillId="5" borderId="30" xfId="0" applyNumberFormat="1" applyFont="1" applyFill="1" applyBorder="1" applyAlignment="1" applyProtection="1">
      <alignment horizontal="center" vertical="center" wrapText="1"/>
      <protection/>
    </xf>
    <xf numFmtId="180" fontId="0" fillId="5" borderId="27" xfId="0" applyNumberFormat="1" applyFont="1" applyFill="1" applyBorder="1" applyAlignment="1" applyProtection="1">
      <alignment horizontal="center" vertical="center" wrapText="1"/>
      <protection/>
    </xf>
    <xf numFmtId="0" fontId="0" fillId="24" borderId="33" xfId="0" applyFont="1" applyFill="1" applyBorder="1" applyAlignment="1" applyProtection="1">
      <alignment horizontal="left" vertical="center"/>
      <protection/>
    </xf>
    <xf numFmtId="0" fontId="0" fillId="24" borderId="37" xfId="0" applyFont="1" applyFill="1" applyBorder="1" applyAlignment="1" applyProtection="1">
      <alignment horizontal="left" vertical="center"/>
      <protection/>
    </xf>
    <xf numFmtId="0" fontId="0" fillId="24" borderId="38" xfId="0" applyFont="1" applyFill="1" applyBorder="1" applyAlignment="1" applyProtection="1">
      <alignment horizontal="left" vertical="center"/>
      <protection/>
    </xf>
    <xf numFmtId="0" fontId="28" fillId="24" borderId="33" xfId="0" applyFont="1" applyFill="1" applyBorder="1" applyAlignment="1" applyProtection="1">
      <alignment horizontal="left" vertical="center" wrapText="1"/>
      <protection/>
    </xf>
    <xf numFmtId="0" fontId="28" fillId="24" borderId="37" xfId="0" applyFont="1" applyFill="1" applyBorder="1" applyAlignment="1" applyProtection="1">
      <alignment horizontal="left" vertical="center" wrapText="1"/>
      <protection/>
    </xf>
    <xf numFmtId="0" fontId="28" fillId="24" borderId="38" xfId="0" applyFont="1" applyFill="1" applyBorder="1" applyAlignment="1" applyProtection="1">
      <alignment horizontal="left" vertical="center" wrapText="1"/>
      <protection/>
    </xf>
    <xf numFmtId="1" fontId="0" fillId="5" borderId="30" xfId="0" applyNumberFormat="1" applyFont="1" applyFill="1" applyBorder="1" applyAlignment="1" applyProtection="1">
      <alignment horizontal="center" vertical="center" wrapText="1"/>
      <protection/>
    </xf>
    <xf numFmtId="1" fontId="0" fillId="5" borderId="49" xfId="0" applyNumberFormat="1" applyFont="1" applyFill="1" applyBorder="1" applyAlignment="1" applyProtection="1">
      <alignment horizontal="center" vertical="center" wrapText="1"/>
      <protection/>
    </xf>
    <xf numFmtId="1" fontId="0" fillId="5" borderId="27" xfId="0" applyNumberFormat="1" applyFont="1" applyFill="1" applyBorder="1" applyAlignment="1" applyProtection="1">
      <alignment horizontal="center" vertical="center" wrapText="1"/>
      <protection/>
    </xf>
    <xf numFmtId="1" fontId="0" fillId="5" borderId="37" xfId="0" applyNumberFormat="1" applyFont="1" applyFill="1" applyBorder="1" applyAlignment="1" applyProtection="1">
      <alignment horizontal="center" vertical="center" wrapText="1"/>
      <protection/>
    </xf>
    <xf numFmtId="1" fontId="0" fillId="5" borderId="33" xfId="0" applyNumberFormat="1" applyFont="1" applyFill="1" applyBorder="1" applyAlignment="1" applyProtection="1">
      <alignment horizontal="center" vertical="center" wrapText="1"/>
      <protection/>
    </xf>
    <xf numFmtId="1" fontId="0" fillId="5" borderId="38" xfId="0" applyNumberFormat="1" applyFont="1" applyFill="1" applyBorder="1" applyAlignment="1" applyProtection="1">
      <alignment horizontal="center" vertical="center" wrapText="1"/>
      <protection/>
    </xf>
    <xf numFmtId="1" fontId="0" fillId="5" borderId="50" xfId="0" applyNumberFormat="1" applyFont="1" applyFill="1" applyBorder="1" applyAlignment="1" applyProtection="1">
      <alignment horizontal="center" vertical="center" wrapText="1"/>
      <protection/>
    </xf>
    <xf numFmtId="1" fontId="0" fillId="5" borderId="39" xfId="0" applyNumberFormat="1" applyFont="1" applyFill="1" applyBorder="1" applyAlignment="1" applyProtection="1">
      <alignment horizontal="center" vertical="center" wrapText="1"/>
      <protection/>
    </xf>
    <xf numFmtId="1" fontId="0" fillId="5" borderId="51" xfId="0" applyNumberFormat="1" applyFont="1" applyFill="1" applyBorder="1" applyAlignment="1" applyProtection="1">
      <alignment horizontal="center" vertical="center" wrapText="1"/>
      <protection/>
    </xf>
    <xf numFmtId="1" fontId="0" fillId="5" borderId="33" xfId="0" applyNumberFormat="1" applyFont="1" applyFill="1" applyBorder="1" applyAlignment="1" applyProtection="1">
      <alignment horizontal="center" vertical="center" wrapText="1"/>
      <protection/>
    </xf>
    <xf numFmtId="1" fontId="0" fillId="5" borderId="37" xfId="0" applyNumberFormat="1" applyFont="1" applyFill="1" applyBorder="1" applyAlignment="1" applyProtection="1">
      <alignment horizontal="center" vertical="center" wrapText="1"/>
      <protection/>
    </xf>
    <xf numFmtId="1" fontId="0" fillId="5" borderId="38" xfId="0" applyNumberFormat="1" applyFont="1" applyFill="1" applyBorder="1" applyAlignment="1" applyProtection="1">
      <alignment horizontal="center" vertical="center" wrapText="1"/>
      <protection/>
    </xf>
    <xf numFmtId="0" fontId="0" fillId="15" borderId="33" xfId="0" applyFont="1" applyFill="1" applyBorder="1" applyAlignment="1" applyProtection="1">
      <alignment horizontal="left" vertical="center" wrapText="1"/>
      <protection/>
    </xf>
    <xf numFmtId="0" fontId="0" fillId="15" borderId="37" xfId="0" applyFont="1" applyFill="1" applyBorder="1" applyAlignment="1" applyProtection="1">
      <alignment horizontal="left" vertical="center" wrapText="1"/>
      <protection/>
    </xf>
    <xf numFmtId="1" fontId="3" fillId="5" borderId="33" xfId="0" applyNumberFormat="1" applyFont="1" applyFill="1" applyBorder="1" applyAlignment="1" applyProtection="1">
      <alignment horizontal="center" vertical="center" wrapText="1"/>
      <protection/>
    </xf>
    <xf numFmtId="1" fontId="3" fillId="5" borderId="37" xfId="0" applyNumberFormat="1" applyFont="1" applyFill="1" applyBorder="1" applyAlignment="1" applyProtection="1">
      <alignment horizontal="center" vertical="center" wrapText="1"/>
      <protection/>
    </xf>
    <xf numFmtId="180" fontId="3" fillId="5" borderId="30" xfId="0" applyNumberFormat="1" applyFont="1" applyFill="1" applyBorder="1" applyAlignment="1" applyProtection="1">
      <alignment horizontal="center" vertical="center" wrapText="1"/>
      <protection/>
    </xf>
    <xf numFmtId="180" fontId="3" fillId="5" borderId="49" xfId="0" applyNumberFormat="1" applyFont="1" applyFill="1" applyBorder="1" applyAlignment="1" applyProtection="1">
      <alignment horizontal="center" vertical="center" wrapText="1"/>
      <protection/>
    </xf>
    <xf numFmtId="180" fontId="3" fillId="5" borderId="50" xfId="0" applyNumberFormat="1" applyFont="1" applyFill="1" applyBorder="1" applyAlignment="1" applyProtection="1">
      <alignment horizontal="center" vertical="center" wrapText="1"/>
      <protection/>
    </xf>
    <xf numFmtId="1" fontId="3" fillId="5" borderId="30" xfId="0" applyNumberFormat="1" applyFont="1" applyFill="1" applyBorder="1" applyAlignment="1" applyProtection="1">
      <alignment horizontal="center" vertical="center" wrapText="1"/>
      <protection/>
    </xf>
    <xf numFmtId="1" fontId="3" fillId="5" borderId="49" xfId="0" applyNumberFormat="1" applyFont="1" applyFill="1" applyBorder="1" applyAlignment="1" applyProtection="1">
      <alignment horizontal="center" vertical="center" wrapText="1"/>
      <protection/>
    </xf>
    <xf numFmtId="1" fontId="3" fillId="5" borderId="50" xfId="0" applyNumberFormat="1" applyFont="1" applyFill="1" applyBorder="1" applyAlignment="1" applyProtection="1">
      <alignment horizontal="center" vertical="center" wrapText="1"/>
      <protection/>
    </xf>
    <xf numFmtId="0" fontId="3" fillId="15" borderId="41" xfId="0" applyNumberFormat="1" applyFont="1" applyFill="1" applyBorder="1" applyAlignment="1" applyProtection="1">
      <alignment horizontal="left" vertical="center" wrapText="1"/>
      <protection/>
    </xf>
    <xf numFmtId="0" fontId="3" fillId="15" borderId="16" xfId="0" applyNumberFormat="1" applyFont="1" applyFill="1" applyBorder="1" applyAlignment="1" applyProtection="1">
      <alignment horizontal="left" vertical="center" wrapText="1"/>
      <protection/>
    </xf>
    <xf numFmtId="0" fontId="3" fillId="15" borderId="33" xfId="0" applyFont="1" applyFill="1" applyBorder="1" applyAlignment="1" applyProtection="1">
      <alignment horizontal="left" vertical="center" wrapText="1"/>
      <protection/>
    </xf>
    <xf numFmtId="0" fontId="3" fillId="15" borderId="37" xfId="0" applyFont="1" applyFill="1" applyBorder="1" applyAlignment="1" applyProtection="1">
      <alignment horizontal="left" vertical="center" wrapText="1"/>
      <protection/>
    </xf>
    <xf numFmtId="0" fontId="3" fillId="15" borderId="38" xfId="0" applyFont="1" applyFill="1" applyBorder="1" applyAlignment="1" applyProtection="1">
      <alignment horizontal="left" vertical="center" wrapText="1"/>
      <protection/>
    </xf>
    <xf numFmtId="0" fontId="0" fillId="15" borderId="33" xfId="0" applyFill="1" applyBorder="1" applyAlignment="1" applyProtection="1">
      <alignment horizontal="left" vertical="center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0" fontId="3" fillId="3" borderId="33" xfId="0" applyFont="1" applyFill="1" applyBorder="1" applyAlignment="1" applyProtection="1">
      <alignment horizontal="center" vertical="top" wrapText="1"/>
      <protection/>
    </xf>
    <xf numFmtId="0" fontId="3" fillId="3" borderId="32" xfId="0" applyFont="1" applyFill="1" applyBorder="1" applyAlignment="1" applyProtection="1">
      <alignment horizontal="center" textRotation="90" wrapText="1"/>
      <protection/>
    </xf>
    <xf numFmtId="0" fontId="3" fillId="3" borderId="40" xfId="0" applyFont="1" applyFill="1" applyBorder="1" applyAlignment="1" applyProtection="1">
      <alignment horizontal="center" textRotation="90" wrapText="1"/>
      <protection/>
    </xf>
    <xf numFmtId="0" fontId="0" fillId="10" borderId="13" xfId="0" applyFill="1" applyBorder="1" applyAlignment="1" applyProtection="1">
      <alignment horizontal="left" vertical="center" wrapText="1"/>
      <protection/>
    </xf>
    <xf numFmtId="0" fontId="0" fillId="32" borderId="13" xfId="0" applyFont="1" applyFill="1" applyBorder="1" applyAlignment="1" applyProtection="1">
      <alignment horizontal="left" vertical="center" wrapText="1"/>
      <protection/>
    </xf>
    <xf numFmtId="0" fontId="0" fillId="15" borderId="38" xfId="0" applyFont="1" applyFill="1" applyBorder="1" applyAlignment="1" applyProtection="1">
      <alignment horizontal="left" vertical="center" wrapText="1"/>
      <protection/>
    </xf>
    <xf numFmtId="0" fontId="3" fillId="15" borderId="35" xfId="0" applyNumberFormat="1" applyFont="1" applyFill="1" applyBorder="1" applyAlignment="1" applyProtection="1">
      <alignment horizontal="left" vertical="center" wrapText="1"/>
      <protection/>
    </xf>
    <xf numFmtId="0" fontId="3" fillId="15" borderId="14" xfId="0" applyNumberFormat="1" applyFont="1" applyFill="1" applyBorder="1" applyAlignment="1" applyProtection="1">
      <alignment horizontal="left" vertical="center" wrapText="1"/>
      <protection/>
    </xf>
    <xf numFmtId="0" fontId="3" fillId="3" borderId="29" xfId="0" applyFont="1" applyFill="1" applyBorder="1" applyAlignment="1" applyProtection="1">
      <alignment horizontal="center" vertical="top" wrapText="1"/>
      <protection/>
    </xf>
    <xf numFmtId="0" fontId="3" fillId="3" borderId="11" xfId="0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40" xfId="0" applyFont="1" applyBorder="1" applyAlignment="1" applyProtection="1">
      <alignment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0" fontId="3" fillId="3" borderId="37" xfId="0" applyFont="1" applyFill="1" applyBorder="1" applyAlignment="1" applyProtection="1">
      <alignment horizontal="center" vertical="top" wrapText="1"/>
      <protection/>
    </xf>
    <xf numFmtId="0" fontId="3" fillId="3" borderId="38" xfId="0" applyFont="1" applyFill="1" applyBorder="1" applyAlignment="1" applyProtection="1">
      <alignment horizontal="center" vertical="top" wrapText="1"/>
      <protection/>
    </xf>
    <xf numFmtId="49" fontId="3" fillId="3" borderId="35" xfId="0" applyNumberFormat="1" applyFont="1" applyFill="1" applyBorder="1" applyAlignment="1" applyProtection="1">
      <alignment horizontal="center" vertical="top" wrapText="1"/>
      <protection/>
    </xf>
    <xf numFmtId="49" fontId="3" fillId="3" borderId="41" xfId="0" applyNumberFormat="1" applyFont="1" applyFill="1" applyBorder="1" applyAlignment="1" applyProtection="1">
      <alignment horizontal="center" vertical="top" wrapText="1"/>
      <protection/>
    </xf>
    <xf numFmtId="49" fontId="3" fillId="3" borderId="52" xfId="0" applyNumberFormat="1" applyFont="1" applyFill="1" applyBorder="1" applyAlignment="1" applyProtection="1">
      <alignment horizontal="center" vertical="top" wrapText="1"/>
      <protection/>
    </xf>
    <xf numFmtId="49" fontId="3" fillId="3" borderId="23" xfId="0" applyNumberFormat="1" applyFont="1" applyFill="1" applyBorder="1" applyAlignment="1" applyProtection="1">
      <alignment horizontal="center" vertical="top" wrapText="1"/>
      <protection/>
    </xf>
    <xf numFmtId="49" fontId="3" fillId="3" borderId="17" xfId="0" applyNumberFormat="1" applyFont="1" applyFill="1" applyBorder="1" applyAlignment="1" applyProtection="1">
      <alignment horizontal="center" vertical="top" wrapText="1"/>
      <protection/>
    </xf>
    <xf numFmtId="49" fontId="3" fillId="3" borderId="22" xfId="0" applyNumberFormat="1" applyFont="1" applyFill="1" applyBorder="1" applyAlignment="1" applyProtection="1">
      <alignment horizontal="center" vertical="top" wrapText="1"/>
      <protection/>
    </xf>
    <xf numFmtId="1" fontId="3" fillId="3" borderId="14" xfId="0" applyNumberFormat="1" applyFont="1" applyFill="1" applyBorder="1" applyAlignment="1" applyProtection="1">
      <alignment horizontal="center" vertical="top" wrapText="1"/>
      <protection/>
    </xf>
    <xf numFmtId="49" fontId="3" fillId="3" borderId="53" xfId="0" applyNumberFormat="1" applyFont="1" applyFill="1" applyBorder="1" applyAlignment="1" applyProtection="1">
      <alignment horizontal="center" vertical="top" wrapText="1"/>
      <protection/>
    </xf>
    <xf numFmtId="49" fontId="3" fillId="3" borderId="21" xfId="0" applyNumberFormat="1" applyFont="1" applyFill="1" applyBorder="1" applyAlignment="1" applyProtection="1">
      <alignment horizontal="center" vertical="top" wrapText="1"/>
      <protection/>
    </xf>
    <xf numFmtId="49" fontId="3" fillId="3" borderId="54" xfId="0" applyNumberFormat="1" applyFont="1" applyFill="1" applyBorder="1" applyAlignment="1" applyProtection="1">
      <alignment horizontal="center" vertical="top" wrapText="1"/>
      <protection/>
    </xf>
    <xf numFmtId="0" fontId="3" fillId="3" borderId="37" xfId="0" applyFont="1" applyFill="1" applyBorder="1" applyAlignment="1" applyProtection="1">
      <alignment horizontal="center" vertical="top" wrapText="1"/>
      <protection/>
    </xf>
    <xf numFmtId="49" fontId="3" fillId="3" borderId="32" xfId="0" applyNumberFormat="1" applyFont="1" applyFill="1" applyBorder="1" applyAlignment="1" applyProtection="1">
      <alignment horizontal="center" vertical="top" wrapText="1"/>
      <protection/>
    </xf>
    <xf numFmtId="49" fontId="3" fillId="3" borderId="40" xfId="0" applyNumberFormat="1" applyFont="1" applyFill="1" applyBorder="1" applyAlignment="1" applyProtection="1">
      <alignment horizontal="center" vertical="top" wrapText="1"/>
      <protection/>
    </xf>
    <xf numFmtId="49" fontId="3" fillId="3" borderId="12" xfId="0" applyNumberFormat="1" applyFont="1" applyFill="1" applyBorder="1" applyAlignment="1" applyProtection="1">
      <alignment horizontal="center" vertical="top" wrapText="1"/>
      <protection/>
    </xf>
    <xf numFmtId="49" fontId="3" fillId="3" borderId="24" xfId="0" applyNumberFormat="1" applyFont="1" applyFill="1" applyBorder="1" applyAlignment="1" applyProtection="1">
      <alignment horizontal="center" vertical="top" wrapText="1"/>
      <protection/>
    </xf>
    <xf numFmtId="49" fontId="3" fillId="3" borderId="25" xfId="0" applyNumberFormat="1" applyFont="1" applyFill="1" applyBorder="1" applyAlignment="1" applyProtection="1">
      <alignment horizontal="center" vertical="top" wrapText="1"/>
      <protection/>
    </xf>
    <xf numFmtId="49" fontId="3" fillId="3" borderId="55" xfId="0" applyNumberFormat="1" applyFont="1" applyFill="1" applyBorder="1" applyAlignment="1" applyProtection="1">
      <alignment horizontal="center" vertical="top" wrapText="1"/>
      <protection/>
    </xf>
    <xf numFmtId="0" fontId="3" fillId="3" borderId="33" xfId="0" applyFont="1" applyFill="1" applyBorder="1" applyAlignment="1" applyProtection="1">
      <alignment horizontal="center" vertical="top" wrapText="1"/>
      <protection/>
    </xf>
    <xf numFmtId="0" fontId="3" fillId="3" borderId="38" xfId="0" applyFont="1" applyFill="1" applyBorder="1" applyAlignment="1" applyProtection="1">
      <alignment horizontal="center" vertical="top" wrapText="1"/>
      <protection/>
    </xf>
    <xf numFmtId="49" fontId="3" fillId="3" borderId="56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49" fontId="3" fillId="3" borderId="35" xfId="0" applyNumberFormat="1" applyFont="1" applyFill="1" applyBorder="1" applyAlignment="1" applyProtection="1">
      <alignment horizontal="center" vertical="top" wrapText="1"/>
      <protection/>
    </xf>
    <xf numFmtId="49" fontId="3" fillId="3" borderId="14" xfId="0" applyNumberFormat="1" applyFont="1" applyFill="1" applyBorder="1" applyAlignment="1" applyProtection="1">
      <alignment horizontal="center" vertical="top" wrapText="1"/>
      <protection/>
    </xf>
    <xf numFmtId="49" fontId="3" fillId="3" borderId="41" xfId="0" applyNumberFormat="1" applyFont="1" applyFill="1" applyBorder="1" applyAlignment="1" applyProtection="1">
      <alignment horizontal="center" vertical="top" wrapText="1"/>
      <protection/>
    </xf>
    <xf numFmtId="49" fontId="3" fillId="3" borderId="16" xfId="0" applyNumberFormat="1" applyFont="1" applyFill="1" applyBorder="1" applyAlignment="1" applyProtection="1">
      <alignment horizontal="center" vertical="top" wrapText="1"/>
      <protection/>
    </xf>
    <xf numFmtId="49" fontId="3" fillId="3" borderId="57" xfId="0" applyNumberFormat="1" applyFont="1" applyFill="1" applyBorder="1" applyAlignment="1" applyProtection="1">
      <alignment horizontal="center" vertical="top" wrapText="1"/>
      <protection/>
    </xf>
    <xf numFmtId="49" fontId="3" fillId="3" borderId="15" xfId="0" applyNumberFormat="1" applyFont="1" applyFill="1" applyBorder="1" applyAlignment="1" applyProtection="1">
      <alignment horizontal="center" vertical="top" wrapText="1"/>
      <protection/>
    </xf>
    <xf numFmtId="49" fontId="3" fillId="3" borderId="19" xfId="0" applyNumberFormat="1" applyFont="1" applyFill="1" applyBorder="1" applyAlignment="1" applyProtection="1">
      <alignment horizontal="center" vertical="top" wrapText="1"/>
      <protection/>
    </xf>
    <xf numFmtId="1" fontId="3" fillId="3" borderId="35" xfId="0" applyNumberFormat="1" applyFont="1" applyFill="1" applyBorder="1" applyAlignment="1" applyProtection="1">
      <alignment horizontal="center" vertical="top" wrapText="1"/>
      <protection/>
    </xf>
    <xf numFmtId="1" fontId="3" fillId="3" borderId="29" xfId="0" applyNumberFormat="1" applyFont="1" applyFill="1" applyBorder="1" applyAlignment="1" applyProtection="1">
      <alignment horizontal="center" vertical="top" wrapText="1"/>
      <protection/>
    </xf>
    <xf numFmtId="1" fontId="3" fillId="3" borderId="31" xfId="0" applyNumberFormat="1" applyFont="1" applyFill="1" applyBorder="1" applyAlignment="1" applyProtection="1">
      <alignment horizontal="center" vertical="top" wrapText="1"/>
      <protection/>
    </xf>
    <xf numFmtId="1" fontId="3" fillId="3" borderId="11" xfId="0" applyNumberFormat="1" applyFont="1" applyFill="1" applyBorder="1" applyAlignment="1" applyProtection="1">
      <alignment horizontal="center" vertical="top" wrapText="1"/>
      <protection/>
    </xf>
    <xf numFmtId="1" fontId="3" fillId="3" borderId="41" xfId="0" applyNumberFormat="1" applyFont="1" applyFill="1" applyBorder="1" applyAlignment="1" applyProtection="1">
      <alignment horizontal="center" vertical="top" wrapText="1"/>
      <protection/>
    </xf>
    <xf numFmtId="1" fontId="3" fillId="3" borderId="10" xfId="0" applyNumberFormat="1" applyFont="1" applyFill="1" applyBorder="1" applyAlignment="1" applyProtection="1">
      <alignment horizontal="center" vertical="top" wrapText="1"/>
      <protection/>
    </xf>
    <xf numFmtId="0" fontId="0" fillId="15" borderId="37" xfId="0" applyFont="1" applyFill="1" applyBorder="1" applyAlignment="1" applyProtection="1">
      <alignment horizontal="left" vertical="center" wrapText="1"/>
      <protection/>
    </xf>
    <xf numFmtId="0" fontId="0" fillId="25" borderId="16" xfId="0" applyFont="1" applyFill="1" applyBorder="1" applyAlignment="1" applyProtection="1">
      <alignment horizontal="left" vertical="top" wrapText="1"/>
      <protection/>
    </xf>
    <xf numFmtId="0" fontId="0" fillId="25" borderId="0" xfId="0" applyFont="1" applyFill="1" applyBorder="1" applyAlignment="1" applyProtection="1">
      <alignment horizontal="left" vertical="top" wrapText="1"/>
      <protection/>
    </xf>
    <xf numFmtId="0" fontId="0" fillId="26" borderId="0" xfId="0" applyFill="1" applyBorder="1" applyAlignment="1">
      <alignment horizontal="center" vertical="top" wrapText="1"/>
    </xf>
    <xf numFmtId="0" fontId="8" fillId="7" borderId="35" xfId="0" applyFont="1" applyFill="1" applyBorder="1" applyAlignment="1">
      <alignment horizontal="center" vertical="center" textRotation="90" wrapText="1"/>
    </xf>
    <xf numFmtId="0" fontId="8" fillId="7" borderId="14" xfId="0" applyFont="1" applyFill="1" applyBorder="1" applyAlignment="1">
      <alignment horizontal="center" vertical="center" textRotation="90" wrapText="1"/>
    </xf>
    <xf numFmtId="0" fontId="8" fillId="7" borderId="29" xfId="0" applyFont="1" applyFill="1" applyBorder="1" applyAlignment="1">
      <alignment horizontal="center" vertical="center" textRotation="90" wrapText="1"/>
    </xf>
    <xf numFmtId="0" fontId="8" fillId="7" borderId="31" xfId="0" applyFont="1" applyFill="1" applyBorder="1" applyAlignment="1">
      <alignment horizontal="center" vertical="center" textRotation="90" wrapText="1"/>
    </xf>
    <xf numFmtId="0" fontId="8" fillId="7" borderId="0" xfId="0" applyFont="1" applyFill="1" applyBorder="1" applyAlignment="1">
      <alignment horizontal="center" vertical="center" textRotation="90" wrapText="1"/>
    </xf>
    <xf numFmtId="0" fontId="8" fillId="7" borderId="11" xfId="0" applyFont="1" applyFill="1" applyBorder="1" applyAlignment="1">
      <alignment horizontal="center" vertical="center" textRotation="90" wrapText="1"/>
    </xf>
    <xf numFmtId="0" fontId="8" fillId="7" borderId="41" xfId="0" applyFont="1" applyFill="1" applyBorder="1" applyAlignment="1">
      <alignment horizontal="center" vertical="center" textRotation="90" wrapText="1"/>
    </xf>
    <xf numFmtId="0" fontId="8" fillId="7" borderId="16" xfId="0" applyFont="1" applyFill="1" applyBorder="1" applyAlignment="1">
      <alignment horizontal="center" vertical="center" textRotation="90" wrapText="1"/>
    </xf>
    <xf numFmtId="0" fontId="8" fillId="7" borderId="10" xfId="0" applyFont="1" applyFill="1" applyBorder="1" applyAlignment="1">
      <alignment horizontal="center" vertical="center" textRotation="90" wrapText="1"/>
    </xf>
    <xf numFmtId="0" fontId="8" fillId="7" borderId="32" xfId="0" applyFont="1" applyFill="1" applyBorder="1" applyAlignment="1">
      <alignment horizontal="center" textRotation="90" wrapText="1"/>
    </xf>
    <xf numFmtId="0" fontId="8" fillId="7" borderId="40" xfId="0" applyFont="1" applyFill="1" applyBorder="1" applyAlignment="1">
      <alignment horizontal="center" textRotation="90" wrapText="1"/>
    </xf>
    <xf numFmtId="0" fontId="8" fillId="7" borderId="12" xfId="0" applyFont="1" applyFill="1" applyBorder="1" applyAlignment="1">
      <alignment horizontal="center" textRotation="90" wrapText="1"/>
    </xf>
    <xf numFmtId="49" fontId="0" fillId="35" borderId="33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37" xfId="0" applyNumberFormat="1" applyFont="1" applyFill="1" applyBorder="1" applyAlignment="1" applyProtection="1">
      <alignment horizontal="left" vertical="center" wrapText="1"/>
      <protection locked="0"/>
    </xf>
    <xf numFmtId="49" fontId="0" fillId="35" borderId="38" xfId="0" applyNumberFormat="1" applyFont="1" applyFill="1" applyBorder="1" applyAlignment="1" applyProtection="1">
      <alignment horizontal="left" vertical="center" wrapText="1"/>
      <protection locked="0"/>
    </xf>
    <xf numFmtId="0" fontId="28" fillId="34" borderId="33" xfId="0" applyFont="1" applyFill="1" applyBorder="1" applyAlignment="1" applyProtection="1">
      <alignment horizontal="left" vertical="center" wrapText="1"/>
      <protection/>
    </xf>
    <xf numFmtId="0" fontId="28" fillId="34" borderId="37" xfId="0" applyFont="1" applyFill="1" applyBorder="1" applyAlignment="1" applyProtection="1">
      <alignment horizontal="left" vertical="center" wrapText="1"/>
      <protection/>
    </xf>
    <xf numFmtId="0" fontId="28" fillId="34" borderId="38" xfId="0" applyFont="1" applyFill="1" applyBorder="1" applyAlignment="1" applyProtection="1">
      <alignment horizontal="left" vertical="center" wrapText="1"/>
      <protection/>
    </xf>
    <xf numFmtId="0" fontId="0" fillId="34" borderId="33" xfId="0" applyFont="1" applyFill="1" applyBorder="1" applyAlignment="1" applyProtection="1">
      <alignment horizontal="left" vertical="center" wrapText="1"/>
      <protection/>
    </xf>
    <xf numFmtId="0" fontId="0" fillId="34" borderId="37" xfId="0" applyFont="1" applyFill="1" applyBorder="1" applyAlignment="1" applyProtection="1">
      <alignment horizontal="left" vertical="center" wrapText="1"/>
      <protection/>
    </xf>
    <xf numFmtId="0" fontId="0" fillId="34" borderId="38" xfId="0" applyFont="1" applyFill="1" applyBorder="1" applyAlignment="1" applyProtection="1">
      <alignment horizontal="left" vertical="center" wrapText="1"/>
      <protection/>
    </xf>
    <xf numFmtId="49" fontId="3" fillId="3" borderId="10" xfId="0" applyNumberFormat="1" applyFont="1" applyFill="1" applyBorder="1" applyAlignment="1" applyProtection="1">
      <alignment horizontal="center" vertical="top" wrapText="1"/>
      <protection/>
    </xf>
    <xf numFmtId="0" fontId="3" fillId="15" borderId="33" xfId="0" applyFont="1" applyFill="1" applyBorder="1" applyAlignment="1" applyProtection="1">
      <alignment horizontal="left" vertical="top" wrapText="1"/>
      <protection/>
    </xf>
    <xf numFmtId="0" fontId="3" fillId="15" borderId="37" xfId="0" applyFont="1" applyFill="1" applyBorder="1" applyAlignment="1" applyProtection="1">
      <alignment horizontal="left" vertical="top" wrapText="1"/>
      <protection/>
    </xf>
    <xf numFmtId="0" fontId="3" fillId="15" borderId="38" xfId="0" applyFont="1" applyFill="1" applyBorder="1" applyAlignment="1" applyProtection="1">
      <alignment horizontal="left" vertical="top" wrapText="1"/>
      <protection/>
    </xf>
    <xf numFmtId="0" fontId="0" fillId="15" borderId="33" xfId="0" applyFont="1" applyFill="1" applyBorder="1" applyAlignment="1" applyProtection="1">
      <alignment horizontal="left" vertical="top" wrapText="1"/>
      <protection/>
    </xf>
    <xf numFmtId="0" fontId="0" fillId="15" borderId="37" xfId="0" applyFont="1" applyFill="1" applyBorder="1" applyAlignment="1" applyProtection="1">
      <alignment horizontal="left" vertical="top" wrapText="1"/>
      <protection/>
    </xf>
    <xf numFmtId="1" fontId="3" fillId="5" borderId="30" xfId="0" applyNumberFormat="1" applyFont="1" applyFill="1" applyBorder="1" applyAlignment="1" applyProtection="1">
      <alignment horizontal="center" vertical="top" wrapText="1"/>
      <protection/>
    </xf>
    <xf numFmtId="1" fontId="3" fillId="5" borderId="49" xfId="0" applyNumberFormat="1" applyFont="1" applyFill="1" applyBorder="1" applyAlignment="1" applyProtection="1">
      <alignment horizontal="center" vertical="top" wrapText="1"/>
      <protection/>
    </xf>
    <xf numFmtId="1" fontId="3" fillId="5" borderId="50" xfId="0" applyNumberFormat="1" applyFont="1" applyFill="1" applyBorder="1" applyAlignment="1" applyProtection="1">
      <alignment horizontal="center" vertical="top" wrapText="1"/>
      <protection/>
    </xf>
    <xf numFmtId="1" fontId="0" fillId="5" borderId="30" xfId="0" applyNumberFormat="1" applyFont="1" applyFill="1" applyBorder="1" applyAlignment="1" applyProtection="1">
      <alignment horizontal="center" vertical="top" wrapText="1"/>
      <protection/>
    </xf>
    <xf numFmtId="1" fontId="0" fillId="5" borderId="49" xfId="0" applyNumberFormat="1" applyFont="1" applyFill="1" applyBorder="1" applyAlignment="1" applyProtection="1">
      <alignment horizontal="center" vertical="top" wrapText="1"/>
      <protection/>
    </xf>
    <xf numFmtId="1" fontId="0" fillId="5" borderId="27" xfId="0" applyNumberFormat="1" applyFont="1" applyFill="1" applyBorder="1" applyAlignment="1" applyProtection="1">
      <alignment horizontal="center" vertical="top" wrapText="1"/>
      <protection/>
    </xf>
    <xf numFmtId="1" fontId="0" fillId="5" borderId="39" xfId="0" applyNumberFormat="1" applyFont="1" applyFill="1" applyBorder="1" applyAlignment="1" applyProtection="1">
      <alignment horizontal="center" vertical="top" wrapText="1"/>
      <protection/>
    </xf>
    <xf numFmtId="1" fontId="0" fillId="5" borderId="50" xfId="0" applyNumberFormat="1" applyFont="1" applyFill="1" applyBorder="1" applyAlignment="1" applyProtection="1">
      <alignment horizontal="center" vertical="top" wrapText="1"/>
      <protection/>
    </xf>
    <xf numFmtId="0" fontId="0" fillId="15" borderId="38" xfId="0" applyFont="1" applyFill="1" applyBorder="1" applyAlignment="1" applyProtection="1">
      <alignment horizontal="left" vertical="top" wrapText="1"/>
      <protection/>
    </xf>
    <xf numFmtId="1" fontId="3" fillId="5" borderId="33" xfId="0" applyNumberFormat="1" applyFont="1" applyFill="1" applyBorder="1" applyAlignment="1" applyProtection="1">
      <alignment horizontal="center" vertical="top" wrapText="1"/>
      <protection/>
    </xf>
    <xf numFmtId="1" fontId="3" fillId="5" borderId="37" xfId="0" applyNumberFormat="1" applyFont="1" applyFill="1" applyBorder="1" applyAlignment="1" applyProtection="1">
      <alignment horizontal="center" vertical="top" wrapText="1"/>
      <protection/>
    </xf>
    <xf numFmtId="1" fontId="0" fillId="5" borderId="33" xfId="0" applyNumberFormat="1" applyFont="1" applyFill="1" applyBorder="1" applyAlignment="1" applyProtection="1">
      <alignment horizontal="center" vertical="top" wrapText="1"/>
      <protection/>
    </xf>
    <xf numFmtId="1" fontId="0" fillId="5" borderId="37" xfId="0" applyNumberFormat="1" applyFont="1" applyFill="1" applyBorder="1" applyAlignment="1" applyProtection="1">
      <alignment horizontal="center" vertical="top" wrapText="1"/>
      <protection/>
    </xf>
    <xf numFmtId="1" fontId="0" fillId="5" borderId="38" xfId="0" applyNumberFormat="1" applyFont="1" applyFill="1" applyBorder="1" applyAlignment="1" applyProtection="1">
      <alignment horizontal="center" vertical="top" wrapText="1"/>
      <protection/>
    </xf>
    <xf numFmtId="49" fontId="5" fillId="34" borderId="22" xfId="0" applyNumberFormat="1" applyFont="1" applyFill="1" applyBorder="1" applyAlignment="1" applyProtection="1">
      <alignment horizontal="center" vertical="center" textRotation="90" wrapText="1"/>
      <protection/>
    </xf>
    <xf numFmtId="49" fontId="5" fillId="34" borderId="58" xfId="0" applyNumberFormat="1" applyFont="1" applyFill="1" applyBorder="1" applyAlignment="1" applyProtection="1">
      <alignment horizontal="center" vertical="center" textRotation="90" wrapText="1"/>
      <protection/>
    </xf>
    <xf numFmtId="49" fontId="5" fillId="34" borderId="25" xfId="0" applyNumberFormat="1" applyFont="1" applyFill="1" applyBorder="1" applyAlignment="1" applyProtection="1">
      <alignment horizontal="center" vertical="center" textRotation="90" wrapText="1"/>
      <protection/>
    </xf>
    <xf numFmtId="180" fontId="3" fillId="5" borderId="30" xfId="0" applyNumberFormat="1" applyFont="1" applyFill="1" applyBorder="1" applyAlignment="1" applyProtection="1">
      <alignment horizontal="center" vertical="top" wrapText="1"/>
      <protection/>
    </xf>
    <xf numFmtId="180" fontId="3" fillId="5" borderId="49" xfId="0" applyNumberFormat="1" applyFont="1" applyFill="1" applyBorder="1" applyAlignment="1" applyProtection="1">
      <alignment horizontal="center" vertical="top" wrapText="1"/>
      <protection/>
    </xf>
    <xf numFmtId="180" fontId="3" fillId="5" borderId="50" xfId="0" applyNumberFormat="1" applyFont="1" applyFill="1" applyBorder="1" applyAlignment="1" applyProtection="1">
      <alignment horizontal="center" vertical="top" wrapText="1"/>
      <protection/>
    </xf>
    <xf numFmtId="180" fontId="0" fillId="5" borderId="30" xfId="0" applyNumberFormat="1" applyFont="1" applyFill="1" applyBorder="1" applyAlignment="1" applyProtection="1">
      <alignment horizontal="center" vertical="top" wrapText="1"/>
      <protection/>
    </xf>
    <xf numFmtId="180" fontId="0" fillId="5" borderId="49" xfId="0" applyNumberFormat="1" applyFont="1" applyFill="1" applyBorder="1" applyAlignment="1" applyProtection="1">
      <alignment horizontal="center" vertical="top" wrapText="1"/>
      <protection/>
    </xf>
    <xf numFmtId="180" fontId="0" fillId="5" borderId="27" xfId="0" applyNumberFormat="1" applyFont="1" applyFill="1" applyBorder="1" applyAlignment="1" applyProtection="1">
      <alignment horizontal="center" vertical="top" wrapText="1"/>
      <protection/>
    </xf>
    <xf numFmtId="180" fontId="0" fillId="5" borderId="39" xfId="0" applyNumberFormat="1" applyFont="1" applyFill="1" applyBorder="1" applyAlignment="1" applyProtection="1">
      <alignment horizontal="center" vertical="top" wrapText="1"/>
      <protection/>
    </xf>
    <xf numFmtId="180" fontId="0" fillId="5" borderId="50" xfId="0" applyNumberFormat="1" applyFont="1" applyFill="1" applyBorder="1" applyAlignment="1" applyProtection="1">
      <alignment horizontal="center" vertical="top" wrapText="1"/>
      <protection/>
    </xf>
    <xf numFmtId="180" fontId="0" fillId="5" borderId="37" xfId="0" applyNumberFormat="1" applyFont="1" applyFill="1" applyBorder="1" applyAlignment="1" applyProtection="1">
      <alignment horizontal="center" vertical="top" wrapText="1"/>
      <protection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180" fontId="0" fillId="5" borderId="33" xfId="0" applyNumberFormat="1" applyFont="1" applyFill="1" applyBorder="1" applyAlignment="1" applyProtection="1">
      <alignment horizontal="center" vertical="top" wrapText="1"/>
      <protection/>
    </xf>
    <xf numFmtId="180" fontId="0" fillId="5" borderId="38" xfId="0" applyNumberFormat="1" applyFont="1" applyFill="1" applyBorder="1" applyAlignment="1" applyProtection="1">
      <alignment horizontal="center" vertical="top" wrapText="1"/>
      <protection/>
    </xf>
    <xf numFmtId="1" fontId="0" fillId="5" borderId="51" xfId="0" applyNumberFormat="1" applyFont="1" applyFill="1" applyBorder="1" applyAlignment="1" applyProtection="1">
      <alignment horizontal="center" vertical="top" wrapText="1"/>
      <protection/>
    </xf>
    <xf numFmtId="0" fontId="0" fillId="15" borderId="33" xfId="0" applyFill="1" applyBorder="1" applyAlignment="1" applyProtection="1">
      <alignment horizontal="left" vertical="top" wrapText="1"/>
      <protection/>
    </xf>
    <xf numFmtId="49" fontId="0" fillId="22" borderId="33" xfId="52" applyNumberFormat="1" applyFont="1" applyFill="1" applyBorder="1" applyAlignment="1" applyProtection="1">
      <alignment horizontal="left" vertical="center" wrapText="1"/>
      <protection/>
    </xf>
    <xf numFmtId="49" fontId="0" fillId="22" borderId="37" xfId="52" applyNumberFormat="1" applyFont="1" applyFill="1" applyBorder="1" applyAlignment="1" applyProtection="1">
      <alignment horizontal="left" vertical="center" wrapText="1"/>
      <protection/>
    </xf>
    <xf numFmtId="49" fontId="0" fillId="22" borderId="38" xfId="52" applyNumberFormat="1" applyFont="1" applyFill="1" applyBorder="1" applyAlignment="1" applyProtection="1">
      <alignment horizontal="left" vertical="center" wrapText="1"/>
      <protection/>
    </xf>
    <xf numFmtId="49" fontId="0" fillId="22" borderId="33" xfId="52" applyNumberFormat="1" applyFont="1" applyFill="1" applyBorder="1" applyAlignment="1" applyProtection="1">
      <alignment horizontal="left" vertical="center" wrapText="1"/>
      <protection/>
    </xf>
    <xf numFmtId="0" fontId="29" fillId="25" borderId="33" xfId="0" applyFont="1" applyFill="1" applyBorder="1" applyAlignment="1" applyProtection="1">
      <alignment horizontal="center" vertical="center" wrapText="1"/>
      <protection/>
    </xf>
    <xf numFmtId="0" fontId="29" fillId="25" borderId="38" xfId="0" applyFont="1" applyFill="1" applyBorder="1" applyAlignment="1" applyProtection="1">
      <alignment horizontal="center" vertical="center" wrapText="1"/>
      <protection/>
    </xf>
    <xf numFmtId="49" fontId="0" fillId="22" borderId="13" xfId="52" applyNumberFormat="1" applyFont="1" applyFill="1" applyBorder="1" applyAlignment="1" applyProtection="1">
      <alignment horizontal="center" vertical="center" wrapText="1" shrinkToFit="1"/>
      <protection/>
    </xf>
    <xf numFmtId="0" fontId="3" fillId="7" borderId="13" xfId="52" applyFont="1" applyFill="1" applyBorder="1" applyAlignment="1" applyProtection="1">
      <alignment horizontal="center" vertical="center" wrapText="1"/>
      <protection/>
    </xf>
    <xf numFmtId="0" fontId="0" fillId="0" borderId="13" xfId="52" applyFont="1" applyFill="1" applyBorder="1" applyAlignment="1" applyProtection="1">
      <alignment horizontal="left" vertical="center" wrapText="1" shrinkToFit="1"/>
      <protection locked="0"/>
    </xf>
    <xf numFmtId="49" fontId="0" fillId="22" borderId="35" xfId="52" applyNumberFormat="1" applyFont="1" applyFill="1" applyBorder="1" applyAlignment="1" applyProtection="1">
      <alignment horizontal="left" vertical="center" wrapText="1" shrinkToFit="1"/>
      <protection/>
    </xf>
    <xf numFmtId="49" fontId="0" fillId="22" borderId="14" xfId="52" applyNumberFormat="1" applyFont="1" applyFill="1" applyBorder="1" applyAlignment="1" applyProtection="1">
      <alignment horizontal="left" vertical="center" wrapText="1" shrinkToFit="1"/>
      <protection/>
    </xf>
    <xf numFmtId="0" fontId="0" fillId="26" borderId="33" xfId="52" applyNumberFormat="1" applyFont="1" applyFill="1" applyBorder="1" applyAlignment="1" applyProtection="1">
      <alignment horizontal="center" vertical="center" wrapText="1"/>
      <protection/>
    </xf>
    <xf numFmtId="0" fontId="0" fillId="26" borderId="37" xfId="52" applyNumberFormat="1" applyFont="1" applyFill="1" applyBorder="1" applyAlignment="1" applyProtection="1">
      <alignment horizontal="center" vertical="center" wrapText="1"/>
      <protection/>
    </xf>
    <xf numFmtId="0" fontId="0" fillId="26" borderId="38" xfId="52" applyNumberFormat="1" applyFont="1" applyFill="1" applyBorder="1" applyAlignment="1" applyProtection="1">
      <alignment horizontal="center" vertical="center" wrapText="1"/>
      <protection/>
    </xf>
    <xf numFmtId="0" fontId="0" fillId="22" borderId="33" xfId="52" applyFont="1" applyFill="1" applyBorder="1" applyAlignment="1" applyProtection="1">
      <alignment horizontal="left" vertical="center" wrapText="1" shrinkToFit="1"/>
      <protection/>
    </xf>
    <xf numFmtId="0" fontId="0" fillId="22" borderId="37" xfId="52" applyFont="1" applyFill="1" applyBorder="1" applyAlignment="1" applyProtection="1">
      <alignment horizontal="left" vertical="center" wrapText="1" shrinkToFit="1"/>
      <protection/>
    </xf>
    <xf numFmtId="0" fontId="0" fillId="22" borderId="38" xfId="52" applyFont="1" applyFill="1" applyBorder="1" applyAlignment="1" applyProtection="1">
      <alignment horizontal="left" vertical="center" wrapText="1" shrinkToFit="1"/>
      <protection/>
    </xf>
    <xf numFmtId="0" fontId="0" fillId="22" borderId="33" xfId="52" applyFont="1" applyFill="1" applyBorder="1" applyAlignment="1" applyProtection="1">
      <alignment horizontal="left" vertical="center" wrapText="1" shrinkToFit="1"/>
      <protection/>
    </xf>
    <xf numFmtId="0" fontId="4" fillId="25" borderId="33" xfId="0" applyFont="1" applyFill="1" applyBorder="1" applyAlignment="1" applyProtection="1">
      <alignment horizontal="center" vertical="center" wrapText="1"/>
      <protection/>
    </xf>
    <xf numFmtId="0" fontId="4" fillId="25" borderId="38" xfId="0" applyFont="1" applyFill="1" applyBorder="1" applyAlignment="1" applyProtection="1">
      <alignment horizontal="center" vertical="center" wrapText="1"/>
      <protection/>
    </xf>
    <xf numFmtId="180" fontId="4" fillId="25" borderId="33" xfId="0" applyNumberFormat="1" applyFont="1" applyFill="1" applyBorder="1" applyAlignment="1" applyProtection="1">
      <alignment horizontal="center" vertical="center" wrapText="1"/>
      <protection/>
    </xf>
    <xf numFmtId="180" fontId="4" fillId="25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41" xfId="52" applyNumberFormat="1" applyFont="1" applyFill="1" applyBorder="1" applyAlignment="1" applyProtection="1">
      <alignment horizontal="left" vertical="center" wrapText="1" shrinkToFit="1"/>
      <protection/>
    </xf>
    <xf numFmtId="49" fontId="0" fillId="22" borderId="16" xfId="52" applyNumberFormat="1" applyFont="1" applyFill="1" applyBorder="1" applyAlignment="1" applyProtection="1">
      <alignment horizontal="left" vertical="center" wrapText="1" shrinkToFit="1"/>
      <protection/>
    </xf>
    <xf numFmtId="14" fontId="0" fillId="26" borderId="33" xfId="52" applyNumberFormat="1" applyFont="1" applyFill="1" applyBorder="1" applyAlignment="1" applyProtection="1">
      <alignment horizontal="center" vertical="center" wrapText="1"/>
      <protection/>
    </xf>
    <xf numFmtId="14" fontId="0" fillId="26" borderId="37" xfId="52" applyNumberFormat="1" applyFont="1" applyFill="1" applyBorder="1" applyAlignment="1" applyProtection="1">
      <alignment horizontal="center" vertical="center" wrapText="1"/>
      <protection/>
    </xf>
    <xf numFmtId="14" fontId="0" fillId="26" borderId="38" xfId="52" applyNumberFormat="1" applyFont="1" applyFill="1" applyBorder="1" applyAlignment="1" applyProtection="1">
      <alignment horizontal="center" vertical="center" wrapText="1"/>
      <protection/>
    </xf>
    <xf numFmtId="0" fontId="0" fillId="22" borderId="33" xfId="52" applyFont="1" applyFill="1" applyBorder="1" applyAlignment="1" applyProtection="1">
      <alignment vertical="center" wrapText="1"/>
      <protection/>
    </xf>
    <xf numFmtId="0" fontId="0" fillId="22" borderId="37" xfId="52" applyFont="1" applyFill="1" applyBorder="1" applyAlignment="1" applyProtection="1">
      <alignment vertical="center" wrapText="1"/>
      <protection/>
    </xf>
    <xf numFmtId="0" fontId="0" fillId="22" borderId="38" xfId="52" applyFont="1" applyFill="1" applyBorder="1" applyAlignment="1" applyProtection="1">
      <alignment vertical="center" wrapText="1"/>
      <protection/>
    </xf>
    <xf numFmtId="0" fontId="0" fillId="22" borderId="33" xfId="52" applyFont="1" applyFill="1" applyBorder="1" applyAlignment="1" applyProtection="1">
      <alignment vertical="center" wrapText="1"/>
      <protection/>
    </xf>
    <xf numFmtId="0" fontId="0" fillId="24" borderId="33" xfId="52" applyFont="1" applyFill="1" applyBorder="1" applyAlignment="1" applyProtection="1">
      <alignment vertical="center" wrapText="1"/>
      <protection/>
    </xf>
    <xf numFmtId="0" fontId="0" fillId="24" borderId="37" xfId="52" applyFont="1" applyFill="1" applyBorder="1" applyAlignment="1" applyProtection="1">
      <alignment vertical="center" wrapText="1"/>
      <protection/>
    </xf>
    <xf numFmtId="0" fontId="0" fillId="24" borderId="38" xfId="52" applyFont="1" applyFill="1" applyBorder="1" applyAlignment="1" applyProtection="1">
      <alignment vertical="center" wrapText="1"/>
      <protection/>
    </xf>
    <xf numFmtId="0" fontId="0" fillId="0" borderId="33" xfId="52" applyFont="1" applyFill="1" applyBorder="1" applyAlignment="1" applyProtection="1">
      <alignment horizontal="center" vertical="center" wrapText="1" shrinkToFit="1"/>
      <protection/>
    </xf>
    <xf numFmtId="0" fontId="0" fillId="0" borderId="37" xfId="52" applyFont="1" applyFill="1" applyBorder="1" applyAlignment="1" applyProtection="1">
      <alignment horizontal="center" vertical="center" wrapText="1" shrinkToFit="1"/>
      <protection/>
    </xf>
    <xf numFmtId="0" fontId="0" fillId="0" borderId="38" xfId="52" applyFont="1" applyFill="1" applyBorder="1" applyAlignment="1" applyProtection="1">
      <alignment horizontal="center" vertical="center" wrapText="1" shrinkToFit="1"/>
      <protection/>
    </xf>
    <xf numFmtId="0" fontId="0" fillId="7" borderId="33" xfId="52" applyFont="1" applyFill="1" applyBorder="1" applyAlignment="1" applyProtection="1">
      <alignment horizontal="center" vertical="center" wrapText="1"/>
      <protection/>
    </xf>
    <xf numFmtId="0" fontId="0" fillId="7" borderId="37" xfId="52" applyFont="1" applyFill="1" applyBorder="1" applyAlignment="1" applyProtection="1">
      <alignment horizontal="center" vertical="center" wrapText="1"/>
      <protection/>
    </xf>
    <xf numFmtId="0" fontId="0" fillId="7" borderId="38" xfId="52" applyFont="1" applyFill="1" applyBorder="1" applyAlignment="1" applyProtection="1">
      <alignment horizontal="center" vertical="center" wrapText="1"/>
      <protection/>
    </xf>
    <xf numFmtId="49" fontId="0" fillId="20" borderId="33" xfId="52" applyNumberFormat="1" applyFont="1" applyFill="1" applyBorder="1" applyAlignment="1" applyProtection="1">
      <alignment horizontal="left" vertical="center" wrapText="1"/>
      <protection/>
    </xf>
    <xf numFmtId="49" fontId="0" fillId="20" borderId="37" xfId="52" applyNumberFormat="1" applyFont="1" applyFill="1" applyBorder="1" applyAlignment="1" applyProtection="1">
      <alignment horizontal="left" vertical="center" wrapText="1"/>
      <protection/>
    </xf>
    <xf numFmtId="49" fontId="0" fillId="20" borderId="38" xfId="52" applyNumberFormat="1" applyFont="1" applyFill="1" applyBorder="1" applyAlignment="1" applyProtection="1">
      <alignment horizontal="left" vertical="center" wrapText="1"/>
      <protection/>
    </xf>
    <xf numFmtId="0" fontId="3" fillId="0" borderId="16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0" fillId="7" borderId="13" xfId="52" applyFont="1" applyFill="1" applyBorder="1" applyAlignment="1" applyProtection="1">
      <alignment horizontal="center" vertical="center" wrapText="1"/>
      <protection/>
    </xf>
    <xf numFmtId="49" fontId="0" fillId="7" borderId="33" xfId="52" applyNumberFormat="1" applyFont="1" applyFill="1" applyBorder="1" applyAlignment="1" applyProtection="1">
      <alignment horizontal="center" vertical="center" wrapText="1" shrinkToFit="1"/>
      <protection/>
    </xf>
    <xf numFmtId="49" fontId="0" fillId="7" borderId="38" xfId="52" applyNumberFormat="1" applyFont="1" applyFill="1" applyBorder="1" applyAlignment="1" applyProtection="1">
      <alignment horizontal="center" vertical="center" wrapText="1" shrinkToFit="1"/>
      <protection/>
    </xf>
    <xf numFmtId="0" fontId="0" fillId="7" borderId="35" xfId="52" applyFont="1" applyFill="1" applyBorder="1" applyAlignment="1" applyProtection="1">
      <alignment horizontal="center" vertical="center" wrapText="1"/>
      <protection/>
    </xf>
    <xf numFmtId="0" fontId="0" fillId="7" borderId="14" xfId="52" applyFont="1" applyFill="1" applyBorder="1" applyAlignment="1" applyProtection="1">
      <alignment horizontal="center" vertical="center" wrapText="1"/>
      <protection/>
    </xf>
    <xf numFmtId="0" fontId="0" fillId="7" borderId="29" xfId="52" applyFont="1" applyFill="1" applyBorder="1" applyAlignment="1" applyProtection="1">
      <alignment horizontal="center" vertical="center" wrapText="1"/>
      <protection/>
    </xf>
    <xf numFmtId="0" fontId="0" fillId="7" borderId="41" xfId="52" applyFont="1" applyFill="1" applyBorder="1" applyAlignment="1" applyProtection="1">
      <alignment horizontal="center" vertical="center" wrapText="1"/>
      <protection/>
    </xf>
    <xf numFmtId="0" fontId="0" fillId="7" borderId="16" xfId="52" applyFont="1" applyFill="1" applyBorder="1" applyAlignment="1" applyProtection="1">
      <alignment horizontal="center" vertical="center" wrapText="1"/>
      <protection/>
    </xf>
    <xf numFmtId="0" fontId="0" fillId="7" borderId="10" xfId="52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7" borderId="13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3" fillId="3" borderId="44" xfId="0" applyFont="1" applyFill="1" applyBorder="1" applyAlignment="1" applyProtection="1">
      <alignment horizontal="center" vertical="top" wrapText="1"/>
      <protection/>
    </xf>
    <xf numFmtId="0" fontId="3" fillId="3" borderId="13" xfId="0" applyFont="1" applyFill="1" applyBorder="1" applyAlignment="1" applyProtection="1">
      <alignment horizontal="center" vertical="top" wrapText="1"/>
      <protection/>
    </xf>
    <xf numFmtId="49" fontId="3" fillId="3" borderId="13" xfId="0" applyNumberFormat="1" applyFont="1" applyFill="1" applyBorder="1" applyAlignment="1" applyProtection="1">
      <alignment horizontal="center" textRotation="90" wrapText="1"/>
      <protection/>
    </xf>
    <xf numFmtId="0" fontId="3" fillId="3" borderId="45" xfId="0" applyFont="1" applyFill="1" applyBorder="1" applyAlignment="1" applyProtection="1">
      <alignment horizontal="center" vertical="top" wrapText="1"/>
      <protection/>
    </xf>
    <xf numFmtId="0" fontId="3" fillId="3" borderId="28" xfId="0" applyFont="1" applyFill="1" applyBorder="1" applyAlignment="1" applyProtection="1">
      <alignment horizontal="center" vertical="top" wrapText="1"/>
      <protection/>
    </xf>
    <xf numFmtId="0" fontId="3" fillId="3" borderId="48" xfId="0" applyFont="1" applyFill="1" applyBorder="1" applyAlignment="1" applyProtection="1">
      <alignment horizontal="center" vertical="top" wrapText="1"/>
      <protection/>
    </xf>
    <xf numFmtId="49" fontId="3" fillId="3" borderId="34" xfId="0" applyNumberFormat="1" applyFont="1" applyFill="1" applyBorder="1" applyAlignment="1" applyProtection="1">
      <alignment horizontal="center" textRotation="90" wrapText="1"/>
      <protection/>
    </xf>
    <xf numFmtId="49" fontId="3" fillId="3" borderId="43" xfId="0" applyNumberFormat="1" applyFont="1" applyFill="1" applyBorder="1" applyAlignment="1" applyProtection="1">
      <alignment horizontal="center" vertical="top" wrapText="1"/>
      <protection/>
    </xf>
    <xf numFmtId="49" fontId="3" fillId="3" borderId="44" xfId="0" applyNumberFormat="1" applyFont="1" applyFill="1" applyBorder="1" applyAlignment="1" applyProtection="1">
      <alignment horizontal="center" vertical="top" wrapText="1"/>
      <protection/>
    </xf>
    <xf numFmtId="49" fontId="3" fillId="3" borderId="34" xfId="0" applyNumberFormat="1" applyFont="1" applyFill="1" applyBorder="1" applyAlignment="1" applyProtection="1">
      <alignment horizontal="center" vertical="top" wrapText="1"/>
      <protection/>
    </xf>
    <xf numFmtId="49" fontId="3" fillId="3" borderId="13" xfId="0" applyNumberFormat="1" applyFont="1" applyFill="1" applyBorder="1" applyAlignment="1" applyProtection="1">
      <alignment horizontal="center" vertical="top" wrapText="1"/>
      <protection/>
    </xf>
    <xf numFmtId="0" fontId="3" fillId="3" borderId="59" xfId="0" applyFont="1" applyFill="1" applyBorder="1" applyAlignment="1" applyProtection="1">
      <alignment horizontal="center" vertical="top" wrapText="1"/>
      <protection/>
    </xf>
    <xf numFmtId="0" fontId="3" fillId="3" borderId="60" xfId="0" applyFont="1" applyFill="1" applyBorder="1" applyAlignment="1" applyProtection="1">
      <alignment horizontal="center" vertical="top" wrapText="1"/>
      <protection/>
    </xf>
    <xf numFmtId="0" fontId="3" fillId="3" borderId="61" xfId="0" applyFont="1" applyFill="1" applyBorder="1" applyAlignment="1" applyProtection="1">
      <alignment horizontal="center" vertical="top" wrapText="1"/>
      <protection/>
    </xf>
    <xf numFmtId="0" fontId="3" fillId="3" borderId="62" xfId="0" applyFont="1" applyFill="1" applyBorder="1" applyAlignment="1" applyProtection="1">
      <alignment horizontal="center" vertical="top" wrapText="1"/>
      <protection/>
    </xf>
    <xf numFmtId="0" fontId="3" fillId="3" borderId="40" xfId="0" applyFont="1" applyFill="1" applyBorder="1" applyAlignment="1" applyProtection="1">
      <alignment horizontal="center" vertical="top" wrapText="1"/>
      <protection/>
    </xf>
    <xf numFmtId="0" fontId="3" fillId="3" borderId="63" xfId="0" applyFont="1" applyFill="1" applyBorder="1" applyAlignment="1" applyProtection="1">
      <alignment horizontal="center" vertical="top" wrapText="1"/>
      <protection/>
    </xf>
    <xf numFmtId="49" fontId="3" fillId="3" borderId="64" xfId="0" applyNumberFormat="1" applyFont="1" applyFill="1" applyBorder="1" applyAlignment="1" applyProtection="1">
      <alignment horizontal="center" vertical="top" wrapText="1"/>
      <protection/>
    </xf>
    <xf numFmtId="49" fontId="3" fillId="3" borderId="65" xfId="0" applyNumberFormat="1" applyFont="1" applyFill="1" applyBorder="1" applyAlignment="1" applyProtection="1">
      <alignment horizontal="center" vertical="top" wrapText="1"/>
      <protection/>
    </xf>
    <xf numFmtId="49" fontId="3" fillId="3" borderId="32" xfId="0" applyNumberFormat="1" applyFont="1" applyFill="1" applyBorder="1" applyAlignment="1" applyProtection="1">
      <alignment horizontal="center" textRotation="90" wrapText="1"/>
      <protection/>
    </xf>
    <xf numFmtId="49" fontId="3" fillId="3" borderId="40" xfId="0" applyNumberFormat="1" applyFont="1" applyFill="1" applyBorder="1" applyAlignment="1" applyProtection="1">
      <alignment horizontal="center" textRotation="90" wrapText="1"/>
      <protection/>
    </xf>
    <xf numFmtId="49" fontId="3" fillId="3" borderId="63" xfId="0" applyNumberFormat="1" applyFont="1" applyFill="1" applyBorder="1" applyAlignment="1" applyProtection="1">
      <alignment horizontal="center" textRotation="90" wrapText="1"/>
      <protection/>
    </xf>
    <xf numFmtId="49" fontId="3" fillId="3" borderId="35" xfId="0" applyNumberFormat="1" applyFont="1" applyFill="1" applyBorder="1" applyAlignment="1" applyProtection="1">
      <alignment horizontal="center" textRotation="90" wrapText="1"/>
      <protection/>
    </xf>
    <xf numFmtId="49" fontId="3" fillId="3" borderId="31" xfId="0" applyNumberFormat="1" applyFont="1" applyFill="1" applyBorder="1" applyAlignment="1" applyProtection="1">
      <alignment horizontal="center" textRotation="90" wrapText="1"/>
      <protection/>
    </xf>
    <xf numFmtId="49" fontId="3" fillId="3" borderId="66" xfId="0" applyNumberFormat="1" applyFont="1" applyFill="1" applyBorder="1" applyAlignment="1" applyProtection="1">
      <alignment horizontal="center" textRotation="90" wrapText="1"/>
      <protection/>
    </xf>
    <xf numFmtId="0" fontId="34" fillId="38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3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</font>
      <fill>
        <patternFill>
          <bgColor indexed="45"/>
        </patternFill>
      </fill>
    </dxf>
    <dxf/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/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/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33</xdr:row>
      <xdr:rowOff>0</xdr:rowOff>
    </xdr:from>
    <xdr:to>
      <xdr:col>7</xdr:col>
      <xdr:colOff>142875</xdr:colOff>
      <xdr:row>33</xdr:row>
      <xdr:rowOff>0</xdr:rowOff>
    </xdr:to>
    <xdr:sp>
      <xdr:nvSpPr>
        <xdr:cNvPr id="1" name="Rectangle 3"/>
        <xdr:cNvSpPr>
          <a:spLocks/>
        </xdr:cNvSpPr>
      </xdr:nvSpPr>
      <xdr:spPr>
        <a:xfrm>
          <a:off x="1524000" y="616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190500</xdr:colOff>
      <xdr:row>33</xdr:row>
      <xdr:rowOff>0</xdr:rowOff>
    </xdr:from>
    <xdr:to>
      <xdr:col>7</xdr:col>
      <xdr:colOff>142875</xdr:colOff>
      <xdr:row>33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1524000" y="61626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1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Users\User\AppData\Local\Microsoft\Windows\Temporary%20Internet%20Files\Content.Outlook\DU02Z5SH\1&#1059;&#1055;-26%2002%2003%20(&#1057;&#1042;)%20&#1091;&#1075;&#1083;&#1091;&#1073;&#1083;&#1077;&#1085;&#1085;&#1072;&#1103;%20&#1087;&#1086;&#1076;&#1075;&#1086;&#1090;&#1086;&#1074;&#1082;&#1072;%20&#1089;%20&#1079;_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2">
        <row r="29">
          <cell r="BD29">
            <v>57</v>
          </cell>
        </row>
      </sheetData>
      <sheetData sheetId="4">
        <row r="21">
          <cell r="E21" t="str">
            <v>-</v>
          </cell>
        </row>
        <row r="38">
          <cell r="G38">
            <v>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Учебный план"/>
      <sheetName val="Титул З_О"/>
      <sheetName val="УП З_О"/>
      <sheetName val="Нормы"/>
      <sheetName val="Компетенции"/>
      <sheetName val="Материально-техническая база"/>
      <sheetName val="Примечание"/>
      <sheetName val="Лист3"/>
    </sheetNames>
    <sheetDataSet>
      <sheetData sheetId="1">
        <row r="76">
          <cell r="A76" t="str">
            <v>ПМ.02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5"/>
  <sheetViews>
    <sheetView showZeros="0" zoomScale="90" zoomScaleNormal="90" zoomScalePageLayoutView="70" workbookViewId="0" topLeftCell="A7">
      <selection activeCell="BH25" sqref="BH25:BI27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8" width="3.33203125" style="6" customWidth="1"/>
    <col min="59" max="59" width="4.66015625" style="6" customWidth="1"/>
    <col min="60" max="60" width="5.16015625" style="6" customWidth="1"/>
    <col min="61" max="61" width="5.5" style="6" customWidth="1"/>
    <col min="62" max="65" width="3.33203125" style="6" customWidth="1"/>
    <col min="66" max="66" width="4.16015625" style="6" customWidth="1"/>
    <col min="67" max="16384" width="2.83203125" style="6" customWidth="1"/>
  </cols>
  <sheetData>
    <row r="1" spans="1:66" ht="15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05" t="s">
        <v>34</v>
      </c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  <c r="AT1" s="505"/>
      <c r="AU1" s="505"/>
      <c r="AV1" s="505"/>
      <c r="AW1" s="505"/>
      <c r="AX1" s="505"/>
      <c r="AY1" s="505"/>
      <c r="AZ1" s="505"/>
      <c r="BA1" s="505"/>
      <c r="BB1" s="50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ht="15.75" customHeight="1">
      <c r="A2" s="498" t="s">
        <v>346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506" t="s">
        <v>336</v>
      </c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8" t="s">
        <v>47</v>
      </c>
      <c r="BD2" s="508"/>
      <c r="BE2" s="508"/>
      <c r="BF2" s="508"/>
      <c r="BG2" s="508"/>
      <c r="BH2" s="508"/>
      <c r="BI2" s="508"/>
      <c r="BJ2" s="508"/>
      <c r="BK2" s="508"/>
      <c r="BL2" s="508"/>
      <c r="BM2" s="508"/>
      <c r="BN2" s="508"/>
    </row>
    <row r="3" spans="1:66" ht="15.7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  <c r="O3" s="506" t="s">
        <v>335</v>
      </c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10" t="s">
        <v>26</v>
      </c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</row>
    <row r="4" spans="1:66" ht="15.75" customHeight="1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513" t="s">
        <v>308</v>
      </c>
      <c r="BD4" s="513"/>
      <c r="BE4" s="513"/>
      <c r="BF4" s="513"/>
      <c r="BG4" s="513"/>
      <c r="BH4" s="513"/>
      <c r="BI4" s="513"/>
      <c r="BJ4" s="513"/>
      <c r="BK4" s="513"/>
      <c r="BL4" s="513"/>
      <c r="BM4" s="513"/>
      <c r="BN4" s="513"/>
    </row>
    <row r="5" spans="1:66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7"/>
      <c r="BD5" s="21"/>
      <c r="BE5" s="21"/>
      <c r="BF5" s="28"/>
      <c r="BG5" s="29"/>
      <c r="BH5" s="29"/>
      <c r="BI5" s="29"/>
      <c r="BJ5" s="29"/>
      <c r="BK5" s="29"/>
      <c r="BL5" s="29"/>
      <c r="BM5" s="29"/>
      <c r="BN5" s="21"/>
    </row>
    <row r="6" spans="1:66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509"/>
      <c r="BD6" s="509"/>
      <c r="BE6" s="509"/>
      <c r="BF6" s="509"/>
      <c r="BG6" s="509"/>
      <c r="BH6" s="509"/>
      <c r="BI6" s="509"/>
      <c r="BJ6" s="509"/>
      <c r="BK6" s="509"/>
      <c r="BL6" s="509"/>
      <c r="BM6" s="509"/>
      <c r="BN6" s="509"/>
    </row>
    <row r="7" spans="1:66" ht="25.5">
      <c r="A7" s="530" t="s">
        <v>353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</row>
    <row r="8" spans="1:66" s="3" customFormat="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504" t="s">
        <v>354</v>
      </c>
      <c r="P8" s="504"/>
      <c r="Q8" s="504"/>
      <c r="R8" s="504"/>
      <c r="S8" s="504"/>
      <c r="T8" s="504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4"/>
      <c r="AF8" s="504"/>
      <c r="AG8" s="504"/>
      <c r="AH8" s="504"/>
      <c r="AI8" s="504"/>
      <c r="AJ8" s="504"/>
      <c r="AK8" s="504"/>
      <c r="AL8" s="504"/>
      <c r="AM8" s="504"/>
      <c r="AN8" s="504"/>
      <c r="AO8" s="504"/>
      <c r="AP8" s="504"/>
      <c r="AQ8" s="504"/>
      <c r="AR8" s="504"/>
      <c r="AS8" s="504"/>
      <c r="AT8" s="504"/>
      <c r="AU8" s="504"/>
      <c r="AV8" s="504"/>
      <c r="AW8" s="504"/>
      <c r="AX8" s="504"/>
      <c r="AY8" s="504"/>
      <c r="AZ8" s="504"/>
      <c r="BA8" s="504"/>
      <c r="BB8" s="504"/>
      <c r="BC8" s="26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3" customFormat="1" ht="15.75" customHeight="1">
      <c r="A9" s="484" t="s">
        <v>133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524" t="s">
        <v>347</v>
      </c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4"/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14" t="s">
        <v>51</v>
      </c>
      <c r="BD9" s="514"/>
      <c r="BE9" s="514"/>
      <c r="BF9" s="514"/>
      <c r="BG9" s="514"/>
      <c r="BH9" s="514"/>
      <c r="BI9" s="514"/>
      <c r="BJ9" s="514"/>
      <c r="BK9" s="514"/>
      <c r="BL9" s="514"/>
      <c r="BM9" s="514"/>
      <c r="BN9" s="514"/>
    </row>
    <row r="10" spans="1:66" s="3" customFormat="1" ht="15.75" customHeight="1">
      <c r="A10" s="484" t="s">
        <v>130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507" t="s">
        <v>248</v>
      </c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14"/>
      <c r="BD10" s="514"/>
      <c r="BE10" s="514"/>
      <c r="BF10" s="514"/>
      <c r="BG10" s="514"/>
      <c r="BH10" s="514"/>
      <c r="BI10" s="514"/>
      <c r="BJ10" s="514"/>
      <c r="BK10" s="514"/>
      <c r="BL10" s="514"/>
      <c r="BM10" s="514"/>
      <c r="BN10" s="514"/>
    </row>
    <row r="11" spans="1:66" s="3" customFormat="1" ht="15.75" customHeight="1">
      <c r="A11" s="484" t="s">
        <v>160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</row>
    <row r="12" spans="1:66" s="3" customFormat="1" ht="15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14"/>
      <c r="BD12" s="514"/>
      <c r="BE12" s="514"/>
      <c r="BF12" s="514"/>
      <c r="BG12" s="514"/>
      <c r="BH12" s="514"/>
      <c r="BI12" s="514"/>
      <c r="BJ12" s="514"/>
      <c r="BK12" s="514"/>
      <c r="BL12" s="514"/>
      <c r="BM12" s="514"/>
      <c r="BN12" s="514"/>
    </row>
    <row r="13" spans="1:66" s="3" customFormat="1" ht="15.75" customHeight="1">
      <c r="A13" s="484" t="s">
        <v>48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507" t="s">
        <v>131</v>
      </c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11" t="s">
        <v>319</v>
      </c>
      <c r="BD13" s="512"/>
      <c r="BE13" s="512"/>
      <c r="BF13" s="512"/>
      <c r="BG13" s="512"/>
      <c r="BH13" s="512"/>
      <c r="BI13" s="512"/>
      <c r="BJ13" s="512"/>
      <c r="BK13" s="512"/>
      <c r="BL13" s="512"/>
      <c r="BM13" s="512"/>
      <c r="BN13" s="512"/>
    </row>
    <row r="14" spans="1:66" s="3" customFormat="1" ht="15.75" customHeight="1">
      <c r="A14" s="484" t="s">
        <v>134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507" t="s">
        <v>136</v>
      </c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1:66" s="3" customFormat="1" ht="15.75" customHeight="1">
      <c r="A15" s="484" t="s">
        <v>49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507" t="s">
        <v>97</v>
      </c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26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</row>
    <row r="16" spans="1:66" ht="15.75" customHeight="1">
      <c r="A16" s="484" t="s">
        <v>216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525">
        <v>3</v>
      </c>
      <c r="P16" s="525"/>
      <c r="Q16" s="497" t="s">
        <v>217</v>
      </c>
      <c r="R16" s="497"/>
      <c r="S16" s="497"/>
      <c r="T16" s="525">
        <v>10</v>
      </c>
      <c r="U16" s="525"/>
      <c r="V16" s="503" t="s">
        <v>218</v>
      </c>
      <c r="W16" s="503"/>
      <c r="X16" s="503"/>
      <c r="Y16" s="503"/>
      <c r="Z16" s="503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24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</row>
    <row r="17" spans="1:66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526" t="s">
        <v>50</v>
      </c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31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9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12.75">
      <c r="A19" s="485" t="s">
        <v>9</v>
      </c>
      <c r="B19" s="491" t="s">
        <v>10</v>
      </c>
      <c r="C19" s="492"/>
      <c r="D19" s="492"/>
      <c r="E19" s="493"/>
      <c r="F19" s="499" t="s">
        <v>378</v>
      </c>
      <c r="G19" s="491" t="s">
        <v>24</v>
      </c>
      <c r="H19" s="492"/>
      <c r="I19" s="493"/>
      <c r="J19" s="499" t="s">
        <v>379</v>
      </c>
      <c r="K19" s="491" t="s">
        <v>11</v>
      </c>
      <c r="L19" s="492"/>
      <c r="M19" s="492"/>
      <c r="N19" s="493"/>
      <c r="O19" s="491" t="s">
        <v>12</v>
      </c>
      <c r="P19" s="492"/>
      <c r="Q19" s="492"/>
      <c r="R19" s="493"/>
      <c r="S19" s="499" t="s">
        <v>380</v>
      </c>
      <c r="T19" s="491" t="s">
        <v>13</v>
      </c>
      <c r="U19" s="492"/>
      <c r="V19" s="493"/>
      <c r="W19" s="499" t="s">
        <v>381</v>
      </c>
      <c r="X19" s="491" t="s">
        <v>14</v>
      </c>
      <c r="Y19" s="492"/>
      <c r="Z19" s="493"/>
      <c r="AA19" s="499" t="s">
        <v>382</v>
      </c>
      <c r="AB19" s="491" t="s">
        <v>15</v>
      </c>
      <c r="AC19" s="492"/>
      <c r="AD19" s="492"/>
      <c r="AE19" s="493"/>
      <c r="AF19" s="499" t="s">
        <v>383</v>
      </c>
      <c r="AG19" s="491" t="s">
        <v>16</v>
      </c>
      <c r="AH19" s="492"/>
      <c r="AI19" s="493"/>
      <c r="AJ19" s="499" t="s">
        <v>384</v>
      </c>
      <c r="AK19" s="491" t="s">
        <v>17</v>
      </c>
      <c r="AL19" s="492"/>
      <c r="AM19" s="492"/>
      <c r="AN19" s="493"/>
      <c r="AO19" s="491" t="s">
        <v>18</v>
      </c>
      <c r="AP19" s="492"/>
      <c r="AQ19" s="492"/>
      <c r="AR19" s="493"/>
      <c r="AS19" s="499" t="s">
        <v>385</v>
      </c>
      <c r="AT19" s="491" t="s">
        <v>19</v>
      </c>
      <c r="AU19" s="492"/>
      <c r="AV19" s="493"/>
      <c r="AW19" s="499" t="s">
        <v>386</v>
      </c>
      <c r="AX19" s="491" t="s">
        <v>20</v>
      </c>
      <c r="AY19" s="492"/>
      <c r="AZ19" s="492"/>
      <c r="BA19" s="493"/>
      <c r="BB19" s="534" t="s">
        <v>58</v>
      </c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6"/>
    </row>
    <row r="20" spans="1:66" ht="15.75" customHeight="1">
      <c r="A20" s="486"/>
      <c r="B20" s="494"/>
      <c r="C20" s="495"/>
      <c r="D20" s="495"/>
      <c r="E20" s="496"/>
      <c r="F20" s="500"/>
      <c r="G20" s="494"/>
      <c r="H20" s="495"/>
      <c r="I20" s="496"/>
      <c r="J20" s="500"/>
      <c r="K20" s="494"/>
      <c r="L20" s="495"/>
      <c r="M20" s="495"/>
      <c r="N20" s="496"/>
      <c r="O20" s="494"/>
      <c r="P20" s="495"/>
      <c r="Q20" s="495"/>
      <c r="R20" s="496"/>
      <c r="S20" s="500"/>
      <c r="T20" s="494"/>
      <c r="U20" s="495"/>
      <c r="V20" s="496"/>
      <c r="W20" s="500"/>
      <c r="X20" s="494"/>
      <c r="Y20" s="495"/>
      <c r="Z20" s="496"/>
      <c r="AA20" s="500"/>
      <c r="AB20" s="494"/>
      <c r="AC20" s="495"/>
      <c r="AD20" s="495"/>
      <c r="AE20" s="496"/>
      <c r="AF20" s="500"/>
      <c r="AG20" s="494"/>
      <c r="AH20" s="495"/>
      <c r="AI20" s="496"/>
      <c r="AJ20" s="500"/>
      <c r="AK20" s="494"/>
      <c r="AL20" s="495"/>
      <c r="AM20" s="495"/>
      <c r="AN20" s="496"/>
      <c r="AO20" s="494"/>
      <c r="AP20" s="495"/>
      <c r="AQ20" s="495"/>
      <c r="AR20" s="496"/>
      <c r="AS20" s="500"/>
      <c r="AT20" s="494"/>
      <c r="AU20" s="495"/>
      <c r="AV20" s="496"/>
      <c r="AW20" s="500"/>
      <c r="AX20" s="494"/>
      <c r="AY20" s="495"/>
      <c r="AZ20" s="495"/>
      <c r="BA20" s="496"/>
      <c r="BB20" s="515" t="s">
        <v>7</v>
      </c>
      <c r="BC20" s="516"/>
      <c r="BD20" s="517"/>
      <c r="BE20" s="515" t="s">
        <v>240</v>
      </c>
      <c r="BF20" s="516"/>
      <c r="BG20" s="517"/>
      <c r="BH20" s="488" t="s">
        <v>5</v>
      </c>
      <c r="BI20" s="488" t="s">
        <v>113</v>
      </c>
      <c r="BJ20" s="488" t="s">
        <v>45</v>
      </c>
      <c r="BK20" s="488" t="s">
        <v>59</v>
      </c>
      <c r="BL20" s="488" t="s">
        <v>60</v>
      </c>
      <c r="BM20" s="488" t="s">
        <v>46</v>
      </c>
      <c r="BN20" s="488" t="s">
        <v>1</v>
      </c>
    </row>
    <row r="21" spans="1:66" ht="15.75" customHeight="1">
      <c r="A21" s="486"/>
      <c r="B21" s="7">
        <v>1</v>
      </c>
      <c r="C21" s="7">
        <v>8</v>
      </c>
      <c r="D21" s="7">
        <v>15</v>
      </c>
      <c r="E21" s="7">
        <v>22</v>
      </c>
      <c r="F21" s="501" t="s">
        <v>387</v>
      </c>
      <c r="G21" s="7">
        <v>6</v>
      </c>
      <c r="H21" s="7">
        <v>13</v>
      </c>
      <c r="I21" s="7">
        <v>20</v>
      </c>
      <c r="J21" s="501" t="s">
        <v>388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501" t="s">
        <v>389</v>
      </c>
      <c r="T21" s="7">
        <v>5</v>
      </c>
      <c r="U21" s="7">
        <v>12</v>
      </c>
      <c r="V21" s="7">
        <v>19</v>
      </c>
      <c r="W21" s="501" t="s">
        <v>390</v>
      </c>
      <c r="X21" s="7">
        <v>2</v>
      </c>
      <c r="Y21" s="7">
        <v>9</v>
      </c>
      <c r="Z21" s="7">
        <v>16</v>
      </c>
      <c r="AA21" s="501" t="s">
        <v>391</v>
      </c>
      <c r="AB21" s="7">
        <v>2</v>
      </c>
      <c r="AC21" s="7">
        <v>9</v>
      </c>
      <c r="AD21" s="7">
        <v>16</v>
      </c>
      <c r="AE21" s="7">
        <v>23</v>
      </c>
      <c r="AF21" s="501" t="s">
        <v>392</v>
      </c>
      <c r="AG21" s="7">
        <v>6</v>
      </c>
      <c r="AH21" s="7">
        <v>13</v>
      </c>
      <c r="AI21" s="7">
        <v>20</v>
      </c>
      <c r="AJ21" s="501" t="s">
        <v>393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501" t="s">
        <v>394</v>
      </c>
      <c r="AT21" s="7">
        <v>6</v>
      </c>
      <c r="AU21" s="7">
        <v>13</v>
      </c>
      <c r="AV21" s="7">
        <v>20</v>
      </c>
      <c r="AW21" s="501" t="s">
        <v>395</v>
      </c>
      <c r="AX21" s="7">
        <v>2</v>
      </c>
      <c r="AY21" s="7">
        <v>9</v>
      </c>
      <c r="AZ21" s="7">
        <v>16</v>
      </c>
      <c r="BA21" s="7">
        <v>23</v>
      </c>
      <c r="BB21" s="518"/>
      <c r="BC21" s="519"/>
      <c r="BD21" s="520"/>
      <c r="BE21" s="518"/>
      <c r="BF21" s="519"/>
      <c r="BG21" s="520"/>
      <c r="BH21" s="489"/>
      <c r="BI21" s="489"/>
      <c r="BJ21" s="489"/>
      <c r="BK21" s="489"/>
      <c r="BL21" s="489"/>
      <c r="BM21" s="489"/>
      <c r="BN21" s="489"/>
    </row>
    <row r="22" spans="1:66" ht="18" customHeight="1">
      <c r="A22" s="486"/>
      <c r="B22" s="4">
        <v>7</v>
      </c>
      <c r="C22" s="4">
        <v>14</v>
      </c>
      <c r="D22" s="4">
        <v>21</v>
      </c>
      <c r="E22" s="4">
        <v>28</v>
      </c>
      <c r="F22" s="502"/>
      <c r="G22" s="4">
        <v>12</v>
      </c>
      <c r="H22" s="4">
        <v>19</v>
      </c>
      <c r="I22" s="4">
        <v>26</v>
      </c>
      <c r="J22" s="502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502"/>
      <c r="T22" s="4">
        <v>11</v>
      </c>
      <c r="U22" s="4">
        <v>18</v>
      </c>
      <c r="V22" s="4">
        <v>25</v>
      </c>
      <c r="W22" s="502"/>
      <c r="X22" s="4">
        <v>8</v>
      </c>
      <c r="Y22" s="4">
        <v>15</v>
      </c>
      <c r="Z22" s="4">
        <v>22</v>
      </c>
      <c r="AA22" s="502"/>
      <c r="AB22" s="4">
        <v>8</v>
      </c>
      <c r="AC22" s="4">
        <v>15</v>
      </c>
      <c r="AD22" s="4">
        <v>22</v>
      </c>
      <c r="AE22" s="4">
        <v>29</v>
      </c>
      <c r="AF22" s="502"/>
      <c r="AG22" s="4">
        <v>12</v>
      </c>
      <c r="AH22" s="4">
        <v>19</v>
      </c>
      <c r="AI22" s="4">
        <v>26</v>
      </c>
      <c r="AJ22" s="502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502"/>
      <c r="AT22" s="4">
        <v>12</v>
      </c>
      <c r="AU22" s="4">
        <v>19</v>
      </c>
      <c r="AV22" s="4">
        <v>26</v>
      </c>
      <c r="AW22" s="502"/>
      <c r="AX22" s="4">
        <v>8</v>
      </c>
      <c r="AY22" s="4">
        <v>15</v>
      </c>
      <c r="AZ22" s="4">
        <v>22</v>
      </c>
      <c r="BA22" s="4">
        <v>31</v>
      </c>
      <c r="BB22" s="521"/>
      <c r="BC22" s="522"/>
      <c r="BD22" s="523"/>
      <c r="BE22" s="521"/>
      <c r="BF22" s="522"/>
      <c r="BG22" s="523"/>
      <c r="BH22" s="489"/>
      <c r="BI22" s="489"/>
      <c r="BJ22" s="489"/>
      <c r="BK22" s="489"/>
      <c r="BL22" s="489"/>
      <c r="BM22" s="489"/>
      <c r="BN22" s="489"/>
    </row>
    <row r="23" spans="1:66" ht="15.75" customHeight="1">
      <c r="A23" s="487"/>
      <c r="B23" s="222">
        <v>1</v>
      </c>
      <c r="C23" s="222">
        <v>2</v>
      </c>
      <c r="D23" s="222">
        <v>3</v>
      </c>
      <c r="E23" s="222">
        <v>4</v>
      </c>
      <c r="F23" s="222">
        <v>5</v>
      </c>
      <c r="G23" s="222">
        <v>6</v>
      </c>
      <c r="H23" s="222">
        <v>7</v>
      </c>
      <c r="I23" s="222">
        <v>8</v>
      </c>
      <c r="J23" s="222">
        <v>9</v>
      </c>
      <c r="K23" s="222">
        <v>10</v>
      </c>
      <c r="L23" s="222">
        <v>11</v>
      </c>
      <c r="M23" s="222">
        <v>12</v>
      </c>
      <c r="N23" s="222">
        <v>13</v>
      </c>
      <c r="O23" s="222">
        <v>14</v>
      </c>
      <c r="P23" s="222">
        <v>15</v>
      </c>
      <c r="Q23" s="222">
        <v>16</v>
      </c>
      <c r="R23" s="222">
        <v>17</v>
      </c>
      <c r="S23" s="222">
        <v>18</v>
      </c>
      <c r="T23" s="222">
        <v>19</v>
      </c>
      <c r="U23" s="222">
        <v>20</v>
      </c>
      <c r="V23" s="222">
        <v>21</v>
      </c>
      <c r="W23" s="222">
        <v>22</v>
      </c>
      <c r="X23" s="222">
        <v>23</v>
      </c>
      <c r="Y23" s="222">
        <v>24</v>
      </c>
      <c r="Z23" s="222">
        <v>25</v>
      </c>
      <c r="AA23" s="222">
        <v>26</v>
      </c>
      <c r="AB23" s="222">
        <v>27</v>
      </c>
      <c r="AC23" s="222">
        <v>28</v>
      </c>
      <c r="AD23" s="222">
        <v>29</v>
      </c>
      <c r="AE23" s="222">
        <v>30</v>
      </c>
      <c r="AF23" s="222">
        <v>31</v>
      </c>
      <c r="AG23" s="222">
        <v>32</v>
      </c>
      <c r="AH23" s="222">
        <v>33</v>
      </c>
      <c r="AI23" s="222">
        <v>34</v>
      </c>
      <c r="AJ23" s="222">
        <v>35</v>
      </c>
      <c r="AK23" s="222">
        <v>36</v>
      </c>
      <c r="AL23" s="222">
        <v>37</v>
      </c>
      <c r="AM23" s="222">
        <v>38</v>
      </c>
      <c r="AN23" s="222">
        <v>39</v>
      </c>
      <c r="AO23" s="222">
        <v>40</v>
      </c>
      <c r="AP23" s="222">
        <v>41</v>
      </c>
      <c r="AQ23" s="222">
        <v>42</v>
      </c>
      <c r="AR23" s="222">
        <v>43</v>
      </c>
      <c r="AS23" s="222">
        <v>44</v>
      </c>
      <c r="AT23" s="222">
        <v>45</v>
      </c>
      <c r="AU23" s="222">
        <v>46</v>
      </c>
      <c r="AV23" s="222">
        <v>47</v>
      </c>
      <c r="AW23" s="222">
        <v>48</v>
      </c>
      <c r="AX23" s="222">
        <v>49</v>
      </c>
      <c r="AY23" s="222">
        <v>50</v>
      </c>
      <c r="AZ23" s="222">
        <v>51</v>
      </c>
      <c r="BA23" s="222">
        <v>52</v>
      </c>
      <c r="BB23" s="4" t="s">
        <v>74</v>
      </c>
      <c r="BC23" s="4" t="s">
        <v>33</v>
      </c>
      <c r="BD23" s="4" t="s">
        <v>61</v>
      </c>
      <c r="BE23" s="4" t="s">
        <v>74</v>
      </c>
      <c r="BF23" s="4" t="s">
        <v>33</v>
      </c>
      <c r="BG23" s="4" t="s">
        <v>61</v>
      </c>
      <c r="BH23" s="490"/>
      <c r="BI23" s="490"/>
      <c r="BJ23" s="490"/>
      <c r="BK23" s="490"/>
      <c r="BL23" s="490"/>
      <c r="BM23" s="490"/>
      <c r="BN23" s="490"/>
    </row>
    <row r="24" spans="1:66" ht="15.75" customHeight="1">
      <c r="A24" s="8">
        <v>1</v>
      </c>
      <c r="B24" s="223" t="s">
        <v>74</v>
      </c>
      <c r="C24" s="223" t="s">
        <v>74</v>
      </c>
      <c r="D24" s="223" t="s">
        <v>74</v>
      </c>
      <c r="E24" s="223" t="s">
        <v>74</v>
      </c>
      <c r="F24" s="223" t="s">
        <v>74</v>
      </c>
      <c r="G24" s="223" t="s">
        <v>74</v>
      </c>
      <c r="H24" s="223" t="s">
        <v>74</v>
      </c>
      <c r="I24" s="223" t="s">
        <v>74</v>
      </c>
      <c r="J24" s="223" t="s">
        <v>74</v>
      </c>
      <c r="K24" s="223" t="s">
        <v>74</v>
      </c>
      <c r="L24" s="223" t="s">
        <v>74</v>
      </c>
      <c r="M24" s="223" t="s">
        <v>74</v>
      </c>
      <c r="N24" s="223" t="s">
        <v>74</v>
      </c>
      <c r="O24" s="223" t="s">
        <v>74</v>
      </c>
      <c r="P24" s="223" t="s">
        <v>74</v>
      </c>
      <c r="Q24" s="223" t="s">
        <v>74</v>
      </c>
      <c r="R24" s="223" t="s">
        <v>74</v>
      </c>
      <c r="S24" s="223" t="s">
        <v>28</v>
      </c>
      <c r="T24" s="223" t="s">
        <v>28</v>
      </c>
      <c r="U24" s="223" t="s">
        <v>33</v>
      </c>
      <c r="V24" s="223" t="s">
        <v>33</v>
      </c>
      <c r="W24" s="223" t="s">
        <v>33</v>
      </c>
      <c r="X24" s="223" t="s">
        <v>33</v>
      </c>
      <c r="Y24" s="223" t="s">
        <v>33</v>
      </c>
      <c r="Z24" s="223" t="s">
        <v>33</v>
      </c>
      <c r="AA24" s="223" t="s">
        <v>33</v>
      </c>
      <c r="AB24" s="223" t="s">
        <v>33</v>
      </c>
      <c r="AC24" s="223" t="s">
        <v>33</v>
      </c>
      <c r="AD24" s="223" t="s">
        <v>33</v>
      </c>
      <c r="AE24" s="223" t="s">
        <v>33</v>
      </c>
      <c r="AF24" s="223" t="s">
        <v>33</v>
      </c>
      <c r="AG24" s="223" t="s">
        <v>33</v>
      </c>
      <c r="AH24" s="223" t="s">
        <v>33</v>
      </c>
      <c r="AI24" s="223" t="s">
        <v>33</v>
      </c>
      <c r="AJ24" s="223" t="s">
        <v>33</v>
      </c>
      <c r="AK24" s="223" t="s">
        <v>33</v>
      </c>
      <c r="AL24" s="223" t="s">
        <v>33</v>
      </c>
      <c r="AM24" s="223" t="s">
        <v>33</v>
      </c>
      <c r="AN24" s="223" t="s">
        <v>33</v>
      </c>
      <c r="AO24" s="223" t="s">
        <v>33</v>
      </c>
      <c r="AP24" s="223" t="s">
        <v>33</v>
      </c>
      <c r="AQ24" s="223" t="s">
        <v>175</v>
      </c>
      <c r="AR24" s="223" t="s">
        <v>175</v>
      </c>
      <c r="AS24" s="223" t="s">
        <v>28</v>
      </c>
      <c r="AT24" s="223" t="s">
        <v>28</v>
      </c>
      <c r="AU24" s="223" t="s">
        <v>28</v>
      </c>
      <c r="AV24" s="223" t="s">
        <v>28</v>
      </c>
      <c r="AW24" s="223" t="s">
        <v>28</v>
      </c>
      <c r="AX24" s="223" t="s">
        <v>28</v>
      </c>
      <c r="AY24" s="223" t="s">
        <v>28</v>
      </c>
      <c r="AZ24" s="223" t="s">
        <v>28</v>
      </c>
      <c r="BA24" s="223" t="s">
        <v>28</v>
      </c>
      <c r="BB24" s="20">
        <f>COUNTIF(B24:BA24,"о")</f>
        <v>17</v>
      </c>
      <c r="BC24" s="20">
        <f>COUNTIF(B24:BA24,"в")</f>
        <v>22</v>
      </c>
      <c r="BD24" s="20">
        <f>SUM(BB24:BC24)</f>
        <v>39</v>
      </c>
      <c r="BE24" s="20">
        <f>COUNTIF(B24:BA24,$R$31)</f>
        <v>0</v>
      </c>
      <c r="BF24" s="20">
        <f>COUNTIF(B24:BA24,$R$33)</f>
        <v>2</v>
      </c>
      <c r="BG24" s="20">
        <f>SUM(BE24:BF24)</f>
        <v>2</v>
      </c>
      <c r="BH24" s="20">
        <f>COUNTIF(B24:BA24,$AF$31)</f>
        <v>0</v>
      </c>
      <c r="BI24" s="20">
        <f>COUNTIF(B24:BA24,$AF$33)</f>
        <v>0</v>
      </c>
      <c r="BJ24" s="20">
        <f>COUNTIF(B24:BA24,$AQ$31)</f>
        <v>0</v>
      </c>
      <c r="BK24" s="20">
        <f>COUNTIF(B24:BA24,$AZ$31)</f>
        <v>0</v>
      </c>
      <c r="BL24" s="20">
        <f>COUNTIF(B24:BA24,$AQ$33)</f>
        <v>0</v>
      </c>
      <c r="BM24" s="20">
        <f>COUNTIF(B24:BA24,$AZ$33)</f>
        <v>11</v>
      </c>
      <c r="BN24" s="20">
        <f>SUM(BG24:BM24)+BD24</f>
        <v>52</v>
      </c>
    </row>
    <row r="25" spans="1:66" ht="15.75" customHeight="1">
      <c r="A25" s="8">
        <v>2</v>
      </c>
      <c r="B25" s="223" t="s">
        <v>74</v>
      </c>
      <c r="C25" s="223" t="s">
        <v>74</v>
      </c>
      <c r="D25" s="223" t="s">
        <v>74</v>
      </c>
      <c r="E25" s="223" t="s">
        <v>74</v>
      </c>
      <c r="F25" s="223" t="s">
        <v>74</v>
      </c>
      <c r="G25" s="223" t="s">
        <v>74</v>
      </c>
      <c r="H25" s="223" t="s">
        <v>74</v>
      </c>
      <c r="I25" s="223" t="s">
        <v>74</v>
      </c>
      <c r="J25" s="223" t="s">
        <v>74</v>
      </c>
      <c r="K25" s="223" t="s">
        <v>74</v>
      </c>
      <c r="L25" s="223" t="s">
        <v>74</v>
      </c>
      <c r="M25" s="223" t="s">
        <v>74</v>
      </c>
      <c r="N25" s="223" t="s">
        <v>74</v>
      </c>
      <c r="O25" s="223" t="s">
        <v>74</v>
      </c>
      <c r="P25" s="223" t="s">
        <v>74</v>
      </c>
      <c r="Q25" s="223" t="s">
        <v>74</v>
      </c>
      <c r="R25" s="223" t="s">
        <v>174</v>
      </c>
      <c r="S25" s="223" t="s">
        <v>28</v>
      </c>
      <c r="T25" s="223" t="s">
        <v>28</v>
      </c>
      <c r="U25" s="223" t="s">
        <v>33</v>
      </c>
      <c r="V25" s="223" t="s">
        <v>33</v>
      </c>
      <c r="W25" s="223" t="s">
        <v>33</v>
      </c>
      <c r="X25" s="223" t="s">
        <v>33</v>
      </c>
      <c r="Y25" s="223" t="s">
        <v>33</v>
      </c>
      <c r="Z25" s="223" t="s">
        <v>33</v>
      </c>
      <c r="AA25" s="223" t="s">
        <v>33</v>
      </c>
      <c r="AB25" s="223" t="s">
        <v>33</v>
      </c>
      <c r="AC25" s="223" t="s">
        <v>33</v>
      </c>
      <c r="AD25" s="223" t="s">
        <v>33</v>
      </c>
      <c r="AE25" s="223" t="s">
        <v>33</v>
      </c>
      <c r="AF25" s="223" t="s">
        <v>33</v>
      </c>
      <c r="AG25" s="223" t="s">
        <v>33</v>
      </c>
      <c r="AH25" s="223" t="s">
        <v>33</v>
      </c>
      <c r="AI25" s="223" t="s">
        <v>33</v>
      </c>
      <c r="AJ25" s="223" t="s">
        <v>33</v>
      </c>
      <c r="AK25" s="223" t="s">
        <v>33</v>
      </c>
      <c r="AL25" s="223" t="s">
        <v>33</v>
      </c>
      <c r="AM25" s="223" t="s">
        <v>33</v>
      </c>
      <c r="AN25" s="223" t="s">
        <v>175</v>
      </c>
      <c r="AO25" s="223" t="s">
        <v>52</v>
      </c>
      <c r="AP25" s="223" t="s">
        <v>52</v>
      </c>
      <c r="AQ25" s="223" t="s">
        <v>52</v>
      </c>
      <c r="AR25" s="223" t="s">
        <v>52</v>
      </c>
      <c r="AS25" s="223" t="s">
        <v>28</v>
      </c>
      <c r="AT25" s="223" t="s">
        <v>28</v>
      </c>
      <c r="AU25" s="223" t="s">
        <v>28</v>
      </c>
      <c r="AV25" s="223" t="s">
        <v>28</v>
      </c>
      <c r="AW25" s="223" t="s">
        <v>28</v>
      </c>
      <c r="AX25" s="223" t="s">
        <v>28</v>
      </c>
      <c r="AY25" s="223" t="s">
        <v>28</v>
      </c>
      <c r="AZ25" s="223" t="s">
        <v>28</v>
      </c>
      <c r="BA25" s="223" t="s">
        <v>28</v>
      </c>
      <c r="BB25" s="20">
        <f>COUNTIF(B25:BA25,"о")</f>
        <v>16</v>
      </c>
      <c r="BC25" s="20">
        <f>COUNTIF(B25:BA25,"в")</f>
        <v>19</v>
      </c>
      <c r="BD25" s="20">
        <f>SUM(BB25:BC25)</f>
        <v>35</v>
      </c>
      <c r="BE25" s="20">
        <f>COUNTIF(B25:BA25,$R$31)</f>
        <v>1</v>
      </c>
      <c r="BF25" s="20">
        <f>COUNTIF(B25:BA25,$R$33)</f>
        <v>1</v>
      </c>
      <c r="BG25" s="20">
        <f>SUM(BE25:BF25)</f>
        <v>2</v>
      </c>
      <c r="BH25" s="20">
        <f>COUNTIF(B25:BA25,$AF$31)</f>
        <v>4</v>
      </c>
      <c r="BI25" s="20">
        <f>COUNTIF(B25:BA25,$AF$33)</f>
        <v>0</v>
      </c>
      <c r="BJ25" s="20">
        <f>COUNTIF(B25:BA25,$AQ$31)</f>
        <v>0</v>
      </c>
      <c r="BK25" s="20">
        <f>COUNTIF(B25:BA25,$AZ$31)</f>
        <v>0</v>
      </c>
      <c r="BL25" s="20">
        <f>COUNTIF(B25:BA25,$AQ$33)</f>
        <v>0</v>
      </c>
      <c r="BM25" s="20">
        <f>COUNTIF(B25:BA25,$AZ$33)</f>
        <v>11</v>
      </c>
      <c r="BN25" s="20">
        <f>SUM(BG25:BM25)+BD25</f>
        <v>52</v>
      </c>
    </row>
    <row r="26" spans="1:66" ht="13.5" customHeight="1">
      <c r="A26" s="8">
        <v>3</v>
      </c>
      <c r="B26" s="223" t="s">
        <v>74</v>
      </c>
      <c r="C26" s="223" t="s">
        <v>74</v>
      </c>
      <c r="D26" s="223" t="s">
        <v>74</v>
      </c>
      <c r="E26" s="223" t="s">
        <v>74</v>
      </c>
      <c r="F26" s="223" t="s">
        <v>74</v>
      </c>
      <c r="G26" s="223" t="s">
        <v>74</v>
      </c>
      <c r="H26" s="223" t="s">
        <v>74</v>
      </c>
      <c r="I26" s="223" t="s">
        <v>74</v>
      </c>
      <c r="J26" s="223" t="s">
        <v>74</v>
      </c>
      <c r="K26" s="223" t="s">
        <v>74</v>
      </c>
      <c r="L26" s="223" t="s">
        <v>74</v>
      </c>
      <c r="M26" s="223" t="s">
        <v>74</v>
      </c>
      <c r="N26" s="223" t="s">
        <v>74</v>
      </c>
      <c r="O26" s="223" t="s">
        <v>74</v>
      </c>
      <c r="P26" s="223" t="s">
        <v>74</v>
      </c>
      <c r="Q26" s="223" t="s">
        <v>74</v>
      </c>
      <c r="R26" s="223" t="s">
        <v>74</v>
      </c>
      <c r="S26" s="223" t="s">
        <v>28</v>
      </c>
      <c r="T26" s="223" t="s">
        <v>28</v>
      </c>
      <c r="U26" s="223" t="s">
        <v>33</v>
      </c>
      <c r="V26" s="223" t="s">
        <v>33</v>
      </c>
      <c r="W26" s="223" t="s">
        <v>33</v>
      </c>
      <c r="X26" s="223" t="s">
        <v>33</v>
      </c>
      <c r="Y26" s="223" t="s">
        <v>33</v>
      </c>
      <c r="Z26" s="223" t="s">
        <v>33</v>
      </c>
      <c r="AA26" s="223" t="s">
        <v>33</v>
      </c>
      <c r="AB26" s="223" t="s">
        <v>33</v>
      </c>
      <c r="AC26" s="223" t="s">
        <v>33</v>
      </c>
      <c r="AD26" s="223" t="s">
        <v>33</v>
      </c>
      <c r="AE26" s="223" t="s">
        <v>33</v>
      </c>
      <c r="AF26" s="223" t="s">
        <v>33</v>
      </c>
      <c r="AG26" s="223" t="s">
        <v>175</v>
      </c>
      <c r="AH26" s="223" t="s">
        <v>28</v>
      </c>
      <c r="AI26" s="223" t="s">
        <v>28</v>
      </c>
      <c r="AJ26" s="223" t="s">
        <v>28</v>
      </c>
      <c r="AK26" s="223" t="s">
        <v>28</v>
      </c>
      <c r="AL26" s="223" t="s">
        <v>28</v>
      </c>
      <c r="AM26" s="223" t="s">
        <v>28</v>
      </c>
      <c r="AN26" s="223" t="s">
        <v>28</v>
      </c>
      <c r="AO26" s="223" t="s">
        <v>28</v>
      </c>
      <c r="AP26" s="223" t="s">
        <v>53</v>
      </c>
      <c r="AQ26" s="223" t="s">
        <v>53</v>
      </c>
      <c r="AR26" s="223" t="s">
        <v>53</v>
      </c>
      <c r="AS26" s="223" t="s">
        <v>53</v>
      </c>
      <c r="AT26" s="223" t="s">
        <v>53</v>
      </c>
      <c r="AU26" s="223" t="s">
        <v>53</v>
      </c>
      <c r="AV26" s="223" t="s">
        <v>53</v>
      </c>
      <c r="AW26" s="223" t="s">
        <v>53</v>
      </c>
      <c r="AX26" s="223" t="s">
        <v>53</v>
      </c>
      <c r="AY26" s="223" t="s">
        <v>53</v>
      </c>
      <c r="AZ26" s="223" t="s">
        <v>53</v>
      </c>
      <c r="BA26" s="223" t="s">
        <v>53</v>
      </c>
      <c r="BB26" s="20">
        <f>COUNTIF(B26:BA26,"о")</f>
        <v>17</v>
      </c>
      <c r="BC26" s="20">
        <f>COUNTIF(B26:BA26,"в")</f>
        <v>12</v>
      </c>
      <c r="BD26" s="20">
        <f>SUM(BB26:BC26)</f>
        <v>29</v>
      </c>
      <c r="BE26" s="20">
        <f>COUNTIF(B26:BA26,$R$31)</f>
        <v>0</v>
      </c>
      <c r="BF26" s="20">
        <f>COUNTIF(B26:BA26,$R$33)</f>
        <v>1</v>
      </c>
      <c r="BG26" s="20">
        <f>SUM(BE26:BF26)</f>
        <v>1</v>
      </c>
      <c r="BH26" s="20">
        <f>COUNTIF(B26:BA26,$AF$31)</f>
        <v>0</v>
      </c>
      <c r="BI26" s="20">
        <f>COUNTIF(B26:BA26,$AF$33)</f>
        <v>12</v>
      </c>
      <c r="BJ26" s="20">
        <f>COUNTIF(B26:BA26,$AQ$31)</f>
        <v>0</v>
      </c>
      <c r="BK26" s="20">
        <f>COUNTIF(B26:BA26,$AZ$31)</f>
        <v>0</v>
      </c>
      <c r="BL26" s="20">
        <f>COUNTIF(B26:BA26,$AQ$33)</f>
        <v>0</v>
      </c>
      <c r="BM26" s="20">
        <f>COUNTIF(B26:BA26,$AZ$33)</f>
        <v>10</v>
      </c>
      <c r="BN26" s="20">
        <f>SUM(BG26:BM26)+BD26</f>
        <v>52</v>
      </c>
    </row>
    <row r="27" spans="1:66" ht="15.75" customHeight="1">
      <c r="A27" s="8">
        <v>4</v>
      </c>
      <c r="B27" s="223" t="s">
        <v>53</v>
      </c>
      <c r="C27" s="223" t="s">
        <v>53</v>
      </c>
      <c r="D27" s="223" t="s">
        <v>53</v>
      </c>
      <c r="E27" s="223" t="s">
        <v>53</v>
      </c>
      <c r="F27" s="223" t="s">
        <v>53</v>
      </c>
      <c r="G27" s="223" t="s">
        <v>53</v>
      </c>
      <c r="H27" s="223" t="s">
        <v>53</v>
      </c>
      <c r="I27" s="223" t="s">
        <v>53</v>
      </c>
      <c r="J27" s="223" t="s">
        <v>53</v>
      </c>
      <c r="K27" s="223" t="s">
        <v>74</v>
      </c>
      <c r="L27" s="223" t="s">
        <v>74</v>
      </c>
      <c r="M27" s="223" t="s">
        <v>74</v>
      </c>
      <c r="N27" s="223" t="s">
        <v>74</v>
      </c>
      <c r="O27" s="223" t="s">
        <v>74</v>
      </c>
      <c r="P27" s="223" t="s">
        <v>74</v>
      </c>
      <c r="Q27" s="223" t="s">
        <v>74</v>
      </c>
      <c r="R27" s="223" t="s">
        <v>74</v>
      </c>
      <c r="S27" s="223" t="s">
        <v>28</v>
      </c>
      <c r="T27" s="223" t="s">
        <v>28</v>
      </c>
      <c r="U27" s="223" t="s">
        <v>33</v>
      </c>
      <c r="V27" s="223" t="s">
        <v>33</v>
      </c>
      <c r="W27" s="223" t="s">
        <v>33</v>
      </c>
      <c r="X27" s="223" t="s">
        <v>33</v>
      </c>
      <c r="Y27" s="223" t="s">
        <v>33</v>
      </c>
      <c r="Z27" s="223" t="s">
        <v>33</v>
      </c>
      <c r="AA27" s="223" t="s">
        <v>33</v>
      </c>
      <c r="AB27" s="223" t="s">
        <v>33</v>
      </c>
      <c r="AC27" s="223" t="s">
        <v>33</v>
      </c>
      <c r="AD27" s="223" t="s">
        <v>33</v>
      </c>
      <c r="AE27" s="223" t="s">
        <v>33</v>
      </c>
      <c r="AF27" s="223" t="s">
        <v>33</v>
      </c>
      <c r="AG27" s="223" t="s">
        <v>175</v>
      </c>
      <c r="AH27" s="223" t="s">
        <v>175</v>
      </c>
      <c r="AI27" s="223" t="s">
        <v>53</v>
      </c>
      <c r="AJ27" s="223" t="s">
        <v>53</v>
      </c>
      <c r="AK27" s="223" t="s">
        <v>53</v>
      </c>
      <c r="AL27" s="223" t="s">
        <v>53</v>
      </c>
      <c r="AM27" s="223" t="s">
        <v>29</v>
      </c>
      <c r="AN27" s="223" t="s">
        <v>29</v>
      </c>
      <c r="AO27" s="223" t="s">
        <v>29</v>
      </c>
      <c r="AP27" s="223" t="s">
        <v>29</v>
      </c>
      <c r="AQ27" s="223" t="s">
        <v>32</v>
      </c>
      <c r="AR27" s="223" t="s">
        <v>32</v>
      </c>
      <c r="AS27" s="223" t="s">
        <v>25</v>
      </c>
      <c r="AT27" s="223" t="s">
        <v>25</v>
      </c>
      <c r="AU27" s="223" t="s">
        <v>25</v>
      </c>
      <c r="AV27" s="223" t="s">
        <v>25</v>
      </c>
      <c r="AW27" s="223" t="s">
        <v>25</v>
      </c>
      <c r="AX27" s="223" t="s">
        <v>25</v>
      </c>
      <c r="AY27" s="223" t="s">
        <v>25</v>
      </c>
      <c r="AZ27" s="223" t="s">
        <v>25</v>
      </c>
      <c r="BA27" s="223" t="s">
        <v>25</v>
      </c>
      <c r="BB27" s="20">
        <f>COUNTIF(B27:BA27,"о")</f>
        <v>8</v>
      </c>
      <c r="BC27" s="20">
        <f>COUNTIF(B27:BA27,"в")</f>
        <v>12</v>
      </c>
      <c r="BD27" s="20">
        <f>SUM(BB27:BC27)</f>
        <v>20</v>
      </c>
      <c r="BE27" s="20">
        <f>COUNTIF(B27:BA27,$R$31)</f>
        <v>0</v>
      </c>
      <c r="BF27" s="20">
        <f>COUNTIF(B27:BA27,$R$33)</f>
        <v>2</v>
      </c>
      <c r="BG27" s="20">
        <f>SUM(BE27:BF27)</f>
        <v>2</v>
      </c>
      <c r="BH27" s="20">
        <f>COUNTIF(B27:BA27,$AF$31)</f>
        <v>0</v>
      </c>
      <c r="BI27" s="20">
        <f>COUNTIF(B27:BA27,$AF$33)</f>
        <v>13</v>
      </c>
      <c r="BJ27" s="20">
        <f>COUNTIF(B27:BA27,$AQ$31)</f>
        <v>4</v>
      </c>
      <c r="BK27" s="20">
        <f>COUNTIF(B27:BA27,$AZ$31)</f>
        <v>0</v>
      </c>
      <c r="BL27" s="20">
        <f>COUNTIF(B27:BA27,$AQ$33)</f>
        <v>2</v>
      </c>
      <c r="BM27" s="20">
        <f>COUNTIF(B27:BA27,$AZ$33)</f>
        <v>2</v>
      </c>
      <c r="BN27" s="20">
        <f>SUM(BG27:BM27)+BD27</f>
        <v>43</v>
      </c>
    </row>
    <row r="28" spans="1:66" ht="15.75" customHeight="1" hidden="1">
      <c r="A28" s="8">
        <v>5</v>
      </c>
      <c r="B28" s="223" t="s">
        <v>25</v>
      </c>
      <c r="C28" s="223" t="s">
        <v>25</v>
      </c>
      <c r="D28" s="223" t="s">
        <v>25</v>
      </c>
      <c r="E28" s="223" t="s">
        <v>25</v>
      </c>
      <c r="F28" s="223" t="s">
        <v>25</v>
      </c>
      <c r="G28" s="223" t="s">
        <v>25</v>
      </c>
      <c r="H28" s="223" t="s">
        <v>25</v>
      </c>
      <c r="I28" s="223" t="s">
        <v>25</v>
      </c>
      <c r="J28" s="223" t="s">
        <v>25</v>
      </c>
      <c r="K28" s="223" t="s">
        <v>25</v>
      </c>
      <c r="L28" s="223" t="s">
        <v>25</v>
      </c>
      <c r="M28" s="223" t="s">
        <v>25</v>
      </c>
      <c r="N28" s="223" t="s">
        <v>25</v>
      </c>
      <c r="O28" s="223" t="s">
        <v>25</v>
      </c>
      <c r="P28" s="223" t="s">
        <v>25</v>
      </c>
      <c r="Q28" s="223" t="s">
        <v>25</v>
      </c>
      <c r="R28" s="223" t="s">
        <v>25</v>
      </c>
      <c r="S28" s="223" t="s">
        <v>25</v>
      </c>
      <c r="T28" s="223" t="s">
        <v>25</v>
      </c>
      <c r="U28" s="223" t="s">
        <v>25</v>
      </c>
      <c r="V28" s="223" t="s">
        <v>25</v>
      </c>
      <c r="W28" s="223" t="s">
        <v>25</v>
      </c>
      <c r="X28" s="223" t="s">
        <v>25</v>
      </c>
      <c r="Y28" s="223" t="s">
        <v>25</v>
      </c>
      <c r="Z28" s="223" t="s">
        <v>25</v>
      </c>
      <c r="AA28" s="223" t="s">
        <v>25</v>
      </c>
      <c r="AB28" s="223" t="s">
        <v>25</v>
      </c>
      <c r="AC28" s="223" t="s">
        <v>25</v>
      </c>
      <c r="AD28" s="223" t="s">
        <v>25</v>
      </c>
      <c r="AE28" s="223" t="s">
        <v>25</v>
      </c>
      <c r="AF28" s="223" t="s">
        <v>25</v>
      </c>
      <c r="AG28" s="223" t="s">
        <v>25</v>
      </c>
      <c r="AH28" s="223" t="s">
        <v>25</v>
      </c>
      <c r="AI28" s="223" t="s">
        <v>25</v>
      </c>
      <c r="AJ28" s="223" t="s">
        <v>25</v>
      </c>
      <c r="AK28" s="223" t="s">
        <v>25</v>
      </c>
      <c r="AL28" s="223" t="s">
        <v>25</v>
      </c>
      <c r="AM28" s="223" t="s">
        <v>25</v>
      </c>
      <c r="AN28" s="223" t="s">
        <v>25</v>
      </c>
      <c r="AO28" s="223" t="s">
        <v>25</v>
      </c>
      <c r="AP28" s="223" t="s">
        <v>25</v>
      </c>
      <c r="AQ28" s="223" t="s">
        <v>25</v>
      </c>
      <c r="AR28" s="223" t="s">
        <v>25</v>
      </c>
      <c r="AS28" s="223" t="s">
        <v>25</v>
      </c>
      <c r="AT28" s="223" t="s">
        <v>25</v>
      </c>
      <c r="AU28" s="223" t="s">
        <v>25</v>
      </c>
      <c r="AV28" s="223" t="s">
        <v>25</v>
      </c>
      <c r="AW28" s="223" t="s">
        <v>25</v>
      </c>
      <c r="AX28" s="223" t="s">
        <v>25</v>
      </c>
      <c r="AY28" s="223" t="s">
        <v>25</v>
      </c>
      <c r="AZ28" s="223" t="s">
        <v>25</v>
      </c>
      <c r="BA28" s="223" t="s">
        <v>25</v>
      </c>
      <c r="BB28" s="20">
        <f>COUNTIF(B28:BA28,"о")</f>
        <v>0</v>
      </c>
      <c r="BC28" s="20">
        <f>COUNTIF(B28:BA28,"в")</f>
        <v>0</v>
      </c>
      <c r="BD28" s="20">
        <f>SUM(BB28:BC28)</f>
        <v>0</v>
      </c>
      <c r="BE28" s="20">
        <f>COUNTIF(B28:BA28,$R$31)</f>
        <v>0</v>
      </c>
      <c r="BF28" s="20">
        <f>COUNTIF(B28:BA28,$R$33)</f>
        <v>0</v>
      </c>
      <c r="BG28" s="20">
        <f>SUM(BE28:BF28)</f>
        <v>0</v>
      </c>
      <c r="BH28" s="20">
        <f>COUNTIF(B28:BA28,$AF$31)</f>
        <v>0</v>
      </c>
      <c r="BI28" s="20">
        <f>COUNTIF(B28:BA28,$AF$33)</f>
        <v>0</v>
      </c>
      <c r="BJ28" s="20">
        <f>COUNTIF(B28:BA28,$AQ$31)</f>
        <v>0</v>
      </c>
      <c r="BK28" s="20">
        <f>COUNTIF(B28:BA28,$AZ$31)</f>
        <v>0</v>
      </c>
      <c r="BL28" s="20">
        <f>COUNTIF(B28:BA28,$AQ$33)</f>
        <v>0</v>
      </c>
      <c r="BM28" s="20">
        <f>COUNTIF(B28:BA28,$AZ$33)</f>
        <v>0</v>
      </c>
      <c r="BN28" s="20">
        <f>SUM(BG28:BM28)+BD28</f>
        <v>0</v>
      </c>
    </row>
    <row r="29" spans="1:66" ht="15.7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533" t="s">
        <v>57</v>
      </c>
      <c r="AZ29" s="533"/>
      <c r="BA29" s="533"/>
      <c r="BB29" s="10">
        <f aca="true" t="shared" si="0" ref="BB29:BN29">SUM(BB24:BB28)</f>
        <v>58</v>
      </c>
      <c r="BC29" s="10">
        <f t="shared" si="0"/>
        <v>65</v>
      </c>
      <c r="BD29" s="10">
        <f t="shared" si="0"/>
        <v>123</v>
      </c>
      <c r="BE29" s="10">
        <f t="shared" si="0"/>
        <v>1</v>
      </c>
      <c r="BF29" s="10">
        <f t="shared" si="0"/>
        <v>6</v>
      </c>
      <c r="BG29" s="10">
        <f t="shared" si="0"/>
        <v>7</v>
      </c>
      <c r="BH29" s="10">
        <f t="shared" si="0"/>
        <v>4</v>
      </c>
      <c r="BI29" s="10">
        <f t="shared" si="0"/>
        <v>25</v>
      </c>
      <c r="BJ29" s="10">
        <f t="shared" si="0"/>
        <v>4</v>
      </c>
      <c r="BK29" s="10">
        <f t="shared" si="0"/>
        <v>0</v>
      </c>
      <c r="BL29" s="10">
        <f t="shared" si="0"/>
        <v>2</v>
      </c>
      <c r="BM29" s="10">
        <f t="shared" si="0"/>
        <v>34</v>
      </c>
      <c r="BN29" s="10">
        <f t="shared" si="0"/>
        <v>199</v>
      </c>
    </row>
    <row r="30" spans="1:66" ht="10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</row>
    <row r="31" spans="1:66" s="5" customFormat="1" ht="11.25" customHeight="1">
      <c r="A31" s="32"/>
      <c r="B31" s="19" t="s">
        <v>74</v>
      </c>
      <c r="C31" s="33" t="s">
        <v>21</v>
      </c>
      <c r="D31" s="528" t="s">
        <v>75</v>
      </c>
      <c r="E31" s="528"/>
      <c r="F31" s="528"/>
      <c r="G31" s="528"/>
      <c r="H31" s="528"/>
      <c r="I31" s="528"/>
      <c r="J31" s="528"/>
      <c r="K31" s="528"/>
      <c r="L31" s="528"/>
      <c r="M31" s="528"/>
      <c r="N31" s="528"/>
      <c r="O31" s="528"/>
      <c r="P31" s="528"/>
      <c r="Q31" s="528"/>
      <c r="R31" s="13" t="s">
        <v>174</v>
      </c>
      <c r="S31" s="33" t="s">
        <v>21</v>
      </c>
      <c r="T31" s="528" t="s">
        <v>172</v>
      </c>
      <c r="U31" s="528"/>
      <c r="V31" s="528"/>
      <c r="W31" s="528"/>
      <c r="X31" s="528"/>
      <c r="Y31" s="528"/>
      <c r="Z31" s="528"/>
      <c r="AA31" s="528"/>
      <c r="AB31" s="528"/>
      <c r="AC31" s="528"/>
      <c r="AD31" s="528"/>
      <c r="AE31" s="528"/>
      <c r="AF31" s="15" t="s">
        <v>52</v>
      </c>
      <c r="AG31" s="33" t="s">
        <v>21</v>
      </c>
      <c r="AH31" s="531" t="s">
        <v>22</v>
      </c>
      <c r="AI31" s="531"/>
      <c r="AJ31" s="531"/>
      <c r="AK31" s="531"/>
      <c r="AL31" s="531"/>
      <c r="AM31" s="531"/>
      <c r="AN31" s="531"/>
      <c r="AO31" s="531"/>
      <c r="AP31" s="531"/>
      <c r="AQ31" s="13" t="s">
        <v>29</v>
      </c>
      <c r="AR31" s="33" t="s">
        <v>21</v>
      </c>
      <c r="AS31" s="528" t="s">
        <v>54</v>
      </c>
      <c r="AT31" s="528"/>
      <c r="AU31" s="528"/>
      <c r="AV31" s="528"/>
      <c r="AW31" s="528"/>
      <c r="AX31" s="528"/>
      <c r="AY31" s="528"/>
      <c r="AZ31" s="25"/>
      <c r="BA31" s="33"/>
      <c r="BB31" s="528"/>
      <c r="BC31" s="528"/>
      <c r="BD31" s="528"/>
      <c r="BE31" s="528"/>
      <c r="BF31" s="528"/>
      <c r="BG31" s="528"/>
      <c r="BH31" s="528"/>
      <c r="BI31" s="32"/>
      <c r="BJ31" s="32"/>
      <c r="BK31" s="32"/>
      <c r="BL31" s="32"/>
      <c r="BM31" s="32"/>
      <c r="BN31" s="32"/>
    </row>
    <row r="32" spans="1:66" s="5" customFormat="1" ht="11.25">
      <c r="A32" s="32"/>
      <c r="B32" s="32"/>
      <c r="C32" s="32"/>
      <c r="D32" s="33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4"/>
      <c r="V32" s="33"/>
      <c r="W32" s="34"/>
      <c r="X32" s="34"/>
      <c r="Y32" s="33"/>
      <c r="Z32" s="34"/>
      <c r="AA32" s="34"/>
      <c r="AB32" s="33"/>
      <c r="AC32" s="34"/>
      <c r="AD32" s="34"/>
      <c r="AE32" s="33"/>
      <c r="AF32" s="34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</row>
    <row r="33" spans="1:66" s="5" customFormat="1" ht="11.25" customHeight="1">
      <c r="A33" s="32"/>
      <c r="B33" s="19" t="s">
        <v>33</v>
      </c>
      <c r="C33" s="33" t="s">
        <v>21</v>
      </c>
      <c r="D33" s="528" t="s">
        <v>76</v>
      </c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13" t="s">
        <v>175</v>
      </c>
      <c r="S33" s="33" t="s">
        <v>21</v>
      </c>
      <c r="T33" s="528" t="s">
        <v>173</v>
      </c>
      <c r="U33" s="528"/>
      <c r="V33" s="528"/>
      <c r="W33" s="528"/>
      <c r="X33" s="528"/>
      <c r="Y33" s="528"/>
      <c r="Z33" s="528"/>
      <c r="AA33" s="528"/>
      <c r="AB33" s="528"/>
      <c r="AC33" s="528"/>
      <c r="AD33" s="528"/>
      <c r="AE33" s="528"/>
      <c r="AF33" s="15" t="s">
        <v>53</v>
      </c>
      <c r="AG33" s="33" t="s">
        <v>21</v>
      </c>
      <c r="AH33" s="531" t="s">
        <v>171</v>
      </c>
      <c r="AI33" s="531"/>
      <c r="AJ33" s="531"/>
      <c r="AK33" s="531"/>
      <c r="AL33" s="531"/>
      <c r="AM33" s="531"/>
      <c r="AN33" s="531"/>
      <c r="AO33" s="531"/>
      <c r="AP33" s="531"/>
      <c r="AQ33" s="13" t="s">
        <v>32</v>
      </c>
      <c r="AR33" s="33" t="s">
        <v>21</v>
      </c>
      <c r="AS33" s="531" t="s">
        <v>56</v>
      </c>
      <c r="AT33" s="531"/>
      <c r="AU33" s="531"/>
      <c r="AV33" s="531"/>
      <c r="AW33" s="531"/>
      <c r="AX33" s="531"/>
      <c r="AY33" s="531"/>
      <c r="AZ33" s="16" t="s">
        <v>28</v>
      </c>
      <c r="BA33" s="33" t="s">
        <v>21</v>
      </c>
      <c r="BB33" s="531" t="s">
        <v>170</v>
      </c>
      <c r="BC33" s="531"/>
      <c r="BD33" s="531"/>
      <c r="BE33" s="531"/>
      <c r="BF33" s="531"/>
      <c r="BG33" s="532"/>
      <c r="BH33" s="9" t="s">
        <v>25</v>
      </c>
      <c r="BI33" s="33" t="s">
        <v>21</v>
      </c>
      <c r="BJ33" s="531" t="s">
        <v>44</v>
      </c>
      <c r="BK33" s="531"/>
      <c r="BL33" s="531"/>
      <c r="BM33" s="531"/>
      <c r="BN33" s="531"/>
    </row>
    <row r="34" spans="1:66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</row>
    <row r="35" spans="1:21" ht="12.75" hidden="1">
      <c r="A35" s="12"/>
      <c r="B35" s="14" t="str">
        <f>B31</f>
        <v>о</v>
      </c>
      <c r="D35" s="11" t="s">
        <v>97</v>
      </c>
      <c r="L35" s="537" t="s">
        <v>131</v>
      </c>
      <c r="M35" s="537"/>
      <c r="N35" s="537"/>
      <c r="O35" s="537"/>
      <c r="P35" s="537"/>
      <c r="Q35" s="537"/>
      <c r="R35" s="537"/>
      <c r="S35" s="537"/>
      <c r="T35" s="537"/>
      <c r="U35" s="537"/>
    </row>
    <row r="36" spans="1:64" ht="12.75" hidden="1">
      <c r="A36" s="12"/>
      <c r="B36" s="14" t="str">
        <f>R31</f>
        <v>оа</v>
      </c>
      <c r="D36" s="11" t="s">
        <v>98</v>
      </c>
      <c r="L36" s="537" t="s">
        <v>132</v>
      </c>
      <c r="M36" s="537"/>
      <c r="N36" s="537"/>
      <c r="O36" s="537"/>
      <c r="P36" s="537"/>
      <c r="Q36" s="537"/>
      <c r="R36" s="537"/>
      <c r="S36" s="537"/>
      <c r="T36" s="537"/>
      <c r="U36" s="537"/>
      <c r="BA36" s="5"/>
      <c r="BK36" s="1"/>
      <c r="BL36" s="1"/>
    </row>
    <row r="37" spans="1:64" ht="12.75" hidden="1">
      <c r="A37" s="12"/>
      <c r="B37" s="13" t="str">
        <f>B33</f>
        <v>в</v>
      </c>
      <c r="D37" s="11" t="s">
        <v>99</v>
      </c>
      <c r="L37" s="537" t="s">
        <v>135</v>
      </c>
      <c r="M37" s="537"/>
      <c r="N37" s="537"/>
      <c r="O37" s="537"/>
      <c r="P37" s="537"/>
      <c r="Q37" s="537"/>
      <c r="R37" s="537"/>
      <c r="S37" s="537"/>
      <c r="T37" s="537"/>
      <c r="U37" s="537"/>
      <c r="V37" s="537"/>
      <c r="W37" s="537"/>
      <c r="X37" s="537"/>
      <c r="Y37" s="537"/>
      <c r="Z37" s="537"/>
      <c r="AA37" s="537"/>
      <c r="AB37" s="537"/>
      <c r="AC37" s="537"/>
      <c r="AD37" s="537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2.75" hidden="1">
      <c r="A38" s="12"/>
      <c r="B38" s="13" t="str">
        <f>R33</f>
        <v>ва</v>
      </c>
      <c r="D38" s="11"/>
      <c r="L38" s="537" t="s">
        <v>136</v>
      </c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53" ht="12.75" hidden="1">
      <c r="A39" s="12"/>
      <c r="B39" s="15" t="str">
        <f>AF31</f>
        <v>у</v>
      </c>
      <c r="D39" s="11" t="s">
        <v>100</v>
      </c>
      <c r="AQ39" s="5"/>
      <c r="BA39" s="5"/>
    </row>
    <row r="40" spans="1:2" ht="12.75" hidden="1">
      <c r="A40" s="12"/>
      <c r="B40" s="15" t="str">
        <f>AF33</f>
        <v>п</v>
      </c>
    </row>
    <row r="41" spans="1:2" ht="12.75" hidden="1">
      <c r="A41" s="12"/>
      <c r="B41" s="16" t="str">
        <f>AZ33</f>
        <v>к</v>
      </c>
    </row>
    <row r="42" spans="1:2" ht="12.75" hidden="1">
      <c r="A42" s="12"/>
      <c r="B42" s="17" t="str">
        <f>AQ31</f>
        <v>д</v>
      </c>
    </row>
    <row r="43" spans="1:2" ht="12.75" hidden="1">
      <c r="A43" s="12"/>
      <c r="B43" s="17">
        <f>AZ31</f>
        <v>0</v>
      </c>
    </row>
    <row r="44" spans="1:2" ht="12.75" hidden="1">
      <c r="A44" s="12"/>
      <c r="B44" s="17" t="str">
        <f>AQ33</f>
        <v>А</v>
      </c>
    </row>
    <row r="45" spans="1:2" ht="12.75" hidden="1">
      <c r="A45" s="12"/>
      <c r="B45" s="18" t="str">
        <f>BH33</f>
        <v> </v>
      </c>
    </row>
  </sheetData>
  <sheetProtection selectLockedCells="1" selectUnlockedCells="1"/>
  <mergeCells count="91">
    <mergeCell ref="L38:AD38"/>
    <mergeCell ref="D31:Q31"/>
    <mergeCell ref="D33:Q33"/>
    <mergeCell ref="T31:AE31"/>
    <mergeCell ref="L36:U36"/>
    <mergeCell ref="L35:U35"/>
    <mergeCell ref="L37:AD37"/>
    <mergeCell ref="F21:F22"/>
    <mergeCell ref="S21:S22"/>
    <mergeCell ref="S19:S20"/>
    <mergeCell ref="J21:J22"/>
    <mergeCell ref="BB31:BH31"/>
    <mergeCell ref="T33:AE33"/>
    <mergeCell ref="AT19:AV20"/>
    <mergeCell ref="BB19:BN19"/>
    <mergeCell ref="BJ20:BJ23"/>
    <mergeCell ref="F19:F20"/>
    <mergeCell ref="BJ33:BN33"/>
    <mergeCell ref="BK20:BK23"/>
    <mergeCell ref="AS33:AY33"/>
    <mergeCell ref="BL20:BL23"/>
    <mergeCell ref="AH33:AP33"/>
    <mergeCell ref="AH31:AP31"/>
    <mergeCell ref="BN20:BN23"/>
    <mergeCell ref="BB33:BG33"/>
    <mergeCell ref="AY29:BA29"/>
    <mergeCell ref="AO19:AR20"/>
    <mergeCell ref="H3:N3"/>
    <mergeCell ref="G19:I20"/>
    <mergeCell ref="A3:G3"/>
    <mergeCell ref="AS31:AY31"/>
    <mergeCell ref="AA21:AA22"/>
    <mergeCell ref="AJ21:AJ22"/>
    <mergeCell ref="AW21:AW22"/>
    <mergeCell ref="AS21:AS22"/>
    <mergeCell ref="A4:N4"/>
    <mergeCell ref="A7:BN7"/>
    <mergeCell ref="AJ19:AJ20"/>
    <mergeCell ref="T19:V20"/>
    <mergeCell ref="AG19:AI20"/>
    <mergeCell ref="O15:BB15"/>
    <mergeCell ref="O16:P16"/>
    <mergeCell ref="W19:W20"/>
    <mergeCell ref="O9:BB9"/>
    <mergeCell ref="J19:J20"/>
    <mergeCell ref="AS19:AS20"/>
    <mergeCell ref="T16:U16"/>
    <mergeCell ref="BB20:BD22"/>
    <mergeCell ref="O17:BB17"/>
    <mergeCell ref="A9:N9"/>
    <mergeCell ref="A13:N13"/>
    <mergeCell ref="O14:BB14"/>
    <mergeCell ref="A14:N14"/>
    <mergeCell ref="BC2:BN2"/>
    <mergeCell ref="BC6:BN6"/>
    <mergeCell ref="BC3:BN3"/>
    <mergeCell ref="BC13:BN13"/>
    <mergeCell ref="BC4:BN4"/>
    <mergeCell ref="BM20:BM23"/>
    <mergeCell ref="BC9:BN12"/>
    <mergeCell ref="BE20:BG22"/>
    <mergeCell ref="O1:BB1"/>
    <mergeCell ref="O2:BB2"/>
    <mergeCell ref="O3:BB3"/>
    <mergeCell ref="AW19:AW20"/>
    <mergeCell ref="AX19:BA20"/>
    <mergeCell ref="O11:BB11"/>
    <mergeCell ref="O10:BB10"/>
    <mergeCell ref="O19:R20"/>
    <mergeCell ref="O12:BB12"/>
    <mergeCell ref="O13:BB13"/>
    <mergeCell ref="A2:N2"/>
    <mergeCell ref="AA19:AA20"/>
    <mergeCell ref="X19:Z20"/>
    <mergeCell ref="AF21:AF22"/>
    <mergeCell ref="AB19:AE20"/>
    <mergeCell ref="V16:Z16"/>
    <mergeCell ref="O8:BB8"/>
    <mergeCell ref="W21:W22"/>
    <mergeCell ref="AK19:AN20"/>
    <mergeCell ref="AF19:AF20"/>
    <mergeCell ref="A10:N10"/>
    <mergeCell ref="A11:N11"/>
    <mergeCell ref="A19:A23"/>
    <mergeCell ref="A15:N15"/>
    <mergeCell ref="BH20:BH23"/>
    <mergeCell ref="BI20:BI23"/>
    <mergeCell ref="B19:E20"/>
    <mergeCell ref="K19:N20"/>
    <mergeCell ref="Q16:S16"/>
    <mergeCell ref="A16:N16"/>
  </mergeCells>
  <conditionalFormatting sqref="A35:A36">
    <cfRule type="cellIs" priority="1" dxfId="6" operator="equal" stopIfTrue="1">
      <formula>#REF!</formula>
    </cfRule>
  </conditionalFormatting>
  <conditionalFormatting sqref="A37:A38">
    <cfRule type="expression" priority="2" dxfId="331" stopIfTrue="1">
      <formula>$R$31</formula>
    </cfRule>
  </conditionalFormatting>
  <conditionalFormatting sqref="B35">
    <cfRule type="cellIs" priority="3" dxfId="6" operator="equal" stopIfTrue="1">
      <formula>$B$31</formula>
    </cfRule>
  </conditionalFormatting>
  <conditionalFormatting sqref="B36">
    <cfRule type="cellIs" priority="4" dxfId="5" operator="equal" stopIfTrue="1">
      <formula>$R$31</formula>
    </cfRule>
  </conditionalFormatting>
  <conditionalFormatting sqref="B37">
    <cfRule type="cellIs" priority="5" dxfId="332" operator="equal" stopIfTrue="1">
      <formula>$B$33</formula>
    </cfRule>
  </conditionalFormatting>
  <conditionalFormatting sqref="B38">
    <cfRule type="cellIs" priority="6" dxfId="331" operator="equal" stopIfTrue="1">
      <formula>$R$33</formula>
    </cfRule>
  </conditionalFormatting>
  <conditionalFormatting sqref="B39">
    <cfRule type="cellIs" priority="7" dxfId="6" operator="equal" stopIfTrue="1">
      <formula>$AF$31</formula>
    </cfRule>
  </conditionalFormatting>
  <conditionalFormatting sqref="B40">
    <cfRule type="cellIs" priority="8" dxfId="4" operator="equal" stopIfTrue="1">
      <formula>$AF$33</formula>
    </cfRule>
  </conditionalFormatting>
  <conditionalFormatting sqref="B41">
    <cfRule type="cellIs" priority="9" dxfId="0" operator="equal" stopIfTrue="1">
      <formula>$AZ$33</formula>
    </cfRule>
  </conditionalFormatting>
  <conditionalFormatting sqref="B42">
    <cfRule type="cellIs" priority="10" dxfId="5" operator="equal" stopIfTrue="1">
      <formula>$AQ$31</formula>
    </cfRule>
  </conditionalFormatting>
  <conditionalFormatting sqref="B43">
    <cfRule type="cellIs" priority="11" dxfId="5" operator="equal" stopIfTrue="1">
      <formula>$AZ$31</formula>
    </cfRule>
  </conditionalFormatting>
  <conditionalFormatting sqref="B44">
    <cfRule type="cellIs" priority="12" dxfId="5" operator="equal" stopIfTrue="1">
      <formula>$AQ$33</formula>
    </cfRule>
  </conditionalFormatting>
  <conditionalFormatting sqref="B45">
    <cfRule type="cellIs" priority="13" dxfId="6" operator="equal" stopIfTrue="1">
      <formula>$BH$33</formula>
    </cfRule>
  </conditionalFormatting>
  <conditionalFormatting sqref="B24:BA28">
    <cfRule type="expression" priority="14" dxfId="7" stopIfTrue="1">
      <formula>OR(B24=$R$31,B24=$R$33,B24=$AQ$31,B24=$AZ$31,B24=$AQ$33)</formula>
    </cfRule>
    <cfRule type="expression" priority="15" dxfId="4" stopIfTrue="1">
      <formula>OR(B24=$AF$31,B24=$AF$33)</formula>
    </cfRule>
    <cfRule type="cellIs" priority="16" dxfId="0" operator="equal" stopIfTrue="1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BA28">
      <formula1>$B$35:$B$45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/>
  <pageMargins left="0" right="0" top="0.5905511811023623" bottom="0.3937007874015748" header="0.11811023622047245" footer="0.11811023622047245"/>
  <pageSetup horizontalDpi="600" verticalDpi="600" orientation="landscape" paperSize="9" scale="72" r:id="rId2"/>
  <headerFooter alignWithMargins="0">
    <oddFooter>&amp;L&amp;F&amp;C&amp;A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C4"/>
  <sheetViews>
    <sheetView zoomScalePageLayoutView="0" workbookViewId="0" topLeftCell="A1">
      <selection activeCell="F4" sqref="F4"/>
    </sheetView>
  </sheetViews>
  <sheetFormatPr defaultColWidth="9.33203125" defaultRowHeight="12.75"/>
  <cols>
    <col min="3" max="3" width="140.16015625" style="0" customWidth="1"/>
  </cols>
  <sheetData>
    <row r="2" spans="1:3" ht="84.75" customHeight="1">
      <c r="A2" s="799" t="s">
        <v>556</v>
      </c>
      <c r="B2" s="799"/>
      <c r="C2" s="799"/>
    </row>
    <row r="3" spans="1:3" ht="98.25" customHeight="1">
      <c r="A3" s="800" t="s">
        <v>557</v>
      </c>
      <c r="B3" s="801"/>
      <c r="C3" s="801"/>
    </row>
    <row r="4" spans="1:3" ht="108.75" customHeight="1">
      <c r="A4" s="799" t="s">
        <v>558</v>
      </c>
      <c r="B4" s="799"/>
      <c r="C4" s="799"/>
    </row>
  </sheetData>
  <sheetProtection/>
  <mergeCells count="3">
    <mergeCell ref="A2:C2"/>
    <mergeCell ref="A3:C3"/>
    <mergeCell ref="A4:C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I144"/>
  <sheetViews>
    <sheetView showZeros="0" tabSelected="1" zoomScale="70" zoomScaleNormal="70" zoomScaleSheetLayoutView="40" zoomScalePageLayoutView="0" workbookViewId="0" topLeftCell="A3">
      <pane xSplit="14" ySplit="3" topLeftCell="AG61" activePane="bottomRight" state="frozen"/>
      <selection pane="topLeft" activeCell="A3" sqref="A3"/>
      <selection pane="topRight" activeCell="P3" sqref="P3"/>
      <selection pane="bottomLeft" activeCell="A6" sqref="A6"/>
      <selection pane="bottomRight" activeCell="A106" sqref="A106:IV129"/>
    </sheetView>
  </sheetViews>
  <sheetFormatPr defaultColWidth="9.33203125" defaultRowHeight="12.75"/>
  <cols>
    <col min="1" max="1" width="14.16015625" style="36" customWidth="1"/>
    <col min="2" max="2" width="42.33203125" style="36" customWidth="1"/>
    <col min="3" max="3" width="19.66015625" style="36" customWidth="1"/>
    <col min="4" max="4" width="8" style="77" customWidth="1"/>
    <col min="5" max="5" width="8.66015625" style="77" customWidth="1"/>
    <col min="6" max="7" width="7.66015625" style="77" customWidth="1"/>
    <col min="8" max="8" width="6.66015625" style="77" customWidth="1"/>
    <col min="9" max="9" width="6.66015625" style="78" customWidth="1"/>
    <col min="10" max="10" width="7.5" style="78" customWidth="1"/>
    <col min="11" max="12" width="8.33203125" style="36" customWidth="1"/>
    <col min="13" max="13" width="7.83203125" style="36" customWidth="1"/>
    <col min="14" max="14" width="7.16015625" style="36" customWidth="1"/>
    <col min="15" max="16" width="7.66015625" style="36" customWidth="1"/>
    <col min="17" max="17" width="7.16015625" style="36" customWidth="1"/>
    <col min="18" max="19" width="6.83203125" style="36" customWidth="1"/>
    <col min="20" max="20" width="7.66015625" style="36" customWidth="1"/>
    <col min="21" max="22" width="6.83203125" style="36" customWidth="1"/>
    <col min="23" max="23" width="7.83203125" style="36" customWidth="1"/>
    <col min="24" max="30" width="6.83203125" style="36" customWidth="1"/>
    <col min="31" max="31" width="7.33203125" style="36" customWidth="1"/>
    <col min="32" max="34" width="6.83203125" style="36" customWidth="1"/>
    <col min="35" max="35" width="7.16015625" style="36" customWidth="1"/>
    <col min="36" max="40" width="6.83203125" style="36" customWidth="1"/>
    <col min="41" max="41" width="6.66015625" style="36" customWidth="1"/>
    <col min="42" max="65" width="6.83203125" style="36" customWidth="1"/>
    <col min="66" max="66" width="6.33203125" style="36" hidden="1" customWidth="1"/>
    <col min="67" max="74" width="6.83203125" style="36" hidden="1" customWidth="1"/>
    <col min="75" max="75" width="5.16015625" style="36" hidden="1" customWidth="1"/>
    <col min="76" max="83" width="6.83203125" style="36" hidden="1" customWidth="1"/>
    <col min="84" max="84" width="13" style="40" customWidth="1"/>
    <col min="85" max="85" width="28.83203125" style="40" customWidth="1"/>
    <col min="86" max="86" width="0" style="37" hidden="1" customWidth="1"/>
    <col min="87" max="16384" width="9.33203125" style="37" customWidth="1"/>
  </cols>
  <sheetData>
    <row r="1" spans="1:85" ht="8.25" customHeight="1" hidden="1">
      <c r="A1" s="636" t="s">
        <v>37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  <c r="AU1" s="636"/>
      <c r="AV1" s="636"/>
      <c r="AW1" s="636"/>
      <c r="AX1" s="636"/>
      <c r="AY1" s="636"/>
      <c r="AZ1" s="636"/>
      <c r="BA1" s="636"/>
      <c r="BB1" s="636"/>
      <c r="BC1" s="636"/>
      <c r="BD1" s="636"/>
      <c r="BE1" s="636"/>
      <c r="BF1" s="636"/>
      <c r="BG1" s="636"/>
      <c r="BH1" s="636"/>
      <c r="BI1" s="636"/>
      <c r="BJ1" s="636"/>
      <c r="BK1" s="636"/>
      <c r="BL1" s="636"/>
      <c r="BM1" s="636"/>
      <c r="BN1" s="636"/>
      <c r="BO1" s="636"/>
      <c r="BP1" s="636"/>
      <c r="BQ1" s="636"/>
      <c r="BR1" s="636"/>
      <c r="BS1" s="636"/>
      <c r="BT1" s="636"/>
      <c r="BU1" s="636"/>
      <c r="BV1" s="636"/>
      <c r="BW1" s="636"/>
      <c r="BX1" s="636"/>
      <c r="BY1" s="636"/>
      <c r="BZ1" s="636"/>
      <c r="CA1" s="636"/>
      <c r="CB1" s="636"/>
      <c r="CC1" s="636"/>
      <c r="CD1" s="636"/>
      <c r="CE1" s="636"/>
      <c r="CF1" s="637"/>
      <c r="CG1" s="636"/>
    </row>
    <row r="2" spans="2:16" ht="12.75" hidden="1">
      <c r="B2" s="38"/>
      <c r="C2" s="38"/>
      <c r="D2" s="38"/>
      <c r="E2" s="38"/>
      <c r="F2" s="38"/>
      <c r="G2" s="38"/>
      <c r="H2" s="38"/>
      <c r="I2" s="39"/>
      <c r="J2" s="39"/>
      <c r="K2" s="38"/>
      <c r="L2" s="38"/>
      <c r="M2" s="38"/>
      <c r="N2" s="38"/>
      <c r="O2" s="38"/>
      <c r="P2" s="38"/>
    </row>
    <row r="3" spans="1:85" s="44" customFormat="1" ht="12.75" customHeight="1">
      <c r="A3" s="554" t="s">
        <v>137</v>
      </c>
      <c r="B3" s="554" t="s">
        <v>533</v>
      </c>
      <c r="C3" s="554" t="s">
        <v>72</v>
      </c>
      <c r="D3" s="638" t="s">
        <v>534</v>
      </c>
      <c r="E3" s="639"/>
      <c r="F3" s="639"/>
      <c r="G3" s="639"/>
      <c r="H3" s="639"/>
      <c r="I3" s="645" t="s">
        <v>176</v>
      </c>
      <c r="J3" s="646"/>
      <c r="K3" s="626" t="s">
        <v>2</v>
      </c>
      <c r="L3" s="626"/>
      <c r="M3" s="626"/>
      <c r="N3" s="626"/>
      <c r="O3" s="626"/>
      <c r="P3" s="626"/>
      <c r="Q3" s="626"/>
      <c r="R3" s="43"/>
      <c r="S3" s="633"/>
      <c r="T3" s="626"/>
      <c r="U3" s="626"/>
      <c r="V3" s="626"/>
      <c r="W3" s="626"/>
      <c r="X3" s="626"/>
      <c r="Y3" s="626"/>
      <c r="Z3" s="626"/>
      <c r="AA3" s="626"/>
      <c r="AB3" s="626"/>
      <c r="AC3" s="626"/>
      <c r="AD3" s="626"/>
      <c r="AE3" s="626"/>
      <c r="AF3" s="626"/>
      <c r="AG3" s="626"/>
      <c r="AH3" s="626"/>
      <c r="AI3" s="626"/>
      <c r="AJ3" s="626"/>
      <c r="AK3" s="626"/>
      <c r="AL3" s="626"/>
      <c r="AM3" s="626"/>
      <c r="AN3" s="626"/>
      <c r="AO3" s="626"/>
      <c r="AP3" s="626"/>
      <c r="AQ3" s="626"/>
      <c r="AR3" s="626"/>
      <c r="AS3" s="626"/>
      <c r="AT3" s="626"/>
      <c r="AU3" s="626"/>
      <c r="AV3" s="626"/>
      <c r="AW3" s="626"/>
      <c r="AX3" s="626"/>
      <c r="AY3" s="626"/>
      <c r="AZ3" s="626"/>
      <c r="BA3" s="626"/>
      <c r="BB3" s="626"/>
      <c r="BC3" s="626"/>
      <c r="BD3" s="626"/>
      <c r="BE3" s="626"/>
      <c r="BF3" s="626"/>
      <c r="BG3" s="626"/>
      <c r="BH3" s="626"/>
      <c r="BI3" s="626"/>
      <c r="BJ3" s="626"/>
      <c r="BK3" s="626"/>
      <c r="BL3" s="626"/>
      <c r="BM3" s="626"/>
      <c r="BN3" s="626"/>
      <c r="BO3" s="626"/>
      <c r="BP3" s="626"/>
      <c r="BQ3" s="626"/>
      <c r="BR3" s="626"/>
      <c r="BS3" s="626"/>
      <c r="BT3" s="626"/>
      <c r="BU3" s="626"/>
      <c r="BV3" s="626"/>
      <c r="BW3" s="626"/>
      <c r="BX3" s="626"/>
      <c r="BY3" s="626"/>
      <c r="BZ3" s="626"/>
      <c r="CA3" s="626"/>
      <c r="CB3" s="626"/>
      <c r="CC3" s="626"/>
      <c r="CD3" s="626"/>
      <c r="CE3" s="634"/>
      <c r="CF3" s="627" t="s">
        <v>138</v>
      </c>
      <c r="CG3" s="627" t="s">
        <v>70</v>
      </c>
    </row>
    <row r="4" spans="1:85" s="44" customFormat="1" ht="12.75" customHeight="1">
      <c r="A4" s="555"/>
      <c r="B4" s="555"/>
      <c r="C4" s="555"/>
      <c r="D4" s="640"/>
      <c r="E4" s="641"/>
      <c r="F4" s="641"/>
      <c r="G4" s="641"/>
      <c r="H4" s="641"/>
      <c r="I4" s="647"/>
      <c r="J4" s="648"/>
      <c r="K4" s="609" t="s">
        <v>1</v>
      </c>
      <c r="L4" s="600" t="s">
        <v>3</v>
      </c>
      <c r="M4" s="600"/>
      <c r="N4" s="600"/>
      <c r="O4" s="600"/>
      <c r="P4" s="600"/>
      <c r="Q4" s="601"/>
      <c r="R4" s="633" t="s">
        <v>77</v>
      </c>
      <c r="S4" s="626"/>
      <c r="T4" s="626"/>
      <c r="U4" s="626"/>
      <c r="V4" s="626"/>
      <c r="W4" s="626"/>
      <c r="X4" s="626"/>
      <c r="Y4" s="626"/>
      <c r="Z4" s="626"/>
      <c r="AA4" s="626"/>
      <c r="AB4" s="626"/>
      <c r="AC4" s="634"/>
      <c r="AD4" s="633" t="s">
        <v>78</v>
      </c>
      <c r="AE4" s="626"/>
      <c r="AF4" s="626"/>
      <c r="AG4" s="626"/>
      <c r="AH4" s="626"/>
      <c r="AI4" s="626"/>
      <c r="AJ4" s="626"/>
      <c r="AK4" s="626"/>
      <c r="AL4" s="626"/>
      <c r="AM4" s="626"/>
      <c r="AN4" s="626"/>
      <c r="AO4" s="634"/>
      <c r="AP4" s="626" t="s">
        <v>79</v>
      </c>
      <c r="AQ4" s="626"/>
      <c r="AR4" s="626"/>
      <c r="AS4" s="626"/>
      <c r="AT4" s="626"/>
      <c r="AU4" s="626"/>
      <c r="AV4" s="626"/>
      <c r="AW4" s="626"/>
      <c r="AX4" s="626"/>
      <c r="AY4" s="626"/>
      <c r="AZ4" s="626"/>
      <c r="BA4" s="626"/>
      <c r="BB4" s="633" t="s">
        <v>80</v>
      </c>
      <c r="BC4" s="626"/>
      <c r="BD4" s="626"/>
      <c r="BE4" s="626"/>
      <c r="BF4" s="626"/>
      <c r="BG4" s="626"/>
      <c r="BH4" s="626"/>
      <c r="BI4" s="626"/>
      <c r="BJ4" s="626"/>
      <c r="BK4" s="626"/>
      <c r="BL4" s="626"/>
      <c r="BM4" s="634"/>
      <c r="BN4" s="626" t="s">
        <v>81</v>
      </c>
      <c r="BO4" s="626"/>
      <c r="BP4" s="626"/>
      <c r="BQ4" s="626"/>
      <c r="BR4" s="626"/>
      <c r="BS4" s="626"/>
      <c r="BT4" s="626"/>
      <c r="BU4" s="626"/>
      <c r="BV4" s="626"/>
      <c r="BW4" s="626"/>
      <c r="BX4" s="626"/>
      <c r="BY4" s="626"/>
      <c r="BZ4" s="626"/>
      <c r="CA4" s="626"/>
      <c r="CB4" s="626"/>
      <c r="CC4" s="626"/>
      <c r="CD4" s="626"/>
      <c r="CE4" s="626"/>
      <c r="CF4" s="628"/>
      <c r="CG4" s="628"/>
    </row>
    <row r="5" spans="1:85" s="44" customFormat="1" ht="12.75" customHeight="1">
      <c r="A5" s="555"/>
      <c r="B5" s="555"/>
      <c r="C5" s="555"/>
      <c r="D5" s="551" t="s">
        <v>63</v>
      </c>
      <c r="E5" s="551" t="s">
        <v>535</v>
      </c>
      <c r="F5" s="362"/>
      <c r="G5" s="551" t="s">
        <v>536</v>
      </c>
      <c r="H5" s="559" t="s">
        <v>537</v>
      </c>
      <c r="I5" s="647"/>
      <c r="J5" s="648"/>
      <c r="K5" s="610"/>
      <c r="L5" s="602" t="s">
        <v>83</v>
      </c>
      <c r="M5" s="614"/>
      <c r="N5" s="614"/>
      <c r="O5" s="614"/>
      <c r="P5" s="615"/>
      <c r="Q5" s="556" t="s">
        <v>84</v>
      </c>
      <c r="R5" s="616" t="s">
        <v>27</v>
      </c>
      <c r="S5" s="613"/>
      <c r="T5" s="46"/>
      <c r="U5" s="46"/>
      <c r="V5" s="46">
        <f>'Титульный лист (очная)'!BB24</f>
        <v>17</v>
      </c>
      <c r="W5" s="413">
        <f>'Титульный лист (очная)'!BE24</f>
        <v>0</v>
      </c>
      <c r="X5" s="613" t="s">
        <v>31</v>
      </c>
      <c r="Y5" s="613"/>
      <c r="Z5" s="41"/>
      <c r="AA5" s="41"/>
      <c r="AB5" s="46">
        <f>'Титульный лист (очная)'!BC24</f>
        <v>22</v>
      </c>
      <c r="AC5" s="46">
        <f>'Титульный лист (очная)'!BF24</f>
        <v>2</v>
      </c>
      <c r="AD5" s="616" t="s">
        <v>30</v>
      </c>
      <c r="AE5" s="613"/>
      <c r="AF5" s="41"/>
      <c r="AG5" s="41"/>
      <c r="AH5" s="46">
        <f>'Титульный лист (очная)'!BB25</f>
        <v>16</v>
      </c>
      <c r="AI5" s="413">
        <f>'Титульный лист (очная)'!BE25</f>
        <v>1</v>
      </c>
      <c r="AJ5" s="613" t="s">
        <v>40</v>
      </c>
      <c r="AK5" s="613"/>
      <c r="AL5" s="41"/>
      <c r="AM5" s="41"/>
      <c r="AN5" s="46">
        <f>'Титульный лист (очная)'!BC25</f>
        <v>19</v>
      </c>
      <c r="AO5" s="46">
        <f>'Титульный лист (очная)'!BF25</f>
        <v>1</v>
      </c>
      <c r="AP5" s="642" t="s">
        <v>41</v>
      </c>
      <c r="AQ5" s="624"/>
      <c r="AR5" s="41"/>
      <c r="AS5" s="41"/>
      <c r="AT5" s="46">
        <f>'Титульный лист (очная)'!BB26</f>
        <v>17</v>
      </c>
      <c r="AU5" s="413">
        <f>'Титульный лист (очная)'!BE26</f>
        <v>0</v>
      </c>
      <c r="AV5" s="643" t="s">
        <v>42</v>
      </c>
      <c r="AW5" s="621"/>
      <c r="AX5" s="41"/>
      <c r="AY5" s="41"/>
      <c r="AZ5" s="46">
        <f>'Титульный лист (очная)'!BC26</f>
        <v>12</v>
      </c>
      <c r="BA5" s="46">
        <f>'Титульный лист (очная)'!BF26</f>
        <v>1</v>
      </c>
      <c r="BB5" s="642" t="s">
        <v>43</v>
      </c>
      <c r="BC5" s="624"/>
      <c r="BD5" s="41"/>
      <c r="BE5" s="41"/>
      <c r="BF5" s="46">
        <f>'Титульный лист (очная)'!BB27</f>
        <v>8</v>
      </c>
      <c r="BG5" s="413">
        <f>'Титульный лист (очная)'!BE27</f>
        <v>0</v>
      </c>
      <c r="BH5" s="635" t="s">
        <v>38</v>
      </c>
      <c r="BI5" s="621"/>
      <c r="BJ5" s="41"/>
      <c r="BK5" s="41"/>
      <c r="BL5" s="46">
        <f>'Титульный лист (очная)'!BC27</f>
        <v>12</v>
      </c>
      <c r="BM5" s="413">
        <f>'Титульный лист (очная)'!BF27</f>
        <v>2</v>
      </c>
      <c r="BN5" s="422"/>
      <c r="BO5" s="623" t="s">
        <v>39</v>
      </c>
      <c r="BP5" s="623"/>
      <c r="BQ5" s="624"/>
      <c r="BR5" s="41"/>
      <c r="BS5" s="41"/>
      <c r="BT5" s="622">
        <f>'Титульный лист (очная)'!BB28</f>
        <v>0</v>
      </c>
      <c r="BU5" s="622"/>
      <c r="BV5" s="42">
        <f>'Титульный лист (очная)'!BE28</f>
        <v>0</v>
      </c>
      <c r="BW5" s="47"/>
      <c r="BX5" s="620" t="s">
        <v>82</v>
      </c>
      <c r="BY5" s="620"/>
      <c r="BZ5" s="621"/>
      <c r="CA5" s="41"/>
      <c r="CB5" s="41"/>
      <c r="CC5" s="622">
        <f>'Титульный лист (очная)'!BC28</f>
        <v>0</v>
      </c>
      <c r="CD5" s="622"/>
      <c r="CE5" s="46">
        <f>'Титульный лист (очная)'!BF28</f>
        <v>0</v>
      </c>
      <c r="CF5" s="628"/>
      <c r="CG5" s="628"/>
    </row>
    <row r="6" spans="1:85" s="44" customFormat="1" ht="12.75" customHeight="1">
      <c r="A6" s="555"/>
      <c r="B6" s="555"/>
      <c r="C6" s="555"/>
      <c r="D6" s="552"/>
      <c r="E6" s="552"/>
      <c r="F6" s="363"/>
      <c r="G6" s="552"/>
      <c r="H6" s="560"/>
      <c r="I6" s="647"/>
      <c r="J6" s="648"/>
      <c r="K6" s="610"/>
      <c r="L6" s="612"/>
      <c r="M6" s="602" t="s">
        <v>538</v>
      </c>
      <c r="N6" s="602" t="s">
        <v>539</v>
      </c>
      <c r="O6" s="602" t="s">
        <v>179</v>
      </c>
      <c r="P6" s="602" t="s">
        <v>238</v>
      </c>
      <c r="Q6" s="556"/>
      <c r="R6" s="617" t="s">
        <v>69</v>
      </c>
      <c r="S6" s="611"/>
      <c r="T6" s="611" t="s">
        <v>58</v>
      </c>
      <c r="U6" s="611"/>
      <c r="V6" s="611"/>
      <c r="W6" s="414" t="s">
        <v>177</v>
      </c>
      <c r="X6" s="611" t="s">
        <v>69</v>
      </c>
      <c r="Y6" s="611"/>
      <c r="Z6" s="45"/>
      <c r="AA6" s="45"/>
      <c r="AB6" s="45" t="s">
        <v>58</v>
      </c>
      <c r="AC6" s="45" t="s">
        <v>177</v>
      </c>
      <c r="AD6" s="617" t="s">
        <v>69</v>
      </c>
      <c r="AE6" s="611"/>
      <c r="AF6" s="45"/>
      <c r="AG6" s="45"/>
      <c r="AH6" s="45" t="s">
        <v>58</v>
      </c>
      <c r="AI6" s="414" t="s">
        <v>177</v>
      </c>
      <c r="AJ6" s="611" t="s">
        <v>69</v>
      </c>
      <c r="AK6" s="611"/>
      <c r="AL6" s="45"/>
      <c r="AM6" s="45"/>
      <c r="AN6" s="45" t="s">
        <v>58</v>
      </c>
      <c r="AO6" s="45" t="s">
        <v>177</v>
      </c>
      <c r="AP6" s="618" t="s">
        <v>69</v>
      </c>
      <c r="AQ6" s="619"/>
      <c r="AR6" s="45"/>
      <c r="AS6" s="45"/>
      <c r="AT6" s="45" t="s">
        <v>58</v>
      </c>
      <c r="AU6" s="414" t="s">
        <v>177</v>
      </c>
      <c r="AV6" s="644" t="s">
        <v>69</v>
      </c>
      <c r="AW6" s="631"/>
      <c r="AX6" s="45"/>
      <c r="AY6" s="45"/>
      <c r="AZ6" s="45" t="s">
        <v>58</v>
      </c>
      <c r="BA6" s="45" t="s">
        <v>177</v>
      </c>
      <c r="BB6" s="618" t="s">
        <v>69</v>
      </c>
      <c r="BC6" s="619"/>
      <c r="BD6" s="45"/>
      <c r="BE6" s="45"/>
      <c r="BF6" s="45" t="s">
        <v>58</v>
      </c>
      <c r="BG6" s="414" t="s">
        <v>177</v>
      </c>
      <c r="BH6" s="632" t="s">
        <v>69</v>
      </c>
      <c r="BI6" s="631"/>
      <c r="BJ6" s="45"/>
      <c r="BK6" s="45"/>
      <c r="BL6" s="45" t="s">
        <v>58</v>
      </c>
      <c r="BM6" s="414" t="s">
        <v>177</v>
      </c>
      <c r="BN6" s="423"/>
      <c r="BO6" s="625" t="s">
        <v>69</v>
      </c>
      <c r="BP6" s="625"/>
      <c r="BQ6" s="619"/>
      <c r="BR6" s="45"/>
      <c r="BS6" s="45"/>
      <c r="BT6" s="611" t="s">
        <v>58</v>
      </c>
      <c r="BU6" s="611"/>
      <c r="BV6" s="49" t="s">
        <v>177</v>
      </c>
      <c r="BW6" s="50"/>
      <c r="BX6" s="630" t="s">
        <v>69</v>
      </c>
      <c r="BY6" s="630"/>
      <c r="BZ6" s="631"/>
      <c r="CA6" s="45"/>
      <c r="CB6" s="45"/>
      <c r="CC6" s="611" t="s">
        <v>58</v>
      </c>
      <c r="CD6" s="611"/>
      <c r="CE6" s="45" t="s">
        <v>177</v>
      </c>
      <c r="CF6" s="628"/>
      <c r="CG6" s="628"/>
    </row>
    <row r="7" spans="1:85" s="44" customFormat="1" ht="12.75" customHeight="1">
      <c r="A7" s="555"/>
      <c r="B7" s="555"/>
      <c r="C7" s="555"/>
      <c r="D7" s="552"/>
      <c r="E7" s="552"/>
      <c r="F7" s="363"/>
      <c r="G7" s="552"/>
      <c r="H7" s="560"/>
      <c r="I7" s="647"/>
      <c r="J7" s="648"/>
      <c r="K7" s="610"/>
      <c r="L7" s="612"/>
      <c r="M7" s="603"/>
      <c r="N7" s="603"/>
      <c r="O7" s="603"/>
      <c r="P7" s="603"/>
      <c r="Q7" s="556"/>
      <c r="R7" s="544" t="s">
        <v>115</v>
      </c>
      <c r="S7" s="545"/>
      <c r="T7" s="52"/>
      <c r="U7" s="52"/>
      <c r="V7" s="54">
        <f>IF((SUM(S79:W79)+SUM(S81:W81))=0,0,(SUM(S79:W79)+SUM(S81:W81))/Нормы!$G$39)</f>
        <v>0</v>
      </c>
      <c r="W7" s="424" t="s">
        <v>116</v>
      </c>
      <c r="X7" s="544" t="s">
        <v>115</v>
      </c>
      <c r="Y7" s="545"/>
      <c r="Z7" s="52"/>
      <c r="AA7" s="52"/>
      <c r="AB7" s="54">
        <f>IF((SUM(Y79:AC79)+SUM(Y81:AC81))=0,0,(SUM(Y79:AC79)+SUM(Y81:AC81))/Нормы!$G$39)</f>
        <v>0</v>
      </c>
      <c r="AC7" s="424" t="s">
        <v>116</v>
      </c>
      <c r="AD7" s="544" t="s">
        <v>115</v>
      </c>
      <c r="AE7" s="545"/>
      <c r="AF7" s="52"/>
      <c r="AG7" s="52"/>
      <c r="AH7" s="54">
        <f>IF((SUM(AE79:AI79)+SUM(AE81:AI81))=0,0,(SUM(AE79:AI79)+SUM(AE81:AI81))/Нормы!$G$39)</f>
        <v>0</v>
      </c>
      <c r="AI7" s="424" t="s">
        <v>116</v>
      </c>
      <c r="AJ7" s="544" t="s">
        <v>115</v>
      </c>
      <c r="AK7" s="545"/>
      <c r="AL7" s="52"/>
      <c r="AM7" s="52"/>
      <c r="AN7" s="54">
        <f>IF((SUM(AK79:AO79)+SUM(AK81:AO81))=0,0,(SUM(AK79:AO79)+SUM(AK81:AO81))/Нормы!$G$39)</f>
        <v>4</v>
      </c>
      <c r="AO7" s="424" t="s">
        <v>116</v>
      </c>
      <c r="AP7" s="544" t="s">
        <v>115</v>
      </c>
      <c r="AQ7" s="545"/>
      <c r="AR7" s="52"/>
      <c r="AS7" s="52"/>
      <c r="AT7" s="54">
        <f>IF((SUM(AQ79:AU79)+SUM(AQ81:AU81))=0,0,(SUM(AQ79:AU79)+SUM(AQ81:AU81))/Нормы!$G$39)</f>
        <v>0</v>
      </c>
      <c r="AU7" s="424" t="s">
        <v>116</v>
      </c>
      <c r="AV7" s="544" t="s">
        <v>115</v>
      </c>
      <c r="AW7" s="545"/>
      <c r="AX7" s="52"/>
      <c r="AY7" s="52"/>
      <c r="AZ7" s="54">
        <f>IF((SUM(AW79:BA79)+SUM(AW81:BA81))=0,0,(SUM(AW79:BA79)+SUM(AW81:BA81))/Нормы!$G$39)</f>
        <v>12</v>
      </c>
      <c r="BA7" s="424" t="s">
        <v>116</v>
      </c>
      <c r="BB7" s="544" t="s">
        <v>115</v>
      </c>
      <c r="BC7" s="545"/>
      <c r="BD7" s="52"/>
      <c r="BE7" s="52"/>
      <c r="BF7" s="54">
        <f>IF((SUM(BC79:BG79)+SUM(BC81:BG81))=0,0,(SUM(BC79:BG79)+SUM(BC81:BG81))/Нормы!$G$39)</f>
        <v>9</v>
      </c>
      <c r="BG7" s="424" t="s">
        <v>116</v>
      </c>
      <c r="BH7" s="544" t="s">
        <v>115</v>
      </c>
      <c r="BI7" s="545"/>
      <c r="BJ7" s="52"/>
      <c r="BK7" s="52"/>
      <c r="BL7" s="54">
        <f>IF((SUM(BI79:BM79)+SUM(BI81:BM81))=0,0,(SUM(BI79:BM79)+SUM(BI81:BM81))/Нормы!$G$39)</f>
        <v>4</v>
      </c>
      <c r="BM7" s="424" t="s">
        <v>116</v>
      </c>
      <c r="BN7" s="422"/>
      <c r="BO7" s="51"/>
      <c r="BP7" s="545" t="s">
        <v>115</v>
      </c>
      <c r="BQ7" s="545"/>
      <c r="BR7" s="52"/>
      <c r="BS7" s="52"/>
      <c r="BT7" s="53"/>
      <c r="BU7" s="54">
        <f>IF((SUM(BP79:BV79)+SUM(BP81:BV81))=0,0,(SUM(BP79:BV79)+SUM(BP81:BV81))/Нормы!$G$38)</f>
        <v>0</v>
      </c>
      <c r="BV7" s="55" t="s">
        <v>116</v>
      </c>
      <c r="BW7" s="56"/>
      <c r="BX7" s="57"/>
      <c r="BY7" s="545" t="s">
        <v>115</v>
      </c>
      <c r="BZ7" s="545"/>
      <c r="CA7" s="52"/>
      <c r="CB7" s="52"/>
      <c r="CC7" s="53"/>
      <c r="CD7" s="54">
        <f>IF((SUM(BY79:CE79)+SUM(BY81:CE81))=0,0,(SUM(BY79:CE79)+SUM(BY81:CE81))/Нормы!$G$38)</f>
        <v>0</v>
      </c>
      <c r="CE7" s="58" t="s">
        <v>116</v>
      </c>
      <c r="CF7" s="628"/>
      <c r="CG7" s="628"/>
    </row>
    <row r="8" spans="1:85" s="44" customFormat="1" ht="12.75" customHeight="1">
      <c r="A8" s="555"/>
      <c r="B8" s="555"/>
      <c r="C8" s="555"/>
      <c r="D8" s="552"/>
      <c r="E8" s="552"/>
      <c r="F8" s="363"/>
      <c r="G8" s="552"/>
      <c r="H8" s="560"/>
      <c r="I8" s="649"/>
      <c r="J8" s="650"/>
      <c r="K8" s="610"/>
      <c r="L8" s="612"/>
      <c r="M8" s="603"/>
      <c r="N8" s="603"/>
      <c r="O8" s="603"/>
      <c r="P8" s="603"/>
      <c r="Q8" s="556"/>
      <c r="R8" s="546" t="s">
        <v>117</v>
      </c>
      <c r="S8" s="547"/>
      <c r="T8" s="547"/>
      <c r="U8" s="409"/>
      <c r="V8" s="60">
        <f>IF(SUM(S84:W84)=0,0,SUM(S84:W84)/Нормы!$G$38)</f>
        <v>0</v>
      </c>
      <c r="W8" s="415" t="s">
        <v>116</v>
      </c>
      <c r="X8" s="546" t="s">
        <v>117</v>
      </c>
      <c r="Y8" s="547"/>
      <c r="Z8" s="547"/>
      <c r="AA8" s="409"/>
      <c r="AB8" s="60">
        <f>IF(SUM(Y84:AC84)=0,0,SUM(Y84:AC84)/Нормы!$G$38)</f>
        <v>0</v>
      </c>
      <c r="AC8" s="415" t="s">
        <v>116</v>
      </c>
      <c r="AD8" s="546" t="s">
        <v>117</v>
      </c>
      <c r="AE8" s="547"/>
      <c r="AF8" s="547"/>
      <c r="AG8" s="409"/>
      <c r="AH8" s="60">
        <f>IF(SUM(AE84:AI84)=0,0,SUM(AE84:AI84)/Нормы!$G$38)</f>
        <v>0</v>
      </c>
      <c r="AI8" s="415" t="s">
        <v>116</v>
      </c>
      <c r="AJ8" s="546" t="s">
        <v>117</v>
      </c>
      <c r="AK8" s="547"/>
      <c r="AL8" s="547"/>
      <c r="AM8" s="409"/>
      <c r="AN8" s="60">
        <f>IF(SUM(AK84:AO84)=0,0,SUM(AK84:AO84)/Нормы!$G$38)</f>
        <v>0</v>
      </c>
      <c r="AO8" s="415" t="s">
        <v>116</v>
      </c>
      <c r="AP8" s="546" t="s">
        <v>117</v>
      </c>
      <c r="AQ8" s="547"/>
      <c r="AR8" s="547"/>
      <c r="AS8" s="409"/>
      <c r="AT8" s="60">
        <f>IF(SUM(AQ84:AU84)=0,0,SUM(AQ84:AU84)/Нормы!$G$38)</f>
        <v>0</v>
      </c>
      <c r="AU8" s="415" t="s">
        <v>116</v>
      </c>
      <c r="AV8" s="546" t="s">
        <v>117</v>
      </c>
      <c r="AW8" s="547"/>
      <c r="AX8" s="547"/>
      <c r="AY8" s="409"/>
      <c r="AZ8" s="60">
        <f>IF(SUM(AW84:BA84)=0,0,SUM(AW84:BA84)/Нормы!$G$38)</f>
        <v>0</v>
      </c>
      <c r="BA8" s="415" t="s">
        <v>116</v>
      </c>
      <c r="BB8" s="546" t="s">
        <v>117</v>
      </c>
      <c r="BC8" s="547"/>
      <c r="BD8" s="547"/>
      <c r="BE8" s="409"/>
      <c r="BF8" s="60">
        <f>IF(SUM(BC84:BG84)=0,0,SUM(BC84:BG84)/Нормы!$G$38)</f>
        <v>0</v>
      </c>
      <c r="BG8" s="415" t="s">
        <v>116</v>
      </c>
      <c r="BH8" s="546" t="s">
        <v>117</v>
      </c>
      <c r="BI8" s="547"/>
      <c r="BJ8" s="547"/>
      <c r="BK8" s="409"/>
      <c r="BL8" s="60">
        <f>IF(SUM(BI84:BM84)=0,0,SUM(BI84:BM84)/Нормы!$G$38)</f>
        <v>6</v>
      </c>
      <c r="BM8" s="415" t="s">
        <v>116</v>
      </c>
      <c r="BN8" s="423"/>
      <c r="BO8" s="59"/>
      <c r="BP8" s="547" t="s">
        <v>117</v>
      </c>
      <c r="BQ8" s="547"/>
      <c r="BR8" s="547"/>
      <c r="BS8" s="409"/>
      <c r="BT8" s="409"/>
      <c r="BU8" s="60">
        <f>IF(SUM(BP84:BV84)=0,0,SUM(BP84:BV84)/Нормы!$G$38)</f>
        <v>0</v>
      </c>
      <c r="BV8" s="61" t="s">
        <v>116</v>
      </c>
      <c r="BW8" s="62"/>
      <c r="BX8" s="63"/>
      <c r="BY8" s="547" t="s">
        <v>117</v>
      </c>
      <c r="BZ8" s="547"/>
      <c r="CA8" s="547"/>
      <c r="CB8" s="547"/>
      <c r="CC8" s="547"/>
      <c r="CD8" s="60">
        <f>IF(SUM(BY84:CE84)=0,0,SUM(BY84:CE84)/Нормы!$G$38)</f>
        <v>0</v>
      </c>
      <c r="CE8" s="65" t="s">
        <v>116</v>
      </c>
      <c r="CF8" s="628"/>
      <c r="CG8" s="628"/>
    </row>
    <row r="9" spans="1:85" s="44" customFormat="1" ht="123" customHeight="1">
      <c r="A9" s="555"/>
      <c r="B9" s="555"/>
      <c r="C9" s="555"/>
      <c r="D9" s="552"/>
      <c r="E9" s="552"/>
      <c r="F9" s="363" t="s">
        <v>64</v>
      </c>
      <c r="G9" s="552"/>
      <c r="H9" s="560"/>
      <c r="I9" s="419" t="s">
        <v>142</v>
      </c>
      <c r="J9" s="419" t="s">
        <v>198</v>
      </c>
      <c r="K9" s="610"/>
      <c r="L9" s="612"/>
      <c r="M9" s="603"/>
      <c r="N9" s="603"/>
      <c r="O9" s="603"/>
      <c r="P9" s="603"/>
      <c r="Q9" s="557"/>
      <c r="R9" s="416" t="s">
        <v>106</v>
      </c>
      <c r="S9" s="417" t="s">
        <v>540</v>
      </c>
      <c r="T9" s="418" t="s">
        <v>541</v>
      </c>
      <c r="U9" s="418" t="s">
        <v>179</v>
      </c>
      <c r="V9" s="418" t="s">
        <v>238</v>
      </c>
      <c r="W9" s="418" t="s">
        <v>68</v>
      </c>
      <c r="X9" s="412" t="s">
        <v>106</v>
      </c>
      <c r="Y9" s="364" t="s">
        <v>540</v>
      </c>
      <c r="Z9" s="365" t="s">
        <v>541</v>
      </c>
      <c r="AA9" s="365" t="s">
        <v>179</v>
      </c>
      <c r="AB9" s="365" t="s">
        <v>238</v>
      </c>
      <c r="AC9" s="420" t="s">
        <v>68</v>
      </c>
      <c r="AD9" s="416" t="s">
        <v>106</v>
      </c>
      <c r="AE9" s="417" t="s">
        <v>540</v>
      </c>
      <c r="AF9" s="418" t="s">
        <v>541</v>
      </c>
      <c r="AG9" s="418" t="s">
        <v>179</v>
      </c>
      <c r="AH9" s="418" t="s">
        <v>238</v>
      </c>
      <c r="AI9" s="418" t="s">
        <v>68</v>
      </c>
      <c r="AJ9" s="412" t="s">
        <v>106</v>
      </c>
      <c r="AK9" s="364" t="s">
        <v>540</v>
      </c>
      <c r="AL9" s="365" t="s">
        <v>541</v>
      </c>
      <c r="AM9" s="365" t="s">
        <v>179</v>
      </c>
      <c r="AN9" s="365" t="s">
        <v>238</v>
      </c>
      <c r="AO9" s="420" t="s">
        <v>68</v>
      </c>
      <c r="AP9" s="416" t="s">
        <v>106</v>
      </c>
      <c r="AQ9" s="417" t="s">
        <v>540</v>
      </c>
      <c r="AR9" s="418" t="s">
        <v>541</v>
      </c>
      <c r="AS9" s="418" t="s">
        <v>179</v>
      </c>
      <c r="AT9" s="418" t="s">
        <v>238</v>
      </c>
      <c r="AU9" s="418" t="s">
        <v>68</v>
      </c>
      <c r="AV9" s="412" t="s">
        <v>106</v>
      </c>
      <c r="AW9" s="364" t="s">
        <v>540</v>
      </c>
      <c r="AX9" s="365" t="s">
        <v>541</v>
      </c>
      <c r="AY9" s="365" t="s">
        <v>179</v>
      </c>
      <c r="AZ9" s="365" t="s">
        <v>238</v>
      </c>
      <c r="BA9" s="420" t="s">
        <v>68</v>
      </c>
      <c r="BB9" s="416" t="s">
        <v>106</v>
      </c>
      <c r="BC9" s="417" t="s">
        <v>540</v>
      </c>
      <c r="BD9" s="418" t="s">
        <v>541</v>
      </c>
      <c r="BE9" s="418" t="s">
        <v>179</v>
      </c>
      <c r="BF9" s="418" t="s">
        <v>238</v>
      </c>
      <c r="BG9" s="418" t="s">
        <v>68</v>
      </c>
      <c r="BH9" s="370" t="s">
        <v>106</v>
      </c>
      <c r="BI9" s="364" t="s">
        <v>540</v>
      </c>
      <c r="BJ9" s="365" t="s">
        <v>541</v>
      </c>
      <c r="BK9" s="365" t="s">
        <v>179</v>
      </c>
      <c r="BL9" s="365" t="s">
        <v>238</v>
      </c>
      <c r="BM9" s="365" t="s">
        <v>68</v>
      </c>
      <c r="BN9" s="423" t="s">
        <v>107</v>
      </c>
      <c r="BO9" s="66" t="s">
        <v>106</v>
      </c>
      <c r="BP9" s="67" t="s">
        <v>236</v>
      </c>
      <c r="BQ9" s="67" t="s">
        <v>237</v>
      </c>
      <c r="BR9" s="67" t="s">
        <v>67</v>
      </c>
      <c r="BS9" s="67" t="s">
        <v>179</v>
      </c>
      <c r="BT9" s="67" t="s">
        <v>238</v>
      </c>
      <c r="BU9" s="67" t="s">
        <v>118</v>
      </c>
      <c r="BV9" s="68" t="s">
        <v>68</v>
      </c>
      <c r="BW9" s="50" t="s">
        <v>107</v>
      </c>
      <c r="BX9" s="69" t="s">
        <v>106</v>
      </c>
      <c r="BY9" s="67" t="s">
        <v>236</v>
      </c>
      <c r="BZ9" s="67" t="s">
        <v>237</v>
      </c>
      <c r="CA9" s="67" t="s">
        <v>67</v>
      </c>
      <c r="CB9" s="67" t="s">
        <v>179</v>
      </c>
      <c r="CC9" s="67" t="s">
        <v>238</v>
      </c>
      <c r="CD9" s="67" t="s">
        <v>118</v>
      </c>
      <c r="CE9" s="421" t="s">
        <v>68</v>
      </c>
      <c r="CF9" s="629"/>
      <c r="CG9" s="629"/>
    </row>
    <row r="10" spans="1:85" s="44" customFormat="1" ht="12.75">
      <c r="A10" s="43">
        <v>1</v>
      </c>
      <c r="B10" s="43">
        <v>2</v>
      </c>
      <c r="C10" s="43">
        <v>3</v>
      </c>
      <c r="D10" s="43">
        <v>4</v>
      </c>
      <c r="E10" s="43">
        <v>5</v>
      </c>
      <c r="F10" s="43">
        <v>6</v>
      </c>
      <c r="G10" s="43">
        <v>7</v>
      </c>
      <c r="H10" s="43">
        <v>8</v>
      </c>
      <c r="I10" s="43">
        <v>9</v>
      </c>
      <c r="J10" s="43">
        <v>10</v>
      </c>
      <c r="K10" s="43">
        <v>11</v>
      </c>
      <c r="L10" s="43">
        <v>12</v>
      </c>
      <c r="M10" s="43">
        <v>14</v>
      </c>
      <c r="N10" s="43">
        <v>15</v>
      </c>
      <c r="O10" s="43">
        <v>16</v>
      </c>
      <c r="P10" s="43">
        <v>17</v>
      </c>
      <c r="Q10" s="43">
        <v>19</v>
      </c>
      <c r="R10" s="43">
        <v>21</v>
      </c>
      <c r="S10" s="43">
        <v>23</v>
      </c>
      <c r="T10" s="43">
        <v>24</v>
      </c>
      <c r="U10" s="43">
        <v>25</v>
      </c>
      <c r="V10" s="43">
        <v>26</v>
      </c>
      <c r="W10" s="43">
        <v>28</v>
      </c>
      <c r="X10" s="43">
        <v>30</v>
      </c>
      <c r="Y10" s="43">
        <v>32</v>
      </c>
      <c r="Z10" s="43">
        <v>33</v>
      </c>
      <c r="AA10" s="43">
        <v>34</v>
      </c>
      <c r="AB10" s="43">
        <v>35</v>
      </c>
      <c r="AC10" s="43">
        <v>37</v>
      </c>
      <c r="AD10" s="43">
        <v>39</v>
      </c>
      <c r="AE10" s="43">
        <v>41</v>
      </c>
      <c r="AF10" s="43">
        <v>42</v>
      </c>
      <c r="AG10" s="43">
        <v>43</v>
      </c>
      <c r="AH10" s="43">
        <v>44</v>
      </c>
      <c r="AI10" s="43">
        <v>46</v>
      </c>
      <c r="AJ10" s="43">
        <v>48</v>
      </c>
      <c r="AK10" s="43">
        <v>50</v>
      </c>
      <c r="AL10" s="43">
        <v>51</v>
      </c>
      <c r="AM10" s="43">
        <v>52</v>
      </c>
      <c r="AN10" s="43">
        <v>53</v>
      </c>
      <c r="AO10" s="43">
        <v>55</v>
      </c>
      <c r="AP10" s="43">
        <v>57</v>
      </c>
      <c r="AQ10" s="43">
        <v>59</v>
      </c>
      <c r="AR10" s="43">
        <v>60</v>
      </c>
      <c r="AS10" s="43">
        <v>61</v>
      </c>
      <c r="AT10" s="43">
        <v>62</v>
      </c>
      <c r="AU10" s="43">
        <v>64</v>
      </c>
      <c r="AV10" s="43">
        <v>66</v>
      </c>
      <c r="AW10" s="43">
        <v>68</v>
      </c>
      <c r="AX10" s="43">
        <v>69</v>
      </c>
      <c r="AY10" s="43">
        <v>70</v>
      </c>
      <c r="AZ10" s="43">
        <v>71</v>
      </c>
      <c r="BA10" s="43">
        <v>73</v>
      </c>
      <c r="BB10" s="43">
        <v>75</v>
      </c>
      <c r="BC10" s="43">
        <v>77</v>
      </c>
      <c r="BD10" s="43">
        <v>78</v>
      </c>
      <c r="BE10" s="43">
        <v>79</v>
      </c>
      <c r="BF10" s="43">
        <v>80</v>
      </c>
      <c r="BG10" s="43">
        <v>82</v>
      </c>
      <c r="BH10" s="43">
        <v>84</v>
      </c>
      <c r="BI10" s="43">
        <v>86</v>
      </c>
      <c r="BJ10" s="43">
        <v>87</v>
      </c>
      <c r="BK10" s="43">
        <v>88</v>
      </c>
      <c r="BL10" s="43">
        <v>89</v>
      </c>
      <c r="BM10" s="43">
        <v>91</v>
      </c>
      <c r="BN10" s="371">
        <v>92</v>
      </c>
      <c r="BO10" s="43">
        <v>93</v>
      </c>
      <c r="BP10" s="43">
        <v>94</v>
      </c>
      <c r="BQ10" s="43">
        <v>95</v>
      </c>
      <c r="BR10" s="43">
        <v>96</v>
      </c>
      <c r="BS10" s="43">
        <v>97</v>
      </c>
      <c r="BT10" s="43">
        <v>98</v>
      </c>
      <c r="BU10" s="43">
        <v>99</v>
      </c>
      <c r="BV10" s="43">
        <v>100</v>
      </c>
      <c r="BW10" s="43">
        <v>101</v>
      </c>
      <c r="BX10" s="43">
        <v>102</v>
      </c>
      <c r="BY10" s="43">
        <v>103</v>
      </c>
      <c r="BZ10" s="43">
        <v>104</v>
      </c>
      <c r="CA10" s="43">
        <v>105</v>
      </c>
      <c r="CB10" s="43">
        <v>106</v>
      </c>
      <c r="CC10" s="43">
        <v>107</v>
      </c>
      <c r="CD10" s="43">
        <v>108</v>
      </c>
      <c r="CE10" s="43">
        <v>109</v>
      </c>
      <c r="CF10" s="43">
        <v>110</v>
      </c>
      <c r="CG10" s="43">
        <v>111</v>
      </c>
    </row>
    <row r="11" spans="1:86" s="366" customFormat="1" ht="25.5" customHeight="1">
      <c r="A11" s="383"/>
      <c r="B11" s="604" t="s">
        <v>565</v>
      </c>
      <c r="C11" s="605"/>
      <c r="D11" s="605"/>
      <c r="E11" s="605"/>
      <c r="F11" s="605"/>
      <c r="G11" s="605"/>
      <c r="H11" s="605"/>
      <c r="I11" s="385">
        <v>2106</v>
      </c>
      <c r="J11" s="385">
        <v>1404</v>
      </c>
      <c r="K11" s="385">
        <f aca="true" t="shared" si="0" ref="K11:V11">K12+K24</f>
        <v>2106</v>
      </c>
      <c r="L11" s="385">
        <f t="shared" si="0"/>
        <v>1404</v>
      </c>
      <c r="M11" s="385">
        <f t="shared" si="0"/>
        <v>1198</v>
      </c>
      <c r="N11" s="385">
        <f t="shared" si="0"/>
        <v>206</v>
      </c>
      <c r="O11" s="385">
        <f t="shared" si="0"/>
        <v>0</v>
      </c>
      <c r="P11" s="385">
        <f t="shared" si="0"/>
        <v>0</v>
      </c>
      <c r="Q11" s="385">
        <f t="shared" si="0"/>
        <v>702</v>
      </c>
      <c r="R11" s="385">
        <f t="shared" si="0"/>
        <v>918</v>
      </c>
      <c r="S11" s="385">
        <f t="shared" si="0"/>
        <v>527</v>
      </c>
      <c r="T11" s="385">
        <f t="shared" si="0"/>
        <v>85</v>
      </c>
      <c r="U11" s="385">
        <f t="shared" si="0"/>
        <v>0</v>
      </c>
      <c r="V11" s="385">
        <f t="shared" si="0"/>
        <v>0</v>
      </c>
      <c r="W11" s="385">
        <f aca="true" t="shared" si="1" ref="W11:AB11">W12+W24</f>
        <v>306</v>
      </c>
      <c r="X11" s="385">
        <f t="shared" si="1"/>
        <v>1188</v>
      </c>
      <c r="Y11" s="385">
        <f t="shared" si="1"/>
        <v>671</v>
      </c>
      <c r="Z11" s="385">
        <f t="shared" si="1"/>
        <v>121</v>
      </c>
      <c r="AA11" s="385">
        <f t="shared" si="1"/>
        <v>0</v>
      </c>
      <c r="AB11" s="385">
        <f t="shared" si="1"/>
        <v>0</v>
      </c>
      <c r="AC11" s="385">
        <f aca="true" t="shared" si="2" ref="AC11:BD11">AC12+AC24</f>
        <v>396</v>
      </c>
      <c r="AD11" s="385">
        <f t="shared" si="2"/>
        <v>0</v>
      </c>
      <c r="AE11" s="385">
        <f t="shared" si="2"/>
        <v>0</v>
      </c>
      <c r="AF11" s="385">
        <f t="shared" si="2"/>
        <v>0</v>
      </c>
      <c r="AG11" s="385">
        <f t="shared" si="2"/>
        <v>0</v>
      </c>
      <c r="AH11" s="385">
        <f t="shared" si="2"/>
        <v>0</v>
      </c>
      <c r="AI11" s="385">
        <f t="shared" si="2"/>
        <v>0</v>
      </c>
      <c r="AJ11" s="385">
        <f t="shared" si="2"/>
        <v>0</v>
      </c>
      <c r="AK11" s="385">
        <f t="shared" si="2"/>
        <v>0</v>
      </c>
      <c r="AL11" s="385">
        <f t="shared" si="2"/>
        <v>0</v>
      </c>
      <c r="AM11" s="385">
        <f t="shared" si="2"/>
        <v>0</v>
      </c>
      <c r="AN11" s="385">
        <f t="shared" si="2"/>
        <v>0</v>
      </c>
      <c r="AO11" s="385">
        <f t="shared" si="2"/>
        <v>0</v>
      </c>
      <c r="AP11" s="385">
        <f t="shared" si="2"/>
        <v>0</v>
      </c>
      <c r="AQ11" s="385">
        <f t="shared" si="2"/>
        <v>0</v>
      </c>
      <c r="AR11" s="385">
        <f t="shared" si="2"/>
        <v>0</v>
      </c>
      <c r="AS11" s="385">
        <f t="shared" si="2"/>
        <v>0</v>
      </c>
      <c r="AT11" s="385">
        <f t="shared" si="2"/>
        <v>0</v>
      </c>
      <c r="AU11" s="385">
        <f t="shared" si="2"/>
        <v>0</v>
      </c>
      <c r="AV11" s="385">
        <f t="shared" si="2"/>
        <v>0</v>
      </c>
      <c r="AW11" s="385">
        <f t="shared" si="2"/>
        <v>0</v>
      </c>
      <c r="AX11" s="385">
        <f t="shared" si="2"/>
        <v>0</v>
      </c>
      <c r="AY11" s="385">
        <f t="shared" si="2"/>
        <v>0</v>
      </c>
      <c r="AZ11" s="385">
        <f t="shared" si="2"/>
        <v>0</v>
      </c>
      <c r="BA11" s="385">
        <f t="shared" si="2"/>
        <v>0</v>
      </c>
      <c r="BB11" s="385">
        <f t="shared" si="2"/>
        <v>0</v>
      </c>
      <c r="BC11" s="385">
        <f t="shared" si="2"/>
        <v>0</v>
      </c>
      <c r="BD11" s="385">
        <f t="shared" si="2"/>
        <v>0</v>
      </c>
      <c r="BE11" s="385">
        <f aca="true" t="shared" si="3" ref="BE11:CH11">BE12+BE24</f>
        <v>0</v>
      </c>
      <c r="BF11" s="385">
        <f t="shared" si="3"/>
        <v>0</v>
      </c>
      <c r="BG11" s="385">
        <f t="shared" si="3"/>
        <v>0</v>
      </c>
      <c r="BH11" s="385">
        <f t="shared" si="3"/>
        <v>0</v>
      </c>
      <c r="BI11" s="385">
        <f t="shared" si="3"/>
        <v>0</v>
      </c>
      <c r="BJ11" s="385">
        <f t="shared" si="3"/>
        <v>0</v>
      </c>
      <c r="BK11" s="385">
        <f t="shared" si="3"/>
        <v>0</v>
      </c>
      <c r="BL11" s="385">
        <f t="shared" si="3"/>
        <v>0</v>
      </c>
      <c r="BM11" s="385">
        <f t="shared" si="3"/>
        <v>0</v>
      </c>
      <c r="BN11" s="385">
        <f t="shared" si="3"/>
        <v>0</v>
      </c>
      <c r="BO11" s="385">
        <f t="shared" si="3"/>
        <v>0</v>
      </c>
      <c r="BP11" s="385">
        <f t="shared" si="3"/>
        <v>0</v>
      </c>
      <c r="BQ11" s="385">
        <f t="shared" si="3"/>
        <v>0</v>
      </c>
      <c r="BR11" s="385">
        <f t="shared" si="3"/>
        <v>0</v>
      </c>
      <c r="BS11" s="385">
        <f t="shared" si="3"/>
        <v>0</v>
      </c>
      <c r="BT11" s="385">
        <f t="shared" si="3"/>
        <v>0</v>
      </c>
      <c r="BU11" s="385">
        <f t="shared" si="3"/>
        <v>0</v>
      </c>
      <c r="BV11" s="385">
        <f t="shared" si="3"/>
        <v>0</v>
      </c>
      <c r="BW11" s="385">
        <f t="shared" si="3"/>
        <v>0</v>
      </c>
      <c r="BX11" s="385">
        <f t="shared" si="3"/>
        <v>0</v>
      </c>
      <c r="BY11" s="385">
        <f t="shared" si="3"/>
        <v>0</v>
      </c>
      <c r="BZ11" s="385">
        <f t="shared" si="3"/>
        <v>0</v>
      </c>
      <c r="CA11" s="385">
        <f t="shared" si="3"/>
        <v>0</v>
      </c>
      <c r="CB11" s="385">
        <f t="shared" si="3"/>
        <v>0</v>
      </c>
      <c r="CC11" s="385">
        <f t="shared" si="3"/>
        <v>0</v>
      </c>
      <c r="CD11" s="385">
        <f t="shared" si="3"/>
        <v>0</v>
      </c>
      <c r="CE11" s="385">
        <f t="shared" si="3"/>
        <v>0</v>
      </c>
      <c r="CF11" s="385">
        <f t="shared" si="3"/>
        <v>0</v>
      </c>
      <c r="CG11" s="385">
        <f t="shared" si="3"/>
        <v>0</v>
      </c>
      <c r="CH11" s="373">
        <f t="shared" si="3"/>
        <v>0</v>
      </c>
    </row>
    <row r="12" spans="1:86" s="366" customFormat="1" ht="25.5" customHeight="1">
      <c r="A12" s="386"/>
      <c r="B12" s="541" t="s">
        <v>553</v>
      </c>
      <c r="C12" s="542"/>
      <c r="D12" s="542"/>
      <c r="E12" s="542"/>
      <c r="F12" s="542"/>
      <c r="G12" s="542"/>
      <c r="H12" s="543"/>
      <c r="I12" s="379" t="s">
        <v>21</v>
      </c>
      <c r="J12" s="379">
        <f aca="true" t="shared" si="4" ref="J12:V12">SUM(J13:J23)</f>
        <v>910</v>
      </c>
      <c r="K12" s="379">
        <f t="shared" si="4"/>
        <v>1380</v>
      </c>
      <c r="L12" s="379">
        <f t="shared" si="4"/>
        <v>920</v>
      </c>
      <c r="M12" s="379">
        <f t="shared" si="4"/>
        <v>781</v>
      </c>
      <c r="N12" s="379">
        <f t="shared" si="4"/>
        <v>139</v>
      </c>
      <c r="O12" s="379">
        <f t="shared" si="4"/>
        <v>0</v>
      </c>
      <c r="P12" s="379">
        <f t="shared" si="4"/>
        <v>0</v>
      </c>
      <c r="Q12" s="379">
        <f t="shared" si="4"/>
        <v>460</v>
      </c>
      <c r="R12" s="379">
        <f t="shared" si="4"/>
        <v>612</v>
      </c>
      <c r="S12" s="379">
        <f t="shared" si="4"/>
        <v>357</v>
      </c>
      <c r="T12" s="379">
        <f t="shared" si="4"/>
        <v>51</v>
      </c>
      <c r="U12" s="379">
        <f t="shared" si="4"/>
        <v>0</v>
      </c>
      <c r="V12" s="379">
        <f t="shared" si="4"/>
        <v>0</v>
      </c>
      <c r="W12" s="379">
        <f aca="true" t="shared" si="5" ref="W12:AB12">SUM(W13:W23)</f>
        <v>204</v>
      </c>
      <c r="X12" s="379">
        <f t="shared" si="5"/>
        <v>768</v>
      </c>
      <c r="Y12" s="379">
        <f t="shared" si="5"/>
        <v>424</v>
      </c>
      <c r="Z12" s="379">
        <f t="shared" si="5"/>
        <v>88</v>
      </c>
      <c r="AA12" s="379">
        <f t="shared" si="5"/>
        <v>0</v>
      </c>
      <c r="AB12" s="379">
        <f t="shared" si="5"/>
        <v>0</v>
      </c>
      <c r="AC12" s="379">
        <f aca="true" t="shared" si="6" ref="AC12:BD12">SUM(AC13:AC23)</f>
        <v>256</v>
      </c>
      <c r="AD12" s="379">
        <f t="shared" si="6"/>
        <v>0</v>
      </c>
      <c r="AE12" s="379">
        <f t="shared" si="6"/>
        <v>0</v>
      </c>
      <c r="AF12" s="379">
        <f t="shared" si="6"/>
        <v>0</v>
      </c>
      <c r="AG12" s="379">
        <f t="shared" si="6"/>
        <v>0</v>
      </c>
      <c r="AH12" s="379">
        <f t="shared" si="6"/>
        <v>0</v>
      </c>
      <c r="AI12" s="379">
        <f t="shared" si="6"/>
        <v>0</v>
      </c>
      <c r="AJ12" s="379">
        <f t="shared" si="6"/>
        <v>0</v>
      </c>
      <c r="AK12" s="379">
        <f t="shared" si="6"/>
        <v>0</v>
      </c>
      <c r="AL12" s="379">
        <f t="shared" si="6"/>
        <v>0</v>
      </c>
      <c r="AM12" s="379">
        <f t="shared" si="6"/>
        <v>0</v>
      </c>
      <c r="AN12" s="379">
        <f t="shared" si="6"/>
        <v>0</v>
      </c>
      <c r="AO12" s="379">
        <f t="shared" si="6"/>
        <v>0</v>
      </c>
      <c r="AP12" s="379">
        <f t="shared" si="6"/>
        <v>0</v>
      </c>
      <c r="AQ12" s="379">
        <f t="shared" si="6"/>
        <v>0</v>
      </c>
      <c r="AR12" s="379">
        <f t="shared" si="6"/>
        <v>0</v>
      </c>
      <c r="AS12" s="379">
        <f t="shared" si="6"/>
        <v>0</v>
      </c>
      <c r="AT12" s="379">
        <f t="shared" si="6"/>
        <v>0</v>
      </c>
      <c r="AU12" s="379">
        <f t="shared" si="6"/>
        <v>0</v>
      </c>
      <c r="AV12" s="379">
        <f t="shared" si="6"/>
        <v>0</v>
      </c>
      <c r="AW12" s="379">
        <f t="shared" si="6"/>
        <v>0</v>
      </c>
      <c r="AX12" s="379">
        <f t="shared" si="6"/>
        <v>0</v>
      </c>
      <c r="AY12" s="379">
        <f t="shared" si="6"/>
        <v>0</v>
      </c>
      <c r="AZ12" s="379">
        <f t="shared" si="6"/>
        <v>0</v>
      </c>
      <c r="BA12" s="379">
        <f t="shared" si="6"/>
        <v>0</v>
      </c>
      <c r="BB12" s="379">
        <f t="shared" si="6"/>
        <v>0</v>
      </c>
      <c r="BC12" s="379">
        <f t="shared" si="6"/>
        <v>0</v>
      </c>
      <c r="BD12" s="379">
        <f t="shared" si="6"/>
        <v>0</v>
      </c>
      <c r="BE12" s="379">
        <f aca="true" t="shared" si="7" ref="BE12:CH12">SUM(BE13:BE23)</f>
        <v>0</v>
      </c>
      <c r="BF12" s="379">
        <f t="shared" si="7"/>
        <v>0</v>
      </c>
      <c r="BG12" s="379">
        <f t="shared" si="7"/>
        <v>0</v>
      </c>
      <c r="BH12" s="379">
        <f t="shared" si="7"/>
        <v>0</v>
      </c>
      <c r="BI12" s="379">
        <f t="shared" si="7"/>
        <v>0</v>
      </c>
      <c r="BJ12" s="379">
        <f t="shared" si="7"/>
        <v>0</v>
      </c>
      <c r="BK12" s="379">
        <f t="shared" si="7"/>
        <v>0</v>
      </c>
      <c r="BL12" s="379">
        <f t="shared" si="7"/>
        <v>0</v>
      </c>
      <c r="BM12" s="379">
        <f t="shared" si="7"/>
        <v>0</v>
      </c>
      <c r="BN12" s="379">
        <f t="shared" si="7"/>
        <v>0</v>
      </c>
      <c r="BO12" s="379">
        <f t="shared" si="7"/>
        <v>0</v>
      </c>
      <c r="BP12" s="379">
        <f t="shared" si="7"/>
        <v>0</v>
      </c>
      <c r="BQ12" s="379">
        <f t="shared" si="7"/>
        <v>0</v>
      </c>
      <c r="BR12" s="379">
        <f t="shared" si="7"/>
        <v>0</v>
      </c>
      <c r="BS12" s="379">
        <f t="shared" si="7"/>
        <v>0</v>
      </c>
      <c r="BT12" s="379">
        <f t="shared" si="7"/>
        <v>0</v>
      </c>
      <c r="BU12" s="379">
        <f t="shared" si="7"/>
        <v>0</v>
      </c>
      <c r="BV12" s="379">
        <f t="shared" si="7"/>
        <v>0</v>
      </c>
      <c r="BW12" s="379">
        <f t="shared" si="7"/>
        <v>0</v>
      </c>
      <c r="BX12" s="379">
        <f t="shared" si="7"/>
        <v>0</v>
      </c>
      <c r="BY12" s="379">
        <f t="shared" si="7"/>
        <v>0</v>
      </c>
      <c r="BZ12" s="379">
        <f t="shared" si="7"/>
        <v>0</v>
      </c>
      <c r="CA12" s="379">
        <f t="shared" si="7"/>
        <v>0</v>
      </c>
      <c r="CB12" s="379">
        <f t="shared" si="7"/>
        <v>0</v>
      </c>
      <c r="CC12" s="379">
        <f t="shared" si="7"/>
        <v>0</v>
      </c>
      <c r="CD12" s="379">
        <f t="shared" si="7"/>
        <v>0</v>
      </c>
      <c r="CE12" s="379">
        <f t="shared" si="7"/>
        <v>0</v>
      </c>
      <c r="CF12" s="379">
        <f t="shared" si="7"/>
        <v>0</v>
      </c>
      <c r="CG12" s="379">
        <f t="shared" si="7"/>
        <v>0</v>
      </c>
      <c r="CH12" s="374">
        <f t="shared" si="7"/>
        <v>0</v>
      </c>
    </row>
    <row r="13" spans="1:86" s="366" customFormat="1" ht="25.5" customHeight="1">
      <c r="A13" s="482" t="s">
        <v>566</v>
      </c>
      <c r="B13" s="361" t="s">
        <v>529</v>
      </c>
      <c r="C13" s="301"/>
      <c r="D13" s="358" t="s">
        <v>31</v>
      </c>
      <c r="E13" s="358"/>
      <c r="F13" s="358"/>
      <c r="G13" s="358"/>
      <c r="H13" s="358" t="s">
        <v>27</v>
      </c>
      <c r="I13" s="368">
        <v>117</v>
      </c>
      <c r="J13" s="367">
        <v>78</v>
      </c>
      <c r="K13" s="359">
        <f aca="true" t="shared" si="8" ref="K13:K23">L13+SUM(Q13:Q13)</f>
        <v>117</v>
      </c>
      <c r="L13" s="359">
        <f aca="true" t="shared" si="9" ref="L13:L23">SUM(M13:P13)</f>
        <v>78</v>
      </c>
      <c r="M13" s="359">
        <f>S13+Y13</f>
        <v>78</v>
      </c>
      <c r="N13" s="359">
        <f>T13+Z13</f>
        <v>0</v>
      </c>
      <c r="O13" s="359">
        <f>U13+AA13</f>
        <v>0</v>
      </c>
      <c r="P13" s="359">
        <f>V13+AB13</f>
        <v>0</v>
      </c>
      <c r="Q13" s="359">
        <f aca="true" t="shared" si="10" ref="Q13:Q23">W13+AC13+AI13+AP13+AW13+BD13+BK13+BR13+BZ13+CH13</f>
        <v>39</v>
      </c>
      <c r="R13" s="360">
        <f aca="true" t="shared" si="11" ref="R13:R23">SUM(S13:V13)+W13</f>
        <v>51</v>
      </c>
      <c r="S13" s="283">
        <v>34</v>
      </c>
      <c r="T13" s="283"/>
      <c r="U13" s="283"/>
      <c r="V13" s="283"/>
      <c r="W13" s="283">
        <v>17</v>
      </c>
      <c r="X13" s="360">
        <f aca="true" t="shared" si="12" ref="X13:X23">SUM(Y13:AB13)+AC13</f>
        <v>66</v>
      </c>
      <c r="Y13" s="283">
        <v>44</v>
      </c>
      <c r="Z13" s="283"/>
      <c r="AA13" s="283"/>
      <c r="AB13" s="283"/>
      <c r="AC13" s="283">
        <v>22</v>
      </c>
      <c r="AD13" s="360">
        <f>SUM(AE13:AI13)</f>
        <v>0</v>
      </c>
      <c r="AE13" s="283"/>
      <c r="AF13" s="283"/>
      <c r="AG13" s="283"/>
      <c r="AH13" s="283"/>
      <c r="AI13" s="283"/>
      <c r="AJ13" s="360">
        <f>SUM(AK13:AP13)</f>
        <v>0</v>
      </c>
      <c r="AK13" s="283"/>
      <c r="AL13" s="283"/>
      <c r="AM13" s="283"/>
      <c r="AN13" s="283"/>
      <c r="AO13" s="283"/>
      <c r="AP13" s="360">
        <f>SUM(AQ13:AU13)</f>
        <v>0</v>
      </c>
      <c r="AQ13" s="283"/>
      <c r="AR13" s="283"/>
      <c r="AS13" s="283"/>
      <c r="AT13" s="283"/>
      <c r="AU13" s="283"/>
      <c r="AV13" s="360">
        <f>SUM(AW13:BA13)</f>
        <v>0</v>
      </c>
      <c r="AW13" s="283"/>
      <c r="AX13" s="283"/>
      <c r="AY13" s="283"/>
      <c r="AZ13" s="283"/>
      <c r="BA13" s="283"/>
      <c r="BB13" s="360">
        <f>SUM(BC13:BG13)</f>
        <v>0</v>
      </c>
      <c r="BC13" s="283"/>
      <c r="BD13" s="283"/>
      <c r="BE13" s="283"/>
      <c r="BF13" s="283"/>
      <c r="BG13" s="283"/>
      <c r="BH13" s="360">
        <f>SUM(BI13:BM13)</f>
        <v>0</v>
      </c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360">
        <f>SUM(BT13:BZ13)</f>
        <v>0</v>
      </c>
      <c r="BT13" s="283"/>
      <c r="BU13" s="283"/>
      <c r="BV13" s="283"/>
      <c r="BW13" s="283"/>
      <c r="BX13" s="283"/>
      <c r="BY13" s="283"/>
      <c r="BZ13" s="283"/>
      <c r="CA13" s="360">
        <f>SUM(CB13:CH13)</f>
        <v>0</v>
      </c>
      <c r="CB13" s="283"/>
      <c r="CC13" s="283"/>
      <c r="CD13" s="249"/>
      <c r="CE13" s="283"/>
      <c r="CF13" s="358" t="s">
        <v>470</v>
      </c>
      <c r="CG13" s="283"/>
      <c r="CH13" s="375"/>
    </row>
    <row r="14" spans="1:86" s="366" customFormat="1" ht="25.5" customHeight="1">
      <c r="A14" s="482" t="s">
        <v>567</v>
      </c>
      <c r="B14" s="361" t="s">
        <v>530</v>
      </c>
      <c r="C14" s="301"/>
      <c r="D14" s="389"/>
      <c r="E14" s="358" t="s">
        <v>31</v>
      </c>
      <c r="F14" s="358"/>
      <c r="G14" s="358"/>
      <c r="H14" s="358" t="s">
        <v>27</v>
      </c>
      <c r="I14" s="368">
        <v>175</v>
      </c>
      <c r="J14" s="367">
        <v>117</v>
      </c>
      <c r="K14" s="359">
        <f t="shared" si="8"/>
        <v>183</v>
      </c>
      <c r="L14" s="359">
        <f t="shared" si="9"/>
        <v>122</v>
      </c>
      <c r="M14" s="359">
        <f aca="true" t="shared" si="13" ref="M14:M23">S14+Y14</f>
        <v>122</v>
      </c>
      <c r="N14" s="359">
        <f aca="true" t="shared" si="14" ref="N14:N23">T14+Z14</f>
        <v>0</v>
      </c>
      <c r="O14" s="359">
        <f aca="true" t="shared" si="15" ref="O14:O23">U14+AA14</f>
        <v>0</v>
      </c>
      <c r="P14" s="359">
        <f aca="true" t="shared" si="16" ref="P14:P23">V14+AB14</f>
        <v>0</v>
      </c>
      <c r="Q14" s="359">
        <f t="shared" si="10"/>
        <v>61</v>
      </c>
      <c r="R14" s="360">
        <f t="shared" si="11"/>
        <v>51</v>
      </c>
      <c r="S14" s="283">
        <v>34</v>
      </c>
      <c r="T14" s="283"/>
      <c r="U14" s="283"/>
      <c r="V14" s="283"/>
      <c r="W14" s="283">
        <v>17</v>
      </c>
      <c r="X14" s="360">
        <f t="shared" si="12"/>
        <v>132</v>
      </c>
      <c r="Y14" s="283">
        <v>88</v>
      </c>
      <c r="Z14" s="283"/>
      <c r="AA14" s="283"/>
      <c r="AB14" s="283"/>
      <c r="AC14" s="283">
        <v>44</v>
      </c>
      <c r="AD14" s="360"/>
      <c r="AE14" s="283"/>
      <c r="AF14" s="283"/>
      <c r="AG14" s="283"/>
      <c r="AH14" s="283"/>
      <c r="AI14" s="283"/>
      <c r="AJ14" s="360"/>
      <c r="AK14" s="283"/>
      <c r="AL14" s="283"/>
      <c r="AM14" s="283"/>
      <c r="AN14" s="283"/>
      <c r="AO14" s="283"/>
      <c r="AP14" s="360"/>
      <c r="AQ14" s="283"/>
      <c r="AR14" s="283"/>
      <c r="AS14" s="283"/>
      <c r="AT14" s="283"/>
      <c r="AU14" s="283"/>
      <c r="AV14" s="360"/>
      <c r="AW14" s="283"/>
      <c r="AX14" s="283"/>
      <c r="AY14" s="283"/>
      <c r="AZ14" s="283"/>
      <c r="BA14" s="283"/>
      <c r="BB14" s="360"/>
      <c r="BC14" s="283"/>
      <c r="BD14" s="283"/>
      <c r="BE14" s="283"/>
      <c r="BF14" s="283"/>
      <c r="BG14" s="283"/>
      <c r="BH14" s="360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360"/>
      <c r="BT14" s="283"/>
      <c r="BU14" s="283"/>
      <c r="BV14" s="283"/>
      <c r="BW14" s="283"/>
      <c r="BX14" s="283"/>
      <c r="BY14" s="283"/>
      <c r="BZ14" s="283"/>
      <c r="CA14" s="360"/>
      <c r="CB14" s="283"/>
      <c r="CC14" s="283"/>
      <c r="CD14" s="249"/>
      <c r="CE14" s="283"/>
      <c r="CF14" s="358" t="s">
        <v>470</v>
      </c>
      <c r="CG14" s="283"/>
      <c r="CH14" s="375"/>
    </row>
    <row r="15" spans="1:86" s="366" customFormat="1" ht="25.5" customHeight="1">
      <c r="A15" s="482" t="s">
        <v>568</v>
      </c>
      <c r="B15" s="361" t="s">
        <v>109</v>
      </c>
      <c r="C15" s="301"/>
      <c r="D15" s="358"/>
      <c r="E15" s="358" t="s">
        <v>31</v>
      </c>
      <c r="F15" s="358"/>
      <c r="G15" s="358"/>
      <c r="H15" s="358" t="s">
        <v>27</v>
      </c>
      <c r="I15" s="368">
        <v>175</v>
      </c>
      <c r="J15" s="283">
        <v>117</v>
      </c>
      <c r="K15" s="359">
        <f t="shared" si="8"/>
        <v>175</v>
      </c>
      <c r="L15" s="359">
        <f t="shared" si="9"/>
        <v>117</v>
      </c>
      <c r="M15" s="359">
        <f t="shared" si="13"/>
        <v>0</v>
      </c>
      <c r="N15" s="359">
        <f t="shared" si="14"/>
        <v>117</v>
      </c>
      <c r="O15" s="359">
        <f t="shared" si="15"/>
        <v>0</v>
      </c>
      <c r="P15" s="359">
        <f t="shared" si="16"/>
        <v>0</v>
      </c>
      <c r="Q15" s="359">
        <f t="shared" si="10"/>
        <v>58</v>
      </c>
      <c r="R15" s="360">
        <f t="shared" si="11"/>
        <v>76</v>
      </c>
      <c r="S15" s="283"/>
      <c r="T15" s="283">
        <v>51</v>
      </c>
      <c r="U15" s="283"/>
      <c r="V15" s="283"/>
      <c r="W15" s="283">
        <v>25</v>
      </c>
      <c r="X15" s="360">
        <f t="shared" si="12"/>
        <v>99</v>
      </c>
      <c r="Y15" s="283"/>
      <c r="Z15" s="283">
        <v>66</v>
      </c>
      <c r="AA15" s="283"/>
      <c r="AB15" s="283"/>
      <c r="AC15" s="283">
        <v>33</v>
      </c>
      <c r="AD15" s="360">
        <f>SUM(AE15:AI15)</f>
        <v>0</v>
      </c>
      <c r="AE15" s="283"/>
      <c r="AF15" s="283"/>
      <c r="AG15" s="283"/>
      <c r="AH15" s="283"/>
      <c r="AI15" s="283"/>
      <c r="AJ15" s="360">
        <f>SUM(AK15:AP15)</f>
        <v>0</v>
      </c>
      <c r="AK15" s="283"/>
      <c r="AL15" s="283"/>
      <c r="AM15" s="283"/>
      <c r="AN15" s="283"/>
      <c r="AO15" s="283"/>
      <c r="AP15" s="360">
        <f>SUM(AQ15:AU15)</f>
        <v>0</v>
      </c>
      <c r="AQ15" s="283"/>
      <c r="AR15" s="283"/>
      <c r="AS15" s="283"/>
      <c r="AT15" s="283"/>
      <c r="AU15" s="283"/>
      <c r="AV15" s="360">
        <f>SUM(AW15:BA15)</f>
        <v>0</v>
      </c>
      <c r="AW15" s="283"/>
      <c r="AX15" s="283"/>
      <c r="AY15" s="283"/>
      <c r="AZ15" s="283"/>
      <c r="BA15" s="283"/>
      <c r="BB15" s="360">
        <f>SUM(BC15:BG15)</f>
        <v>0</v>
      </c>
      <c r="BC15" s="283"/>
      <c r="BD15" s="283"/>
      <c r="BE15" s="283"/>
      <c r="BF15" s="283"/>
      <c r="BG15" s="283"/>
      <c r="BH15" s="360">
        <f>SUM(BI15:BM15)</f>
        <v>0</v>
      </c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360">
        <f>SUM(BT15:BZ15)</f>
        <v>0</v>
      </c>
      <c r="BT15" s="283"/>
      <c r="BU15" s="283"/>
      <c r="BV15" s="283"/>
      <c r="BW15" s="283"/>
      <c r="BX15" s="283"/>
      <c r="BY15" s="283"/>
      <c r="BZ15" s="283"/>
      <c r="CA15" s="360">
        <f>SUM(CB15:CH15)</f>
        <v>0</v>
      </c>
      <c r="CB15" s="283"/>
      <c r="CC15" s="283"/>
      <c r="CD15" s="249"/>
      <c r="CE15" s="283"/>
      <c r="CF15" s="358" t="s">
        <v>470</v>
      </c>
      <c r="CG15" s="283"/>
      <c r="CH15" s="375"/>
    </row>
    <row r="16" spans="1:86" s="366" customFormat="1" ht="25.5" customHeight="1">
      <c r="A16" s="482" t="s">
        <v>569</v>
      </c>
      <c r="B16" s="361" t="s">
        <v>108</v>
      </c>
      <c r="C16" s="301"/>
      <c r="D16" s="358"/>
      <c r="E16" s="358" t="s">
        <v>31</v>
      </c>
      <c r="F16" s="358"/>
      <c r="G16" s="358"/>
      <c r="H16" s="358" t="s">
        <v>27</v>
      </c>
      <c r="I16" s="368">
        <v>175</v>
      </c>
      <c r="J16" s="283">
        <v>117</v>
      </c>
      <c r="K16" s="359">
        <f t="shared" si="8"/>
        <v>175</v>
      </c>
      <c r="L16" s="359">
        <f t="shared" si="9"/>
        <v>117</v>
      </c>
      <c r="M16" s="359">
        <f t="shared" si="13"/>
        <v>117</v>
      </c>
      <c r="N16" s="359">
        <f t="shared" si="14"/>
        <v>0</v>
      </c>
      <c r="O16" s="359">
        <f t="shared" si="15"/>
        <v>0</v>
      </c>
      <c r="P16" s="359">
        <f t="shared" si="16"/>
        <v>0</v>
      </c>
      <c r="Q16" s="359">
        <f t="shared" si="10"/>
        <v>58</v>
      </c>
      <c r="R16" s="360">
        <f t="shared" si="11"/>
        <v>76</v>
      </c>
      <c r="S16" s="283">
        <v>51</v>
      </c>
      <c r="T16" s="283"/>
      <c r="U16" s="283"/>
      <c r="V16" s="283"/>
      <c r="W16" s="283">
        <v>25</v>
      </c>
      <c r="X16" s="360">
        <f t="shared" si="12"/>
        <v>99</v>
      </c>
      <c r="Y16" s="283">
        <v>66</v>
      </c>
      <c r="Z16" s="283"/>
      <c r="AA16" s="283"/>
      <c r="AB16" s="283"/>
      <c r="AC16" s="283">
        <v>33</v>
      </c>
      <c r="AD16" s="360">
        <f>SUM(AE16:AI16)</f>
        <v>0</v>
      </c>
      <c r="AE16" s="283"/>
      <c r="AF16" s="283"/>
      <c r="AG16" s="283"/>
      <c r="AH16" s="283"/>
      <c r="AI16" s="283"/>
      <c r="AJ16" s="360">
        <f>SUM(AK16:AP16)</f>
        <v>0</v>
      </c>
      <c r="AK16" s="283"/>
      <c r="AL16" s="283"/>
      <c r="AM16" s="283"/>
      <c r="AN16" s="283"/>
      <c r="AO16" s="283"/>
      <c r="AP16" s="360">
        <f>SUM(AQ16:AU16)</f>
        <v>0</v>
      </c>
      <c r="AQ16" s="283"/>
      <c r="AR16" s="283"/>
      <c r="AS16" s="283"/>
      <c r="AT16" s="283"/>
      <c r="AU16" s="283"/>
      <c r="AV16" s="360">
        <f>SUM(AW16:BA16)</f>
        <v>0</v>
      </c>
      <c r="AW16" s="283"/>
      <c r="AX16" s="283"/>
      <c r="AY16" s="283"/>
      <c r="AZ16" s="283"/>
      <c r="BA16" s="283"/>
      <c r="BB16" s="360">
        <f>SUM(BC16:BG16)</f>
        <v>0</v>
      </c>
      <c r="BC16" s="283"/>
      <c r="BD16" s="283"/>
      <c r="BE16" s="283"/>
      <c r="BF16" s="283"/>
      <c r="BG16" s="283"/>
      <c r="BH16" s="360">
        <f>SUM(BI16:BM16)</f>
        <v>0</v>
      </c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360">
        <f>SUM(BT16:BZ16)</f>
        <v>0</v>
      </c>
      <c r="BT16" s="283"/>
      <c r="BU16" s="283"/>
      <c r="BV16" s="283"/>
      <c r="BW16" s="283"/>
      <c r="BX16" s="283"/>
      <c r="BY16" s="283"/>
      <c r="BZ16" s="283"/>
      <c r="CA16" s="360">
        <f>SUM(CB16:CH16)</f>
        <v>0</v>
      </c>
      <c r="CB16" s="283"/>
      <c r="CC16" s="283"/>
      <c r="CD16" s="249"/>
      <c r="CE16" s="283"/>
      <c r="CF16" s="358" t="s">
        <v>470</v>
      </c>
      <c r="CG16" s="283"/>
      <c r="CH16" s="375"/>
    </row>
    <row r="17" spans="1:86" s="366" customFormat="1" ht="25.5" customHeight="1">
      <c r="A17" s="482" t="s">
        <v>570</v>
      </c>
      <c r="B17" s="361" t="s">
        <v>6</v>
      </c>
      <c r="C17" s="301"/>
      <c r="D17" s="358"/>
      <c r="E17" s="358" t="s">
        <v>220</v>
      </c>
      <c r="F17" s="358"/>
      <c r="G17" s="358"/>
      <c r="H17" s="358"/>
      <c r="I17" s="368">
        <v>175</v>
      </c>
      <c r="J17" s="283">
        <v>117</v>
      </c>
      <c r="K17" s="359">
        <f t="shared" si="8"/>
        <v>176</v>
      </c>
      <c r="L17" s="359">
        <f t="shared" si="9"/>
        <v>117</v>
      </c>
      <c r="M17" s="359">
        <f t="shared" si="13"/>
        <v>117</v>
      </c>
      <c r="N17" s="359">
        <f t="shared" si="14"/>
        <v>0</v>
      </c>
      <c r="O17" s="359">
        <f t="shared" si="15"/>
        <v>0</v>
      </c>
      <c r="P17" s="359">
        <f t="shared" si="16"/>
        <v>0</v>
      </c>
      <c r="Q17" s="359">
        <f t="shared" si="10"/>
        <v>59</v>
      </c>
      <c r="R17" s="360">
        <f t="shared" si="11"/>
        <v>77</v>
      </c>
      <c r="S17" s="283">
        <v>51</v>
      </c>
      <c r="T17" s="283"/>
      <c r="U17" s="283"/>
      <c r="V17" s="283"/>
      <c r="W17" s="283">
        <v>26</v>
      </c>
      <c r="X17" s="360">
        <f t="shared" si="12"/>
        <v>99</v>
      </c>
      <c r="Y17" s="283">
        <v>66</v>
      </c>
      <c r="Z17" s="283"/>
      <c r="AA17" s="283"/>
      <c r="AB17" s="283"/>
      <c r="AC17" s="283">
        <v>33</v>
      </c>
      <c r="AD17" s="360">
        <f>SUM(AE17:AI17)</f>
        <v>0</v>
      </c>
      <c r="AE17" s="283"/>
      <c r="AF17" s="283"/>
      <c r="AG17" s="283"/>
      <c r="AH17" s="283"/>
      <c r="AI17" s="283"/>
      <c r="AJ17" s="360">
        <f>SUM(AK17:AP17)</f>
        <v>0</v>
      </c>
      <c r="AK17" s="283"/>
      <c r="AL17" s="283"/>
      <c r="AM17" s="283"/>
      <c r="AN17" s="283"/>
      <c r="AO17" s="283"/>
      <c r="AP17" s="360">
        <f>SUM(AQ17:AU17)</f>
        <v>0</v>
      </c>
      <c r="AQ17" s="283"/>
      <c r="AR17" s="283"/>
      <c r="AS17" s="283"/>
      <c r="AT17" s="283"/>
      <c r="AU17" s="283"/>
      <c r="AV17" s="360">
        <f>SUM(AW17:BA17)</f>
        <v>0</v>
      </c>
      <c r="AW17" s="283"/>
      <c r="AX17" s="283"/>
      <c r="AY17" s="283"/>
      <c r="AZ17" s="283"/>
      <c r="BA17" s="283"/>
      <c r="BB17" s="360">
        <f>SUM(BC17:BG17)</f>
        <v>0</v>
      </c>
      <c r="BC17" s="283"/>
      <c r="BD17" s="283"/>
      <c r="BE17" s="283"/>
      <c r="BF17" s="283"/>
      <c r="BG17" s="283"/>
      <c r="BH17" s="360">
        <f>SUM(BI17:BM17)</f>
        <v>0</v>
      </c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360">
        <f>SUM(BT17:BZ17)</f>
        <v>0</v>
      </c>
      <c r="BT17" s="283"/>
      <c r="BU17" s="283"/>
      <c r="BV17" s="283"/>
      <c r="BW17" s="283"/>
      <c r="BX17" s="283"/>
      <c r="BY17" s="283"/>
      <c r="BZ17" s="283"/>
      <c r="CA17" s="360">
        <f>SUM(CB17:CH17)</f>
        <v>0</v>
      </c>
      <c r="CB17" s="283"/>
      <c r="CC17" s="283"/>
      <c r="CD17" s="249"/>
      <c r="CE17" s="283"/>
      <c r="CF17" s="358" t="s">
        <v>469</v>
      </c>
      <c r="CG17" s="283"/>
      <c r="CH17" s="375"/>
    </row>
    <row r="18" spans="1:86" s="366" customFormat="1" ht="25.5" customHeight="1">
      <c r="A18" s="482" t="s">
        <v>571</v>
      </c>
      <c r="B18" s="361" t="s">
        <v>531</v>
      </c>
      <c r="C18" s="301"/>
      <c r="D18" s="358"/>
      <c r="E18" s="358" t="s">
        <v>31</v>
      </c>
      <c r="F18" s="358"/>
      <c r="G18" s="358"/>
      <c r="H18" s="358" t="s">
        <v>27</v>
      </c>
      <c r="I18" s="368">
        <v>105</v>
      </c>
      <c r="J18" s="283">
        <v>70</v>
      </c>
      <c r="K18" s="359">
        <f t="shared" si="8"/>
        <v>105</v>
      </c>
      <c r="L18" s="359">
        <f t="shared" si="9"/>
        <v>70</v>
      </c>
      <c r="M18" s="359">
        <f t="shared" si="13"/>
        <v>70</v>
      </c>
      <c r="N18" s="359">
        <f t="shared" si="14"/>
        <v>0</v>
      </c>
      <c r="O18" s="359">
        <f t="shared" si="15"/>
        <v>0</v>
      </c>
      <c r="P18" s="359">
        <f t="shared" si="16"/>
        <v>0</v>
      </c>
      <c r="Q18" s="359">
        <f t="shared" si="10"/>
        <v>35</v>
      </c>
      <c r="R18" s="360">
        <f t="shared" si="11"/>
        <v>51</v>
      </c>
      <c r="S18" s="283">
        <v>34</v>
      </c>
      <c r="T18" s="283"/>
      <c r="U18" s="283"/>
      <c r="V18" s="283"/>
      <c r="W18" s="283">
        <v>17</v>
      </c>
      <c r="X18" s="360">
        <f t="shared" si="12"/>
        <v>54</v>
      </c>
      <c r="Y18" s="283">
        <v>36</v>
      </c>
      <c r="Z18" s="283"/>
      <c r="AA18" s="283"/>
      <c r="AB18" s="283"/>
      <c r="AC18" s="283">
        <v>18</v>
      </c>
      <c r="AD18" s="360">
        <f>SUM(AE18:AI18)</f>
        <v>0</v>
      </c>
      <c r="AE18" s="283"/>
      <c r="AF18" s="283"/>
      <c r="AG18" s="283"/>
      <c r="AH18" s="283"/>
      <c r="AI18" s="283"/>
      <c r="AJ18" s="360">
        <f>SUM(AK18:AP18)</f>
        <v>0</v>
      </c>
      <c r="AK18" s="283"/>
      <c r="AL18" s="283"/>
      <c r="AM18" s="283"/>
      <c r="AN18" s="283"/>
      <c r="AO18" s="283"/>
      <c r="AP18" s="360">
        <f>SUM(AQ18:AU18)</f>
        <v>0</v>
      </c>
      <c r="AQ18" s="283"/>
      <c r="AR18" s="283"/>
      <c r="AS18" s="283"/>
      <c r="AT18" s="283"/>
      <c r="AU18" s="283"/>
      <c r="AV18" s="360">
        <f>SUM(AW18:BA18)</f>
        <v>0</v>
      </c>
      <c r="AW18" s="283"/>
      <c r="AX18" s="283"/>
      <c r="AY18" s="283"/>
      <c r="AZ18" s="283"/>
      <c r="BA18" s="283"/>
      <c r="BB18" s="360">
        <f>SUM(BC18:BG18)</f>
        <v>0</v>
      </c>
      <c r="BC18" s="283"/>
      <c r="BD18" s="283"/>
      <c r="BE18" s="283"/>
      <c r="BF18" s="283"/>
      <c r="BG18" s="283"/>
      <c r="BH18" s="360">
        <f>SUM(BI18:BM18)</f>
        <v>0</v>
      </c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360">
        <f>SUM(BT18:BZ18)</f>
        <v>0</v>
      </c>
      <c r="BT18" s="283"/>
      <c r="BU18" s="283"/>
      <c r="BV18" s="283"/>
      <c r="BW18" s="283"/>
      <c r="BX18" s="283"/>
      <c r="BY18" s="283"/>
      <c r="BZ18" s="283"/>
      <c r="CA18" s="360">
        <f>SUM(CB18:CH18)</f>
        <v>0</v>
      </c>
      <c r="CB18" s="283"/>
      <c r="CC18" s="283"/>
      <c r="CD18" s="249"/>
      <c r="CE18" s="283"/>
      <c r="CF18" s="358" t="s">
        <v>471</v>
      </c>
      <c r="CG18" s="283"/>
      <c r="CH18" s="375"/>
    </row>
    <row r="19" spans="1:87" s="366" customFormat="1" ht="25.5" customHeight="1">
      <c r="A19" s="482" t="s">
        <v>572</v>
      </c>
      <c r="B19" s="361" t="s">
        <v>532</v>
      </c>
      <c r="C19" s="301"/>
      <c r="D19" s="358"/>
      <c r="E19" s="358" t="s">
        <v>31</v>
      </c>
      <c r="F19" s="358"/>
      <c r="G19" s="358"/>
      <c r="H19" s="358"/>
      <c r="I19" s="368"/>
      <c r="J19" s="283">
        <v>36</v>
      </c>
      <c r="K19" s="359">
        <f t="shared" si="8"/>
        <v>54</v>
      </c>
      <c r="L19" s="359">
        <f t="shared" si="9"/>
        <v>36</v>
      </c>
      <c r="M19" s="359">
        <f t="shared" si="13"/>
        <v>36</v>
      </c>
      <c r="N19" s="359">
        <f t="shared" si="14"/>
        <v>0</v>
      </c>
      <c r="O19" s="359">
        <f t="shared" si="15"/>
        <v>0</v>
      </c>
      <c r="P19" s="359">
        <f t="shared" si="16"/>
        <v>0</v>
      </c>
      <c r="Q19" s="359">
        <f t="shared" si="10"/>
        <v>18</v>
      </c>
      <c r="R19" s="360">
        <f t="shared" si="11"/>
        <v>0</v>
      </c>
      <c r="S19" s="283"/>
      <c r="T19" s="283"/>
      <c r="U19" s="283"/>
      <c r="V19" s="283"/>
      <c r="W19" s="283"/>
      <c r="X19" s="360">
        <f t="shared" si="12"/>
        <v>54</v>
      </c>
      <c r="Y19" s="368">
        <v>36</v>
      </c>
      <c r="Z19" s="283"/>
      <c r="AA19" s="283"/>
      <c r="AB19" s="283"/>
      <c r="AC19" s="283">
        <v>18</v>
      </c>
      <c r="AD19" s="360"/>
      <c r="AE19" s="283"/>
      <c r="AF19" s="283"/>
      <c r="AG19" s="283"/>
      <c r="AH19" s="283"/>
      <c r="AI19" s="283"/>
      <c r="AJ19" s="360"/>
      <c r="AK19" s="283"/>
      <c r="AL19" s="283"/>
      <c r="AM19" s="283"/>
      <c r="AN19" s="283"/>
      <c r="AO19" s="283"/>
      <c r="AP19" s="360"/>
      <c r="AQ19" s="283"/>
      <c r="AR19" s="283"/>
      <c r="AS19" s="283"/>
      <c r="AT19" s="283"/>
      <c r="AU19" s="283"/>
      <c r="AV19" s="360"/>
      <c r="AW19" s="283"/>
      <c r="AX19" s="283"/>
      <c r="AY19" s="283"/>
      <c r="AZ19" s="283"/>
      <c r="BA19" s="283"/>
      <c r="BB19" s="360"/>
      <c r="BC19" s="283"/>
      <c r="BD19" s="283"/>
      <c r="BE19" s="283"/>
      <c r="BF19" s="283"/>
      <c r="BG19" s="283"/>
      <c r="BH19" s="360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360"/>
      <c r="BT19" s="283"/>
      <c r="BU19" s="283"/>
      <c r="BV19" s="283"/>
      <c r="BW19" s="283"/>
      <c r="BX19" s="283"/>
      <c r="BY19" s="283"/>
      <c r="BZ19" s="283"/>
      <c r="CA19" s="360"/>
      <c r="CB19" s="283"/>
      <c r="CC19" s="283"/>
      <c r="CD19" s="249"/>
      <c r="CE19" s="283"/>
      <c r="CF19" s="358" t="s">
        <v>471</v>
      </c>
      <c r="CG19" s="368"/>
      <c r="CH19" s="376"/>
      <c r="CI19" s="369"/>
    </row>
    <row r="20" spans="1:87" s="366" customFormat="1" ht="25.5" customHeight="1">
      <c r="A20" s="482" t="s">
        <v>573</v>
      </c>
      <c r="B20" s="361" t="s">
        <v>145</v>
      </c>
      <c r="C20" s="301"/>
      <c r="D20" s="358"/>
      <c r="E20" s="358" t="s">
        <v>31</v>
      </c>
      <c r="F20" s="358"/>
      <c r="G20" s="358"/>
      <c r="H20" s="358" t="s">
        <v>27</v>
      </c>
      <c r="I20" s="368">
        <v>117</v>
      </c>
      <c r="J20" s="283">
        <v>78</v>
      </c>
      <c r="K20" s="359">
        <f t="shared" si="8"/>
        <v>117</v>
      </c>
      <c r="L20" s="359">
        <f t="shared" si="9"/>
        <v>78</v>
      </c>
      <c r="M20" s="359">
        <f t="shared" si="13"/>
        <v>56</v>
      </c>
      <c r="N20" s="359">
        <f t="shared" si="14"/>
        <v>22</v>
      </c>
      <c r="O20" s="359">
        <f t="shared" si="15"/>
        <v>0</v>
      </c>
      <c r="P20" s="359">
        <f t="shared" si="16"/>
        <v>0</v>
      </c>
      <c r="Q20" s="359">
        <f t="shared" si="10"/>
        <v>39</v>
      </c>
      <c r="R20" s="360">
        <f t="shared" si="11"/>
        <v>51</v>
      </c>
      <c r="S20" s="283">
        <v>34</v>
      </c>
      <c r="T20" s="283"/>
      <c r="U20" s="283"/>
      <c r="V20" s="283"/>
      <c r="W20" s="283">
        <v>17</v>
      </c>
      <c r="X20" s="360">
        <f t="shared" si="12"/>
        <v>66</v>
      </c>
      <c r="Y20" s="283">
        <v>22</v>
      </c>
      <c r="Z20" s="283">
        <v>22</v>
      </c>
      <c r="AA20" s="283"/>
      <c r="AB20" s="283"/>
      <c r="AC20" s="283">
        <v>22</v>
      </c>
      <c r="AD20" s="360">
        <f>SUM(AE20:AI20)</f>
        <v>0</v>
      </c>
      <c r="AE20" s="283"/>
      <c r="AF20" s="283"/>
      <c r="AG20" s="283"/>
      <c r="AH20" s="283"/>
      <c r="AI20" s="283"/>
      <c r="AJ20" s="360">
        <f>SUM(AK20:AP20)</f>
        <v>0</v>
      </c>
      <c r="AK20" s="283"/>
      <c r="AL20" s="283"/>
      <c r="AM20" s="283"/>
      <c r="AN20" s="283"/>
      <c r="AO20" s="283"/>
      <c r="AP20" s="360">
        <f>SUM(AQ20:AU20)</f>
        <v>0</v>
      </c>
      <c r="AQ20" s="283"/>
      <c r="AR20" s="283"/>
      <c r="AS20" s="283"/>
      <c r="AT20" s="283"/>
      <c r="AU20" s="283"/>
      <c r="AV20" s="360">
        <f>SUM(AW20:BA20)</f>
        <v>0</v>
      </c>
      <c r="AW20" s="283"/>
      <c r="AX20" s="283"/>
      <c r="AY20" s="283"/>
      <c r="AZ20" s="283"/>
      <c r="BA20" s="283"/>
      <c r="BB20" s="360">
        <f>SUM(BC20:BG20)</f>
        <v>0</v>
      </c>
      <c r="BC20" s="283"/>
      <c r="BD20" s="283"/>
      <c r="BE20" s="283"/>
      <c r="BF20" s="283"/>
      <c r="BG20" s="283"/>
      <c r="BH20" s="360">
        <f>SUM(BI20:BM20)</f>
        <v>0</v>
      </c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360">
        <f>SUM(BT20:BZ20)</f>
        <v>0</v>
      </c>
      <c r="BT20" s="283"/>
      <c r="BU20" s="283"/>
      <c r="BV20" s="283"/>
      <c r="BW20" s="283"/>
      <c r="BX20" s="283"/>
      <c r="BY20" s="283"/>
      <c r="BZ20" s="283"/>
      <c r="CA20" s="360">
        <f>SUM(CB20:CH20)</f>
        <v>0</v>
      </c>
      <c r="CB20" s="283"/>
      <c r="CC20" s="283"/>
      <c r="CD20" s="249"/>
      <c r="CE20" s="283"/>
      <c r="CF20" s="358" t="s">
        <v>471</v>
      </c>
      <c r="CG20" s="368"/>
      <c r="CH20" s="376"/>
      <c r="CI20" s="369"/>
    </row>
    <row r="21" spans="1:87" s="366" customFormat="1" ht="25.5" customHeight="1">
      <c r="A21" s="482" t="s">
        <v>574</v>
      </c>
      <c r="B21" s="361" t="s">
        <v>554</v>
      </c>
      <c r="C21" s="301"/>
      <c r="D21" s="358"/>
      <c r="E21" s="358" t="s">
        <v>31</v>
      </c>
      <c r="F21" s="358"/>
      <c r="G21" s="358"/>
      <c r="H21" s="358" t="s">
        <v>27</v>
      </c>
      <c r="I21" s="368">
        <v>162</v>
      </c>
      <c r="J21" s="283">
        <v>108</v>
      </c>
      <c r="K21" s="359">
        <f t="shared" si="8"/>
        <v>170</v>
      </c>
      <c r="L21" s="359">
        <f t="shared" si="9"/>
        <v>113</v>
      </c>
      <c r="M21" s="359">
        <f t="shared" si="13"/>
        <v>113</v>
      </c>
      <c r="N21" s="359">
        <f t="shared" si="14"/>
        <v>0</v>
      </c>
      <c r="O21" s="359">
        <f t="shared" si="15"/>
        <v>0</v>
      </c>
      <c r="P21" s="359">
        <f t="shared" si="16"/>
        <v>0</v>
      </c>
      <c r="Q21" s="359">
        <f t="shared" si="10"/>
        <v>57</v>
      </c>
      <c r="R21" s="360">
        <f t="shared" si="11"/>
        <v>71</v>
      </c>
      <c r="S21" s="283">
        <v>47</v>
      </c>
      <c r="T21" s="283"/>
      <c r="U21" s="283"/>
      <c r="V21" s="283"/>
      <c r="W21" s="283">
        <v>24</v>
      </c>
      <c r="X21" s="360">
        <f t="shared" si="12"/>
        <v>99</v>
      </c>
      <c r="Y21" s="283">
        <v>66</v>
      </c>
      <c r="Z21" s="283"/>
      <c r="AA21" s="283"/>
      <c r="AB21" s="283"/>
      <c r="AC21" s="283">
        <v>33</v>
      </c>
      <c r="AD21" s="360">
        <f>SUM(AE21:AI21)</f>
        <v>0</v>
      </c>
      <c r="AE21" s="283"/>
      <c r="AF21" s="283"/>
      <c r="AG21" s="283"/>
      <c r="AH21" s="283"/>
      <c r="AI21" s="283"/>
      <c r="AJ21" s="360">
        <f>SUM(AK21:AP21)</f>
        <v>0</v>
      </c>
      <c r="AK21" s="283"/>
      <c r="AL21" s="283"/>
      <c r="AM21" s="283"/>
      <c r="AN21" s="283"/>
      <c r="AO21" s="283"/>
      <c r="AP21" s="360">
        <f>SUM(AQ21:AU21)</f>
        <v>0</v>
      </c>
      <c r="AQ21" s="283"/>
      <c r="AR21" s="283"/>
      <c r="AS21" s="283"/>
      <c r="AT21" s="283"/>
      <c r="AU21" s="283"/>
      <c r="AV21" s="360">
        <f>SUM(AW21:BA21)</f>
        <v>0</v>
      </c>
      <c r="AW21" s="283"/>
      <c r="AX21" s="283"/>
      <c r="AY21" s="283"/>
      <c r="AZ21" s="283"/>
      <c r="BA21" s="283"/>
      <c r="BB21" s="360">
        <f>SUM(BC21:BG21)</f>
        <v>0</v>
      </c>
      <c r="BC21" s="283"/>
      <c r="BD21" s="283"/>
      <c r="BE21" s="283"/>
      <c r="BF21" s="283"/>
      <c r="BG21" s="283"/>
      <c r="BH21" s="360">
        <f>SUM(BI21:BM21)</f>
        <v>0</v>
      </c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360">
        <f>SUM(BT21:BZ21)</f>
        <v>0</v>
      </c>
      <c r="BT21" s="283"/>
      <c r="BU21" s="283"/>
      <c r="BV21" s="283"/>
      <c r="BW21" s="283"/>
      <c r="BX21" s="283"/>
      <c r="BY21" s="283"/>
      <c r="BZ21" s="283"/>
      <c r="CA21" s="360">
        <f>SUM(CB21:CH21)</f>
        <v>0</v>
      </c>
      <c r="CB21" s="283"/>
      <c r="CC21" s="283"/>
      <c r="CD21" s="249"/>
      <c r="CE21" s="283"/>
      <c r="CF21" s="358" t="s">
        <v>470</v>
      </c>
      <c r="CG21" s="368"/>
      <c r="CH21" s="376"/>
      <c r="CI21" s="369"/>
    </row>
    <row r="22" spans="1:87" s="366" customFormat="1" ht="25.5" customHeight="1">
      <c r="A22" s="482" t="s">
        <v>575</v>
      </c>
      <c r="B22" s="361" t="s">
        <v>146</v>
      </c>
      <c r="C22" s="301"/>
      <c r="D22" s="358"/>
      <c r="E22" s="358" t="s">
        <v>27</v>
      </c>
      <c r="F22" s="358"/>
      <c r="G22" s="358"/>
      <c r="H22" s="358"/>
      <c r="I22" s="368">
        <v>54</v>
      </c>
      <c r="J22" s="283">
        <v>36</v>
      </c>
      <c r="K22" s="359">
        <f t="shared" si="8"/>
        <v>54</v>
      </c>
      <c r="L22" s="359">
        <f>SUM(M22:P22)</f>
        <v>36</v>
      </c>
      <c r="M22" s="359">
        <f t="shared" si="13"/>
        <v>36</v>
      </c>
      <c r="N22" s="359">
        <f t="shared" si="14"/>
        <v>0</v>
      </c>
      <c r="O22" s="359">
        <f t="shared" si="15"/>
        <v>0</v>
      </c>
      <c r="P22" s="359">
        <f t="shared" si="16"/>
        <v>0</v>
      </c>
      <c r="Q22" s="359">
        <f t="shared" si="10"/>
        <v>18</v>
      </c>
      <c r="R22" s="360">
        <f t="shared" si="11"/>
        <v>54</v>
      </c>
      <c r="S22" s="368">
        <v>36</v>
      </c>
      <c r="T22" s="283"/>
      <c r="U22" s="283"/>
      <c r="V22" s="283"/>
      <c r="W22" s="283">
        <v>18</v>
      </c>
      <c r="X22" s="360">
        <f t="shared" si="12"/>
        <v>0</v>
      </c>
      <c r="Y22" s="283"/>
      <c r="Z22" s="283"/>
      <c r="AA22" s="283"/>
      <c r="AB22" s="283"/>
      <c r="AC22" s="283"/>
      <c r="AD22" s="360">
        <f>SUM(AE22:AI22)</f>
        <v>0</v>
      </c>
      <c r="AE22" s="283"/>
      <c r="AF22" s="283"/>
      <c r="AG22" s="283"/>
      <c r="AH22" s="283"/>
      <c r="AI22" s="283"/>
      <c r="AJ22" s="360">
        <f>SUM(AK22:AP22)</f>
        <v>0</v>
      </c>
      <c r="AK22" s="283"/>
      <c r="AL22" s="283"/>
      <c r="AM22" s="283"/>
      <c r="AN22" s="283"/>
      <c r="AO22" s="283"/>
      <c r="AP22" s="360">
        <f>SUM(AQ22:AU22)</f>
        <v>0</v>
      </c>
      <c r="AQ22" s="283"/>
      <c r="AR22" s="283"/>
      <c r="AS22" s="283"/>
      <c r="AT22" s="283"/>
      <c r="AU22" s="283"/>
      <c r="AV22" s="360">
        <f>SUM(AW22:BA22)</f>
        <v>0</v>
      </c>
      <c r="AW22" s="283"/>
      <c r="AX22" s="283"/>
      <c r="AY22" s="283"/>
      <c r="AZ22" s="283"/>
      <c r="BA22" s="283"/>
      <c r="BB22" s="360">
        <f>SUM(BC22:BG22)</f>
        <v>0</v>
      </c>
      <c r="BC22" s="283"/>
      <c r="BD22" s="283"/>
      <c r="BE22" s="283"/>
      <c r="BF22" s="283"/>
      <c r="BG22" s="283"/>
      <c r="BH22" s="360">
        <f>SUM(BI22:BM22)</f>
        <v>0</v>
      </c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360">
        <f>SUM(BT22:BZ22)</f>
        <v>0</v>
      </c>
      <c r="BT22" s="283"/>
      <c r="BU22" s="283"/>
      <c r="BV22" s="283"/>
      <c r="BW22" s="283"/>
      <c r="BX22" s="283"/>
      <c r="BY22" s="283"/>
      <c r="BZ22" s="283"/>
      <c r="CA22" s="360">
        <f>SUM(CB22:CH22)</f>
        <v>0</v>
      </c>
      <c r="CB22" s="283"/>
      <c r="CC22" s="283"/>
      <c r="CD22" s="249"/>
      <c r="CE22" s="283"/>
      <c r="CF22" s="358" t="s">
        <v>470</v>
      </c>
      <c r="CG22" s="368"/>
      <c r="CH22" s="376"/>
      <c r="CI22" s="369"/>
    </row>
    <row r="23" spans="1:86" s="366" customFormat="1" ht="25.5" customHeight="1">
      <c r="A23" s="482" t="s">
        <v>576</v>
      </c>
      <c r="B23" s="361" t="s">
        <v>348</v>
      </c>
      <c r="C23" s="301"/>
      <c r="D23" s="358"/>
      <c r="E23" s="358" t="s">
        <v>27</v>
      </c>
      <c r="F23" s="358"/>
      <c r="G23" s="358"/>
      <c r="H23" s="358"/>
      <c r="I23" s="368">
        <v>54</v>
      </c>
      <c r="J23" s="283">
        <v>36</v>
      </c>
      <c r="K23" s="359">
        <f t="shared" si="8"/>
        <v>54</v>
      </c>
      <c r="L23" s="359">
        <f t="shared" si="9"/>
        <v>36</v>
      </c>
      <c r="M23" s="359">
        <f t="shared" si="13"/>
        <v>36</v>
      </c>
      <c r="N23" s="359">
        <f t="shared" si="14"/>
        <v>0</v>
      </c>
      <c r="O23" s="359">
        <f t="shared" si="15"/>
        <v>0</v>
      </c>
      <c r="P23" s="359">
        <f t="shared" si="16"/>
        <v>0</v>
      </c>
      <c r="Q23" s="359">
        <f t="shared" si="10"/>
        <v>18</v>
      </c>
      <c r="R23" s="360">
        <f t="shared" si="11"/>
        <v>54</v>
      </c>
      <c r="S23" s="283">
        <v>36</v>
      </c>
      <c r="T23" s="283"/>
      <c r="U23" s="283"/>
      <c r="V23" s="283"/>
      <c r="W23" s="283">
        <v>18</v>
      </c>
      <c r="X23" s="360">
        <f t="shared" si="12"/>
        <v>0</v>
      </c>
      <c r="Y23" s="283"/>
      <c r="Z23" s="283"/>
      <c r="AA23" s="283"/>
      <c r="AB23" s="283"/>
      <c r="AC23" s="283"/>
      <c r="AD23" s="360">
        <f>SUM(AE23:AI23)</f>
        <v>0</v>
      </c>
      <c r="AE23" s="283"/>
      <c r="AF23" s="283"/>
      <c r="AG23" s="283"/>
      <c r="AH23" s="283"/>
      <c r="AI23" s="283"/>
      <c r="AJ23" s="360">
        <f>SUM(AK23:AP23)</f>
        <v>0</v>
      </c>
      <c r="AK23" s="283"/>
      <c r="AL23" s="283"/>
      <c r="AM23" s="283"/>
      <c r="AN23" s="283"/>
      <c r="AO23" s="283"/>
      <c r="AP23" s="360">
        <f>SUM(AQ23:AU23)</f>
        <v>0</v>
      </c>
      <c r="AQ23" s="283"/>
      <c r="AR23" s="283"/>
      <c r="AS23" s="283"/>
      <c r="AT23" s="283"/>
      <c r="AU23" s="283"/>
      <c r="AV23" s="360">
        <f>SUM(AW23:BA23)</f>
        <v>0</v>
      </c>
      <c r="AW23" s="283"/>
      <c r="AX23" s="283"/>
      <c r="AY23" s="283"/>
      <c r="AZ23" s="283"/>
      <c r="BA23" s="283"/>
      <c r="BB23" s="360">
        <f>SUM(BC23:BG23)</f>
        <v>0</v>
      </c>
      <c r="BC23" s="283"/>
      <c r="BD23" s="283"/>
      <c r="BE23" s="283"/>
      <c r="BF23" s="283"/>
      <c r="BG23" s="283"/>
      <c r="BH23" s="360">
        <f>SUM(BI23:BM23)</f>
        <v>0</v>
      </c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360">
        <f>SUM(BT23:BZ23)</f>
        <v>0</v>
      </c>
      <c r="BT23" s="283"/>
      <c r="BU23" s="283"/>
      <c r="BV23" s="283"/>
      <c r="BW23" s="283"/>
      <c r="BX23" s="283"/>
      <c r="BY23" s="283"/>
      <c r="BZ23" s="283"/>
      <c r="CA23" s="360">
        <f>SUM(CB23:CH23)</f>
        <v>0</v>
      </c>
      <c r="CB23" s="283"/>
      <c r="CC23" s="283"/>
      <c r="CD23" s="249"/>
      <c r="CE23" s="283"/>
      <c r="CF23" s="358" t="s">
        <v>470</v>
      </c>
      <c r="CG23" s="283"/>
      <c r="CH23" s="375"/>
    </row>
    <row r="24" spans="1:87" s="366" customFormat="1" ht="25.5" customHeight="1">
      <c r="A24" s="386"/>
      <c r="B24" s="553" t="s">
        <v>555</v>
      </c>
      <c r="C24" s="553"/>
      <c r="D24" s="553"/>
      <c r="E24" s="553"/>
      <c r="F24" s="553"/>
      <c r="G24" s="553"/>
      <c r="H24" s="553"/>
      <c r="I24" s="379" t="s">
        <v>21</v>
      </c>
      <c r="J24" s="379">
        <f>SUM(J26:J27)</f>
        <v>221</v>
      </c>
      <c r="K24" s="379">
        <f aca="true" t="shared" si="17" ref="K24:AC24">SUM(K25:K27)</f>
        <v>726</v>
      </c>
      <c r="L24" s="379">
        <f t="shared" si="17"/>
        <v>484</v>
      </c>
      <c r="M24" s="379">
        <f t="shared" si="17"/>
        <v>417</v>
      </c>
      <c r="N24" s="379">
        <f t="shared" si="17"/>
        <v>67</v>
      </c>
      <c r="O24" s="379">
        <f t="shared" si="17"/>
        <v>0</v>
      </c>
      <c r="P24" s="379">
        <f t="shared" si="17"/>
        <v>0</v>
      </c>
      <c r="Q24" s="379">
        <f t="shared" si="17"/>
        <v>242</v>
      </c>
      <c r="R24" s="379">
        <f t="shared" si="17"/>
        <v>306</v>
      </c>
      <c r="S24" s="379">
        <f t="shared" si="17"/>
        <v>170</v>
      </c>
      <c r="T24" s="379">
        <f t="shared" si="17"/>
        <v>34</v>
      </c>
      <c r="U24" s="379">
        <f t="shared" si="17"/>
        <v>0</v>
      </c>
      <c r="V24" s="379">
        <f t="shared" si="17"/>
        <v>0</v>
      </c>
      <c r="W24" s="379">
        <f t="shared" si="17"/>
        <v>102</v>
      </c>
      <c r="X24" s="379">
        <f t="shared" si="17"/>
        <v>420</v>
      </c>
      <c r="Y24" s="379">
        <f t="shared" si="17"/>
        <v>247</v>
      </c>
      <c r="Z24" s="379">
        <f t="shared" si="17"/>
        <v>33</v>
      </c>
      <c r="AA24" s="379">
        <f t="shared" si="17"/>
        <v>0</v>
      </c>
      <c r="AB24" s="379">
        <f t="shared" si="17"/>
        <v>0</v>
      </c>
      <c r="AC24" s="379">
        <f t="shared" si="17"/>
        <v>140</v>
      </c>
      <c r="AD24" s="379">
        <f aca="true" t="shared" si="18" ref="AD24:CH24">SUM(AD26:AD27)</f>
        <v>0</v>
      </c>
      <c r="AE24" s="379">
        <f t="shared" si="18"/>
        <v>0</v>
      </c>
      <c r="AF24" s="379">
        <f t="shared" si="18"/>
        <v>0</v>
      </c>
      <c r="AG24" s="379">
        <f t="shared" si="18"/>
        <v>0</v>
      </c>
      <c r="AH24" s="379">
        <f t="shared" si="18"/>
        <v>0</v>
      </c>
      <c r="AI24" s="379">
        <f t="shared" si="18"/>
        <v>0</v>
      </c>
      <c r="AJ24" s="379">
        <f t="shared" si="18"/>
        <v>0</v>
      </c>
      <c r="AK24" s="379">
        <f t="shared" si="18"/>
        <v>0</v>
      </c>
      <c r="AL24" s="379">
        <f t="shared" si="18"/>
        <v>0</v>
      </c>
      <c r="AM24" s="379">
        <f t="shared" si="18"/>
        <v>0</v>
      </c>
      <c r="AN24" s="379">
        <f t="shared" si="18"/>
        <v>0</v>
      </c>
      <c r="AO24" s="379">
        <f t="shared" si="18"/>
        <v>0</v>
      </c>
      <c r="AP24" s="379">
        <f t="shared" si="18"/>
        <v>0</v>
      </c>
      <c r="AQ24" s="379">
        <f t="shared" si="18"/>
        <v>0</v>
      </c>
      <c r="AR24" s="379">
        <f t="shared" si="18"/>
        <v>0</v>
      </c>
      <c r="AS24" s="379">
        <f t="shared" si="18"/>
        <v>0</v>
      </c>
      <c r="AT24" s="379">
        <f t="shared" si="18"/>
        <v>0</v>
      </c>
      <c r="AU24" s="379">
        <f t="shared" si="18"/>
        <v>0</v>
      </c>
      <c r="AV24" s="379">
        <f t="shared" si="18"/>
        <v>0</v>
      </c>
      <c r="AW24" s="379">
        <f t="shared" si="18"/>
        <v>0</v>
      </c>
      <c r="AX24" s="379">
        <f t="shared" si="18"/>
        <v>0</v>
      </c>
      <c r="AY24" s="379">
        <f t="shared" si="18"/>
        <v>0</v>
      </c>
      <c r="AZ24" s="379">
        <f t="shared" si="18"/>
        <v>0</v>
      </c>
      <c r="BA24" s="379">
        <f t="shared" si="18"/>
        <v>0</v>
      </c>
      <c r="BB24" s="379">
        <f t="shared" si="18"/>
        <v>0</v>
      </c>
      <c r="BC24" s="379">
        <f t="shared" si="18"/>
        <v>0</v>
      </c>
      <c r="BD24" s="379">
        <f t="shared" si="18"/>
        <v>0</v>
      </c>
      <c r="BE24" s="379">
        <f t="shared" si="18"/>
        <v>0</v>
      </c>
      <c r="BF24" s="379">
        <f t="shared" si="18"/>
        <v>0</v>
      </c>
      <c r="BG24" s="379">
        <f t="shared" si="18"/>
        <v>0</v>
      </c>
      <c r="BH24" s="379">
        <f t="shared" si="18"/>
        <v>0</v>
      </c>
      <c r="BI24" s="379">
        <f t="shared" si="18"/>
        <v>0</v>
      </c>
      <c r="BJ24" s="379">
        <f t="shared" si="18"/>
        <v>0</v>
      </c>
      <c r="BK24" s="379">
        <f t="shared" si="18"/>
        <v>0</v>
      </c>
      <c r="BL24" s="379">
        <f t="shared" si="18"/>
        <v>0</v>
      </c>
      <c r="BM24" s="379">
        <f t="shared" si="18"/>
        <v>0</v>
      </c>
      <c r="BN24" s="379">
        <f t="shared" si="18"/>
        <v>0</v>
      </c>
      <c r="BO24" s="379">
        <f t="shared" si="18"/>
        <v>0</v>
      </c>
      <c r="BP24" s="379">
        <f t="shared" si="18"/>
        <v>0</v>
      </c>
      <c r="BQ24" s="379">
        <f t="shared" si="18"/>
        <v>0</v>
      </c>
      <c r="BR24" s="379">
        <f t="shared" si="18"/>
        <v>0</v>
      </c>
      <c r="BS24" s="379">
        <f t="shared" si="18"/>
        <v>0</v>
      </c>
      <c r="BT24" s="379">
        <f t="shared" si="18"/>
        <v>0</v>
      </c>
      <c r="BU24" s="379">
        <f t="shared" si="18"/>
        <v>0</v>
      </c>
      <c r="BV24" s="379">
        <f t="shared" si="18"/>
        <v>0</v>
      </c>
      <c r="BW24" s="379">
        <f t="shared" si="18"/>
        <v>0</v>
      </c>
      <c r="BX24" s="379">
        <f t="shared" si="18"/>
        <v>0</v>
      </c>
      <c r="BY24" s="379">
        <f t="shared" si="18"/>
        <v>0</v>
      </c>
      <c r="BZ24" s="379">
        <f t="shared" si="18"/>
        <v>0</v>
      </c>
      <c r="CA24" s="379">
        <f t="shared" si="18"/>
        <v>0</v>
      </c>
      <c r="CB24" s="379">
        <f t="shared" si="18"/>
        <v>0</v>
      </c>
      <c r="CC24" s="379">
        <f t="shared" si="18"/>
        <v>0</v>
      </c>
      <c r="CD24" s="379">
        <f t="shared" si="18"/>
        <v>0</v>
      </c>
      <c r="CE24" s="379">
        <f t="shared" si="18"/>
        <v>0</v>
      </c>
      <c r="CF24" s="379">
        <f t="shared" si="18"/>
        <v>0</v>
      </c>
      <c r="CG24" s="379">
        <f t="shared" si="18"/>
        <v>0</v>
      </c>
      <c r="CH24" s="377">
        <f t="shared" si="18"/>
        <v>0</v>
      </c>
      <c r="CI24" s="369"/>
    </row>
    <row r="25" spans="1:86" s="366" customFormat="1" ht="25.5" customHeight="1">
      <c r="A25" s="482" t="s">
        <v>577</v>
      </c>
      <c r="B25" s="361" t="s">
        <v>110</v>
      </c>
      <c r="C25" s="301"/>
      <c r="D25" s="358" t="s">
        <v>31</v>
      </c>
      <c r="E25" s="358"/>
      <c r="F25" s="358"/>
      <c r="G25" s="358"/>
      <c r="H25" s="358" t="s">
        <v>27</v>
      </c>
      <c r="I25" s="283">
        <v>351</v>
      </c>
      <c r="J25" s="283">
        <v>234</v>
      </c>
      <c r="K25" s="359">
        <f>L25+SUM(Q25:Q25)</f>
        <v>384</v>
      </c>
      <c r="L25" s="359">
        <f>SUM(M25:P25)</f>
        <v>256</v>
      </c>
      <c r="M25" s="359">
        <f aca="true" t="shared" si="19" ref="M25:P27">S25+Y25</f>
        <v>256</v>
      </c>
      <c r="N25" s="359">
        <f t="shared" si="19"/>
        <v>0</v>
      </c>
      <c r="O25" s="359">
        <f t="shared" si="19"/>
        <v>0</v>
      </c>
      <c r="P25" s="359">
        <f t="shared" si="19"/>
        <v>0</v>
      </c>
      <c r="Q25" s="359">
        <f>W25+AC25+AI25+AP25+AW25+BD25+BK25+BR25+BZ25+CH25</f>
        <v>128</v>
      </c>
      <c r="R25" s="360">
        <f>SUM(S25:V25)+W25</f>
        <v>153</v>
      </c>
      <c r="S25" s="283">
        <v>102</v>
      </c>
      <c r="T25" s="283"/>
      <c r="U25" s="283"/>
      <c r="V25" s="283"/>
      <c r="W25" s="283">
        <v>51</v>
      </c>
      <c r="X25" s="360">
        <f>SUM(Y25:AB25)+AC25</f>
        <v>231</v>
      </c>
      <c r="Y25" s="283">
        <v>154</v>
      </c>
      <c r="Z25" s="283"/>
      <c r="AA25" s="283"/>
      <c r="AB25" s="283"/>
      <c r="AC25" s="283">
        <v>77</v>
      </c>
      <c r="AD25" s="360">
        <f>SUM(AE25:AI25)</f>
        <v>0</v>
      </c>
      <c r="AE25" s="283"/>
      <c r="AF25" s="283"/>
      <c r="AG25" s="283"/>
      <c r="AH25" s="283"/>
      <c r="AI25" s="283"/>
      <c r="AJ25" s="360">
        <f>SUM(AK25:AP25)</f>
        <v>0</v>
      </c>
      <c r="AK25" s="283"/>
      <c r="AL25" s="283"/>
      <c r="AM25" s="283"/>
      <c r="AN25" s="283"/>
      <c r="AO25" s="283"/>
      <c r="AP25" s="360">
        <f>SUM(AQ25:AU25)</f>
        <v>0</v>
      </c>
      <c r="AQ25" s="283"/>
      <c r="AR25" s="283"/>
      <c r="AS25" s="283"/>
      <c r="AT25" s="283"/>
      <c r="AU25" s="283"/>
      <c r="AV25" s="360">
        <f>SUM(AW25:BA25)</f>
        <v>0</v>
      </c>
      <c r="AW25" s="283"/>
      <c r="AX25" s="283"/>
      <c r="AY25" s="283"/>
      <c r="AZ25" s="283"/>
      <c r="BA25" s="283"/>
      <c r="BB25" s="360">
        <f>SUM(BC25:BG25)</f>
        <v>0</v>
      </c>
      <c r="BC25" s="283"/>
      <c r="BD25" s="283"/>
      <c r="BE25" s="283"/>
      <c r="BF25" s="283"/>
      <c r="BG25" s="283"/>
      <c r="BH25" s="360">
        <f>SUM(BI25:BM25)</f>
        <v>0</v>
      </c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360">
        <f>SUM(BT25:BZ25)</f>
        <v>0</v>
      </c>
      <c r="BT25" s="283"/>
      <c r="BU25" s="283"/>
      <c r="BV25" s="283"/>
      <c r="BW25" s="283"/>
      <c r="BX25" s="283"/>
      <c r="BY25" s="283"/>
      <c r="BZ25" s="283"/>
      <c r="CA25" s="360">
        <f>SUM(CB25:CH25)</f>
        <v>0</v>
      </c>
      <c r="CB25" s="283"/>
      <c r="CC25" s="283"/>
      <c r="CD25" s="249"/>
      <c r="CE25" s="283"/>
      <c r="CF25" s="358" t="s">
        <v>471</v>
      </c>
      <c r="CG25" s="283"/>
      <c r="CH25" s="375"/>
    </row>
    <row r="26" spans="1:87" s="366" customFormat="1" ht="25.5" customHeight="1">
      <c r="A26" s="482" t="s">
        <v>578</v>
      </c>
      <c r="B26" s="361" t="s">
        <v>111</v>
      </c>
      <c r="C26" s="301"/>
      <c r="D26" s="358"/>
      <c r="E26" s="358" t="s">
        <v>31</v>
      </c>
      <c r="F26" s="358"/>
      <c r="G26" s="358"/>
      <c r="H26" s="358" t="s">
        <v>27</v>
      </c>
      <c r="I26" s="368">
        <v>150</v>
      </c>
      <c r="J26" s="283">
        <v>100</v>
      </c>
      <c r="K26" s="359">
        <f>L26+SUM(Q26:Q26)</f>
        <v>150</v>
      </c>
      <c r="L26" s="359">
        <f>SUM(M26:P26)</f>
        <v>100</v>
      </c>
      <c r="M26" s="359">
        <f t="shared" si="19"/>
        <v>61</v>
      </c>
      <c r="N26" s="359">
        <f t="shared" si="19"/>
        <v>39</v>
      </c>
      <c r="O26" s="359">
        <f t="shared" si="19"/>
        <v>0</v>
      </c>
      <c r="P26" s="359">
        <f t="shared" si="19"/>
        <v>0</v>
      </c>
      <c r="Q26" s="359">
        <f>W26+AC26+AI26+AP26+AW26+BD26+BK26+BR26+BZ26+CH26</f>
        <v>50</v>
      </c>
      <c r="R26" s="360">
        <f>SUM(S26:V26)+W26</f>
        <v>51</v>
      </c>
      <c r="S26" s="283">
        <v>17</v>
      </c>
      <c r="T26" s="283">
        <v>17</v>
      </c>
      <c r="U26" s="283"/>
      <c r="V26" s="283"/>
      <c r="W26" s="283">
        <v>17</v>
      </c>
      <c r="X26" s="360">
        <f>SUM(Y26:AB26)+AC26</f>
        <v>99</v>
      </c>
      <c r="Y26" s="283">
        <v>44</v>
      </c>
      <c r="Z26" s="283">
        <v>22</v>
      </c>
      <c r="AA26" s="283"/>
      <c r="AB26" s="283"/>
      <c r="AC26" s="283">
        <v>33</v>
      </c>
      <c r="AD26" s="360">
        <f>SUM(AE26:AI26)</f>
        <v>0</v>
      </c>
      <c r="AE26" s="283"/>
      <c r="AF26" s="283"/>
      <c r="AG26" s="283"/>
      <c r="AH26" s="283"/>
      <c r="AI26" s="283"/>
      <c r="AJ26" s="360">
        <f>SUM(AK26:AP26)</f>
        <v>0</v>
      </c>
      <c r="AK26" s="283"/>
      <c r="AL26" s="283"/>
      <c r="AM26" s="283"/>
      <c r="AN26" s="283"/>
      <c r="AO26" s="283"/>
      <c r="AP26" s="360">
        <f>SUM(AQ26:AU26)</f>
        <v>0</v>
      </c>
      <c r="AQ26" s="283"/>
      <c r="AR26" s="283"/>
      <c r="AS26" s="283"/>
      <c r="AT26" s="283"/>
      <c r="AU26" s="283"/>
      <c r="AV26" s="360">
        <f>SUM(AW26:BA26)</f>
        <v>0</v>
      </c>
      <c r="AW26" s="283"/>
      <c r="AX26" s="283"/>
      <c r="AY26" s="283"/>
      <c r="AZ26" s="283"/>
      <c r="BA26" s="283"/>
      <c r="BB26" s="360">
        <f>SUM(BC26:BG26)</f>
        <v>0</v>
      </c>
      <c r="BC26" s="283"/>
      <c r="BD26" s="283"/>
      <c r="BE26" s="283"/>
      <c r="BF26" s="283"/>
      <c r="BG26" s="283"/>
      <c r="BH26" s="360">
        <f>SUM(BI26:BM26)</f>
        <v>0</v>
      </c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360">
        <f>SUM(BT26:BZ26)</f>
        <v>0</v>
      </c>
      <c r="BT26" s="283"/>
      <c r="BU26" s="283"/>
      <c r="BV26" s="283"/>
      <c r="BW26" s="283"/>
      <c r="BX26" s="283"/>
      <c r="BY26" s="283"/>
      <c r="BZ26" s="283"/>
      <c r="CA26" s="360">
        <f>SUM(CB26:CH26)</f>
        <v>0</v>
      </c>
      <c r="CB26" s="283"/>
      <c r="CC26" s="283"/>
      <c r="CD26" s="249"/>
      <c r="CE26" s="283"/>
      <c r="CF26" s="358" t="s">
        <v>471</v>
      </c>
      <c r="CG26" s="368"/>
      <c r="CH26" s="376"/>
      <c r="CI26" s="369"/>
    </row>
    <row r="27" spans="1:87" s="366" customFormat="1" ht="25.5" customHeight="1">
      <c r="A27" s="482" t="s">
        <v>579</v>
      </c>
      <c r="B27" s="361" t="s">
        <v>147</v>
      </c>
      <c r="C27" s="301"/>
      <c r="D27" s="358" t="s">
        <v>31</v>
      </c>
      <c r="E27" s="358"/>
      <c r="F27" s="358"/>
      <c r="G27" s="358"/>
      <c r="H27" s="358" t="s">
        <v>27</v>
      </c>
      <c r="I27" s="283">
        <v>181</v>
      </c>
      <c r="J27" s="283">
        <v>121</v>
      </c>
      <c r="K27" s="359">
        <f>L27+SUM(Q27:Q27)</f>
        <v>192</v>
      </c>
      <c r="L27" s="359">
        <f>SUM(M27:P27)</f>
        <v>128</v>
      </c>
      <c r="M27" s="359">
        <f t="shared" si="19"/>
        <v>100</v>
      </c>
      <c r="N27" s="359">
        <f t="shared" si="19"/>
        <v>28</v>
      </c>
      <c r="O27" s="359">
        <f t="shared" si="19"/>
        <v>0</v>
      </c>
      <c r="P27" s="359">
        <f t="shared" si="19"/>
        <v>0</v>
      </c>
      <c r="Q27" s="359">
        <f>W27+AC27+AI27+AP27+AW27+BD27+BK27+BR27+BZ27+CH27</f>
        <v>64</v>
      </c>
      <c r="R27" s="360">
        <f>SUM(S27:V27)+W27</f>
        <v>102</v>
      </c>
      <c r="S27" s="283">
        <v>51</v>
      </c>
      <c r="T27" s="283">
        <v>17</v>
      </c>
      <c r="U27" s="283"/>
      <c r="V27" s="283"/>
      <c r="W27" s="283">
        <v>34</v>
      </c>
      <c r="X27" s="360">
        <f>SUM(Y27:AB27)+AC27</f>
        <v>90</v>
      </c>
      <c r="Y27" s="283">
        <v>49</v>
      </c>
      <c r="Z27" s="283">
        <v>11</v>
      </c>
      <c r="AA27" s="283"/>
      <c r="AB27" s="283"/>
      <c r="AC27" s="283">
        <v>30</v>
      </c>
      <c r="AD27" s="360">
        <f>SUM(AE27:AI27)</f>
        <v>0</v>
      </c>
      <c r="AE27" s="283"/>
      <c r="AF27" s="283"/>
      <c r="AG27" s="283"/>
      <c r="AH27" s="283"/>
      <c r="AI27" s="283"/>
      <c r="AJ27" s="360">
        <f>SUM(AK27:AP27)</f>
        <v>0</v>
      </c>
      <c r="AK27" s="283"/>
      <c r="AL27" s="283"/>
      <c r="AM27" s="283"/>
      <c r="AN27" s="283"/>
      <c r="AO27" s="283"/>
      <c r="AP27" s="360">
        <f>SUM(AQ27:AU27)</f>
        <v>0</v>
      </c>
      <c r="AQ27" s="283"/>
      <c r="AR27" s="283"/>
      <c r="AS27" s="283"/>
      <c r="AT27" s="283"/>
      <c r="AU27" s="283"/>
      <c r="AV27" s="360">
        <f>SUM(AW27:BA27)</f>
        <v>0</v>
      </c>
      <c r="AW27" s="283"/>
      <c r="AX27" s="283"/>
      <c r="AY27" s="283"/>
      <c r="AZ27" s="283"/>
      <c r="BA27" s="283"/>
      <c r="BB27" s="360">
        <f>SUM(BC27:BG27)</f>
        <v>0</v>
      </c>
      <c r="BC27" s="283"/>
      <c r="BD27" s="283"/>
      <c r="BE27" s="283"/>
      <c r="BF27" s="283"/>
      <c r="BG27" s="283"/>
      <c r="BH27" s="360">
        <f>SUM(BI27:BM27)</f>
        <v>0</v>
      </c>
      <c r="BI27" s="283"/>
      <c r="BJ27" s="283"/>
      <c r="BK27" s="283"/>
      <c r="BL27" s="283"/>
      <c r="BM27" s="283"/>
      <c r="BN27" s="283"/>
      <c r="BO27" s="283"/>
      <c r="BP27" s="283"/>
      <c r="BQ27" s="283"/>
      <c r="BR27" s="283"/>
      <c r="BS27" s="360">
        <f>SUM(BT27:BZ27)</f>
        <v>0</v>
      </c>
      <c r="BT27" s="283"/>
      <c r="BU27" s="283"/>
      <c r="BV27" s="283"/>
      <c r="BW27" s="283"/>
      <c r="BX27" s="283"/>
      <c r="BY27" s="283"/>
      <c r="BZ27" s="283"/>
      <c r="CA27" s="360">
        <f>SUM(CB27:CH27)</f>
        <v>0</v>
      </c>
      <c r="CB27" s="283"/>
      <c r="CC27" s="283"/>
      <c r="CD27" s="249"/>
      <c r="CE27" s="283"/>
      <c r="CF27" s="358" t="s">
        <v>471</v>
      </c>
      <c r="CG27" s="368"/>
      <c r="CH27" s="376"/>
      <c r="CI27" s="369"/>
    </row>
    <row r="28" spans="1:85" s="104" customFormat="1" ht="25.5" customHeight="1">
      <c r="A28" s="384"/>
      <c r="B28" s="605" t="s">
        <v>337</v>
      </c>
      <c r="C28" s="605"/>
      <c r="D28" s="605"/>
      <c r="E28" s="605"/>
      <c r="F28" s="605"/>
      <c r="G28" s="605"/>
      <c r="H28" s="605"/>
      <c r="I28" s="385">
        <f>Нормы!D9</f>
        <v>3178</v>
      </c>
      <c r="J28" s="385">
        <f>Нормы!E9</f>
        <v>2118</v>
      </c>
      <c r="K28" s="385">
        <f aca="true" t="shared" si="20" ref="K28:AF28">K29+K34+K37</f>
        <v>3476</v>
      </c>
      <c r="L28" s="385">
        <f t="shared" si="20"/>
        <v>2317</v>
      </c>
      <c r="M28" s="385">
        <f t="shared" si="20"/>
        <v>2031</v>
      </c>
      <c r="N28" s="385">
        <f t="shared" si="20"/>
        <v>286</v>
      </c>
      <c r="O28" s="385">
        <f t="shared" si="20"/>
        <v>0</v>
      </c>
      <c r="P28" s="385">
        <f t="shared" si="20"/>
        <v>0</v>
      </c>
      <c r="Q28" s="385">
        <f t="shared" si="20"/>
        <v>1159</v>
      </c>
      <c r="R28" s="385">
        <f t="shared" si="20"/>
        <v>0</v>
      </c>
      <c r="S28" s="385">
        <f t="shared" si="20"/>
        <v>0</v>
      </c>
      <c r="T28" s="385">
        <f t="shared" si="20"/>
        <v>0</v>
      </c>
      <c r="U28" s="385">
        <f t="shared" si="20"/>
        <v>0</v>
      </c>
      <c r="V28" s="385">
        <f t="shared" si="20"/>
        <v>0</v>
      </c>
      <c r="W28" s="385">
        <f t="shared" si="20"/>
        <v>0</v>
      </c>
      <c r="X28" s="385">
        <f t="shared" si="20"/>
        <v>0</v>
      </c>
      <c r="Y28" s="385">
        <f t="shared" si="20"/>
        <v>0</v>
      </c>
      <c r="Z28" s="385">
        <f t="shared" si="20"/>
        <v>0</v>
      </c>
      <c r="AA28" s="385">
        <f t="shared" si="20"/>
        <v>0</v>
      </c>
      <c r="AB28" s="385">
        <f t="shared" si="20"/>
        <v>0</v>
      </c>
      <c r="AC28" s="385">
        <f t="shared" si="20"/>
        <v>0</v>
      </c>
      <c r="AD28" s="385">
        <f t="shared" si="20"/>
        <v>600</v>
      </c>
      <c r="AE28" s="385">
        <f t="shared" si="20"/>
        <v>266</v>
      </c>
      <c r="AF28" s="385">
        <f t="shared" si="20"/>
        <v>134</v>
      </c>
      <c r="AG28" s="385">
        <f aca="true" t="shared" si="21" ref="AG28:BA28">AG29+AG34+AG37</f>
        <v>0</v>
      </c>
      <c r="AH28" s="385">
        <f t="shared" si="21"/>
        <v>0</v>
      </c>
      <c r="AI28" s="385">
        <f t="shared" si="21"/>
        <v>200</v>
      </c>
      <c r="AJ28" s="385">
        <f t="shared" si="21"/>
        <v>828</v>
      </c>
      <c r="AK28" s="385">
        <f t="shared" si="21"/>
        <v>513</v>
      </c>
      <c r="AL28" s="385">
        <f t="shared" si="21"/>
        <v>38</v>
      </c>
      <c r="AM28" s="385">
        <f t="shared" si="21"/>
        <v>0</v>
      </c>
      <c r="AN28" s="385">
        <f t="shared" si="21"/>
        <v>0</v>
      </c>
      <c r="AO28" s="385">
        <f t="shared" si="21"/>
        <v>277</v>
      </c>
      <c r="AP28" s="385">
        <f t="shared" si="21"/>
        <v>548</v>
      </c>
      <c r="AQ28" s="385">
        <f t="shared" si="21"/>
        <v>340</v>
      </c>
      <c r="AR28" s="385">
        <f t="shared" si="21"/>
        <v>34</v>
      </c>
      <c r="AS28" s="385">
        <f t="shared" si="21"/>
        <v>0</v>
      </c>
      <c r="AT28" s="385">
        <f t="shared" si="21"/>
        <v>0</v>
      </c>
      <c r="AU28" s="385">
        <f t="shared" si="21"/>
        <v>174</v>
      </c>
      <c r="AV28" s="385">
        <f t="shared" si="21"/>
        <v>472</v>
      </c>
      <c r="AW28" s="385">
        <f t="shared" si="21"/>
        <v>288</v>
      </c>
      <c r="AX28" s="385">
        <f t="shared" si="21"/>
        <v>24</v>
      </c>
      <c r="AY28" s="385">
        <f t="shared" si="21"/>
        <v>0</v>
      </c>
      <c r="AZ28" s="385">
        <f t="shared" si="21"/>
        <v>0</v>
      </c>
      <c r="BA28" s="385">
        <f t="shared" si="21"/>
        <v>160</v>
      </c>
      <c r="BB28" s="385">
        <f aca="true" t="shared" si="22" ref="BB28:CB28">BB29+BB34+BB37</f>
        <v>410</v>
      </c>
      <c r="BC28" s="385">
        <f t="shared" si="22"/>
        <v>240</v>
      </c>
      <c r="BD28" s="385">
        <f t="shared" si="22"/>
        <v>32</v>
      </c>
      <c r="BE28" s="385">
        <f t="shared" si="22"/>
        <v>0</v>
      </c>
      <c r="BF28" s="385">
        <f t="shared" si="22"/>
        <v>0</v>
      </c>
      <c r="BG28" s="385">
        <f t="shared" si="22"/>
        <v>138</v>
      </c>
      <c r="BH28" s="385">
        <f t="shared" si="22"/>
        <v>618</v>
      </c>
      <c r="BI28" s="385">
        <f t="shared" si="22"/>
        <v>384</v>
      </c>
      <c r="BJ28" s="385">
        <f t="shared" si="22"/>
        <v>24</v>
      </c>
      <c r="BK28" s="385">
        <f t="shared" si="22"/>
        <v>0</v>
      </c>
      <c r="BL28" s="385">
        <f t="shared" si="22"/>
        <v>0</v>
      </c>
      <c r="BM28" s="385">
        <f t="shared" si="22"/>
        <v>210</v>
      </c>
      <c r="BN28" s="385">
        <f t="shared" si="22"/>
        <v>0</v>
      </c>
      <c r="BO28" s="385">
        <f t="shared" si="22"/>
        <v>0</v>
      </c>
      <c r="BP28" s="385">
        <f t="shared" si="22"/>
        <v>0</v>
      </c>
      <c r="BQ28" s="385">
        <f t="shared" si="22"/>
        <v>0</v>
      </c>
      <c r="BR28" s="385">
        <f t="shared" si="22"/>
        <v>0</v>
      </c>
      <c r="BS28" s="385">
        <f t="shared" si="22"/>
        <v>0</v>
      </c>
      <c r="BT28" s="385">
        <f t="shared" si="22"/>
        <v>0</v>
      </c>
      <c r="BU28" s="385">
        <f t="shared" si="22"/>
        <v>0</v>
      </c>
      <c r="BV28" s="385">
        <f t="shared" si="22"/>
        <v>0</v>
      </c>
      <c r="BW28" s="385">
        <f t="shared" si="22"/>
        <v>0</v>
      </c>
      <c r="BX28" s="385">
        <f t="shared" si="22"/>
        <v>0</v>
      </c>
      <c r="BY28" s="385">
        <f t="shared" si="22"/>
        <v>0</v>
      </c>
      <c r="BZ28" s="385">
        <f t="shared" si="22"/>
        <v>0</v>
      </c>
      <c r="CA28" s="385">
        <f t="shared" si="22"/>
        <v>0</v>
      </c>
      <c r="CB28" s="385">
        <f t="shared" si="22"/>
        <v>0</v>
      </c>
      <c r="CC28" s="385">
        <f>CC29+CC34+CC37</f>
        <v>0</v>
      </c>
      <c r="CD28" s="385">
        <f>CD29+CD34+CD37</f>
        <v>0</v>
      </c>
      <c r="CE28" s="385">
        <f>CE29+CE34+CE37</f>
        <v>0</v>
      </c>
      <c r="CF28" s="382"/>
      <c r="CG28" s="382"/>
    </row>
    <row r="29" spans="1:85" s="105" customFormat="1" ht="25.5" customHeight="1">
      <c r="A29" s="387" t="s">
        <v>139</v>
      </c>
      <c r="B29" s="541" t="s">
        <v>309</v>
      </c>
      <c r="C29" s="542"/>
      <c r="D29" s="542"/>
      <c r="E29" s="542"/>
      <c r="F29" s="542"/>
      <c r="G29" s="542"/>
      <c r="H29" s="543"/>
      <c r="I29" s="379">
        <f>Нормы!D10</f>
        <v>648</v>
      </c>
      <c r="J29" s="379">
        <f>Нормы!E10</f>
        <v>432</v>
      </c>
      <c r="K29" s="379">
        <f aca="true" t="shared" si="23" ref="K29:AF29">SUM(K30:K33)</f>
        <v>654</v>
      </c>
      <c r="L29" s="379">
        <f t="shared" si="23"/>
        <v>436</v>
      </c>
      <c r="M29" s="379">
        <f t="shared" si="23"/>
        <v>268</v>
      </c>
      <c r="N29" s="379">
        <f t="shared" si="23"/>
        <v>168</v>
      </c>
      <c r="O29" s="379">
        <f t="shared" si="23"/>
        <v>0</v>
      </c>
      <c r="P29" s="379">
        <f t="shared" si="23"/>
        <v>0</v>
      </c>
      <c r="Q29" s="379">
        <f t="shared" si="23"/>
        <v>218</v>
      </c>
      <c r="R29" s="379">
        <f t="shared" si="23"/>
        <v>0</v>
      </c>
      <c r="S29" s="379">
        <f t="shared" si="23"/>
        <v>0</v>
      </c>
      <c r="T29" s="379">
        <f t="shared" si="23"/>
        <v>0</v>
      </c>
      <c r="U29" s="379">
        <f t="shared" si="23"/>
        <v>0</v>
      </c>
      <c r="V29" s="379">
        <f t="shared" si="23"/>
        <v>0</v>
      </c>
      <c r="W29" s="379">
        <f t="shared" si="23"/>
        <v>0</v>
      </c>
      <c r="X29" s="379">
        <f t="shared" si="23"/>
        <v>0</v>
      </c>
      <c r="Y29" s="379">
        <f t="shared" si="23"/>
        <v>0</v>
      </c>
      <c r="Z29" s="379">
        <f t="shared" si="23"/>
        <v>0</v>
      </c>
      <c r="AA29" s="379">
        <f t="shared" si="23"/>
        <v>0</v>
      </c>
      <c r="AB29" s="379">
        <f t="shared" si="23"/>
        <v>0</v>
      </c>
      <c r="AC29" s="379">
        <f t="shared" si="23"/>
        <v>0</v>
      </c>
      <c r="AD29" s="379">
        <f t="shared" si="23"/>
        <v>168</v>
      </c>
      <c r="AE29" s="379">
        <f t="shared" si="23"/>
        <v>80</v>
      </c>
      <c r="AF29" s="379">
        <f t="shared" si="23"/>
        <v>32</v>
      </c>
      <c r="AG29" s="379">
        <f aca="true" t="shared" si="24" ref="AG29:BA29">SUM(AG30:AG33)</f>
        <v>0</v>
      </c>
      <c r="AH29" s="379">
        <f t="shared" si="24"/>
        <v>0</v>
      </c>
      <c r="AI29" s="379">
        <f t="shared" si="24"/>
        <v>56</v>
      </c>
      <c r="AJ29" s="379">
        <f t="shared" si="24"/>
        <v>118</v>
      </c>
      <c r="AK29" s="379">
        <f t="shared" si="24"/>
        <v>38</v>
      </c>
      <c r="AL29" s="379">
        <f t="shared" si="24"/>
        <v>38</v>
      </c>
      <c r="AM29" s="379">
        <f t="shared" si="24"/>
        <v>0</v>
      </c>
      <c r="AN29" s="379">
        <f t="shared" si="24"/>
        <v>0</v>
      </c>
      <c r="AO29" s="379">
        <f t="shared" si="24"/>
        <v>42</v>
      </c>
      <c r="AP29" s="379">
        <f t="shared" si="24"/>
        <v>166</v>
      </c>
      <c r="AQ29" s="379">
        <f t="shared" si="24"/>
        <v>86</v>
      </c>
      <c r="AR29" s="379">
        <f t="shared" si="24"/>
        <v>34</v>
      </c>
      <c r="AS29" s="379">
        <f t="shared" si="24"/>
        <v>0</v>
      </c>
      <c r="AT29" s="379">
        <f t="shared" si="24"/>
        <v>0</v>
      </c>
      <c r="AU29" s="379">
        <f t="shared" si="24"/>
        <v>46</v>
      </c>
      <c r="AV29" s="379">
        <f t="shared" si="24"/>
        <v>76</v>
      </c>
      <c r="AW29" s="379">
        <f t="shared" si="24"/>
        <v>24</v>
      </c>
      <c r="AX29" s="379">
        <f t="shared" si="24"/>
        <v>24</v>
      </c>
      <c r="AY29" s="379">
        <f t="shared" si="24"/>
        <v>0</v>
      </c>
      <c r="AZ29" s="379">
        <f t="shared" si="24"/>
        <v>0</v>
      </c>
      <c r="BA29" s="379">
        <f t="shared" si="24"/>
        <v>28</v>
      </c>
      <c r="BB29" s="379">
        <f aca="true" t="shared" si="25" ref="BB29:CB29">SUM(BB30:BB33)</f>
        <v>50</v>
      </c>
      <c r="BC29" s="379">
        <f t="shared" si="25"/>
        <v>16</v>
      </c>
      <c r="BD29" s="379">
        <f t="shared" si="25"/>
        <v>16</v>
      </c>
      <c r="BE29" s="379">
        <f t="shared" si="25"/>
        <v>0</v>
      </c>
      <c r="BF29" s="379">
        <f t="shared" si="25"/>
        <v>0</v>
      </c>
      <c r="BG29" s="379">
        <f t="shared" si="25"/>
        <v>18</v>
      </c>
      <c r="BH29" s="379">
        <f t="shared" si="25"/>
        <v>76</v>
      </c>
      <c r="BI29" s="379">
        <f t="shared" si="25"/>
        <v>24</v>
      </c>
      <c r="BJ29" s="379">
        <f t="shared" si="25"/>
        <v>24</v>
      </c>
      <c r="BK29" s="379">
        <f t="shared" si="25"/>
        <v>0</v>
      </c>
      <c r="BL29" s="379">
        <f t="shared" si="25"/>
        <v>0</v>
      </c>
      <c r="BM29" s="379">
        <f t="shared" si="25"/>
        <v>28</v>
      </c>
      <c r="BN29" s="379">
        <f t="shared" si="25"/>
        <v>0</v>
      </c>
      <c r="BO29" s="379">
        <f t="shared" si="25"/>
        <v>0</v>
      </c>
      <c r="BP29" s="379">
        <f t="shared" si="25"/>
        <v>0</v>
      </c>
      <c r="BQ29" s="379">
        <f t="shared" si="25"/>
        <v>0</v>
      </c>
      <c r="BR29" s="379">
        <f t="shared" si="25"/>
        <v>0</v>
      </c>
      <c r="BS29" s="379">
        <f t="shared" si="25"/>
        <v>0</v>
      </c>
      <c r="BT29" s="379">
        <f t="shared" si="25"/>
        <v>0</v>
      </c>
      <c r="BU29" s="379">
        <f t="shared" si="25"/>
        <v>0</v>
      </c>
      <c r="BV29" s="379">
        <f t="shared" si="25"/>
        <v>0</v>
      </c>
      <c r="BW29" s="379">
        <f t="shared" si="25"/>
        <v>0</v>
      </c>
      <c r="BX29" s="379">
        <f t="shared" si="25"/>
        <v>0</v>
      </c>
      <c r="BY29" s="379">
        <f t="shared" si="25"/>
        <v>0</v>
      </c>
      <c r="BZ29" s="379">
        <f t="shared" si="25"/>
        <v>0</v>
      </c>
      <c r="CA29" s="379">
        <f t="shared" si="25"/>
        <v>0</v>
      </c>
      <c r="CB29" s="379">
        <f t="shared" si="25"/>
        <v>0</v>
      </c>
      <c r="CC29" s="379">
        <f>SUM(CC30:CC33)</f>
        <v>0</v>
      </c>
      <c r="CD29" s="379">
        <f>SUM(CD30:CD33)</f>
        <v>0</v>
      </c>
      <c r="CE29" s="379">
        <f>SUM(CE30:CE33)</f>
        <v>0</v>
      </c>
      <c r="CF29" s="388"/>
      <c r="CG29" s="388"/>
    </row>
    <row r="30" spans="1:85" s="112" customFormat="1" ht="25.5" customHeight="1">
      <c r="A30" s="391" t="s">
        <v>506</v>
      </c>
      <c r="B30" s="301" t="s">
        <v>141</v>
      </c>
      <c r="C30" s="301"/>
      <c r="D30" s="358"/>
      <c r="E30" s="358" t="s">
        <v>41</v>
      </c>
      <c r="F30" s="358"/>
      <c r="G30" s="358"/>
      <c r="H30" s="358"/>
      <c r="I30" s="283"/>
      <c r="J30" s="283">
        <v>48</v>
      </c>
      <c r="K30" s="359">
        <f>L30+SUM(Q30:Q30)</f>
        <v>60</v>
      </c>
      <c r="L30" s="359">
        <f>SUM(M30:P30)</f>
        <v>52</v>
      </c>
      <c r="M30" s="359">
        <f aca="true" t="shared" si="26" ref="M30:P33">S30+Y30+AE30+AK30+AQ30+AW30+BC30+BI30+BQ30+BZ30</f>
        <v>52</v>
      </c>
      <c r="N30" s="359">
        <f t="shared" si="26"/>
        <v>0</v>
      </c>
      <c r="O30" s="359">
        <f t="shared" si="26"/>
        <v>0</v>
      </c>
      <c r="P30" s="359">
        <f t="shared" si="26"/>
        <v>0</v>
      </c>
      <c r="Q30" s="359">
        <f>W30+AC30+AI30+AO30+AU30+BA30+BG30+BM30+BV30+CE30</f>
        <v>8</v>
      </c>
      <c r="R30" s="360">
        <f>SUM(S30:W30)</f>
        <v>0</v>
      </c>
      <c r="S30" s="283"/>
      <c r="T30" s="283"/>
      <c r="U30" s="283"/>
      <c r="V30" s="283"/>
      <c r="W30" s="283"/>
      <c r="X30" s="360">
        <f>SUM(Y30:AC30)</f>
        <v>0</v>
      </c>
      <c r="Y30" s="283"/>
      <c r="Z30" s="283"/>
      <c r="AA30" s="283"/>
      <c r="AB30" s="283"/>
      <c r="AC30" s="283"/>
      <c r="AD30" s="360">
        <f>SUM(AE30:AI30)</f>
        <v>0</v>
      </c>
      <c r="AE30" s="283"/>
      <c r="AF30" s="283"/>
      <c r="AG30" s="283"/>
      <c r="AH30" s="283"/>
      <c r="AI30" s="283"/>
      <c r="AJ30" s="360">
        <f>SUM(AK30:AO30)</f>
        <v>0</v>
      </c>
      <c r="AK30" s="283"/>
      <c r="AL30" s="283"/>
      <c r="AM30" s="283"/>
      <c r="AN30" s="283"/>
      <c r="AO30" s="283"/>
      <c r="AP30" s="360">
        <f>SUM(AQ30:AU30)</f>
        <v>60</v>
      </c>
      <c r="AQ30" s="283">
        <v>52</v>
      </c>
      <c r="AR30" s="283"/>
      <c r="AS30" s="283"/>
      <c r="AT30" s="283"/>
      <c r="AU30" s="283">
        <v>8</v>
      </c>
      <c r="AV30" s="360">
        <f>SUM(AW30:BA30)</f>
        <v>0</v>
      </c>
      <c r="AW30" s="283"/>
      <c r="AX30" s="283"/>
      <c r="AY30" s="283"/>
      <c r="AZ30" s="283"/>
      <c r="BA30" s="283"/>
      <c r="BB30" s="360">
        <f>SUM(BC30:BG30)</f>
        <v>0</v>
      </c>
      <c r="BC30" s="283"/>
      <c r="BD30" s="283"/>
      <c r="BE30" s="283"/>
      <c r="BF30" s="283"/>
      <c r="BG30" s="283"/>
      <c r="BH30" s="360">
        <f>SUM(BI30:BM30)</f>
        <v>0</v>
      </c>
      <c r="BI30" s="283"/>
      <c r="BJ30" s="283"/>
      <c r="BK30" s="283"/>
      <c r="BL30" s="283"/>
      <c r="BM30" s="283"/>
      <c r="BN30" s="392">
        <f>LEN(H30)-LEN(SUBSTITUTE(H30,"9",""))</f>
        <v>0</v>
      </c>
      <c r="BO30" s="360">
        <f>SUM(BP30:BV30)</f>
        <v>0</v>
      </c>
      <c r="BP30" s="283"/>
      <c r="BQ30" s="283"/>
      <c r="BR30" s="283"/>
      <c r="BS30" s="283"/>
      <c r="BT30" s="283"/>
      <c r="BU30" s="283"/>
      <c r="BV30" s="283"/>
      <c r="BW30" s="392">
        <f>LEN(H30)-LEN(SUBSTITUTE(H30,"Х",""))</f>
        <v>0</v>
      </c>
      <c r="BX30" s="360">
        <f>SUM(BY30:CE30)</f>
        <v>0</v>
      </c>
      <c r="BY30" s="283"/>
      <c r="BZ30" s="283"/>
      <c r="CA30" s="283"/>
      <c r="CB30" s="283"/>
      <c r="CC30" s="283"/>
      <c r="CD30" s="283"/>
      <c r="CE30" s="283"/>
      <c r="CF30" s="358" t="s">
        <v>470</v>
      </c>
      <c r="CG30" s="393" t="s">
        <v>320</v>
      </c>
    </row>
    <row r="31" spans="1:85" s="112" customFormat="1" ht="25.5" customHeight="1">
      <c r="A31" s="391" t="s">
        <v>507</v>
      </c>
      <c r="B31" s="301" t="s">
        <v>108</v>
      </c>
      <c r="C31" s="301"/>
      <c r="D31" s="358" t="s">
        <v>30</v>
      </c>
      <c r="E31" s="358"/>
      <c r="F31" s="358"/>
      <c r="G31" s="358"/>
      <c r="H31" s="358"/>
      <c r="I31" s="283"/>
      <c r="J31" s="283">
        <v>48</v>
      </c>
      <c r="K31" s="359">
        <f>L31+SUM(Q31:Q31)</f>
        <v>66</v>
      </c>
      <c r="L31" s="359">
        <f>SUM(M31:P31)</f>
        <v>48</v>
      </c>
      <c r="M31" s="359">
        <f t="shared" si="26"/>
        <v>48</v>
      </c>
      <c r="N31" s="359">
        <f t="shared" si="26"/>
        <v>0</v>
      </c>
      <c r="O31" s="359">
        <f t="shared" si="26"/>
        <v>0</v>
      </c>
      <c r="P31" s="359">
        <f t="shared" si="26"/>
        <v>0</v>
      </c>
      <c r="Q31" s="359">
        <f>W31+AC31+AI31+AO31+AU31+BA31+BG31+BM31+BV31+CE31</f>
        <v>18</v>
      </c>
      <c r="R31" s="360">
        <f>SUM(S31:W31)</f>
        <v>0</v>
      </c>
      <c r="S31" s="283"/>
      <c r="T31" s="283"/>
      <c r="U31" s="283"/>
      <c r="V31" s="283"/>
      <c r="W31" s="283"/>
      <c r="X31" s="360">
        <f>SUM(Y31:AC31)</f>
        <v>0</v>
      </c>
      <c r="Y31" s="283"/>
      <c r="Z31" s="283"/>
      <c r="AA31" s="283"/>
      <c r="AB31" s="283"/>
      <c r="AC31" s="283"/>
      <c r="AD31" s="360">
        <f>SUM(AE31:AI31)</f>
        <v>66</v>
      </c>
      <c r="AE31" s="283">
        <v>48</v>
      </c>
      <c r="AF31" s="283"/>
      <c r="AG31" s="283"/>
      <c r="AH31" s="283"/>
      <c r="AI31" s="283">
        <v>18</v>
      </c>
      <c r="AJ31" s="360">
        <f>SUM(AK31:AO31)</f>
        <v>0</v>
      </c>
      <c r="AK31" s="283"/>
      <c r="AL31" s="283"/>
      <c r="AM31" s="283"/>
      <c r="AN31" s="283"/>
      <c r="AO31" s="283"/>
      <c r="AP31" s="360">
        <f>SUM(AQ31:AU31)</f>
        <v>0</v>
      </c>
      <c r="AQ31" s="283"/>
      <c r="AR31" s="283"/>
      <c r="AS31" s="283"/>
      <c r="AT31" s="283"/>
      <c r="AU31" s="283"/>
      <c r="AV31" s="360">
        <f>SUM(AW31:BA31)</f>
        <v>0</v>
      </c>
      <c r="AW31" s="283"/>
      <c r="AX31" s="283"/>
      <c r="AY31" s="283"/>
      <c r="AZ31" s="283"/>
      <c r="BA31" s="283"/>
      <c r="BB31" s="360">
        <f>SUM(BC31:BG31)</f>
        <v>0</v>
      </c>
      <c r="BC31" s="283"/>
      <c r="BD31" s="283"/>
      <c r="BE31" s="283"/>
      <c r="BF31" s="283"/>
      <c r="BG31" s="283"/>
      <c r="BH31" s="360">
        <f>SUM(BI31:BM31)</f>
        <v>0</v>
      </c>
      <c r="BI31" s="283"/>
      <c r="BJ31" s="283"/>
      <c r="BK31" s="283"/>
      <c r="BL31" s="283"/>
      <c r="BM31" s="283"/>
      <c r="BN31" s="392">
        <f>LEN(H31)-LEN(SUBSTITUTE(H31,"9",""))</f>
        <v>0</v>
      </c>
      <c r="BO31" s="360">
        <f>SUM(BP31:BV31)</f>
        <v>0</v>
      </c>
      <c r="BP31" s="283"/>
      <c r="BQ31" s="283"/>
      <c r="BR31" s="283"/>
      <c r="BS31" s="283"/>
      <c r="BT31" s="283"/>
      <c r="BU31" s="283"/>
      <c r="BV31" s="283"/>
      <c r="BW31" s="392">
        <f>LEN(H31)-LEN(SUBSTITUTE(H31,"Х",""))</f>
        <v>0</v>
      </c>
      <c r="BX31" s="360">
        <f>SUM(BY31:CE31)</f>
        <v>0</v>
      </c>
      <c r="BY31" s="283"/>
      <c r="BZ31" s="283"/>
      <c r="CA31" s="283"/>
      <c r="CB31" s="283"/>
      <c r="CC31" s="283"/>
      <c r="CD31" s="283"/>
      <c r="CE31" s="283"/>
      <c r="CF31" s="358" t="s">
        <v>470</v>
      </c>
      <c r="CG31" s="393" t="s">
        <v>320</v>
      </c>
    </row>
    <row r="32" spans="1:85" s="112" customFormat="1" ht="25.5" customHeight="1">
      <c r="A32" s="391" t="s">
        <v>508</v>
      </c>
      <c r="B32" s="301" t="s">
        <v>109</v>
      </c>
      <c r="C32" s="301"/>
      <c r="D32" s="358"/>
      <c r="E32" s="358" t="s">
        <v>499</v>
      </c>
      <c r="F32" s="358"/>
      <c r="G32" s="358"/>
      <c r="H32" s="358"/>
      <c r="I32" s="283"/>
      <c r="J32" s="283">
        <v>168</v>
      </c>
      <c r="K32" s="359">
        <f>L32+SUM(Q32:Q32)</f>
        <v>192</v>
      </c>
      <c r="L32" s="359">
        <f>SUM(M32:P32)</f>
        <v>168</v>
      </c>
      <c r="M32" s="359">
        <f t="shared" si="26"/>
        <v>0</v>
      </c>
      <c r="N32" s="359">
        <f t="shared" si="26"/>
        <v>168</v>
      </c>
      <c r="O32" s="359">
        <f t="shared" si="26"/>
        <v>0</v>
      </c>
      <c r="P32" s="359">
        <f t="shared" si="26"/>
        <v>0</v>
      </c>
      <c r="Q32" s="359">
        <f>W32+AC32+AI32+AO32+AU32+BA32+BG32+BM32+BV32+CE32</f>
        <v>24</v>
      </c>
      <c r="R32" s="360">
        <f>SUM(S32:W32)</f>
        <v>0</v>
      </c>
      <c r="S32" s="283"/>
      <c r="T32" s="283"/>
      <c r="U32" s="283"/>
      <c r="V32" s="283"/>
      <c r="W32" s="283"/>
      <c r="X32" s="360">
        <f>SUM(Y32:AC32)</f>
        <v>0</v>
      </c>
      <c r="Y32" s="283"/>
      <c r="Z32" s="283"/>
      <c r="AA32" s="283"/>
      <c r="AB32" s="283"/>
      <c r="AC32" s="283"/>
      <c r="AD32" s="360">
        <f>SUM(AE32:AI32)</f>
        <v>38</v>
      </c>
      <c r="AE32" s="283"/>
      <c r="AF32" s="283">
        <v>32</v>
      </c>
      <c r="AG32" s="283"/>
      <c r="AH32" s="283"/>
      <c r="AI32" s="283">
        <v>6</v>
      </c>
      <c r="AJ32" s="360">
        <f>SUM(AK32:AO32)</f>
        <v>42</v>
      </c>
      <c r="AK32" s="283"/>
      <c r="AL32" s="283">
        <v>38</v>
      </c>
      <c r="AM32" s="283"/>
      <c r="AN32" s="283"/>
      <c r="AO32" s="283">
        <v>4</v>
      </c>
      <c r="AP32" s="360">
        <f>SUM(AQ32:AU32)</f>
        <v>38</v>
      </c>
      <c r="AQ32" s="283"/>
      <c r="AR32" s="283">
        <v>34</v>
      </c>
      <c r="AS32" s="283"/>
      <c r="AT32" s="283"/>
      <c r="AU32" s="283">
        <v>4</v>
      </c>
      <c r="AV32" s="360">
        <f>SUM(AW32:BA32)</f>
        <v>28</v>
      </c>
      <c r="AW32" s="283"/>
      <c r="AX32" s="283">
        <v>24</v>
      </c>
      <c r="AY32" s="283"/>
      <c r="AZ32" s="283"/>
      <c r="BA32" s="283">
        <v>4</v>
      </c>
      <c r="BB32" s="360">
        <f>SUM(BC32:BG32)</f>
        <v>18</v>
      </c>
      <c r="BC32" s="283"/>
      <c r="BD32" s="283">
        <v>16</v>
      </c>
      <c r="BE32" s="283"/>
      <c r="BF32" s="283"/>
      <c r="BG32" s="283">
        <v>2</v>
      </c>
      <c r="BH32" s="360">
        <f>SUM(BI32:BM32)</f>
        <v>28</v>
      </c>
      <c r="BI32" s="283"/>
      <c r="BJ32" s="283">
        <v>24</v>
      </c>
      <c r="BK32" s="283"/>
      <c r="BL32" s="283"/>
      <c r="BM32" s="283">
        <v>4</v>
      </c>
      <c r="BN32" s="392">
        <f>LEN(H32)-LEN(SUBSTITUTE(H32,"9",""))</f>
        <v>0</v>
      </c>
      <c r="BO32" s="360">
        <f>SUM(BP32:BV32)</f>
        <v>0</v>
      </c>
      <c r="BP32" s="283"/>
      <c r="BQ32" s="283"/>
      <c r="BR32" s="283"/>
      <c r="BS32" s="283"/>
      <c r="BT32" s="283"/>
      <c r="BU32" s="283"/>
      <c r="BV32" s="283"/>
      <c r="BW32" s="392">
        <f>LEN(H32)-LEN(SUBSTITUTE(H32,"Х",""))</f>
        <v>0</v>
      </c>
      <c r="BX32" s="360">
        <f>SUM(BY32:CE32)</f>
        <v>0</v>
      </c>
      <c r="BY32" s="283"/>
      <c r="BZ32" s="283"/>
      <c r="CA32" s="283"/>
      <c r="CB32" s="283"/>
      <c r="CC32" s="283"/>
      <c r="CD32" s="283"/>
      <c r="CE32" s="283"/>
      <c r="CF32" s="358" t="s">
        <v>470</v>
      </c>
      <c r="CG32" s="358" t="s">
        <v>324</v>
      </c>
    </row>
    <row r="33" spans="1:85" s="112" customFormat="1" ht="25.5" customHeight="1">
      <c r="A33" s="391" t="s">
        <v>509</v>
      </c>
      <c r="B33" s="301" t="s">
        <v>6</v>
      </c>
      <c r="C33" s="301"/>
      <c r="D33" s="358"/>
      <c r="E33" s="358"/>
      <c r="F33" s="358" t="s">
        <v>548</v>
      </c>
      <c r="G33" s="358"/>
      <c r="H33" s="358"/>
      <c r="I33" s="283">
        <v>336</v>
      </c>
      <c r="J33" s="283">
        <v>168</v>
      </c>
      <c r="K33" s="359">
        <f>L33+SUM(Q33:Q33)</f>
        <v>336</v>
      </c>
      <c r="L33" s="359">
        <f>SUM(M33:P33)</f>
        <v>168</v>
      </c>
      <c r="M33" s="359">
        <f t="shared" si="26"/>
        <v>168</v>
      </c>
      <c r="N33" s="359">
        <f t="shared" si="26"/>
        <v>0</v>
      </c>
      <c r="O33" s="359">
        <f t="shared" si="26"/>
        <v>0</v>
      </c>
      <c r="P33" s="359">
        <f t="shared" si="26"/>
        <v>0</v>
      </c>
      <c r="Q33" s="359">
        <f>W33+AC33+AI33+AO33+AU33+BA33+BG33+BM33+BV33+CE33</f>
        <v>168</v>
      </c>
      <c r="R33" s="360">
        <f>SUM(S33:W33)</f>
        <v>0</v>
      </c>
      <c r="S33" s="283"/>
      <c r="T33" s="283"/>
      <c r="U33" s="283"/>
      <c r="V33" s="283"/>
      <c r="W33" s="283"/>
      <c r="X33" s="360">
        <f>SUM(Y33:AC33)</f>
        <v>0</v>
      </c>
      <c r="Y33" s="283"/>
      <c r="Z33" s="283"/>
      <c r="AA33" s="283"/>
      <c r="AB33" s="283"/>
      <c r="AC33" s="283"/>
      <c r="AD33" s="360">
        <f>SUM(AE33:AI33)</f>
        <v>64</v>
      </c>
      <c r="AE33" s="283">
        <v>32</v>
      </c>
      <c r="AF33" s="283"/>
      <c r="AG33" s="283"/>
      <c r="AH33" s="283"/>
      <c r="AI33" s="283">
        <v>32</v>
      </c>
      <c r="AJ33" s="360">
        <f>SUM(AK33:AO33)</f>
        <v>76</v>
      </c>
      <c r="AK33" s="283">
        <v>38</v>
      </c>
      <c r="AL33" s="283"/>
      <c r="AM33" s="283"/>
      <c r="AN33" s="283"/>
      <c r="AO33" s="283">
        <v>38</v>
      </c>
      <c r="AP33" s="360">
        <f>SUM(AQ33:AU33)</f>
        <v>68</v>
      </c>
      <c r="AQ33" s="283">
        <v>34</v>
      </c>
      <c r="AR33" s="283"/>
      <c r="AS33" s="283"/>
      <c r="AT33" s="283"/>
      <c r="AU33" s="283">
        <v>34</v>
      </c>
      <c r="AV33" s="360">
        <f>SUM(AW33:BA33)</f>
        <v>48</v>
      </c>
      <c r="AW33" s="283">
        <v>24</v>
      </c>
      <c r="AX33" s="283"/>
      <c r="AY33" s="283"/>
      <c r="AZ33" s="283"/>
      <c r="BA33" s="283">
        <v>24</v>
      </c>
      <c r="BB33" s="360">
        <f>SUM(BC33:BG33)</f>
        <v>32</v>
      </c>
      <c r="BC33" s="283">
        <v>16</v>
      </c>
      <c r="BD33" s="283"/>
      <c r="BE33" s="283"/>
      <c r="BF33" s="283"/>
      <c r="BG33" s="283">
        <v>16</v>
      </c>
      <c r="BH33" s="360">
        <f>SUM(BI33:BM33)</f>
        <v>48</v>
      </c>
      <c r="BI33" s="283">
        <v>24</v>
      </c>
      <c r="BJ33" s="283"/>
      <c r="BK33" s="283"/>
      <c r="BL33" s="283"/>
      <c r="BM33" s="283">
        <v>24</v>
      </c>
      <c r="BN33" s="392">
        <f>LEN(H33)-LEN(SUBSTITUTE(H33,"9",""))</f>
        <v>0</v>
      </c>
      <c r="BO33" s="360">
        <f>SUM(BP33:BV33)</f>
        <v>0</v>
      </c>
      <c r="BP33" s="283"/>
      <c r="BQ33" s="283"/>
      <c r="BR33" s="283"/>
      <c r="BS33" s="283"/>
      <c r="BT33" s="283"/>
      <c r="BU33" s="283"/>
      <c r="BV33" s="283"/>
      <c r="BW33" s="392">
        <f>LEN(H33)-LEN(SUBSTITUTE(H33,"Х",""))</f>
        <v>0</v>
      </c>
      <c r="BX33" s="360">
        <f>SUM(BY33:CE33)</f>
        <v>0</v>
      </c>
      <c r="BY33" s="283"/>
      <c r="BZ33" s="283"/>
      <c r="CA33" s="283"/>
      <c r="CB33" s="283"/>
      <c r="CC33" s="283"/>
      <c r="CD33" s="283"/>
      <c r="CE33" s="283"/>
      <c r="CF33" s="358" t="s">
        <v>469</v>
      </c>
      <c r="CG33" s="358" t="s">
        <v>325</v>
      </c>
    </row>
    <row r="34" spans="1:85" s="105" customFormat="1" ht="25.5" customHeight="1">
      <c r="A34" s="387" t="s">
        <v>143</v>
      </c>
      <c r="B34" s="541" t="s">
        <v>215</v>
      </c>
      <c r="C34" s="542"/>
      <c r="D34" s="542"/>
      <c r="E34" s="542"/>
      <c r="F34" s="542"/>
      <c r="G34" s="542"/>
      <c r="H34" s="543"/>
      <c r="I34" s="379">
        <f>Нормы!D11</f>
        <v>222</v>
      </c>
      <c r="J34" s="379">
        <f>Нормы!E11</f>
        <v>148</v>
      </c>
      <c r="K34" s="379">
        <f aca="true" t="shared" si="27" ref="K34:AF34">SUM(K35:K36)</f>
        <v>240</v>
      </c>
      <c r="L34" s="379">
        <f t="shared" si="27"/>
        <v>160</v>
      </c>
      <c r="M34" s="379">
        <f t="shared" si="27"/>
        <v>122</v>
      </c>
      <c r="N34" s="379">
        <f t="shared" si="27"/>
        <v>38</v>
      </c>
      <c r="O34" s="379">
        <f t="shared" si="27"/>
        <v>0</v>
      </c>
      <c r="P34" s="379">
        <f t="shared" si="27"/>
        <v>0</v>
      </c>
      <c r="Q34" s="379">
        <f t="shared" si="27"/>
        <v>80</v>
      </c>
      <c r="R34" s="379">
        <f t="shared" si="27"/>
        <v>0</v>
      </c>
      <c r="S34" s="379">
        <f t="shared" si="27"/>
        <v>0</v>
      </c>
      <c r="T34" s="379">
        <f t="shared" si="27"/>
        <v>0</v>
      </c>
      <c r="U34" s="379">
        <f t="shared" si="27"/>
        <v>0</v>
      </c>
      <c r="V34" s="379">
        <f t="shared" si="27"/>
        <v>0</v>
      </c>
      <c r="W34" s="379">
        <f t="shared" si="27"/>
        <v>0</v>
      </c>
      <c r="X34" s="379">
        <f t="shared" si="27"/>
        <v>0</v>
      </c>
      <c r="Y34" s="379">
        <f t="shared" si="27"/>
        <v>0</v>
      </c>
      <c r="Z34" s="379">
        <f t="shared" si="27"/>
        <v>0</v>
      </c>
      <c r="AA34" s="379">
        <f t="shared" si="27"/>
        <v>0</v>
      </c>
      <c r="AB34" s="379">
        <f t="shared" si="27"/>
        <v>0</v>
      </c>
      <c r="AC34" s="379">
        <f t="shared" si="27"/>
        <v>0</v>
      </c>
      <c r="AD34" s="379">
        <f t="shared" si="27"/>
        <v>240</v>
      </c>
      <c r="AE34" s="379">
        <f t="shared" si="27"/>
        <v>122</v>
      </c>
      <c r="AF34" s="379">
        <f t="shared" si="27"/>
        <v>38</v>
      </c>
      <c r="AG34" s="379">
        <f aca="true" t="shared" si="28" ref="AG34:BA34">SUM(AG35:AG36)</f>
        <v>0</v>
      </c>
      <c r="AH34" s="379">
        <f t="shared" si="28"/>
        <v>0</v>
      </c>
      <c r="AI34" s="379">
        <f t="shared" si="28"/>
        <v>80</v>
      </c>
      <c r="AJ34" s="379">
        <f t="shared" si="28"/>
        <v>0</v>
      </c>
      <c r="AK34" s="379">
        <f t="shared" si="28"/>
        <v>0</v>
      </c>
      <c r="AL34" s="379">
        <f t="shared" si="28"/>
        <v>0</v>
      </c>
      <c r="AM34" s="379">
        <f t="shared" si="28"/>
        <v>0</v>
      </c>
      <c r="AN34" s="379">
        <f t="shared" si="28"/>
        <v>0</v>
      </c>
      <c r="AO34" s="379">
        <f t="shared" si="28"/>
        <v>0</v>
      </c>
      <c r="AP34" s="379">
        <f t="shared" si="28"/>
        <v>0</v>
      </c>
      <c r="AQ34" s="379">
        <f t="shared" si="28"/>
        <v>0</v>
      </c>
      <c r="AR34" s="379">
        <f t="shared" si="28"/>
        <v>0</v>
      </c>
      <c r="AS34" s="379">
        <f t="shared" si="28"/>
        <v>0</v>
      </c>
      <c r="AT34" s="379">
        <f t="shared" si="28"/>
        <v>0</v>
      </c>
      <c r="AU34" s="379">
        <f t="shared" si="28"/>
        <v>0</v>
      </c>
      <c r="AV34" s="379">
        <f t="shared" si="28"/>
        <v>0</v>
      </c>
      <c r="AW34" s="379">
        <f t="shared" si="28"/>
        <v>0</v>
      </c>
      <c r="AX34" s="379">
        <f t="shared" si="28"/>
        <v>0</v>
      </c>
      <c r="AY34" s="379">
        <f t="shared" si="28"/>
        <v>0</v>
      </c>
      <c r="AZ34" s="379">
        <f t="shared" si="28"/>
        <v>0</v>
      </c>
      <c r="BA34" s="379">
        <f t="shared" si="28"/>
        <v>0</v>
      </c>
      <c r="BB34" s="379">
        <f aca="true" t="shared" si="29" ref="BB34:CB34">SUM(BB35:BB36)</f>
        <v>0</v>
      </c>
      <c r="BC34" s="379">
        <f t="shared" si="29"/>
        <v>0</v>
      </c>
      <c r="BD34" s="379">
        <f t="shared" si="29"/>
        <v>0</v>
      </c>
      <c r="BE34" s="379">
        <f t="shared" si="29"/>
        <v>0</v>
      </c>
      <c r="BF34" s="379">
        <f t="shared" si="29"/>
        <v>0</v>
      </c>
      <c r="BG34" s="379">
        <f t="shared" si="29"/>
        <v>0</v>
      </c>
      <c r="BH34" s="379">
        <f t="shared" si="29"/>
        <v>0</v>
      </c>
      <c r="BI34" s="379">
        <f t="shared" si="29"/>
        <v>0</v>
      </c>
      <c r="BJ34" s="379">
        <f t="shared" si="29"/>
        <v>0</v>
      </c>
      <c r="BK34" s="379">
        <f t="shared" si="29"/>
        <v>0</v>
      </c>
      <c r="BL34" s="379">
        <f t="shared" si="29"/>
        <v>0</v>
      </c>
      <c r="BM34" s="379">
        <f t="shared" si="29"/>
        <v>0</v>
      </c>
      <c r="BN34" s="379">
        <f t="shared" si="29"/>
        <v>0</v>
      </c>
      <c r="BO34" s="379">
        <f t="shared" si="29"/>
        <v>0</v>
      </c>
      <c r="BP34" s="379">
        <f t="shared" si="29"/>
        <v>0</v>
      </c>
      <c r="BQ34" s="379">
        <f t="shared" si="29"/>
        <v>0</v>
      </c>
      <c r="BR34" s="379">
        <f t="shared" si="29"/>
        <v>0</v>
      </c>
      <c r="BS34" s="379">
        <f t="shared" si="29"/>
        <v>0</v>
      </c>
      <c r="BT34" s="379">
        <f t="shared" si="29"/>
        <v>0</v>
      </c>
      <c r="BU34" s="379">
        <f t="shared" si="29"/>
        <v>0</v>
      </c>
      <c r="BV34" s="379">
        <f t="shared" si="29"/>
        <v>0</v>
      </c>
      <c r="BW34" s="379">
        <f t="shared" si="29"/>
        <v>0</v>
      </c>
      <c r="BX34" s="379">
        <f t="shared" si="29"/>
        <v>0</v>
      </c>
      <c r="BY34" s="379">
        <f t="shared" si="29"/>
        <v>0</v>
      </c>
      <c r="BZ34" s="379">
        <f t="shared" si="29"/>
        <v>0</v>
      </c>
      <c r="CA34" s="379">
        <f t="shared" si="29"/>
        <v>0</v>
      </c>
      <c r="CB34" s="379">
        <f t="shared" si="29"/>
        <v>0</v>
      </c>
      <c r="CC34" s="379">
        <f>SUM(CC35:CC36)</f>
        <v>0</v>
      </c>
      <c r="CD34" s="379">
        <f>SUM(CD35:CD36)</f>
        <v>0</v>
      </c>
      <c r="CE34" s="379">
        <f>SUM(CE35:CE36)</f>
        <v>0</v>
      </c>
      <c r="CF34" s="388"/>
      <c r="CG34" s="388"/>
    </row>
    <row r="35" spans="1:85" s="112" customFormat="1" ht="25.5" customHeight="1">
      <c r="A35" s="391" t="s">
        <v>510</v>
      </c>
      <c r="B35" s="301" t="s">
        <v>110</v>
      </c>
      <c r="C35" s="301"/>
      <c r="D35" s="358" t="s">
        <v>30</v>
      </c>
      <c r="E35" s="358"/>
      <c r="F35" s="358"/>
      <c r="G35" s="358"/>
      <c r="H35" s="358"/>
      <c r="I35" s="283"/>
      <c r="J35" s="283"/>
      <c r="K35" s="359">
        <f>L35+SUM(Q35:Q35)</f>
        <v>144</v>
      </c>
      <c r="L35" s="359">
        <f>SUM(M35:P35)</f>
        <v>96</v>
      </c>
      <c r="M35" s="359">
        <f aca="true" t="shared" si="30" ref="M35:P36">S35+Y35+AE35+AK35+AQ35+AW35+BC35+BI35+BQ35+BZ35</f>
        <v>96</v>
      </c>
      <c r="N35" s="359">
        <f t="shared" si="30"/>
        <v>0</v>
      </c>
      <c r="O35" s="359">
        <f t="shared" si="30"/>
        <v>0</v>
      </c>
      <c r="P35" s="359">
        <f t="shared" si="30"/>
        <v>0</v>
      </c>
      <c r="Q35" s="359">
        <f>W35+AC35+AI35+AO35+AU35+BA35+BG35+BM35+BV35+CE35</f>
        <v>48</v>
      </c>
      <c r="R35" s="360">
        <f>SUM(S35:W35)</f>
        <v>0</v>
      </c>
      <c r="S35" s="283"/>
      <c r="T35" s="283"/>
      <c r="U35" s="283"/>
      <c r="V35" s="283"/>
      <c r="W35" s="283"/>
      <c r="X35" s="360">
        <f>SUM(Y35:AC35)</f>
        <v>0</v>
      </c>
      <c r="Y35" s="283"/>
      <c r="Z35" s="283"/>
      <c r="AA35" s="283"/>
      <c r="AB35" s="283"/>
      <c r="AC35" s="283"/>
      <c r="AD35" s="360">
        <f>SUM(AE35:AI35)</f>
        <v>144</v>
      </c>
      <c r="AE35" s="283">
        <v>96</v>
      </c>
      <c r="AF35" s="283"/>
      <c r="AG35" s="283"/>
      <c r="AH35" s="283"/>
      <c r="AI35" s="283">
        <v>48</v>
      </c>
      <c r="AJ35" s="360">
        <f>SUM(AK35:AO35)</f>
        <v>0</v>
      </c>
      <c r="AK35" s="283"/>
      <c r="AL35" s="283"/>
      <c r="AM35" s="283"/>
      <c r="AN35" s="283"/>
      <c r="AO35" s="283"/>
      <c r="AP35" s="360">
        <f>SUM(AQ35:AU35)</f>
        <v>0</v>
      </c>
      <c r="AQ35" s="283"/>
      <c r="AR35" s="283"/>
      <c r="AS35" s="283"/>
      <c r="AT35" s="283"/>
      <c r="AU35" s="283"/>
      <c r="AV35" s="360">
        <f>SUM(AW35:BA35)</f>
        <v>0</v>
      </c>
      <c r="AW35" s="283"/>
      <c r="AX35" s="283"/>
      <c r="AY35" s="283"/>
      <c r="AZ35" s="283"/>
      <c r="BA35" s="283"/>
      <c r="BB35" s="360">
        <f>SUM(BC35:BG35)</f>
        <v>0</v>
      </c>
      <c r="BC35" s="283"/>
      <c r="BD35" s="283"/>
      <c r="BE35" s="283"/>
      <c r="BF35" s="283"/>
      <c r="BG35" s="283"/>
      <c r="BH35" s="360">
        <f>SUM(BI35:BM35)</f>
        <v>0</v>
      </c>
      <c r="BI35" s="283"/>
      <c r="BJ35" s="283"/>
      <c r="BK35" s="283"/>
      <c r="BL35" s="283"/>
      <c r="BM35" s="283"/>
      <c r="BN35" s="392">
        <f>LEN(H35)-LEN(SUBSTITUTE(H35,"9",""))</f>
        <v>0</v>
      </c>
      <c r="BO35" s="360">
        <f>SUM(BP35:BV35)</f>
        <v>0</v>
      </c>
      <c r="BP35" s="283"/>
      <c r="BQ35" s="283"/>
      <c r="BR35" s="283"/>
      <c r="BS35" s="283"/>
      <c r="BT35" s="283"/>
      <c r="BU35" s="283"/>
      <c r="BV35" s="283"/>
      <c r="BW35" s="392">
        <f>LEN(H35)-LEN(SUBSTITUTE(H35,"Х",""))</f>
        <v>0</v>
      </c>
      <c r="BX35" s="360">
        <f>SUM(BY35:CE35)</f>
        <v>0</v>
      </c>
      <c r="BY35" s="283"/>
      <c r="BZ35" s="283"/>
      <c r="CA35" s="283"/>
      <c r="CB35" s="283"/>
      <c r="CC35" s="283"/>
      <c r="CD35" s="283"/>
      <c r="CE35" s="283"/>
      <c r="CF35" s="358" t="s">
        <v>471</v>
      </c>
      <c r="CG35" s="393" t="s">
        <v>322</v>
      </c>
    </row>
    <row r="36" spans="1:85" s="112" customFormat="1" ht="25.5" customHeight="1">
      <c r="A36" s="391" t="s">
        <v>511</v>
      </c>
      <c r="B36" s="301" t="s">
        <v>111</v>
      </c>
      <c r="C36" s="301"/>
      <c r="D36" s="358"/>
      <c r="E36" s="358" t="s">
        <v>30</v>
      </c>
      <c r="F36" s="358"/>
      <c r="G36" s="358"/>
      <c r="H36" s="358"/>
      <c r="I36" s="283"/>
      <c r="J36" s="283"/>
      <c r="K36" s="359">
        <f>L36+SUM(Q36:Q36)</f>
        <v>96</v>
      </c>
      <c r="L36" s="359">
        <f>SUM(M36:P36)</f>
        <v>64</v>
      </c>
      <c r="M36" s="359">
        <f t="shared" si="30"/>
        <v>26</v>
      </c>
      <c r="N36" s="359">
        <f t="shared" si="30"/>
        <v>38</v>
      </c>
      <c r="O36" s="359">
        <f t="shared" si="30"/>
        <v>0</v>
      </c>
      <c r="P36" s="359">
        <f t="shared" si="30"/>
        <v>0</v>
      </c>
      <c r="Q36" s="359">
        <f>W36+AC36+AI36+AO36+AU36+BA36+BG36+BM36+BV36+CE36</f>
        <v>32</v>
      </c>
      <c r="R36" s="360">
        <f>SUM(S36:W36)</f>
        <v>0</v>
      </c>
      <c r="S36" s="283"/>
      <c r="T36" s="283"/>
      <c r="U36" s="283"/>
      <c r="V36" s="283"/>
      <c r="W36" s="283"/>
      <c r="X36" s="360">
        <f>SUM(Y36:AC36)</f>
        <v>0</v>
      </c>
      <c r="Y36" s="283"/>
      <c r="Z36" s="283"/>
      <c r="AA36" s="283"/>
      <c r="AB36" s="283"/>
      <c r="AC36" s="283"/>
      <c r="AD36" s="360">
        <f>SUM(AE36:AI36)</f>
        <v>96</v>
      </c>
      <c r="AE36" s="283">
        <v>26</v>
      </c>
      <c r="AF36" s="283">
        <v>38</v>
      </c>
      <c r="AG36" s="283"/>
      <c r="AH36" s="283"/>
      <c r="AI36" s="283">
        <v>32</v>
      </c>
      <c r="AJ36" s="360">
        <f>SUM(AK36:AO36)</f>
        <v>0</v>
      </c>
      <c r="AK36" s="283"/>
      <c r="AL36" s="283"/>
      <c r="AM36" s="283"/>
      <c r="AN36" s="283"/>
      <c r="AO36" s="283"/>
      <c r="AP36" s="360">
        <f>SUM(AQ36:AU36)</f>
        <v>0</v>
      </c>
      <c r="AQ36" s="283"/>
      <c r="AR36" s="283"/>
      <c r="AS36" s="283"/>
      <c r="AT36" s="283"/>
      <c r="AU36" s="283"/>
      <c r="AV36" s="360">
        <f>SUM(AW36:BA36)</f>
        <v>0</v>
      </c>
      <c r="AW36" s="283"/>
      <c r="AX36" s="283"/>
      <c r="AY36" s="283"/>
      <c r="AZ36" s="283"/>
      <c r="BA36" s="283"/>
      <c r="BB36" s="360">
        <f>SUM(BC36:BG36)</f>
        <v>0</v>
      </c>
      <c r="BC36" s="283"/>
      <c r="BD36" s="283"/>
      <c r="BE36" s="283"/>
      <c r="BF36" s="283"/>
      <c r="BG36" s="283"/>
      <c r="BH36" s="360">
        <f>SUM(BI36:BM36)</f>
        <v>0</v>
      </c>
      <c r="BI36" s="283"/>
      <c r="BJ36" s="283"/>
      <c r="BK36" s="283"/>
      <c r="BL36" s="283"/>
      <c r="BM36" s="283"/>
      <c r="BN36" s="392">
        <f>LEN(H36)-LEN(SUBSTITUTE(H36,"9",""))</f>
        <v>0</v>
      </c>
      <c r="BO36" s="360">
        <f>SUM(BP36:BV36)</f>
        <v>0</v>
      </c>
      <c r="BP36" s="283"/>
      <c r="BQ36" s="283"/>
      <c r="BR36" s="283"/>
      <c r="BS36" s="283"/>
      <c r="BT36" s="283"/>
      <c r="BU36" s="283"/>
      <c r="BV36" s="283"/>
      <c r="BW36" s="392">
        <f>LEN(H36)-LEN(SUBSTITUTE(H36,"Х",""))</f>
        <v>0</v>
      </c>
      <c r="BX36" s="360">
        <f>SUM(BY36:CE36)</f>
        <v>0</v>
      </c>
      <c r="BY36" s="283"/>
      <c r="BZ36" s="283"/>
      <c r="CA36" s="283"/>
      <c r="CB36" s="283"/>
      <c r="CC36" s="283"/>
      <c r="CD36" s="283"/>
      <c r="CE36" s="283"/>
      <c r="CF36" s="358" t="s">
        <v>471</v>
      </c>
      <c r="CG36" s="393" t="s">
        <v>323</v>
      </c>
    </row>
    <row r="37" spans="1:85" s="104" customFormat="1" ht="25.5" customHeight="1">
      <c r="A37" s="387" t="s">
        <v>153</v>
      </c>
      <c r="B37" s="566" t="s">
        <v>73</v>
      </c>
      <c r="C37" s="567"/>
      <c r="D37" s="567"/>
      <c r="E37" s="567"/>
      <c r="F37" s="567"/>
      <c r="G37" s="567"/>
      <c r="H37" s="568"/>
      <c r="I37" s="379">
        <f>Нормы!D12</f>
        <v>2308</v>
      </c>
      <c r="J37" s="379">
        <f>Нормы!E12</f>
        <v>1538</v>
      </c>
      <c r="K37" s="379">
        <f aca="true" t="shared" si="31" ref="K37:AF37">K38+K47</f>
        <v>2582</v>
      </c>
      <c r="L37" s="379">
        <f t="shared" si="31"/>
        <v>1721</v>
      </c>
      <c r="M37" s="379">
        <f t="shared" si="31"/>
        <v>1641</v>
      </c>
      <c r="N37" s="379">
        <f t="shared" si="31"/>
        <v>80</v>
      </c>
      <c r="O37" s="379">
        <f t="shared" si="31"/>
        <v>0</v>
      </c>
      <c r="P37" s="379">
        <f t="shared" si="31"/>
        <v>0</v>
      </c>
      <c r="Q37" s="379">
        <f t="shared" si="31"/>
        <v>861</v>
      </c>
      <c r="R37" s="379">
        <f t="shared" si="31"/>
        <v>0</v>
      </c>
      <c r="S37" s="379">
        <f t="shared" si="31"/>
        <v>0</v>
      </c>
      <c r="T37" s="379">
        <f t="shared" si="31"/>
        <v>0</v>
      </c>
      <c r="U37" s="379">
        <f t="shared" si="31"/>
        <v>0</v>
      </c>
      <c r="V37" s="379">
        <f t="shared" si="31"/>
        <v>0</v>
      </c>
      <c r="W37" s="379">
        <f t="shared" si="31"/>
        <v>0</v>
      </c>
      <c r="X37" s="379">
        <f t="shared" si="31"/>
        <v>0</v>
      </c>
      <c r="Y37" s="379">
        <f t="shared" si="31"/>
        <v>0</v>
      </c>
      <c r="Z37" s="379">
        <f t="shared" si="31"/>
        <v>0</v>
      </c>
      <c r="AA37" s="379">
        <f t="shared" si="31"/>
        <v>0</v>
      </c>
      <c r="AB37" s="379">
        <f t="shared" si="31"/>
        <v>0</v>
      </c>
      <c r="AC37" s="379">
        <f t="shared" si="31"/>
        <v>0</v>
      </c>
      <c r="AD37" s="379">
        <f t="shared" si="31"/>
        <v>192</v>
      </c>
      <c r="AE37" s="379">
        <f t="shared" si="31"/>
        <v>64</v>
      </c>
      <c r="AF37" s="379">
        <f t="shared" si="31"/>
        <v>64</v>
      </c>
      <c r="AG37" s="379">
        <f aca="true" t="shared" si="32" ref="AG37:BA37">AG38+AG47</f>
        <v>0</v>
      </c>
      <c r="AH37" s="379">
        <f t="shared" si="32"/>
        <v>0</v>
      </c>
      <c r="AI37" s="379">
        <f t="shared" si="32"/>
        <v>64</v>
      </c>
      <c r="AJ37" s="379">
        <f t="shared" si="32"/>
        <v>710</v>
      </c>
      <c r="AK37" s="379">
        <f t="shared" si="32"/>
        <v>475</v>
      </c>
      <c r="AL37" s="379">
        <f t="shared" si="32"/>
        <v>0</v>
      </c>
      <c r="AM37" s="379">
        <f t="shared" si="32"/>
        <v>0</v>
      </c>
      <c r="AN37" s="379">
        <f t="shared" si="32"/>
        <v>0</v>
      </c>
      <c r="AO37" s="379">
        <f t="shared" si="32"/>
        <v>235</v>
      </c>
      <c r="AP37" s="379">
        <f t="shared" si="32"/>
        <v>382</v>
      </c>
      <c r="AQ37" s="379">
        <f t="shared" si="32"/>
        <v>254</v>
      </c>
      <c r="AR37" s="379">
        <f t="shared" si="32"/>
        <v>0</v>
      </c>
      <c r="AS37" s="379">
        <f t="shared" si="32"/>
        <v>0</v>
      </c>
      <c r="AT37" s="379">
        <f t="shared" si="32"/>
        <v>0</v>
      </c>
      <c r="AU37" s="379">
        <f t="shared" si="32"/>
        <v>128</v>
      </c>
      <c r="AV37" s="379">
        <f t="shared" si="32"/>
        <v>396</v>
      </c>
      <c r="AW37" s="379">
        <f t="shared" si="32"/>
        <v>264</v>
      </c>
      <c r="AX37" s="379">
        <f t="shared" si="32"/>
        <v>0</v>
      </c>
      <c r="AY37" s="379">
        <f t="shared" si="32"/>
        <v>0</v>
      </c>
      <c r="AZ37" s="379">
        <f t="shared" si="32"/>
        <v>0</v>
      </c>
      <c r="BA37" s="379">
        <f t="shared" si="32"/>
        <v>132</v>
      </c>
      <c r="BB37" s="379">
        <f aca="true" t="shared" si="33" ref="BB37:CB37">BB38+BB47</f>
        <v>360</v>
      </c>
      <c r="BC37" s="379">
        <f t="shared" si="33"/>
        <v>224</v>
      </c>
      <c r="BD37" s="379">
        <f t="shared" si="33"/>
        <v>16</v>
      </c>
      <c r="BE37" s="379">
        <f t="shared" si="33"/>
        <v>0</v>
      </c>
      <c r="BF37" s="379">
        <f t="shared" si="33"/>
        <v>0</v>
      </c>
      <c r="BG37" s="379">
        <f t="shared" si="33"/>
        <v>120</v>
      </c>
      <c r="BH37" s="379">
        <f t="shared" si="33"/>
        <v>542</v>
      </c>
      <c r="BI37" s="379">
        <f t="shared" si="33"/>
        <v>360</v>
      </c>
      <c r="BJ37" s="379">
        <f t="shared" si="33"/>
        <v>0</v>
      </c>
      <c r="BK37" s="379">
        <f t="shared" si="33"/>
        <v>0</v>
      </c>
      <c r="BL37" s="379">
        <f t="shared" si="33"/>
        <v>0</v>
      </c>
      <c r="BM37" s="379">
        <f t="shared" si="33"/>
        <v>182</v>
      </c>
      <c r="BN37" s="379">
        <f t="shared" si="33"/>
        <v>0</v>
      </c>
      <c r="BO37" s="379">
        <f t="shared" si="33"/>
        <v>0</v>
      </c>
      <c r="BP37" s="379">
        <f t="shared" si="33"/>
        <v>0</v>
      </c>
      <c r="BQ37" s="379">
        <f t="shared" si="33"/>
        <v>0</v>
      </c>
      <c r="BR37" s="379">
        <f t="shared" si="33"/>
        <v>0</v>
      </c>
      <c r="BS37" s="379">
        <f t="shared" si="33"/>
        <v>0</v>
      </c>
      <c r="BT37" s="379">
        <f t="shared" si="33"/>
        <v>0</v>
      </c>
      <c r="BU37" s="379">
        <f t="shared" si="33"/>
        <v>0</v>
      </c>
      <c r="BV37" s="379">
        <f t="shared" si="33"/>
        <v>0</v>
      </c>
      <c r="BW37" s="379">
        <f t="shared" si="33"/>
        <v>0</v>
      </c>
      <c r="BX37" s="379">
        <f t="shared" si="33"/>
        <v>0</v>
      </c>
      <c r="BY37" s="379">
        <f t="shared" si="33"/>
        <v>0</v>
      </c>
      <c r="BZ37" s="379">
        <f t="shared" si="33"/>
        <v>0</v>
      </c>
      <c r="CA37" s="379">
        <f t="shared" si="33"/>
        <v>0</v>
      </c>
      <c r="CB37" s="379">
        <f t="shared" si="33"/>
        <v>0</v>
      </c>
      <c r="CC37" s="379">
        <f>CC38+CC47</f>
        <v>0</v>
      </c>
      <c r="CD37" s="379">
        <f>CD38+CD47</f>
        <v>0</v>
      </c>
      <c r="CE37" s="379">
        <f>CE38+CE47</f>
        <v>0</v>
      </c>
      <c r="CF37" s="388"/>
      <c r="CG37" s="388">
        <v>0</v>
      </c>
    </row>
    <row r="38" spans="1:85" s="116" customFormat="1" ht="25.5" customHeight="1">
      <c r="A38" s="114" t="s">
        <v>151</v>
      </c>
      <c r="B38" s="558" t="s">
        <v>150</v>
      </c>
      <c r="C38" s="558"/>
      <c r="D38" s="558"/>
      <c r="E38" s="558"/>
      <c r="F38" s="558"/>
      <c r="G38" s="558"/>
      <c r="H38" s="558"/>
      <c r="I38" s="379">
        <f>Нормы!D13</f>
        <v>900</v>
      </c>
      <c r="J38" s="379">
        <f>Нормы!E13</f>
        <v>600</v>
      </c>
      <c r="K38" s="115">
        <f aca="true" t="shared" si="34" ref="K38:AF38">SUM(K39:K46)</f>
        <v>978</v>
      </c>
      <c r="L38" s="115">
        <f t="shared" si="34"/>
        <v>652</v>
      </c>
      <c r="M38" s="115">
        <f t="shared" si="34"/>
        <v>588</v>
      </c>
      <c r="N38" s="115">
        <f t="shared" si="34"/>
        <v>64</v>
      </c>
      <c r="O38" s="115">
        <f t="shared" si="34"/>
        <v>0</v>
      </c>
      <c r="P38" s="115">
        <f t="shared" si="34"/>
        <v>0</v>
      </c>
      <c r="Q38" s="115">
        <f t="shared" si="34"/>
        <v>326</v>
      </c>
      <c r="R38" s="115">
        <f t="shared" si="34"/>
        <v>0</v>
      </c>
      <c r="S38" s="115">
        <f t="shared" si="34"/>
        <v>0</v>
      </c>
      <c r="T38" s="115">
        <f t="shared" si="34"/>
        <v>0</v>
      </c>
      <c r="U38" s="115">
        <f t="shared" si="34"/>
        <v>0</v>
      </c>
      <c r="V38" s="115">
        <f t="shared" si="34"/>
        <v>0</v>
      </c>
      <c r="W38" s="115">
        <f t="shared" si="34"/>
        <v>0</v>
      </c>
      <c r="X38" s="115">
        <f t="shared" si="34"/>
        <v>0</v>
      </c>
      <c r="Y38" s="115">
        <f t="shared" si="34"/>
        <v>0</v>
      </c>
      <c r="Z38" s="115">
        <f t="shared" si="34"/>
        <v>0</v>
      </c>
      <c r="AA38" s="115">
        <f t="shared" si="34"/>
        <v>0</v>
      </c>
      <c r="AB38" s="115">
        <f t="shared" si="34"/>
        <v>0</v>
      </c>
      <c r="AC38" s="115">
        <f t="shared" si="34"/>
        <v>0</v>
      </c>
      <c r="AD38" s="115">
        <f t="shared" si="34"/>
        <v>192</v>
      </c>
      <c r="AE38" s="115">
        <f t="shared" si="34"/>
        <v>64</v>
      </c>
      <c r="AF38" s="115">
        <f t="shared" si="34"/>
        <v>64</v>
      </c>
      <c r="AG38" s="115">
        <f aca="true" t="shared" si="35" ref="AG38:BA38">SUM(AG39:AG46)</f>
        <v>0</v>
      </c>
      <c r="AH38" s="115">
        <f t="shared" si="35"/>
        <v>0</v>
      </c>
      <c r="AI38" s="115">
        <f t="shared" si="35"/>
        <v>64</v>
      </c>
      <c r="AJ38" s="115">
        <f t="shared" si="35"/>
        <v>512</v>
      </c>
      <c r="AK38" s="115">
        <f t="shared" si="35"/>
        <v>342</v>
      </c>
      <c r="AL38" s="115">
        <f t="shared" si="35"/>
        <v>0</v>
      </c>
      <c r="AM38" s="115">
        <f t="shared" si="35"/>
        <v>0</v>
      </c>
      <c r="AN38" s="115">
        <f t="shared" si="35"/>
        <v>0</v>
      </c>
      <c r="AO38" s="115">
        <f t="shared" si="35"/>
        <v>170</v>
      </c>
      <c r="AP38" s="115">
        <f t="shared" si="35"/>
        <v>202</v>
      </c>
      <c r="AQ38" s="115">
        <f t="shared" si="35"/>
        <v>134</v>
      </c>
      <c r="AR38" s="115">
        <f t="shared" si="35"/>
        <v>0</v>
      </c>
      <c r="AS38" s="115">
        <f t="shared" si="35"/>
        <v>0</v>
      </c>
      <c r="AT38" s="115">
        <f t="shared" si="35"/>
        <v>0</v>
      </c>
      <c r="AU38" s="115">
        <f t="shared" si="35"/>
        <v>68</v>
      </c>
      <c r="AV38" s="115">
        <f t="shared" si="35"/>
        <v>72</v>
      </c>
      <c r="AW38" s="115">
        <f t="shared" si="35"/>
        <v>48</v>
      </c>
      <c r="AX38" s="115">
        <f t="shared" si="35"/>
        <v>0</v>
      </c>
      <c r="AY38" s="115">
        <f t="shared" si="35"/>
        <v>0</v>
      </c>
      <c r="AZ38" s="115">
        <f t="shared" si="35"/>
        <v>0</v>
      </c>
      <c r="BA38" s="115">
        <f t="shared" si="35"/>
        <v>24</v>
      </c>
      <c r="BB38" s="115">
        <f aca="true" t="shared" si="36" ref="BB38:CB38">SUM(BB39:BB46)</f>
        <v>0</v>
      </c>
      <c r="BC38" s="115">
        <f t="shared" si="36"/>
        <v>0</v>
      </c>
      <c r="BD38" s="115">
        <f t="shared" si="36"/>
        <v>0</v>
      </c>
      <c r="BE38" s="115">
        <f t="shared" si="36"/>
        <v>0</v>
      </c>
      <c r="BF38" s="115">
        <f t="shared" si="36"/>
        <v>0</v>
      </c>
      <c r="BG38" s="115">
        <f t="shared" si="36"/>
        <v>0</v>
      </c>
      <c r="BH38" s="115">
        <f t="shared" si="36"/>
        <v>0</v>
      </c>
      <c r="BI38" s="115">
        <f t="shared" si="36"/>
        <v>0</v>
      </c>
      <c r="BJ38" s="115">
        <f t="shared" si="36"/>
        <v>0</v>
      </c>
      <c r="BK38" s="115">
        <f t="shared" si="36"/>
        <v>0</v>
      </c>
      <c r="BL38" s="115">
        <f t="shared" si="36"/>
        <v>0</v>
      </c>
      <c r="BM38" s="115">
        <f t="shared" si="36"/>
        <v>0</v>
      </c>
      <c r="BN38" s="115">
        <f t="shared" si="36"/>
        <v>0</v>
      </c>
      <c r="BO38" s="115">
        <f t="shared" si="36"/>
        <v>0</v>
      </c>
      <c r="BP38" s="115">
        <f t="shared" si="36"/>
        <v>0</v>
      </c>
      <c r="BQ38" s="115">
        <f t="shared" si="36"/>
        <v>0</v>
      </c>
      <c r="BR38" s="115">
        <f t="shared" si="36"/>
        <v>0</v>
      </c>
      <c r="BS38" s="115">
        <f t="shared" si="36"/>
        <v>0</v>
      </c>
      <c r="BT38" s="115">
        <f t="shared" si="36"/>
        <v>0</v>
      </c>
      <c r="BU38" s="115">
        <f t="shared" si="36"/>
        <v>0</v>
      </c>
      <c r="BV38" s="115">
        <f t="shared" si="36"/>
        <v>0</v>
      </c>
      <c r="BW38" s="115">
        <f t="shared" si="36"/>
        <v>0</v>
      </c>
      <c r="BX38" s="115">
        <f t="shared" si="36"/>
        <v>0</v>
      </c>
      <c r="BY38" s="115">
        <f t="shared" si="36"/>
        <v>0</v>
      </c>
      <c r="BZ38" s="115">
        <f t="shared" si="36"/>
        <v>0</v>
      </c>
      <c r="CA38" s="115">
        <f t="shared" si="36"/>
        <v>0</v>
      </c>
      <c r="CB38" s="115">
        <f t="shared" si="36"/>
        <v>0</v>
      </c>
      <c r="CC38" s="115">
        <f>SUM(CC39:CC46)</f>
        <v>0</v>
      </c>
      <c r="CD38" s="115">
        <f>SUM(CD39:CD46)</f>
        <v>0</v>
      </c>
      <c r="CE38" s="115">
        <f>SUM(CE39:CE46)</f>
        <v>0</v>
      </c>
      <c r="CF38" s="388"/>
      <c r="CG38" s="388">
        <v>0</v>
      </c>
    </row>
    <row r="39" spans="1:85" s="112" customFormat="1" ht="25.5" customHeight="1">
      <c r="A39" s="391" t="s">
        <v>513</v>
      </c>
      <c r="B39" s="301" t="s">
        <v>152</v>
      </c>
      <c r="C39" s="301"/>
      <c r="D39" s="358"/>
      <c r="E39" s="358" t="s">
        <v>30</v>
      </c>
      <c r="F39" s="358"/>
      <c r="G39" s="358"/>
      <c r="H39" s="358"/>
      <c r="I39" s="283"/>
      <c r="J39" s="283"/>
      <c r="K39" s="359">
        <f aca="true" t="shared" si="37" ref="K39:K46">L39+SUM(Q39:Q39)</f>
        <v>96</v>
      </c>
      <c r="L39" s="359">
        <f aca="true" t="shared" si="38" ref="L39:L46">SUM(M39:P39)</f>
        <v>64</v>
      </c>
      <c r="M39" s="359">
        <f aca="true" t="shared" si="39" ref="M39:P46">S39+Y39+AE39+AK39+AQ39+AW39+BC39+BI39+BQ39+BZ39</f>
        <v>0</v>
      </c>
      <c r="N39" s="359">
        <f t="shared" si="39"/>
        <v>64</v>
      </c>
      <c r="O39" s="359">
        <f t="shared" si="39"/>
        <v>0</v>
      </c>
      <c r="P39" s="359">
        <f t="shared" si="39"/>
        <v>0</v>
      </c>
      <c r="Q39" s="359">
        <f aca="true" t="shared" si="40" ref="Q39:Q46">W39+AC39+AI39+AO39+AU39+BA39+BG39+BM39+BV39+CE39</f>
        <v>32</v>
      </c>
      <c r="R39" s="360">
        <f aca="true" t="shared" si="41" ref="R39:R46">SUM(S39:W39)</f>
        <v>0</v>
      </c>
      <c r="S39" s="283"/>
      <c r="T39" s="283"/>
      <c r="U39" s="283"/>
      <c r="V39" s="283"/>
      <c r="W39" s="283"/>
      <c r="X39" s="360">
        <f aca="true" t="shared" si="42" ref="X39:X46">SUM(Y39:AC39)</f>
        <v>0</v>
      </c>
      <c r="Y39" s="283"/>
      <c r="Z39" s="283"/>
      <c r="AA39" s="283"/>
      <c r="AB39" s="283"/>
      <c r="AC39" s="283"/>
      <c r="AD39" s="360">
        <f aca="true" t="shared" si="43" ref="AD39:AD46">SUM(AE39:AI39)</f>
        <v>96</v>
      </c>
      <c r="AE39" s="283"/>
      <c r="AF39" s="283">
        <v>64</v>
      </c>
      <c r="AG39" s="283"/>
      <c r="AH39" s="283"/>
      <c r="AI39" s="283">
        <v>32</v>
      </c>
      <c r="AJ39" s="360">
        <f aca="true" t="shared" si="44" ref="AJ39:AJ46">SUM(AK39:AO39)</f>
        <v>0</v>
      </c>
      <c r="AK39" s="283"/>
      <c r="AL39" s="283"/>
      <c r="AM39" s="283"/>
      <c r="AN39" s="283"/>
      <c r="AO39" s="283"/>
      <c r="AP39" s="360">
        <f aca="true" t="shared" si="45" ref="AP39:AP46">SUM(AQ39:AU39)</f>
        <v>0</v>
      </c>
      <c r="AQ39" s="283"/>
      <c r="AR39" s="283"/>
      <c r="AS39" s="283"/>
      <c r="AT39" s="283"/>
      <c r="AU39" s="283"/>
      <c r="AV39" s="360">
        <f aca="true" t="shared" si="46" ref="AV39:AV46">SUM(AW39:BA39)</f>
        <v>0</v>
      </c>
      <c r="AW39" s="283"/>
      <c r="AX39" s="283"/>
      <c r="AY39" s="283"/>
      <c r="AZ39" s="283"/>
      <c r="BA39" s="283"/>
      <c r="BB39" s="360">
        <f aca="true" t="shared" si="47" ref="BB39:BB46">SUM(BC39:BG39)</f>
        <v>0</v>
      </c>
      <c r="BC39" s="283"/>
      <c r="BD39" s="283"/>
      <c r="BE39" s="283"/>
      <c r="BF39" s="283"/>
      <c r="BG39" s="283"/>
      <c r="BH39" s="360">
        <f aca="true" t="shared" si="48" ref="BH39:BH46">SUM(BI39:BM39)</f>
        <v>0</v>
      </c>
      <c r="BI39" s="283"/>
      <c r="BJ39" s="283"/>
      <c r="BK39" s="283"/>
      <c r="BL39" s="283"/>
      <c r="BM39" s="283"/>
      <c r="BN39" s="392">
        <f aca="true" t="shared" si="49" ref="BN39:BN45">LEN(H39)-LEN(SUBSTITUTE(H39,"9",""))</f>
        <v>0</v>
      </c>
      <c r="BO39" s="360">
        <f aca="true" t="shared" si="50" ref="BO39:BO46">SUM(BP39:BV39)</f>
        <v>0</v>
      </c>
      <c r="BP39" s="283"/>
      <c r="BQ39" s="283"/>
      <c r="BR39" s="283"/>
      <c r="BS39" s="283"/>
      <c r="BT39" s="283"/>
      <c r="BU39" s="283"/>
      <c r="BV39" s="283"/>
      <c r="BW39" s="392">
        <f aca="true" t="shared" si="51" ref="BW39:BW45">LEN(H39)-LEN(SUBSTITUTE(H39,"Х",""))</f>
        <v>0</v>
      </c>
      <c r="BX39" s="360">
        <f>SUM(BY39:CE39)</f>
        <v>0</v>
      </c>
      <c r="BY39" s="283"/>
      <c r="BZ39" s="283"/>
      <c r="CA39" s="283"/>
      <c r="CB39" s="283"/>
      <c r="CC39" s="283"/>
      <c r="CD39" s="283"/>
      <c r="CE39" s="283"/>
      <c r="CF39" s="358" t="s">
        <v>472</v>
      </c>
      <c r="CG39" s="393" t="s">
        <v>326</v>
      </c>
    </row>
    <row r="40" spans="1:85" s="112" customFormat="1" ht="25.5" customHeight="1">
      <c r="A40" s="391" t="s">
        <v>514</v>
      </c>
      <c r="B40" s="301" t="s">
        <v>512</v>
      </c>
      <c r="C40" s="301"/>
      <c r="D40" s="358"/>
      <c r="E40" s="358" t="s">
        <v>40</v>
      </c>
      <c r="F40" s="358"/>
      <c r="G40" s="358"/>
      <c r="H40" s="358" t="s">
        <v>30</v>
      </c>
      <c r="I40" s="283"/>
      <c r="J40" s="283"/>
      <c r="K40" s="359">
        <f t="shared" si="37"/>
        <v>133</v>
      </c>
      <c r="L40" s="359">
        <f t="shared" si="38"/>
        <v>89</v>
      </c>
      <c r="M40" s="359">
        <f t="shared" si="39"/>
        <v>89</v>
      </c>
      <c r="N40" s="359">
        <f t="shared" si="39"/>
        <v>0</v>
      </c>
      <c r="O40" s="359">
        <f t="shared" si="39"/>
        <v>0</v>
      </c>
      <c r="P40" s="359">
        <f t="shared" si="39"/>
        <v>0</v>
      </c>
      <c r="Q40" s="359">
        <f t="shared" si="40"/>
        <v>44</v>
      </c>
      <c r="R40" s="360">
        <f t="shared" si="41"/>
        <v>0</v>
      </c>
      <c r="S40" s="283"/>
      <c r="T40" s="283"/>
      <c r="U40" s="283"/>
      <c r="V40" s="283"/>
      <c r="W40" s="283"/>
      <c r="X40" s="360">
        <f t="shared" si="42"/>
        <v>0</v>
      </c>
      <c r="Y40" s="283"/>
      <c r="Z40" s="283"/>
      <c r="AA40" s="283"/>
      <c r="AB40" s="283"/>
      <c r="AC40" s="283"/>
      <c r="AD40" s="360">
        <f t="shared" si="43"/>
        <v>48</v>
      </c>
      <c r="AE40" s="283">
        <v>32</v>
      </c>
      <c r="AF40" s="283"/>
      <c r="AG40" s="283"/>
      <c r="AH40" s="283"/>
      <c r="AI40" s="283">
        <v>16</v>
      </c>
      <c r="AJ40" s="360">
        <f t="shared" si="44"/>
        <v>85</v>
      </c>
      <c r="AK40" s="283">
        <v>57</v>
      </c>
      <c r="AL40" s="283"/>
      <c r="AM40" s="283"/>
      <c r="AN40" s="283"/>
      <c r="AO40" s="283">
        <v>28</v>
      </c>
      <c r="AP40" s="360">
        <f t="shared" si="45"/>
        <v>0</v>
      </c>
      <c r="AQ40" s="283"/>
      <c r="AR40" s="283"/>
      <c r="AS40" s="283"/>
      <c r="AT40" s="283"/>
      <c r="AU40" s="283"/>
      <c r="AV40" s="360">
        <f t="shared" si="46"/>
        <v>0</v>
      </c>
      <c r="AW40" s="283"/>
      <c r="AX40" s="283"/>
      <c r="AY40" s="283"/>
      <c r="AZ40" s="283"/>
      <c r="BA40" s="283"/>
      <c r="BB40" s="360">
        <f t="shared" si="47"/>
        <v>0</v>
      </c>
      <c r="BC40" s="283"/>
      <c r="BD40" s="283"/>
      <c r="BE40" s="283"/>
      <c r="BF40" s="283"/>
      <c r="BG40" s="283"/>
      <c r="BH40" s="360">
        <f t="shared" si="48"/>
        <v>0</v>
      </c>
      <c r="BI40" s="283"/>
      <c r="BJ40" s="283"/>
      <c r="BK40" s="283"/>
      <c r="BL40" s="283"/>
      <c r="BM40" s="283"/>
      <c r="BN40" s="392">
        <f t="shared" si="49"/>
        <v>0</v>
      </c>
      <c r="BO40" s="360">
        <f t="shared" si="50"/>
        <v>0</v>
      </c>
      <c r="BP40" s="283"/>
      <c r="BQ40" s="283"/>
      <c r="BR40" s="283"/>
      <c r="BS40" s="283"/>
      <c r="BT40" s="283"/>
      <c r="BU40" s="283"/>
      <c r="BV40" s="283"/>
      <c r="BW40" s="392">
        <f t="shared" si="51"/>
        <v>0</v>
      </c>
      <c r="BX40" s="360">
        <f aca="true" t="shared" si="52" ref="BX40:BX45">SUM(BY40:CE40)</f>
        <v>0</v>
      </c>
      <c r="BY40" s="283"/>
      <c r="BZ40" s="283"/>
      <c r="CA40" s="283"/>
      <c r="CB40" s="283"/>
      <c r="CC40" s="283"/>
      <c r="CD40" s="283"/>
      <c r="CE40" s="283"/>
      <c r="CF40" s="358" t="s">
        <v>473</v>
      </c>
      <c r="CG40" s="393" t="s">
        <v>327</v>
      </c>
    </row>
    <row r="41" spans="1:85" s="112" customFormat="1" ht="25.5" customHeight="1">
      <c r="A41" s="391" t="s">
        <v>515</v>
      </c>
      <c r="B41" s="361" t="s">
        <v>249</v>
      </c>
      <c r="C41" s="301"/>
      <c r="D41" s="358"/>
      <c r="E41" s="358" t="s">
        <v>40</v>
      </c>
      <c r="F41" s="358"/>
      <c r="G41" s="358"/>
      <c r="H41" s="358"/>
      <c r="I41" s="283"/>
      <c r="J41" s="283"/>
      <c r="K41" s="359">
        <f t="shared" si="37"/>
        <v>85</v>
      </c>
      <c r="L41" s="359">
        <f t="shared" si="38"/>
        <v>57</v>
      </c>
      <c r="M41" s="359">
        <f t="shared" si="39"/>
        <v>57</v>
      </c>
      <c r="N41" s="359">
        <f t="shared" si="39"/>
        <v>0</v>
      </c>
      <c r="O41" s="359">
        <f t="shared" si="39"/>
        <v>0</v>
      </c>
      <c r="P41" s="359">
        <f t="shared" si="39"/>
        <v>0</v>
      </c>
      <c r="Q41" s="359">
        <f t="shared" si="40"/>
        <v>28</v>
      </c>
      <c r="R41" s="360">
        <f t="shared" si="41"/>
        <v>0</v>
      </c>
      <c r="S41" s="283"/>
      <c r="T41" s="283"/>
      <c r="U41" s="283"/>
      <c r="V41" s="283"/>
      <c r="W41" s="283"/>
      <c r="X41" s="360">
        <f t="shared" si="42"/>
        <v>0</v>
      </c>
      <c r="Y41" s="283"/>
      <c r="Z41" s="283"/>
      <c r="AA41" s="283"/>
      <c r="AB41" s="283"/>
      <c r="AC41" s="283"/>
      <c r="AD41" s="360">
        <f t="shared" si="43"/>
        <v>0</v>
      </c>
      <c r="AE41" s="283"/>
      <c r="AF41" s="283"/>
      <c r="AG41" s="283"/>
      <c r="AH41" s="283"/>
      <c r="AI41" s="283"/>
      <c r="AJ41" s="360">
        <f t="shared" si="44"/>
        <v>85</v>
      </c>
      <c r="AK41" s="283">
        <v>57</v>
      </c>
      <c r="AL41" s="283"/>
      <c r="AM41" s="283"/>
      <c r="AN41" s="283"/>
      <c r="AO41" s="283">
        <v>28</v>
      </c>
      <c r="AP41" s="360">
        <f t="shared" si="45"/>
        <v>0</v>
      </c>
      <c r="AQ41" s="283"/>
      <c r="AR41" s="283"/>
      <c r="AS41" s="283"/>
      <c r="AT41" s="283"/>
      <c r="AU41" s="283"/>
      <c r="AV41" s="360">
        <f t="shared" si="46"/>
        <v>0</v>
      </c>
      <c r="AW41" s="283"/>
      <c r="AX41" s="283"/>
      <c r="AY41" s="283"/>
      <c r="AZ41" s="283"/>
      <c r="BA41" s="283"/>
      <c r="BB41" s="360">
        <f t="shared" si="47"/>
        <v>0</v>
      </c>
      <c r="BC41" s="283"/>
      <c r="BD41" s="283"/>
      <c r="BE41" s="283"/>
      <c r="BF41" s="283"/>
      <c r="BG41" s="283"/>
      <c r="BH41" s="360">
        <f t="shared" si="48"/>
        <v>0</v>
      </c>
      <c r="BI41" s="283"/>
      <c r="BJ41" s="283"/>
      <c r="BK41" s="283"/>
      <c r="BL41" s="283"/>
      <c r="BM41" s="283"/>
      <c r="BN41" s="392">
        <f t="shared" si="49"/>
        <v>0</v>
      </c>
      <c r="BO41" s="360">
        <f t="shared" si="50"/>
        <v>0</v>
      </c>
      <c r="BP41" s="283"/>
      <c r="BQ41" s="283"/>
      <c r="BR41" s="283"/>
      <c r="BS41" s="283"/>
      <c r="BT41" s="283"/>
      <c r="BU41" s="283"/>
      <c r="BV41" s="283"/>
      <c r="BW41" s="392">
        <f t="shared" si="51"/>
        <v>0</v>
      </c>
      <c r="BX41" s="360">
        <f t="shared" si="52"/>
        <v>0</v>
      </c>
      <c r="BY41" s="283"/>
      <c r="BZ41" s="283"/>
      <c r="CA41" s="283"/>
      <c r="CB41" s="283"/>
      <c r="CC41" s="283"/>
      <c r="CD41" s="283"/>
      <c r="CE41" s="283"/>
      <c r="CF41" s="358" t="s">
        <v>472</v>
      </c>
      <c r="CG41" s="393" t="s">
        <v>328</v>
      </c>
    </row>
    <row r="42" spans="1:85" s="112" customFormat="1" ht="25.5" customHeight="1">
      <c r="A42" s="391" t="s">
        <v>516</v>
      </c>
      <c r="B42" s="301" t="s">
        <v>250</v>
      </c>
      <c r="C42" s="301"/>
      <c r="D42" s="358"/>
      <c r="E42" s="358" t="s">
        <v>40</v>
      </c>
      <c r="F42" s="358"/>
      <c r="G42" s="358"/>
      <c r="H42" s="358" t="s">
        <v>30</v>
      </c>
      <c r="I42" s="283"/>
      <c r="J42" s="283"/>
      <c r="K42" s="359">
        <f t="shared" si="37"/>
        <v>133</v>
      </c>
      <c r="L42" s="359">
        <f t="shared" si="38"/>
        <v>89</v>
      </c>
      <c r="M42" s="359">
        <f t="shared" si="39"/>
        <v>89</v>
      </c>
      <c r="N42" s="359">
        <f t="shared" si="39"/>
        <v>0</v>
      </c>
      <c r="O42" s="359">
        <f t="shared" si="39"/>
        <v>0</v>
      </c>
      <c r="P42" s="359">
        <f t="shared" si="39"/>
        <v>0</v>
      </c>
      <c r="Q42" s="359">
        <f t="shared" si="40"/>
        <v>44</v>
      </c>
      <c r="R42" s="360">
        <f t="shared" si="41"/>
        <v>0</v>
      </c>
      <c r="S42" s="283"/>
      <c r="T42" s="283"/>
      <c r="U42" s="283"/>
      <c r="V42" s="283"/>
      <c r="W42" s="283"/>
      <c r="X42" s="360">
        <f t="shared" si="42"/>
        <v>0</v>
      </c>
      <c r="Y42" s="283"/>
      <c r="Z42" s="283"/>
      <c r="AA42" s="283"/>
      <c r="AB42" s="283"/>
      <c r="AC42" s="283"/>
      <c r="AD42" s="360">
        <f t="shared" si="43"/>
        <v>48</v>
      </c>
      <c r="AE42" s="283">
        <v>32</v>
      </c>
      <c r="AF42" s="283"/>
      <c r="AG42" s="283"/>
      <c r="AH42" s="283"/>
      <c r="AI42" s="283">
        <v>16</v>
      </c>
      <c r="AJ42" s="360">
        <f t="shared" si="44"/>
        <v>85</v>
      </c>
      <c r="AK42" s="283">
        <v>57</v>
      </c>
      <c r="AL42" s="368"/>
      <c r="AM42" s="283"/>
      <c r="AN42" s="283"/>
      <c r="AO42" s="283">
        <v>28</v>
      </c>
      <c r="AP42" s="360">
        <f t="shared" si="45"/>
        <v>0</v>
      </c>
      <c r="AQ42" s="283"/>
      <c r="AR42" s="283"/>
      <c r="AS42" s="283"/>
      <c r="AT42" s="283"/>
      <c r="AU42" s="283"/>
      <c r="AV42" s="360">
        <f t="shared" si="46"/>
        <v>0</v>
      </c>
      <c r="AW42" s="283"/>
      <c r="AX42" s="283"/>
      <c r="AY42" s="283"/>
      <c r="AZ42" s="283"/>
      <c r="BA42" s="283"/>
      <c r="BB42" s="360">
        <f t="shared" si="47"/>
        <v>0</v>
      </c>
      <c r="BC42" s="283"/>
      <c r="BD42" s="283"/>
      <c r="BE42" s="283"/>
      <c r="BF42" s="283"/>
      <c r="BG42" s="283"/>
      <c r="BH42" s="360">
        <f t="shared" si="48"/>
        <v>0</v>
      </c>
      <c r="BI42" s="283"/>
      <c r="BJ42" s="283"/>
      <c r="BK42" s="283"/>
      <c r="BL42" s="283"/>
      <c r="BM42" s="283"/>
      <c r="BN42" s="392">
        <f t="shared" si="49"/>
        <v>0</v>
      </c>
      <c r="BO42" s="360">
        <f t="shared" si="50"/>
        <v>0</v>
      </c>
      <c r="BP42" s="283"/>
      <c r="BQ42" s="283"/>
      <c r="BR42" s="283"/>
      <c r="BS42" s="283"/>
      <c r="BT42" s="283"/>
      <c r="BU42" s="283"/>
      <c r="BV42" s="283"/>
      <c r="BW42" s="392">
        <f t="shared" si="51"/>
        <v>0</v>
      </c>
      <c r="BX42" s="360">
        <f t="shared" si="52"/>
        <v>0</v>
      </c>
      <c r="BY42" s="283"/>
      <c r="BZ42" s="283"/>
      <c r="CA42" s="283"/>
      <c r="CB42" s="283"/>
      <c r="CC42" s="283"/>
      <c r="CD42" s="283"/>
      <c r="CE42" s="283"/>
      <c r="CF42" s="358" t="s">
        <v>474</v>
      </c>
      <c r="CG42" s="393" t="s">
        <v>329</v>
      </c>
    </row>
    <row r="43" spans="1:85" s="112" customFormat="1" ht="25.5" customHeight="1">
      <c r="A43" s="391" t="s">
        <v>517</v>
      </c>
      <c r="B43" s="301" t="s">
        <v>251</v>
      </c>
      <c r="C43" s="301"/>
      <c r="D43" s="358"/>
      <c r="E43" s="358" t="s">
        <v>41</v>
      </c>
      <c r="F43" s="358"/>
      <c r="G43" s="394"/>
      <c r="H43" s="358" t="s">
        <v>40</v>
      </c>
      <c r="I43" s="283"/>
      <c r="J43" s="283"/>
      <c r="K43" s="359">
        <f t="shared" si="37"/>
        <v>296</v>
      </c>
      <c r="L43" s="359">
        <f t="shared" si="38"/>
        <v>197</v>
      </c>
      <c r="M43" s="359">
        <f t="shared" si="39"/>
        <v>197</v>
      </c>
      <c r="N43" s="359">
        <f t="shared" si="39"/>
        <v>0</v>
      </c>
      <c r="O43" s="359">
        <f t="shared" si="39"/>
        <v>0</v>
      </c>
      <c r="P43" s="359">
        <f t="shared" si="39"/>
        <v>0</v>
      </c>
      <c r="Q43" s="359">
        <f t="shared" si="40"/>
        <v>99</v>
      </c>
      <c r="R43" s="360">
        <f t="shared" si="41"/>
        <v>0</v>
      </c>
      <c r="S43" s="283"/>
      <c r="T43" s="283"/>
      <c r="U43" s="283"/>
      <c r="V43" s="283"/>
      <c r="W43" s="283"/>
      <c r="X43" s="360">
        <f t="shared" si="42"/>
        <v>0</v>
      </c>
      <c r="Y43" s="283"/>
      <c r="Z43" s="283"/>
      <c r="AA43" s="283"/>
      <c r="AB43" s="283"/>
      <c r="AC43" s="283"/>
      <c r="AD43" s="360">
        <f t="shared" si="43"/>
        <v>0</v>
      </c>
      <c r="AE43" s="283"/>
      <c r="AF43" s="283"/>
      <c r="AG43" s="283"/>
      <c r="AH43" s="283"/>
      <c r="AI43" s="283"/>
      <c r="AJ43" s="360">
        <f t="shared" si="44"/>
        <v>143</v>
      </c>
      <c r="AK43" s="283">
        <v>95</v>
      </c>
      <c r="AL43" s="368"/>
      <c r="AM43" s="283"/>
      <c r="AN43" s="283"/>
      <c r="AO43" s="283">
        <v>48</v>
      </c>
      <c r="AP43" s="360">
        <f t="shared" si="45"/>
        <v>153</v>
      </c>
      <c r="AQ43" s="283">
        <v>102</v>
      </c>
      <c r="AR43" s="368"/>
      <c r="AS43" s="283"/>
      <c r="AT43" s="283"/>
      <c r="AU43" s="283">
        <v>51</v>
      </c>
      <c r="AV43" s="360">
        <f t="shared" si="46"/>
        <v>0</v>
      </c>
      <c r="AW43" s="283"/>
      <c r="AX43" s="283"/>
      <c r="AY43" s="283"/>
      <c r="AZ43" s="283"/>
      <c r="BA43" s="283"/>
      <c r="BB43" s="360">
        <f t="shared" si="47"/>
        <v>0</v>
      </c>
      <c r="BC43" s="283"/>
      <c r="BD43" s="283"/>
      <c r="BE43" s="283"/>
      <c r="BF43" s="283"/>
      <c r="BG43" s="283"/>
      <c r="BH43" s="360">
        <f t="shared" si="48"/>
        <v>0</v>
      </c>
      <c r="BI43" s="283"/>
      <c r="BJ43" s="283"/>
      <c r="BK43" s="283"/>
      <c r="BL43" s="283"/>
      <c r="BM43" s="283"/>
      <c r="BN43" s="392">
        <f t="shared" si="49"/>
        <v>0</v>
      </c>
      <c r="BO43" s="360">
        <f t="shared" si="50"/>
        <v>0</v>
      </c>
      <c r="BP43" s="283"/>
      <c r="BQ43" s="283"/>
      <c r="BR43" s="283"/>
      <c r="BS43" s="283"/>
      <c r="BT43" s="283"/>
      <c r="BU43" s="283"/>
      <c r="BV43" s="283"/>
      <c r="BW43" s="392">
        <f t="shared" si="51"/>
        <v>0</v>
      </c>
      <c r="BX43" s="360">
        <f t="shared" si="52"/>
        <v>0</v>
      </c>
      <c r="BY43" s="283"/>
      <c r="BZ43" s="283"/>
      <c r="CA43" s="283"/>
      <c r="CB43" s="283"/>
      <c r="CC43" s="283"/>
      <c r="CD43" s="283"/>
      <c r="CE43" s="283"/>
      <c r="CF43" s="358" t="s">
        <v>474</v>
      </c>
      <c r="CG43" s="393" t="s">
        <v>330</v>
      </c>
    </row>
    <row r="44" spans="1:85" s="112" customFormat="1" ht="25.5" customHeight="1">
      <c r="A44" s="391" t="s">
        <v>518</v>
      </c>
      <c r="B44" s="301" t="s">
        <v>252</v>
      </c>
      <c r="C44" s="301"/>
      <c r="D44" s="358"/>
      <c r="E44" s="358" t="s">
        <v>42</v>
      </c>
      <c r="F44" s="358"/>
      <c r="G44" s="358"/>
      <c r="H44" s="358"/>
      <c r="I44" s="283"/>
      <c r="J44" s="283"/>
      <c r="K44" s="359">
        <f t="shared" si="37"/>
        <v>72</v>
      </c>
      <c r="L44" s="359">
        <f t="shared" si="38"/>
        <v>48</v>
      </c>
      <c r="M44" s="359">
        <f t="shared" si="39"/>
        <v>48</v>
      </c>
      <c r="N44" s="359">
        <f t="shared" si="39"/>
        <v>0</v>
      </c>
      <c r="O44" s="359">
        <f t="shared" si="39"/>
        <v>0</v>
      </c>
      <c r="P44" s="359">
        <f t="shared" si="39"/>
        <v>0</v>
      </c>
      <c r="Q44" s="359">
        <f t="shared" si="40"/>
        <v>24</v>
      </c>
      <c r="R44" s="360">
        <f t="shared" si="41"/>
        <v>0</v>
      </c>
      <c r="S44" s="283"/>
      <c r="T44" s="283"/>
      <c r="U44" s="283"/>
      <c r="V44" s="283"/>
      <c r="W44" s="283"/>
      <c r="X44" s="360">
        <f t="shared" si="42"/>
        <v>0</v>
      </c>
      <c r="Y44" s="283"/>
      <c r="Z44" s="283"/>
      <c r="AA44" s="283"/>
      <c r="AB44" s="283"/>
      <c r="AC44" s="283"/>
      <c r="AD44" s="360">
        <f t="shared" si="43"/>
        <v>0</v>
      </c>
      <c r="AE44" s="283"/>
      <c r="AF44" s="283"/>
      <c r="AG44" s="283"/>
      <c r="AH44" s="283"/>
      <c r="AI44" s="283"/>
      <c r="AJ44" s="360">
        <f t="shared" si="44"/>
        <v>0</v>
      </c>
      <c r="AK44" s="283"/>
      <c r="AL44" s="368"/>
      <c r="AM44" s="283"/>
      <c r="AN44" s="283"/>
      <c r="AO44" s="283"/>
      <c r="AP44" s="360">
        <f t="shared" si="45"/>
        <v>0</v>
      </c>
      <c r="AQ44" s="283"/>
      <c r="AR44" s="368"/>
      <c r="AS44" s="283"/>
      <c r="AT44" s="283"/>
      <c r="AU44" s="283"/>
      <c r="AV44" s="360">
        <f t="shared" si="46"/>
        <v>72</v>
      </c>
      <c r="AW44" s="283">
        <v>48</v>
      </c>
      <c r="AX44" s="283"/>
      <c r="AY44" s="283"/>
      <c r="AZ44" s="283"/>
      <c r="BA44" s="283">
        <v>24</v>
      </c>
      <c r="BB44" s="360">
        <f t="shared" si="47"/>
        <v>0</v>
      </c>
      <c r="BC44" s="283"/>
      <c r="BD44" s="283"/>
      <c r="BE44" s="283"/>
      <c r="BF44" s="283"/>
      <c r="BG44" s="283"/>
      <c r="BH44" s="360">
        <f t="shared" si="48"/>
        <v>0</v>
      </c>
      <c r="BI44" s="283"/>
      <c r="BJ44" s="283"/>
      <c r="BK44" s="283"/>
      <c r="BL44" s="283"/>
      <c r="BM44" s="283"/>
      <c r="BN44" s="392">
        <f t="shared" si="49"/>
        <v>0</v>
      </c>
      <c r="BO44" s="360">
        <f t="shared" si="50"/>
        <v>0</v>
      </c>
      <c r="BP44" s="283"/>
      <c r="BQ44" s="283"/>
      <c r="BR44" s="283"/>
      <c r="BS44" s="283"/>
      <c r="BT44" s="283"/>
      <c r="BU44" s="283"/>
      <c r="BV44" s="283"/>
      <c r="BW44" s="392">
        <f t="shared" si="51"/>
        <v>0</v>
      </c>
      <c r="BX44" s="360">
        <f t="shared" si="52"/>
        <v>0</v>
      </c>
      <c r="BY44" s="283"/>
      <c r="BZ44" s="283"/>
      <c r="CA44" s="283"/>
      <c r="CB44" s="283"/>
      <c r="CC44" s="283"/>
      <c r="CD44" s="283"/>
      <c r="CE44" s="283"/>
      <c r="CF44" s="358" t="s">
        <v>475</v>
      </c>
      <c r="CG44" s="393" t="s">
        <v>331</v>
      </c>
    </row>
    <row r="45" spans="1:85" s="112" customFormat="1" ht="25.5" customHeight="1">
      <c r="A45" s="391" t="s">
        <v>519</v>
      </c>
      <c r="B45" s="361" t="s">
        <v>253</v>
      </c>
      <c r="C45" s="301"/>
      <c r="D45" s="358"/>
      <c r="E45" s="358" t="s">
        <v>40</v>
      </c>
      <c r="F45" s="358"/>
      <c r="G45" s="358"/>
      <c r="H45" s="358"/>
      <c r="I45" s="283"/>
      <c r="J45" s="283"/>
      <c r="K45" s="359">
        <f t="shared" si="37"/>
        <v>57</v>
      </c>
      <c r="L45" s="359">
        <f t="shared" si="38"/>
        <v>38</v>
      </c>
      <c r="M45" s="359">
        <f t="shared" si="39"/>
        <v>38</v>
      </c>
      <c r="N45" s="359">
        <f t="shared" si="39"/>
        <v>0</v>
      </c>
      <c r="O45" s="359">
        <f t="shared" si="39"/>
        <v>0</v>
      </c>
      <c r="P45" s="359">
        <f t="shared" si="39"/>
        <v>0</v>
      </c>
      <c r="Q45" s="359">
        <f t="shared" si="40"/>
        <v>19</v>
      </c>
      <c r="R45" s="360">
        <f t="shared" si="41"/>
        <v>0</v>
      </c>
      <c r="S45" s="283"/>
      <c r="T45" s="283"/>
      <c r="U45" s="283"/>
      <c r="V45" s="283"/>
      <c r="W45" s="283"/>
      <c r="X45" s="360">
        <f t="shared" si="42"/>
        <v>0</v>
      </c>
      <c r="Y45" s="283"/>
      <c r="Z45" s="283"/>
      <c r="AA45" s="283"/>
      <c r="AB45" s="283"/>
      <c r="AC45" s="283"/>
      <c r="AD45" s="360">
        <f t="shared" si="43"/>
        <v>0</v>
      </c>
      <c r="AE45" s="283"/>
      <c r="AF45" s="283"/>
      <c r="AG45" s="283"/>
      <c r="AH45" s="283"/>
      <c r="AI45" s="283"/>
      <c r="AJ45" s="360">
        <f t="shared" si="44"/>
        <v>57</v>
      </c>
      <c r="AK45" s="283">
        <v>38</v>
      </c>
      <c r="AL45" s="368"/>
      <c r="AM45" s="283"/>
      <c r="AN45" s="283"/>
      <c r="AO45" s="283">
        <v>19</v>
      </c>
      <c r="AP45" s="360">
        <f t="shared" si="45"/>
        <v>0</v>
      </c>
      <c r="AQ45" s="283"/>
      <c r="AR45" s="368"/>
      <c r="AS45" s="283"/>
      <c r="AT45" s="283"/>
      <c r="AU45" s="283"/>
      <c r="AV45" s="360">
        <f t="shared" si="46"/>
        <v>0</v>
      </c>
      <c r="AW45" s="283"/>
      <c r="AX45" s="283"/>
      <c r="AY45" s="283"/>
      <c r="AZ45" s="283"/>
      <c r="BA45" s="283"/>
      <c r="BB45" s="360">
        <f t="shared" si="47"/>
        <v>0</v>
      </c>
      <c r="BC45" s="283"/>
      <c r="BD45" s="283"/>
      <c r="BE45" s="283"/>
      <c r="BF45" s="283"/>
      <c r="BG45" s="283"/>
      <c r="BH45" s="360">
        <f t="shared" si="48"/>
        <v>0</v>
      </c>
      <c r="BI45" s="283"/>
      <c r="BJ45" s="283"/>
      <c r="BK45" s="283"/>
      <c r="BL45" s="283"/>
      <c r="BM45" s="283"/>
      <c r="BN45" s="392">
        <f t="shared" si="49"/>
        <v>0</v>
      </c>
      <c r="BO45" s="360">
        <f t="shared" si="50"/>
        <v>0</v>
      </c>
      <c r="BP45" s="283"/>
      <c r="BQ45" s="283"/>
      <c r="BR45" s="283"/>
      <c r="BS45" s="283"/>
      <c r="BT45" s="283"/>
      <c r="BU45" s="283"/>
      <c r="BV45" s="283"/>
      <c r="BW45" s="392">
        <f t="shared" si="51"/>
        <v>0</v>
      </c>
      <c r="BX45" s="360">
        <f t="shared" si="52"/>
        <v>0</v>
      </c>
      <c r="BY45" s="283"/>
      <c r="BZ45" s="283"/>
      <c r="CA45" s="283"/>
      <c r="CB45" s="283"/>
      <c r="CC45" s="283"/>
      <c r="CD45" s="283"/>
      <c r="CE45" s="283"/>
      <c r="CF45" s="358" t="s">
        <v>472</v>
      </c>
      <c r="CG45" s="393" t="s">
        <v>321</v>
      </c>
    </row>
    <row r="46" spans="1:85" s="112" customFormat="1" ht="25.5" customHeight="1">
      <c r="A46" s="391" t="s">
        <v>520</v>
      </c>
      <c r="B46" s="301" t="s">
        <v>112</v>
      </c>
      <c r="C46" s="301"/>
      <c r="D46" s="358"/>
      <c r="E46" s="358" t="s">
        <v>41</v>
      </c>
      <c r="F46" s="358"/>
      <c r="G46" s="358"/>
      <c r="H46" s="358" t="s">
        <v>40</v>
      </c>
      <c r="I46" s="283"/>
      <c r="J46" s="283">
        <v>68</v>
      </c>
      <c r="K46" s="359">
        <f t="shared" si="37"/>
        <v>106</v>
      </c>
      <c r="L46" s="359">
        <f t="shared" si="38"/>
        <v>70</v>
      </c>
      <c r="M46" s="359">
        <f t="shared" si="39"/>
        <v>70</v>
      </c>
      <c r="N46" s="359">
        <f t="shared" si="39"/>
        <v>0</v>
      </c>
      <c r="O46" s="359">
        <f t="shared" si="39"/>
        <v>0</v>
      </c>
      <c r="P46" s="359">
        <f t="shared" si="39"/>
        <v>0</v>
      </c>
      <c r="Q46" s="359">
        <f t="shared" si="40"/>
        <v>36</v>
      </c>
      <c r="R46" s="360">
        <f t="shared" si="41"/>
        <v>0</v>
      </c>
      <c r="S46" s="283"/>
      <c r="T46" s="283"/>
      <c r="U46" s="283"/>
      <c r="V46" s="283"/>
      <c r="W46" s="283"/>
      <c r="X46" s="360">
        <f t="shared" si="42"/>
        <v>0</v>
      </c>
      <c r="Y46" s="283"/>
      <c r="Z46" s="283"/>
      <c r="AA46" s="283"/>
      <c r="AB46" s="283"/>
      <c r="AC46" s="283"/>
      <c r="AD46" s="360">
        <f t="shared" si="43"/>
        <v>0</v>
      </c>
      <c r="AE46" s="283"/>
      <c r="AF46" s="283"/>
      <c r="AG46" s="283"/>
      <c r="AH46" s="283"/>
      <c r="AI46" s="283"/>
      <c r="AJ46" s="360">
        <f t="shared" si="44"/>
        <v>57</v>
      </c>
      <c r="AK46" s="283">
        <v>38</v>
      </c>
      <c r="AL46" s="368"/>
      <c r="AM46" s="283"/>
      <c r="AN46" s="283"/>
      <c r="AO46" s="283">
        <v>19</v>
      </c>
      <c r="AP46" s="360">
        <f t="shared" si="45"/>
        <v>49</v>
      </c>
      <c r="AQ46" s="283">
        <v>32</v>
      </c>
      <c r="AR46" s="368"/>
      <c r="AS46" s="283"/>
      <c r="AT46" s="283"/>
      <c r="AU46" s="283">
        <v>17</v>
      </c>
      <c r="AV46" s="360">
        <f t="shared" si="46"/>
        <v>0</v>
      </c>
      <c r="AW46" s="283"/>
      <c r="AX46" s="283"/>
      <c r="AY46" s="283"/>
      <c r="AZ46" s="283"/>
      <c r="BA46" s="283"/>
      <c r="BB46" s="360">
        <f t="shared" si="47"/>
        <v>0</v>
      </c>
      <c r="BC46" s="283"/>
      <c r="BD46" s="283"/>
      <c r="BE46" s="283"/>
      <c r="BF46" s="283"/>
      <c r="BG46" s="283"/>
      <c r="BH46" s="360">
        <f t="shared" si="48"/>
        <v>0</v>
      </c>
      <c r="BI46" s="283"/>
      <c r="BJ46" s="283"/>
      <c r="BK46" s="283"/>
      <c r="BL46" s="283"/>
      <c r="BM46" s="283"/>
      <c r="BN46" s="392">
        <f>LEN(H46)-LEN(SUBSTITUTE(H46,"9",""))</f>
        <v>0</v>
      </c>
      <c r="BO46" s="360">
        <f t="shared" si="50"/>
        <v>0</v>
      </c>
      <c r="BP46" s="283"/>
      <c r="BQ46" s="283"/>
      <c r="BR46" s="283"/>
      <c r="BS46" s="283"/>
      <c r="BT46" s="283"/>
      <c r="BU46" s="283"/>
      <c r="BV46" s="283"/>
      <c r="BW46" s="392">
        <f>LEN(H46)-LEN(SUBSTITUTE(H46,"Х",""))</f>
        <v>0</v>
      </c>
      <c r="BX46" s="360">
        <f>SUM(BY46:CE46)</f>
        <v>0</v>
      </c>
      <c r="BY46" s="283"/>
      <c r="BZ46" s="283"/>
      <c r="CA46" s="283"/>
      <c r="CB46" s="283"/>
      <c r="CC46" s="283"/>
      <c r="CD46" s="283"/>
      <c r="CE46" s="283"/>
      <c r="CF46" s="358" t="s">
        <v>472</v>
      </c>
      <c r="CG46" s="358" t="s">
        <v>321</v>
      </c>
    </row>
    <row r="47" spans="1:85" s="116" customFormat="1" ht="25.5" customHeight="1">
      <c r="A47" s="114" t="s">
        <v>144</v>
      </c>
      <c r="B47" s="569" t="s">
        <v>148</v>
      </c>
      <c r="C47" s="570"/>
      <c r="D47" s="570"/>
      <c r="E47" s="570"/>
      <c r="F47" s="570"/>
      <c r="G47" s="570"/>
      <c r="H47" s="571"/>
      <c r="I47" s="379">
        <f>Нормы!D14</f>
        <v>1408</v>
      </c>
      <c r="J47" s="379">
        <f>Нормы!E14</f>
        <v>938</v>
      </c>
      <c r="K47" s="115">
        <f aca="true" t="shared" si="53" ref="K47:Q47">SUM(K48:K66)/2</f>
        <v>1604</v>
      </c>
      <c r="L47" s="115">
        <f t="shared" si="53"/>
        <v>1069</v>
      </c>
      <c r="M47" s="115">
        <f t="shared" si="53"/>
        <v>1053</v>
      </c>
      <c r="N47" s="115">
        <f t="shared" si="53"/>
        <v>16</v>
      </c>
      <c r="O47" s="115">
        <f t="shared" si="53"/>
        <v>0</v>
      </c>
      <c r="P47" s="115">
        <f t="shared" si="53"/>
        <v>0</v>
      </c>
      <c r="Q47" s="115">
        <f t="shared" si="53"/>
        <v>535</v>
      </c>
      <c r="R47" s="115">
        <f aca="true" t="shared" si="54" ref="R47:W47">SUM(R48:R66)/2</f>
        <v>0</v>
      </c>
      <c r="S47" s="115">
        <f t="shared" si="54"/>
        <v>0</v>
      </c>
      <c r="T47" s="115">
        <f t="shared" si="54"/>
        <v>0</v>
      </c>
      <c r="U47" s="115">
        <f t="shared" si="54"/>
        <v>0</v>
      </c>
      <c r="V47" s="115">
        <f t="shared" si="54"/>
        <v>0</v>
      </c>
      <c r="W47" s="115">
        <f t="shared" si="54"/>
        <v>0</v>
      </c>
      <c r="X47" s="115">
        <f aca="true" t="shared" si="55" ref="X47:AC47">SUM(X48:X66)/2</f>
        <v>0</v>
      </c>
      <c r="Y47" s="115">
        <f t="shared" si="55"/>
        <v>0</v>
      </c>
      <c r="Z47" s="115">
        <f t="shared" si="55"/>
        <v>0</v>
      </c>
      <c r="AA47" s="115">
        <f t="shared" si="55"/>
        <v>0</v>
      </c>
      <c r="AB47" s="115">
        <f t="shared" si="55"/>
        <v>0</v>
      </c>
      <c r="AC47" s="115">
        <f t="shared" si="55"/>
        <v>0</v>
      </c>
      <c r="AD47" s="115">
        <f aca="true" t="shared" si="56" ref="AD47:AI47">SUM(AD48:AD66)/2</f>
        <v>0</v>
      </c>
      <c r="AE47" s="115">
        <f t="shared" si="56"/>
        <v>0</v>
      </c>
      <c r="AF47" s="115">
        <f t="shared" si="56"/>
        <v>0</v>
      </c>
      <c r="AG47" s="115">
        <f t="shared" si="56"/>
        <v>0</v>
      </c>
      <c r="AH47" s="115">
        <f t="shared" si="56"/>
        <v>0</v>
      </c>
      <c r="AI47" s="115">
        <f t="shared" si="56"/>
        <v>0</v>
      </c>
      <c r="AJ47" s="115">
        <f aca="true" t="shared" si="57" ref="AJ47:AO47">SUM(AJ48:AJ66)/2</f>
        <v>198</v>
      </c>
      <c r="AK47" s="115">
        <f t="shared" si="57"/>
        <v>133</v>
      </c>
      <c r="AL47" s="115">
        <f t="shared" si="57"/>
        <v>0</v>
      </c>
      <c r="AM47" s="115">
        <f t="shared" si="57"/>
        <v>0</v>
      </c>
      <c r="AN47" s="115">
        <f t="shared" si="57"/>
        <v>0</v>
      </c>
      <c r="AO47" s="115">
        <f t="shared" si="57"/>
        <v>65</v>
      </c>
      <c r="AP47" s="115">
        <f aca="true" t="shared" si="58" ref="AP47:AU47">SUM(AP48:AP66)/2</f>
        <v>180</v>
      </c>
      <c r="AQ47" s="115">
        <f t="shared" si="58"/>
        <v>120</v>
      </c>
      <c r="AR47" s="115">
        <f t="shared" si="58"/>
        <v>0</v>
      </c>
      <c r="AS47" s="115">
        <f t="shared" si="58"/>
        <v>0</v>
      </c>
      <c r="AT47" s="115">
        <f t="shared" si="58"/>
        <v>0</v>
      </c>
      <c r="AU47" s="115">
        <f t="shared" si="58"/>
        <v>60</v>
      </c>
      <c r="AV47" s="115">
        <f aca="true" t="shared" si="59" ref="AV47:BA47">SUM(AV48:AV66)/2</f>
        <v>324</v>
      </c>
      <c r="AW47" s="115">
        <f t="shared" si="59"/>
        <v>216</v>
      </c>
      <c r="AX47" s="115">
        <f t="shared" si="59"/>
        <v>0</v>
      </c>
      <c r="AY47" s="115">
        <f t="shared" si="59"/>
        <v>0</v>
      </c>
      <c r="AZ47" s="115">
        <f t="shared" si="59"/>
        <v>0</v>
      </c>
      <c r="BA47" s="115">
        <f t="shared" si="59"/>
        <v>108</v>
      </c>
      <c r="BB47" s="115">
        <f aca="true" t="shared" si="60" ref="BB47:BG47">SUM(BB48:BB66)/2</f>
        <v>360</v>
      </c>
      <c r="BC47" s="115">
        <f t="shared" si="60"/>
        <v>224</v>
      </c>
      <c r="BD47" s="115">
        <f t="shared" si="60"/>
        <v>16</v>
      </c>
      <c r="BE47" s="115">
        <f t="shared" si="60"/>
        <v>0</v>
      </c>
      <c r="BF47" s="115">
        <f t="shared" si="60"/>
        <v>0</v>
      </c>
      <c r="BG47" s="115">
        <f t="shared" si="60"/>
        <v>120</v>
      </c>
      <c r="BH47" s="115">
        <f aca="true" t="shared" si="61" ref="BH47:BM47">SUM(BH48:BH66)/2</f>
        <v>542</v>
      </c>
      <c r="BI47" s="115">
        <f t="shared" si="61"/>
        <v>360</v>
      </c>
      <c r="BJ47" s="115">
        <f t="shared" si="61"/>
        <v>0</v>
      </c>
      <c r="BK47" s="115">
        <f t="shared" si="61"/>
        <v>0</v>
      </c>
      <c r="BL47" s="115">
        <f t="shared" si="61"/>
        <v>0</v>
      </c>
      <c r="BM47" s="115">
        <f t="shared" si="61"/>
        <v>182</v>
      </c>
      <c r="BN47" s="115">
        <f>SUM(BN48:BN66)</f>
        <v>0</v>
      </c>
      <c r="BO47" s="115">
        <f aca="true" t="shared" si="62" ref="BO47:BV47">SUM(BO48:BO66)/2</f>
        <v>0</v>
      </c>
      <c r="BP47" s="115">
        <f t="shared" si="62"/>
        <v>0</v>
      </c>
      <c r="BQ47" s="115">
        <f t="shared" si="62"/>
        <v>0</v>
      </c>
      <c r="BR47" s="115">
        <f t="shared" si="62"/>
        <v>0</v>
      </c>
      <c r="BS47" s="115">
        <f t="shared" si="62"/>
        <v>0</v>
      </c>
      <c r="BT47" s="115">
        <f t="shared" si="62"/>
        <v>0</v>
      </c>
      <c r="BU47" s="115">
        <f t="shared" si="62"/>
        <v>0</v>
      </c>
      <c r="BV47" s="115">
        <f t="shared" si="62"/>
        <v>0</v>
      </c>
      <c r="BW47" s="115">
        <f>SUM(BW48:BW66)</f>
        <v>0</v>
      </c>
      <c r="BX47" s="115">
        <f aca="true" t="shared" si="63" ref="BX47:CE47">SUM(BX48:BX66)/2</f>
        <v>0</v>
      </c>
      <c r="BY47" s="115">
        <f t="shared" si="63"/>
        <v>0</v>
      </c>
      <c r="BZ47" s="115">
        <f t="shared" si="63"/>
        <v>0</v>
      </c>
      <c r="CA47" s="115">
        <f t="shared" si="63"/>
        <v>0</v>
      </c>
      <c r="CB47" s="115">
        <f t="shared" si="63"/>
        <v>0</v>
      </c>
      <c r="CC47" s="115">
        <f t="shared" si="63"/>
        <v>0</v>
      </c>
      <c r="CD47" s="115">
        <f t="shared" si="63"/>
        <v>0</v>
      </c>
      <c r="CE47" s="115">
        <f t="shared" si="63"/>
        <v>0</v>
      </c>
      <c r="CF47" s="388"/>
      <c r="CG47" s="388">
        <v>0</v>
      </c>
    </row>
    <row r="48" spans="1:85" s="112" customFormat="1" ht="25.5" customHeight="1">
      <c r="A48" s="395" t="s">
        <v>154</v>
      </c>
      <c r="B48" s="548" t="s">
        <v>254</v>
      </c>
      <c r="C48" s="549"/>
      <c r="D48" s="549"/>
      <c r="E48" s="549"/>
      <c r="F48" s="549"/>
      <c r="G48" s="549"/>
      <c r="H48" s="550"/>
      <c r="I48" s="397"/>
      <c r="J48" s="397"/>
      <c r="K48" s="398">
        <f aca="true" t="shared" si="64" ref="K48:K54">L48+SUM(Q48:Q48)</f>
        <v>776</v>
      </c>
      <c r="L48" s="398">
        <f aca="true" t="shared" si="65" ref="L48:L54">SUM(M48:P48)</f>
        <v>516</v>
      </c>
      <c r="M48" s="398">
        <f aca="true" t="shared" si="66" ref="M48:P54">S48+Y48+AE48+AK48+AQ48+AW48+BC48+BI48+BQ48+BZ48</f>
        <v>500</v>
      </c>
      <c r="N48" s="398">
        <f t="shared" si="66"/>
        <v>16</v>
      </c>
      <c r="O48" s="398">
        <f t="shared" si="66"/>
        <v>0</v>
      </c>
      <c r="P48" s="398">
        <f t="shared" si="66"/>
        <v>0</v>
      </c>
      <c r="Q48" s="398">
        <f aca="true" t="shared" si="67" ref="Q48:Q54">W48+AC48+AI48+AO48+AU48+BA48+BG48+BM48+BV48+CE48</f>
        <v>260</v>
      </c>
      <c r="R48" s="398">
        <f>SUM(S48:W48)</f>
        <v>0</v>
      </c>
      <c r="S48" s="398">
        <f>SUM(S49:S54)</f>
        <v>0</v>
      </c>
      <c r="T48" s="398">
        <f>SUM(T49:T54)</f>
        <v>0</v>
      </c>
      <c r="U48" s="398">
        <f>SUM(U49:U54)</f>
        <v>0</v>
      </c>
      <c r="V48" s="398">
        <f>SUM(V49:V54)</f>
        <v>0</v>
      </c>
      <c r="W48" s="398">
        <f>SUM(W49:W54)</f>
        <v>0</v>
      </c>
      <c r="X48" s="398">
        <f>SUM(Y48:AC48)</f>
        <v>0</v>
      </c>
      <c r="Y48" s="398">
        <f>SUM(Y49:Y54)</f>
        <v>0</v>
      </c>
      <c r="Z48" s="398">
        <f>SUM(Z49:Z54)</f>
        <v>0</v>
      </c>
      <c r="AA48" s="398">
        <f>SUM(AA49:AA54)</f>
        <v>0</v>
      </c>
      <c r="AB48" s="398">
        <f>SUM(AB49:AB54)</f>
        <v>0</v>
      </c>
      <c r="AC48" s="398">
        <f>SUM(AC49:AC54)</f>
        <v>0</v>
      </c>
      <c r="AD48" s="398">
        <f aca="true" t="shared" si="68" ref="AD48:AD54">SUM(AE48:AI48)</f>
        <v>0</v>
      </c>
      <c r="AE48" s="398">
        <f>SUM(AE49:AE54)</f>
        <v>0</v>
      </c>
      <c r="AF48" s="398">
        <f>SUM(AF49:AF54)</f>
        <v>0</v>
      </c>
      <c r="AG48" s="398">
        <f>SUM(AG49:AG54)</f>
        <v>0</v>
      </c>
      <c r="AH48" s="398">
        <f>SUM(AH49:AH54)</f>
        <v>0</v>
      </c>
      <c r="AI48" s="398">
        <f>SUM(AI49:AI54)</f>
        <v>0</v>
      </c>
      <c r="AJ48" s="398">
        <f aca="true" t="shared" si="69" ref="AJ48:AJ54">SUM(AK48:AO48)</f>
        <v>0</v>
      </c>
      <c r="AK48" s="398">
        <f>SUM(AK49:AK54)</f>
        <v>0</v>
      </c>
      <c r="AL48" s="398">
        <f>SUM(AL49:AL54)</f>
        <v>0</v>
      </c>
      <c r="AM48" s="398">
        <f>SUM(AM49:AM54)</f>
        <v>0</v>
      </c>
      <c r="AN48" s="398">
        <f>SUM(AN49:AN54)</f>
        <v>0</v>
      </c>
      <c r="AO48" s="398">
        <f>SUM(AO49:AO54)</f>
        <v>0</v>
      </c>
      <c r="AP48" s="398">
        <f aca="true" t="shared" si="70" ref="AP48:AP54">SUM(AQ48:AU48)</f>
        <v>102</v>
      </c>
      <c r="AQ48" s="398">
        <f>SUM(AQ49:AQ54)</f>
        <v>68</v>
      </c>
      <c r="AR48" s="398">
        <f>SUM(AR49:AR54)</f>
        <v>0</v>
      </c>
      <c r="AS48" s="398">
        <f>SUM(AS49:AS54)</f>
        <v>0</v>
      </c>
      <c r="AT48" s="398">
        <f>SUM(AT49:AT54)</f>
        <v>0</v>
      </c>
      <c r="AU48" s="398">
        <f>SUM(AU49:AU54)</f>
        <v>34</v>
      </c>
      <c r="AV48" s="398">
        <f aca="true" t="shared" si="71" ref="AV48:AV54">SUM(AW48:BA48)</f>
        <v>216</v>
      </c>
      <c r="AW48" s="398">
        <f>SUM(AW49:AW54)</f>
        <v>144</v>
      </c>
      <c r="AX48" s="398">
        <f>SUM(AX49:AX54)</f>
        <v>0</v>
      </c>
      <c r="AY48" s="398">
        <f>SUM(AY49:AY54)</f>
        <v>0</v>
      </c>
      <c r="AZ48" s="398">
        <f>SUM(AZ49:AZ54)</f>
        <v>0</v>
      </c>
      <c r="BA48" s="398">
        <f>SUM(BA49:BA54)</f>
        <v>72</v>
      </c>
      <c r="BB48" s="398">
        <f aca="true" t="shared" si="72" ref="BB48:BB54">SUM(BC48:BG48)</f>
        <v>168</v>
      </c>
      <c r="BC48" s="398">
        <f>SUM(BC49:BC54)</f>
        <v>96</v>
      </c>
      <c r="BD48" s="398">
        <f>SUM(BD49:BD54)</f>
        <v>16</v>
      </c>
      <c r="BE48" s="398">
        <f>SUM(BE49:BE54)</f>
        <v>0</v>
      </c>
      <c r="BF48" s="398">
        <f>SUM(BF49:BF54)</f>
        <v>0</v>
      </c>
      <c r="BG48" s="398">
        <f>SUM(BG49:BG54)</f>
        <v>56</v>
      </c>
      <c r="BH48" s="398">
        <f aca="true" t="shared" si="73" ref="BH48:BH54">SUM(BI48:BM48)</f>
        <v>290</v>
      </c>
      <c r="BI48" s="398">
        <f>SUM(BI49:BI54)</f>
        <v>192</v>
      </c>
      <c r="BJ48" s="398">
        <f>SUM(BJ49:BJ54)</f>
        <v>0</v>
      </c>
      <c r="BK48" s="398">
        <f>SUM(BK49:BK54)</f>
        <v>0</v>
      </c>
      <c r="BL48" s="398">
        <f>SUM(BL49:BL54)</f>
        <v>0</v>
      </c>
      <c r="BM48" s="398">
        <f>SUM(BM49:BM54)</f>
        <v>98</v>
      </c>
      <c r="BN48" s="398"/>
      <c r="BO48" s="398">
        <f>SUM(BP48:BV48)</f>
        <v>0</v>
      </c>
      <c r="BP48" s="398">
        <f aca="true" t="shared" si="74" ref="BP48:BV48">SUM(BP49:BP54)</f>
        <v>0</v>
      </c>
      <c r="BQ48" s="398">
        <f t="shared" si="74"/>
        <v>0</v>
      </c>
      <c r="BR48" s="398">
        <f t="shared" si="74"/>
        <v>0</v>
      </c>
      <c r="BS48" s="398">
        <f t="shared" si="74"/>
        <v>0</v>
      </c>
      <c r="BT48" s="398">
        <f t="shared" si="74"/>
        <v>0</v>
      </c>
      <c r="BU48" s="398">
        <f t="shared" si="74"/>
        <v>0</v>
      </c>
      <c r="BV48" s="398">
        <f t="shared" si="74"/>
        <v>0</v>
      </c>
      <c r="BW48" s="398"/>
      <c r="BX48" s="398">
        <f>SUM(BY48:CE48)</f>
        <v>0</v>
      </c>
      <c r="BY48" s="398">
        <f aca="true" t="shared" si="75" ref="BY48:CE48">SUM(BY49:BY54)</f>
        <v>0</v>
      </c>
      <c r="BZ48" s="398">
        <f t="shared" si="75"/>
        <v>0</v>
      </c>
      <c r="CA48" s="398">
        <f t="shared" si="75"/>
        <v>0</v>
      </c>
      <c r="CB48" s="398">
        <f t="shared" si="75"/>
        <v>0</v>
      </c>
      <c r="CC48" s="398">
        <f t="shared" si="75"/>
        <v>0</v>
      </c>
      <c r="CD48" s="398">
        <f t="shared" si="75"/>
        <v>0</v>
      </c>
      <c r="CE48" s="398">
        <f t="shared" si="75"/>
        <v>0</v>
      </c>
      <c r="CF48" s="398" t="s">
        <v>474</v>
      </c>
      <c r="CG48" s="397" t="s">
        <v>332</v>
      </c>
    </row>
    <row r="49" spans="1:85" s="117" customFormat="1" ht="25.5" customHeight="1">
      <c r="A49" s="391" t="s">
        <v>525</v>
      </c>
      <c r="B49" s="301" t="s">
        <v>255</v>
      </c>
      <c r="C49" s="301"/>
      <c r="D49" s="358"/>
      <c r="E49" s="358" t="s">
        <v>38</v>
      </c>
      <c r="F49" s="394"/>
      <c r="G49" s="358" t="s">
        <v>38</v>
      </c>
      <c r="H49" s="358" t="s">
        <v>546</v>
      </c>
      <c r="I49" s="283"/>
      <c r="J49" s="283"/>
      <c r="K49" s="359">
        <f t="shared" si="64"/>
        <v>332</v>
      </c>
      <c r="L49" s="359">
        <f t="shared" si="65"/>
        <v>220</v>
      </c>
      <c r="M49" s="359">
        <f t="shared" si="66"/>
        <v>220</v>
      </c>
      <c r="N49" s="359">
        <f t="shared" si="66"/>
        <v>0</v>
      </c>
      <c r="O49" s="359">
        <f t="shared" si="66"/>
        <v>0</v>
      </c>
      <c r="P49" s="359">
        <f t="shared" si="66"/>
        <v>0</v>
      </c>
      <c r="Q49" s="359">
        <f t="shared" si="67"/>
        <v>112</v>
      </c>
      <c r="R49" s="360">
        <f>SUM(S49:W49)</f>
        <v>0</v>
      </c>
      <c r="S49" s="283"/>
      <c r="T49" s="283"/>
      <c r="U49" s="283"/>
      <c r="V49" s="283"/>
      <c r="W49" s="283"/>
      <c r="X49" s="360">
        <f>SUM(Y49:AC49)</f>
        <v>0</v>
      </c>
      <c r="Y49" s="283"/>
      <c r="Z49" s="283"/>
      <c r="AA49" s="283"/>
      <c r="AB49" s="283"/>
      <c r="AC49" s="283"/>
      <c r="AD49" s="360">
        <f t="shared" si="68"/>
        <v>0</v>
      </c>
      <c r="AE49" s="283"/>
      <c r="AF49" s="283"/>
      <c r="AG49" s="283"/>
      <c r="AH49" s="283"/>
      <c r="AI49" s="283"/>
      <c r="AJ49" s="360">
        <f t="shared" si="69"/>
        <v>0</v>
      </c>
      <c r="AK49" s="283"/>
      <c r="AL49" s="283"/>
      <c r="AM49" s="283"/>
      <c r="AN49" s="283"/>
      <c r="AO49" s="283"/>
      <c r="AP49" s="360">
        <f t="shared" si="70"/>
        <v>102</v>
      </c>
      <c r="AQ49" s="283">
        <v>68</v>
      </c>
      <c r="AR49" s="283"/>
      <c r="AS49" s="283"/>
      <c r="AT49" s="283"/>
      <c r="AU49" s="283">
        <v>34</v>
      </c>
      <c r="AV49" s="360">
        <f t="shared" si="71"/>
        <v>108</v>
      </c>
      <c r="AW49" s="283">
        <v>72</v>
      </c>
      <c r="AX49" s="283"/>
      <c r="AY49" s="283"/>
      <c r="AZ49" s="283"/>
      <c r="BA49" s="283">
        <v>36</v>
      </c>
      <c r="BB49" s="360">
        <f t="shared" si="72"/>
        <v>48</v>
      </c>
      <c r="BC49" s="283">
        <v>32</v>
      </c>
      <c r="BD49" s="283"/>
      <c r="BE49" s="283"/>
      <c r="BF49" s="283"/>
      <c r="BG49" s="283">
        <v>16</v>
      </c>
      <c r="BH49" s="360">
        <f t="shared" si="73"/>
        <v>74</v>
      </c>
      <c r="BI49" s="283">
        <v>48</v>
      </c>
      <c r="BJ49" s="283"/>
      <c r="BK49" s="283"/>
      <c r="BL49" s="283"/>
      <c r="BM49" s="283">
        <v>26</v>
      </c>
      <c r="BN49" s="392">
        <f>LEN(H49)-LEN(SUBSTITUTE(H49,"9",""))</f>
        <v>0</v>
      </c>
      <c r="BO49" s="360">
        <f>SUM(BP49:BV49)</f>
        <v>0</v>
      </c>
      <c r="BP49" s="283"/>
      <c r="BQ49" s="283"/>
      <c r="BR49" s="283"/>
      <c r="BS49" s="283"/>
      <c r="BT49" s="283"/>
      <c r="BU49" s="283"/>
      <c r="BV49" s="283"/>
      <c r="BW49" s="392">
        <f>LEN(H49)-LEN(SUBSTITUTE(H49,"Х",""))</f>
        <v>0</v>
      </c>
      <c r="BX49" s="360">
        <f>SUM(BY49:CE49)</f>
        <v>0</v>
      </c>
      <c r="BY49" s="283"/>
      <c r="BZ49" s="283"/>
      <c r="CA49" s="283"/>
      <c r="CB49" s="283"/>
      <c r="CC49" s="283"/>
      <c r="CD49" s="283"/>
      <c r="CE49" s="283"/>
      <c r="CF49" s="358" t="s">
        <v>474</v>
      </c>
      <c r="CG49" s="393" t="s">
        <v>332</v>
      </c>
    </row>
    <row r="50" spans="1:85" s="117" customFormat="1" ht="25.5" customHeight="1">
      <c r="A50" s="391" t="s">
        <v>524</v>
      </c>
      <c r="B50" s="301" t="s">
        <v>256</v>
      </c>
      <c r="C50" s="301"/>
      <c r="D50" s="358"/>
      <c r="E50" s="358" t="s">
        <v>42</v>
      </c>
      <c r="F50" s="358"/>
      <c r="G50" s="358"/>
      <c r="H50" s="358"/>
      <c r="I50" s="283"/>
      <c r="J50" s="283"/>
      <c r="K50" s="359">
        <f t="shared" si="64"/>
        <v>108</v>
      </c>
      <c r="L50" s="359">
        <f t="shared" si="65"/>
        <v>72</v>
      </c>
      <c r="M50" s="359">
        <f t="shared" si="66"/>
        <v>72</v>
      </c>
      <c r="N50" s="359">
        <f t="shared" si="66"/>
        <v>0</v>
      </c>
      <c r="O50" s="359">
        <f t="shared" si="66"/>
        <v>0</v>
      </c>
      <c r="P50" s="359">
        <f t="shared" si="66"/>
        <v>0</v>
      </c>
      <c r="Q50" s="359">
        <f t="shared" si="67"/>
        <v>36</v>
      </c>
      <c r="R50" s="360">
        <f>SUM(S50:W50)</f>
        <v>0</v>
      </c>
      <c r="S50" s="283"/>
      <c r="T50" s="283"/>
      <c r="U50" s="283"/>
      <c r="V50" s="283"/>
      <c r="W50" s="283"/>
      <c r="X50" s="360">
        <f>SUM(Y50:AC50)</f>
        <v>0</v>
      </c>
      <c r="Y50" s="283"/>
      <c r="Z50" s="283"/>
      <c r="AA50" s="283"/>
      <c r="AB50" s="283"/>
      <c r="AC50" s="283"/>
      <c r="AD50" s="360">
        <f t="shared" si="68"/>
        <v>0</v>
      </c>
      <c r="AE50" s="283"/>
      <c r="AF50" s="283"/>
      <c r="AG50" s="283"/>
      <c r="AH50" s="283"/>
      <c r="AI50" s="283"/>
      <c r="AJ50" s="360">
        <f t="shared" si="69"/>
        <v>0</v>
      </c>
      <c r="AK50" s="283"/>
      <c r="AL50" s="283"/>
      <c r="AM50" s="283"/>
      <c r="AN50" s="283"/>
      <c r="AO50" s="283"/>
      <c r="AP50" s="360">
        <f t="shared" si="70"/>
        <v>0</v>
      </c>
      <c r="AQ50" s="283"/>
      <c r="AR50" s="283"/>
      <c r="AS50" s="283"/>
      <c r="AT50" s="283"/>
      <c r="AU50" s="283"/>
      <c r="AV50" s="360">
        <f t="shared" si="71"/>
        <v>108</v>
      </c>
      <c r="AW50" s="283">
        <v>72</v>
      </c>
      <c r="AX50" s="283"/>
      <c r="AY50" s="283"/>
      <c r="AZ50" s="283"/>
      <c r="BA50" s="283">
        <v>36</v>
      </c>
      <c r="BB50" s="360">
        <f t="shared" si="72"/>
        <v>0</v>
      </c>
      <c r="BC50" s="283"/>
      <c r="BD50" s="283"/>
      <c r="BE50" s="283"/>
      <c r="BF50" s="283"/>
      <c r="BG50" s="283"/>
      <c r="BH50" s="360">
        <f t="shared" si="73"/>
        <v>0</v>
      </c>
      <c r="BI50" s="283"/>
      <c r="BJ50" s="283"/>
      <c r="BK50" s="283"/>
      <c r="BL50" s="283"/>
      <c r="BM50" s="283"/>
      <c r="BN50" s="392">
        <f>LEN(H50)-LEN(SUBSTITUTE(H50,"9",""))</f>
        <v>0</v>
      </c>
      <c r="BO50" s="360">
        <f>SUM(BP50:BV50)</f>
        <v>0</v>
      </c>
      <c r="BP50" s="283"/>
      <c r="BQ50" s="283"/>
      <c r="BR50" s="283"/>
      <c r="BS50" s="283"/>
      <c r="BT50" s="283"/>
      <c r="BU50" s="283"/>
      <c r="BV50" s="283"/>
      <c r="BW50" s="392">
        <f>LEN(H50)-LEN(SUBSTITUTE(H50,"Х",""))</f>
        <v>0</v>
      </c>
      <c r="BX50" s="360">
        <f>SUM(BY50:CE50)</f>
        <v>0</v>
      </c>
      <c r="BY50" s="283"/>
      <c r="BZ50" s="283"/>
      <c r="CA50" s="283"/>
      <c r="CB50" s="283"/>
      <c r="CC50" s="283"/>
      <c r="CD50" s="283"/>
      <c r="CE50" s="283"/>
      <c r="CF50" s="358" t="s">
        <v>474</v>
      </c>
      <c r="CG50" s="393" t="s">
        <v>332</v>
      </c>
    </row>
    <row r="51" spans="1:85" s="117" customFormat="1" ht="25.5" customHeight="1">
      <c r="A51" s="391" t="s">
        <v>523</v>
      </c>
      <c r="B51" s="301" t="s">
        <v>257</v>
      </c>
      <c r="C51" s="301"/>
      <c r="D51" s="358"/>
      <c r="E51" s="358" t="s">
        <v>43</v>
      </c>
      <c r="F51" s="358"/>
      <c r="G51" s="358"/>
      <c r="H51" s="358"/>
      <c r="I51" s="283"/>
      <c r="J51" s="283"/>
      <c r="K51" s="359">
        <f t="shared" si="64"/>
        <v>96</v>
      </c>
      <c r="L51" s="359">
        <f t="shared" si="65"/>
        <v>64</v>
      </c>
      <c r="M51" s="359">
        <f t="shared" si="66"/>
        <v>48</v>
      </c>
      <c r="N51" s="359">
        <f t="shared" si="66"/>
        <v>16</v>
      </c>
      <c r="O51" s="359">
        <f t="shared" si="66"/>
        <v>0</v>
      </c>
      <c r="P51" s="359">
        <f t="shared" si="66"/>
        <v>0</v>
      </c>
      <c r="Q51" s="359">
        <f t="shared" si="67"/>
        <v>32</v>
      </c>
      <c r="R51" s="360"/>
      <c r="S51" s="283"/>
      <c r="T51" s="283"/>
      <c r="U51" s="283"/>
      <c r="V51" s="283"/>
      <c r="W51" s="283"/>
      <c r="X51" s="360"/>
      <c r="Y51" s="283"/>
      <c r="Z51" s="283"/>
      <c r="AA51" s="283"/>
      <c r="AB51" s="283"/>
      <c r="AC51" s="283"/>
      <c r="AD51" s="360">
        <f t="shared" si="68"/>
        <v>0</v>
      </c>
      <c r="AE51" s="283"/>
      <c r="AF51" s="283"/>
      <c r="AG51" s="283"/>
      <c r="AH51" s="283"/>
      <c r="AI51" s="283"/>
      <c r="AJ51" s="360">
        <f t="shared" si="69"/>
        <v>0</v>
      </c>
      <c r="AK51" s="283"/>
      <c r="AL51" s="283"/>
      <c r="AM51" s="283"/>
      <c r="AN51" s="283"/>
      <c r="AO51" s="283"/>
      <c r="AP51" s="360">
        <f t="shared" si="70"/>
        <v>0</v>
      </c>
      <c r="AQ51" s="283"/>
      <c r="AR51" s="283"/>
      <c r="AS51" s="283"/>
      <c r="AT51" s="283"/>
      <c r="AU51" s="283"/>
      <c r="AV51" s="360">
        <f t="shared" si="71"/>
        <v>0</v>
      </c>
      <c r="AW51" s="283"/>
      <c r="AX51" s="283"/>
      <c r="AY51" s="283"/>
      <c r="AZ51" s="283"/>
      <c r="BA51" s="283"/>
      <c r="BB51" s="360">
        <f t="shared" si="72"/>
        <v>96</v>
      </c>
      <c r="BC51" s="283">
        <v>48</v>
      </c>
      <c r="BD51" s="283">
        <v>16</v>
      </c>
      <c r="BE51" s="283"/>
      <c r="BF51" s="283"/>
      <c r="BG51" s="283">
        <v>32</v>
      </c>
      <c r="BH51" s="360">
        <f t="shared" si="73"/>
        <v>0</v>
      </c>
      <c r="BI51" s="283"/>
      <c r="BJ51" s="283"/>
      <c r="BK51" s="283"/>
      <c r="BL51" s="283"/>
      <c r="BM51" s="283"/>
      <c r="BN51" s="392"/>
      <c r="BO51" s="360"/>
      <c r="BP51" s="283"/>
      <c r="BQ51" s="283"/>
      <c r="BR51" s="283"/>
      <c r="BS51" s="283"/>
      <c r="BT51" s="283"/>
      <c r="BU51" s="283"/>
      <c r="BV51" s="283"/>
      <c r="BW51" s="392"/>
      <c r="BX51" s="360"/>
      <c r="BY51" s="283"/>
      <c r="BZ51" s="283"/>
      <c r="CA51" s="283"/>
      <c r="CB51" s="283"/>
      <c r="CC51" s="283"/>
      <c r="CD51" s="283"/>
      <c r="CE51" s="283"/>
      <c r="CF51" s="358" t="s">
        <v>474</v>
      </c>
      <c r="CG51" s="393" t="s">
        <v>332</v>
      </c>
    </row>
    <row r="52" spans="1:85" s="117" customFormat="1" ht="25.5" customHeight="1">
      <c r="A52" s="399"/>
      <c r="B52" s="301" t="s">
        <v>266</v>
      </c>
      <c r="C52" s="301"/>
      <c r="D52" s="358"/>
      <c r="E52" s="358" t="s">
        <v>38</v>
      </c>
      <c r="F52" s="358"/>
      <c r="G52" s="358"/>
      <c r="H52" s="358"/>
      <c r="I52" s="283"/>
      <c r="J52" s="283"/>
      <c r="K52" s="359">
        <f t="shared" si="64"/>
        <v>72</v>
      </c>
      <c r="L52" s="359">
        <f t="shared" si="65"/>
        <v>48</v>
      </c>
      <c r="M52" s="359">
        <f t="shared" si="66"/>
        <v>48</v>
      </c>
      <c r="N52" s="359">
        <f t="shared" si="66"/>
        <v>0</v>
      </c>
      <c r="O52" s="359">
        <f t="shared" si="66"/>
        <v>0</v>
      </c>
      <c r="P52" s="359">
        <f t="shared" si="66"/>
        <v>0</v>
      </c>
      <c r="Q52" s="359">
        <f t="shared" si="67"/>
        <v>24</v>
      </c>
      <c r="R52" s="360"/>
      <c r="S52" s="283"/>
      <c r="T52" s="283"/>
      <c r="U52" s="283"/>
      <c r="V52" s="283"/>
      <c r="W52" s="283"/>
      <c r="X52" s="360"/>
      <c r="Y52" s="283"/>
      <c r="Z52" s="283"/>
      <c r="AA52" s="283"/>
      <c r="AB52" s="283"/>
      <c r="AC52" s="283"/>
      <c r="AD52" s="360">
        <f t="shared" si="68"/>
        <v>0</v>
      </c>
      <c r="AE52" s="283"/>
      <c r="AF52" s="283"/>
      <c r="AG52" s="283"/>
      <c r="AH52" s="283"/>
      <c r="AI52" s="283"/>
      <c r="AJ52" s="360">
        <f t="shared" si="69"/>
        <v>0</v>
      </c>
      <c r="AK52" s="283"/>
      <c r="AL52" s="283"/>
      <c r="AM52" s="283"/>
      <c r="AN52" s="283"/>
      <c r="AO52" s="283"/>
      <c r="AP52" s="360">
        <f t="shared" si="70"/>
        <v>0</v>
      </c>
      <c r="AQ52" s="283"/>
      <c r="AR52" s="283"/>
      <c r="AS52" s="283"/>
      <c r="AT52" s="283"/>
      <c r="AU52" s="283"/>
      <c r="AV52" s="360">
        <f t="shared" si="71"/>
        <v>0</v>
      </c>
      <c r="AW52" s="283"/>
      <c r="AX52" s="283"/>
      <c r="AY52" s="283"/>
      <c r="AZ52" s="283"/>
      <c r="BA52" s="283"/>
      <c r="BB52" s="360">
        <f t="shared" si="72"/>
        <v>0</v>
      </c>
      <c r="BC52" s="283"/>
      <c r="BD52" s="283"/>
      <c r="BE52" s="283"/>
      <c r="BF52" s="283"/>
      <c r="BG52" s="283"/>
      <c r="BH52" s="360">
        <f t="shared" si="73"/>
        <v>72</v>
      </c>
      <c r="BI52" s="283">
        <v>48</v>
      </c>
      <c r="BJ52" s="283"/>
      <c r="BK52" s="283"/>
      <c r="BL52" s="283"/>
      <c r="BM52" s="283">
        <v>24</v>
      </c>
      <c r="BN52" s="392"/>
      <c r="BO52" s="360"/>
      <c r="BP52" s="283"/>
      <c r="BQ52" s="283"/>
      <c r="BR52" s="283"/>
      <c r="BS52" s="283"/>
      <c r="BT52" s="283"/>
      <c r="BU52" s="283"/>
      <c r="BV52" s="283"/>
      <c r="BW52" s="392"/>
      <c r="BX52" s="360"/>
      <c r="BY52" s="283"/>
      <c r="BZ52" s="283"/>
      <c r="CA52" s="283"/>
      <c r="CB52" s="283"/>
      <c r="CC52" s="283"/>
      <c r="CD52" s="283"/>
      <c r="CE52" s="283"/>
      <c r="CF52" s="358" t="s">
        <v>474</v>
      </c>
      <c r="CG52" s="351" t="s">
        <v>580</v>
      </c>
    </row>
    <row r="53" spans="1:85" s="117" customFormat="1" ht="25.5" customHeight="1">
      <c r="A53" s="399"/>
      <c r="B53" s="301" t="s">
        <v>265</v>
      </c>
      <c r="C53" s="301"/>
      <c r="D53" s="358"/>
      <c r="E53" s="358" t="s">
        <v>38</v>
      </c>
      <c r="F53" s="358"/>
      <c r="G53" s="358"/>
      <c r="H53" s="358" t="s">
        <v>43</v>
      </c>
      <c r="I53" s="283"/>
      <c r="J53" s="283"/>
      <c r="K53" s="359">
        <f t="shared" si="64"/>
        <v>96</v>
      </c>
      <c r="L53" s="359">
        <f t="shared" si="65"/>
        <v>64</v>
      </c>
      <c r="M53" s="359">
        <f t="shared" si="66"/>
        <v>64</v>
      </c>
      <c r="N53" s="359">
        <f t="shared" si="66"/>
        <v>0</v>
      </c>
      <c r="O53" s="359">
        <f t="shared" si="66"/>
        <v>0</v>
      </c>
      <c r="P53" s="359">
        <f t="shared" si="66"/>
        <v>0</v>
      </c>
      <c r="Q53" s="359">
        <f t="shared" si="67"/>
        <v>32</v>
      </c>
      <c r="R53" s="360"/>
      <c r="S53" s="283"/>
      <c r="T53" s="283"/>
      <c r="U53" s="283"/>
      <c r="V53" s="283"/>
      <c r="W53" s="283"/>
      <c r="X53" s="360"/>
      <c r="Y53" s="283"/>
      <c r="Z53" s="283"/>
      <c r="AA53" s="283"/>
      <c r="AB53" s="283"/>
      <c r="AC53" s="283"/>
      <c r="AD53" s="360">
        <f t="shared" si="68"/>
        <v>0</v>
      </c>
      <c r="AE53" s="283"/>
      <c r="AF53" s="283"/>
      <c r="AG53" s="283"/>
      <c r="AH53" s="283"/>
      <c r="AI53" s="283"/>
      <c r="AJ53" s="360">
        <f t="shared" si="69"/>
        <v>0</v>
      </c>
      <c r="AK53" s="283"/>
      <c r="AL53" s="283"/>
      <c r="AM53" s="283"/>
      <c r="AN53" s="283"/>
      <c r="AO53" s="283"/>
      <c r="AP53" s="360">
        <f t="shared" si="70"/>
        <v>0</v>
      </c>
      <c r="AQ53" s="283"/>
      <c r="AR53" s="283"/>
      <c r="AS53" s="283"/>
      <c r="AT53" s="283"/>
      <c r="AU53" s="283"/>
      <c r="AV53" s="360">
        <f t="shared" si="71"/>
        <v>0</v>
      </c>
      <c r="AW53" s="283"/>
      <c r="AX53" s="283"/>
      <c r="AY53" s="283"/>
      <c r="AZ53" s="283"/>
      <c r="BA53" s="283"/>
      <c r="BB53" s="360">
        <f t="shared" si="72"/>
        <v>24</v>
      </c>
      <c r="BC53" s="368">
        <v>16</v>
      </c>
      <c r="BD53" s="368"/>
      <c r="BE53" s="368"/>
      <c r="BF53" s="368"/>
      <c r="BG53" s="368">
        <v>8</v>
      </c>
      <c r="BH53" s="360">
        <f t="shared" si="73"/>
        <v>72</v>
      </c>
      <c r="BI53" s="368">
        <v>48</v>
      </c>
      <c r="BJ53" s="368"/>
      <c r="BK53" s="368"/>
      <c r="BL53" s="368"/>
      <c r="BM53" s="368">
        <v>24</v>
      </c>
      <c r="BN53" s="392"/>
      <c r="BO53" s="360"/>
      <c r="BP53" s="283"/>
      <c r="BQ53" s="283"/>
      <c r="BR53" s="283"/>
      <c r="BS53" s="283"/>
      <c r="BT53" s="283"/>
      <c r="BU53" s="283"/>
      <c r="BV53" s="283"/>
      <c r="BW53" s="392"/>
      <c r="BX53" s="360"/>
      <c r="BY53" s="283"/>
      <c r="BZ53" s="283"/>
      <c r="CA53" s="283"/>
      <c r="CB53" s="283"/>
      <c r="CC53" s="283"/>
      <c r="CD53" s="283"/>
      <c r="CE53" s="283"/>
      <c r="CF53" s="358" t="s">
        <v>474</v>
      </c>
      <c r="CG53" s="351" t="s">
        <v>581</v>
      </c>
    </row>
    <row r="54" spans="1:85" s="117" customFormat="1" ht="25.5" customHeight="1">
      <c r="A54" s="399"/>
      <c r="B54" s="361" t="s">
        <v>401</v>
      </c>
      <c r="C54" s="301"/>
      <c r="D54" s="358"/>
      <c r="E54" s="358" t="s">
        <v>38</v>
      </c>
      <c r="F54" s="358"/>
      <c r="G54" s="358"/>
      <c r="H54" s="358"/>
      <c r="I54" s="283"/>
      <c r="J54" s="283"/>
      <c r="K54" s="359">
        <f t="shared" si="64"/>
        <v>72</v>
      </c>
      <c r="L54" s="359">
        <f t="shared" si="65"/>
        <v>48</v>
      </c>
      <c r="M54" s="359">
        <f t="shared" si="66"/>
        <v>48</v>
      </c>
      <c r="N54" s="359">
        <f t="shared" si="66"/>
        <v>0</v>
      </c>
      <c r="O54" s="359">
        <f t="shared" si="66"/>
        <v>0</v>
      </c>
      <c r="P54" s="359">
        <f t="shared" si="66"/>
        <v>0</v>
      </c>
      <c r="Q54" s="359">
        <f t="shared" si="67"/>
        <v>24</v>
      </c>
      <c r="R54" s="360">
        <f>SUM(S54:W54)</f>
        <v>0</v>
      </c>
      <c r="S54" s="283"/>
      <c r="T54" s="283"/>
      <c r="U54" s="283"/>
      <c r="V54" s="283"/>
      <c r="W54" s="283"/>
      <c r="X54" s="360">
        <f>SUM(Y54:AC54)</f>
        <v>0</v>
      </c>
      <c r="Y54" s="283"/>
      <c r="Z54" s="283"/>
      <c r="AA54" s="283"/>
      <c r="AB54" s="283"/>
      <c r="AC54" s="283"/>
      <c r="AD54" s="360">
        <f t="shared" si="68"/>
        <v>0</v>
      </c>
      <c r="AE54" s="283"/>
      <c r="AF54" s="283"/>
      <c r="AG54" s="283"/>
      <c r="AH54" s="283"/>
      <c r="AI54" s="283"/>
      <c r="AJ54" s="360">
        <f t="shared" si="69"/>
        <v>0</v>
      </c>
      <c r="AK54" s="283"/>
      <c r="AL54" s="283"/>
      <c r="AM54" s="283"/>
      <c r="AN54" s="283"/>
      <c r="AO54" s="283"/>
      <c r="AP54" s="360">
        <f t="shared" si="70"/>
        <v>0</v>
      </c>
      <c r="AQ54" s="283"/>
      <c r="AR54" s="283"/>
      <c r="AS54" s="283"/>
      <c r="AT54" s="283"/>
      <c r="AU54" s="283"/>
      <c r="AV54" s="360">
        <f t="shared" si="71"/>
        <v>0</v>
      </c>
      <c r="AW54" s="283"/>
      <c r="AX54" s="283"/>
      <c r="AY54" s="283"/>
      <c r="AZ54" s="283"/>
      <c r="BA54" s="283"/>
      <c r="BB54" s="360">
        <f t="shared" si="72"/>
        <v>0</v>
      </c>
      <c r="BC54" s="368"/>
      <c r="BD54" s="368"/>
      <c r="BE54" s="368"/>
      <c r="BF54" s="368"/>
      <c r="BG54" s="368"/>
      <c r="BH54" s="360">
        <f t="shared" si="73"/>
        <v>72</v>
      </c>
      <c r="BI54" s="368">
        <v>48</v>
      </c>
      <c r="BJ54" s="368"/>
      <c r="BK54" s="368"/>
      <c r="BL54" s="368"/>
      <c r="BM54" s="368">
        <v>24</v>
      </c>
      <c r="BN54" s="392">
        <f>LEN(H54)-LEN(SUBSTITUTE(H54,"9",""))</f>
        <v>0</v>
      </c>
      <c r="BO54" s="360">
        <f>SUM(BP54:BV54)</f>
        <v>0</v>
      </c>
      <c r="BP54" s="283"/>
      <c r="BQ54" s="283"/>
      <c r="BR54" s="283"/>
      <c r="BS54" s="283"/>
      <c r="BT54" s="283"/>
      <c r="BU54" s="283"/>
      <c r="BV54" s="283"/>
      <c r="BW54" s="392">
        <f>LEN(H54)-LEN(SUBSTITUTE(H54,"Х",""))</f>
        <v>0</v>
      </c>
      <c r="BX54" s="360">
        <f>SUM(BY54:CE54)</f>
        <v>0</v>
      </c>
      <c r="BY54" s="283"/>
      <c r="BZ54" s="283"/>
      <c r="CA54" s="283"/>
      <c r="CB54" s="283"/>
      <c r="CC54" s="283"/>
      <c r="CD54" s="283"/>
      <c r="CE54" s="283"/>
      <c r="CF54" s="358" t="s">
        <v>474</v>
      </c>
      <c r="CG54" s="393" t="s">
        <v>332</v>
      </c>
    </row>
    <row r="55" spans="1:85" s="117" customFormat="1" ht="12.75">
      <c r="A55" s="224" t="s">
        <v>374</v>
      </c>
      <c r="B55" s="380"/>
      <c r="C55" s="224"/>
      <c r="D55" s="229" t="s">
        <v>38</v>
      </c>
      <c r="E55" s="224"/>
      <c r="F55" s="224"/>
      <c r="G55" s="224"/>
      <c r="H55" s="224"/>
      <c r="I55" s="400"/>
      <c r="J55" s="400"/>
      <c r="K55" s="401"/>
      <c r="L55" s="401"/>
      <c r="M55" s="401"/>
      <c r="N55" s="401"/>
      <c r="O55" s="401"/>
      <c r="P55" s="401"/>
      <c r="Q55" s="401"/>
      <c r="R55" s="401"/>
      <c r="S55" s="400"/>
      <c r="T55" s="400"/>
      <c r="U55" s="400"/>
      <c r="V55" s="400"/>
      <c r="W55" s="400"/>
      <c r="X55" s="401"/>
      <c r="Y55" s="400"/>
      <c r="Z55" s="400"/>
      <c r="AA55" s="400"/>
      <c r="AB55" s="400"/>
      <c r="AC55" s="400"/>
      <c r="AD55" s="401"/>
      <c r="AE55" s="400"/>
      <c r="AF55" s="400"/>
      <c r="AG55" s="400"/>
      <c r="AH55" s="400"/>
      <c r="AI55" s="400"/>
      <c r="AJ55" s="401"/>
      <c r="AK55" s="400"/>
      <c r="AL55" s="400"/>
      <c r="AM55" s="400"/>
      <c r="AN55" s="400"/>
      <c r="AO55" s="400"/>
      <c r="AP55" s="401"/>
      <c r="AQ55" s="400"/>
      <c r="AR55" s="400"/>
      <c r="AS55" s="400"/>
      <c r="AT55" s="400"/>
      <c r="AU55" s="400"/>
      <c r="AV55" s="401"/>
      <c r="AW55" s="400"/>
      <c r="AX55" s="400"/>
      <c r="AY55" s="400"/>
      <c r="AZ55" s="400"/>
      <c r="BA55" s="400"/>
      <c r="BB55" s="401"/>
      <c r="BC55" s="400"/>
      <c r="BD55" s="400"/>
      <c r="BE55" s="400"/>
      <c r="BF55" s="400"/>
      <c r="BG55" s="400"/>
      <c r="BH55" s="401"/>
      <c r="BI55" s="400"/>
      <c r="BJ55" s="400"/>
      <c r="BK55" s="400"/>
      <c r="BL55" s="400"/>
      <c r="BM55" s="400"/>
      <c r="BN55" s="400"/>
      <c r="BO55" s="401"/>
      <c r="BP55" s="400"/>
      <c r="BQ55" s="400"/>
      <c r="BR55" s="400"/>
      <c r="BS55" s="400"/>
      <c r="BT55" s="400"/>
      <c r="BU55" s="400"/>
      <c r="BV55" s="400"/>
      <c r="BW55" s="400"/>
      <c r="BX55" s="401"/>
      <c r="BY55" s="400"/>
      <c r="BZ55" s="400"/>
      <c r="CA55" s="400"/>
      <c r="CB55" s="400"/>
      <c r="CC55" s="400"/>
      <c r="CD55" s="400"/>
      <c r="CE55" s="400"/>
      <c r="CF55" s="402"/>
      <c r="CG55" s="403">
        <v>0</v>
      </c>
    </row>
    <row r="56" spans="1:85" s="112" customFormat="1" ht="25.5" customHeight="1">
      <c r="A56" s="395" t="s">
        <v>155</v>
      </c>
      <c r="B56" s="548" t="s">
        <v>258</v>
      </c>
      <c r="C56" s="549"/>
      <c r="D56" s="549"/>
      <c r="E56" s="549"/>
      <c r="F56" s="549"/>
      <c r="G56" s="549"/>
      <c r="H56" s="550"/>
      <c r="I56" s="397"/>
      <c r="J56" s="397"/>
      <c r="K56" s="398">
        <f>L56+SUM(Q56:Q56)</f>
        <v>204</v>
      </c>
      <c r="L56" s="398">
        <f>SUM(M56:P56)</f>
        <v>137</v>
      </c>
      <c r="M56" s="398">
        <f aca="true" t="shared" si="76" ref="M56:P58">S56+Y56+AE56+AK56+AQ56+AW56+BC56+BI56+BQ56+BZ56</f>
        <v>137</v>
      </c>
      <c r="N56" s="398">
        <f t="shared" si="76"/>
        <v>0</v>
      </c>
      <c r="O56" s="398">
        <f t="shared" si="76"/>
        <v>0</v>
      </c>
      <c r="P56" s="398">
        <f t="shared" si="76"/>
        <v>0</v>
      </c>
      <c r="Q56" s="398">
        <f>W56+AC56+AI56+AO56+AU56+BA56+BG56+BM56+BV56+CE56</f>
        <v>67</v>
      </c>
      <c r="R56" s="398">
        <f>SUM(S56:W56)</f>
        <v>0</v>
      </c>
      <c r="S56" s="398">
        <f>SUM(S57:S58)</f>
        <v>0</v>
      </c>
      <c r="T56" s="398">
        <f>SUM(T57:T58)</f>
        <v>0</v>
      </c>
      <c r="U56" s="398">
        <f>SUM(U57:U58)</f>
        <v>0</v>
      </c>
      <c r="V56" s="398">
        <f>SUM(V57:V58)</f>
        <v>0</v>
      </c>
      <c r="W56" s="398">
        <f>SUM(W57:W58)</f>
        <v>0</v>
      </c>
      <c r="X56" s="398">
        <f>SUM(Y56:AC56)</f>
        <v>0</v>
      </c>
      <c r="Y56" s="398">
        <f>SUM(Y57:Y58)</f>
        <v>0</v>
      </c>
      <c r="Z56" s="398">
        <f>SUM(Z57:Z58)</f>
        <v>0</v>
      </c>
      <c r="AA56" s="398">
        <f>SUM(AA57:AA58)</f>
        <v>0</v>
      </c>
      <c r="AB56" s="398">
        <f>SUM(AB57:AB58)</f>
        <v>0</v>
      </c>
      <c r="AC56" s="398">
        <f>SUM(AC57:AC58)</f>
        <v>0</v>
      </c>
      <c r="AD56" s="398">
        <f>SUM(AE56:AI56)</f>
        <v>0</v>
      </c>
      <c r="AE56" s="398">
        <f>SUM(AE57:AE58)</f>
        <v>0</v>
      </c>
      <c r="AF56" s="398">
        <f>SUM(AF57:AF58)</f>
        <v>0</v>
      </c>
      <c r="AG56" s="398">
        <f>SUM(AG57:AG58)</f>
        <v>0</v>
      </c>
      <c r="AH56" s="398">
        <f>SUM(AH57:AH58)</f>
        <v>0</v>
      </c>
      <c r="AI56" s="398">
        <f>SUM(AI57:AI58)</f>
        <v>0</v>
      </c>
      <c r="AJ56" s="398">
        <f>SUM(AK56:AO56)</f>
        <v>84</v>
      </c>
      <c r="AK56" s="398">
        <f>SUM(AK57:AK58)</f>
        <v>57</v>
      </c>
      <c r="AL56" s="398">
        <f>SUM(AL57:AL58)</f>
        <v>0</v>
      </c>
      <c r="AM56" s="398">
        <f>SUM(AM57:AM58)</f>
        <v>0</v>
      </c>
      <c r="AN56" s="398">
        <f>SUM(AN57:AN58)</f>
        <v>0</v>
      </c>
      <c r="AO56" s="398">
        <f>SUM(AO57:AO58)</f>
        <v>27</v>
      </c>
      <c r="AP56" s="398">
        <f>SUM(AQ56:AU56)</f>
        <v>0</v>
      </c>
      <c r="AQ56" s="398">
        <f>SUM(AQ57:AQ58)</f>
        <v>0</v>
      </c>
      <c r="AR56" s="398">
        <f>SUM(AR57:AR58)</f>
        <v>0</v>
      </c>
      <c r="AS56" s="398">
        <f>SUM(AS57:AS58)</f>
        <v>0</v>
      </c>
      <c r="AT56" s="398">
        <f>SUM(AT57:AT58)</f>
        <v>0</v>
      </c>
      <c r="AU56" s="398">
        <f>SUM(AU57:AU58)</f>
        <v>0</v>
      </c>
      <c r="AV56" s="398">
        <f>SUM(AW56:BA56)</f>
        <v>0</v>
      </c>
      <c r="AW56" s="398">
        <f>SUM(AW57:AW58)</f>
        <v>0</v>
      </c>
      <c r="AX56" s="398">
        <f>SUM(AX57:AX58)</f>
        <v>0</v>
      </c>
      <c r="AY56" s="398">
        <f>SUM(AY57:AY58)</f>
        <v>0</v>
      </c>
      <c r="AZ56" s="398">
        <f>SUM(AZ57:AZ58)</f>
        <v>0</v>
      </c>
      <c r="BA56" s="398">
        <f>SUM(BA57:BA58)</f>
        <v>0</v>
      </c>
      <c r="BB56" s="398">
        <f>SUM(BC56:BG56)</f>
        <v>48</v>
      </c>
      <c r="BC56" s="398">
        <f>SUM(BC57:BC58)</f>
        <v>32</v>
      </c>
      <c r="BD56" s="398">
        <f>SUM(BD57:BD58)</f>
        <v>0</v>
      </c>
      <c r="BE56" s="398">
        <f>SUM(BE57:BE58)</f>
        <v>0</v>
      </c>
      <c r="BF56" s="398">
        <f>SUM(BF57:BF58)</f>
        <v>0</v>
      </c>
      <c r="BG56" s="398">
        <f>SUM(BG57:BG58)</f>
        <v>16</v>
      </c>
      <c r="BH56" s="398">
        <f>SUM(BI56:BM56)</f>
        <v>72</v>
      </c>
      <c r="BI56" s="398">
        <f>SUM(BI57:BI58)</f>
        <v>48</v>
      </c>
      <c r="BJ56" s="398">
        <f>SUM(BJ57:BJ58)</f>
        <v>0</v>
      </c>
      <c r="BK56" s="398">
        <f>SUM(BK57:BK58)</f>
        <v>0</v>
      </c>
      <c r="BL56" s="398">
        <f>SUM(BL57:BL58)</f>
        <v>0</v>
      </c>
      <c r="BM56" s="398">
        <f>SUM(BM57:BM58)</f>
        <v>24</v>
      </c>
      <c r="BN56" s="398"/>
      <c r="BO56" s="398">
        <f>SUM(BP56:BV56)</f>
        <v>0</v>
      </c>
      <c r="BP56" s="398">
        <f aca="true" t="shared" si="77" ref="BP56:BV56">SUM(BP57:BP58)</f>
        <v>0</v>
      </c>
      <c r="BQ56" s="398">
        <f t="shared" si="77"/>
        <v>0</v>
      </c>
      <c r="BR56" s="398">
        <f t="shared" si="77"/>
        <v>0</v>
      </c>
      <c r="BS56" s="398">
        <f t="shared" si="77"/>
        <v>0</v>
      </c>
      <c r="BT56" s="398">
        <f t="shared" si="77"/>
        <v>0</v>
      </c>
      <c r="BU56" s="398">
        <f t="shared" si="77"/>
        <v>0</v>
      </c>
      <c r="BV56" s="398">
        <f t="shared" si="77"/>
        <v>0</v>
      </c>
      <c r="BW56" s="398"/>
      <c r="BX56" s="398">
        <f>SUM(BY56:CE56)</f>
        <v>0</v>
      </c>
      <c r="BY56" s="398">
        <f aca="true" t="shared" si="78" ref="BY56:CE56">SUM(BY57:BY58)</f>
        <v>0</v>
      </c>
      <c r="BZ56" s="398">
        <f t="shared" si="78"/>
        <v>0</v>
      </c>
      <c r="CA56" s="398">
        <f t="shared" si="78"/>
        <v>0</v>
      </c>
      <c r="CB56" s="398">
        <f t="shared" si="78"/>
        <v>0</v>
      </c>
      <c r="CC56" s="398">
        <f t="shared" si="78"/>
        <v>0</v>
      </c>
      <c r="CD56" s="398">
        <f t="shared" si="78"/>
        <v>0</v>
      </c>
      <c r="CE56" s="398">
        <f t="shared" si="78"/>
        <v>0</v>
      </c>
      <c r="CF56" s="396" t="s">
        <v>474</v>
      </c>
      <c r="CG56" s="404" t="s">
        <v>333</v>
      </c>
    </row>
    <row r="57" spans="1:85" s="117" customFormat="1" ht="25.5" customHeight="1">
      <c r="A57" s="391" t="s">
        <v>521</v>
      </c>
      <c r="B57" s="301" t="s">
        <v>259</v>
      </c>
      <c r="C57" s="301"/>
      <c r="D57" s="358"/>
      <c r="E57" s="358" t="s">
        <v>40</v>
      </c>
      <c r="F57" s="358"/>
      <c r="G57" s="358"/>
      <c r="H57" s="358"/>
      <c r="I57" s="283"/>
      <c r="J57" s="283"/>
      <c r="K57" s="359">
        <f>L57+SUM(Q57:Q57)</f>
        <v>84</v>
      </c>
      <c r="L57" s="359">
        <f>SUM(M57:P57)</f>
        <v>57</v>
      </c>
      <c r="M57" s="359">
        <f t="shared" si="76"/>
        <v>57</v>
      </c>
      <c r="N57" s="359">
        <f t="shared" si="76"/>
        <v>0</v>
      </c>
      <c r="O57" s="359">
        <f t="shared" si="76"/>
        <v>0</v>
      </c>
      <c r="P57" s="359">
        <f t="shared" si="76"/>
        <v>0</v>
      </c>
      <c r="Q57" s="359">
        <f>W57+AC57+AI57+AO57+AU57+BA57+BG57+BM57+BV57+CE57</f>
        <v>27</v>
      </c>
      <c r="R57" s="360">
        <f>SUM(S57:W57)</f>
        <v>0</v>
      </c>
      <c r="S57" s="283"/>
      <c r="T57" s="283"/>
      <c r="U57" s="283"/>
      <c r="V57" s="283"/>
      <c r="W57" s="283"/>
      <c r="X57" s="360">
        <f>SUM(Y57:AC57)</f>
        <v>0</v>
      </c>
      <c r="Y57" s="283"/>
      <c r="Z57" s="283"/>
      <c r="AA57" s="283"/>
      <c r="AB57" s="283"/>
      <c r="AC57" s="283"/>
      <c r="AD57" s="360">
        <f>SUM(AE57:AI57)</f>
        <v>0</v>
      </c>
      <c r="AE57" s="283"/>
      <c r="AF57" s="283"/>
      <c r="AG57" s="283"/>
      <c r="AH57" s="283"/>
      <c r="AI57" s="283"/>
      <c r="AJ57" s="360">
        <f>SUM(AK57:AO57)</f>
        <v>84</v>
      </c>
      <c r="AK57" s="283">
        <v>57</v>
      </c>
      <c r="AL57" s="283"/>
      <c r="AM57" s="283"/>
      <c r="AN57" s="283"/>
      <c r="AO57" s="283">
        <v>27</v>
      </c>
      <c r="AP57" s="360">
        <f>SUM(AQ57:AU57)</f>
        <v>0</v>
      </c>
      <c r="AQ57" s="283"/>
      <c r="AR57" s="283"/>
      <c r="AS57" s="283"/>
      <c r="AT57" s="283"/>
      <c r="AU57" s="283"/>
      <c r="AV57" s="360">
        <f>SUM(AW57:BA57)</f>
        <v>0</v>
      </c>
      <c r="AW57" s="283"/>
      <c r="AX57" s="283"/>
      <c r="AY57" s="283"/>
      <c r="AZ57" s="283"/>
      <c r="BA57" s="283"/>
      <c r="BB57" s="360">
        <f>SUM(BC57:BG57)</f>
        <v>0</v>
      </c>
      <c r="BC57" s="283"/>
      <c r="BD57" s="283"/>
      <c r="BE57" s="283"/>
      <c r="BF57" s="283"/>
      <c r="BG57" s="283"/>
      <c r="BH57" s="360">
        <f>SUM(BI57:BM57)</f>
        <v>0</v>
      </c>
      <c r="BI57" s="283"/>
      <c r="BJ57" s="283"/>
      <c r="BK57" s="283"/>
      <c r="BL57" s="283"/>
      <c r="BM57" s="283"/>
      <c r="BN57" s="392">
        <f>LEN(H57)-LEN(SUBSTITUTE(H57,"9",""))</f>
        <v>0</v>
      </c>
      <c r="BO57" s="360">
        <f>SUM(BP57:BV57)</f>
        <v>0</v>
      </c>
      <c r="BP57" s="283"/>
      <c r="BQ57" s="283"/>
      <c r="BR57" s="283"/>
      <c r="BS57" s="283"/>
      <c r="BT57" s="283"/>
      <c r="BU57" s="283"/>
      <c r="BV57" s="283"/>
      <c r="BW57" s="392">
        <f>LEN(H57)-LEN(SUBSTITUTE(H57,"Х",""))</f>
        <v>0</v>
      </c>
      <c r="BX57" s="360">
        <f>SUM(BY57:CE57)</f>
        <v>0</v>
      </c>
      <c r="BY57" s="283"/>
      <c r="BZ57" s="283"/>
      <c r="CA57" s="283"/>
      <c r="CB57" s="283"/>
      <c r="CC57" s="283"/>
      <c r="CD57" s="283"/>
      <c r="CE57" s="283"/>
      <c r="CF57" s="358" t="s">
        <v>474</v>
      </c>
      <c r="CG57" s="393" t="s">
        <v>333</v>
      </c>
    </row>
    <row r="58" spans="1:85" s="117" customFormat="1" ht="25.5" customHeight="1">
      <c r="A58" s="391" t="s">
        <v>522</v>
      </c>
      <c r="B58" s="301" t="s">
        <v>260</v>
      </c>
      <c r="C58" s="301"/>
      <c r="D58" s="358"/>
      <c r="E58" s="358" t="s">
        <v>38</v>
      </c>
      <c r="F58" s="358"/>
      <c r="G58" s="358"/>
      <c r="H58" s="358" t="s">
        <v>43</v>
      </c>
      <c r="I58" s="283"/>
      <c r="J58" s="283"/>
      <c r="K58" s="359">
        <f>L58+SUM(Q58:Q58)</f>
        <v>120</v>
      </c>
      <c r="L58" s="359">
        <f>SUM(M58:P58)</f>
        <v>80</v>
      </c>
      <c r="M58" s="359">
        <f t="shared" si="76"/>
        <v>80</v>
      </c>
      <c r="N58" s="359">
        <f t="shared" si="76"/>
        <v>0</v>
      </c>
      <c r="O58" s="359">
        <f t="shared" si="76"/>
        <v>0</v>
      </c>
      <c r="P58" s="359">
        <f t="shared" si="76"/>
        <v>0</v>
      </c>
      <c r="Q58" s="359">
        <f>W58+AC58+AI58+AO58+AU58+BA58+BG58+BM58+BV58+CE58</f>
        <v>40</v>
      </c>
      <c r="R58" s="360">
        <f>SUM(S58:W58)</f>
        <v>0</v>
      </c>
      <c r="S58" s="283"/>
      <c r="T58" s="283"/>
      <c r="U58" s="283"/>
      <c r="V58" s="283"/>
      <c r="W58" s="283"/>
      <c r="X58" s="360">
        <f>SUM(Y58:AC58)</f>
        <v>0</v>
      </c>
      <c r="Y58" s="283"/>
      <c r="Z58" s="283"/>
      <c r="AA58" s="283"/>
      <c r="AB58" s="283"/>
      <c r="AC58" s="283"/>
      <c r="AD58" s="360">
        <f>SUM(AE58:AI58)</f>
        <v>0</v>
      </c>
      <c r="AE58" s="283"/>
      <c r="AF58" s="283"/>
      <c r="AG58" s="283"/>
      <c r="AH58" s="283"/>
      <c r="AI58" s="283"/>
      <c r="AJ58" s="360">
        <f>SUM(AK58:AO58)</f>
        <v>0</v>
      </c>
      <c r="AK58" s="283"/>
      <c r="AL58" s="283"/>
      <c r="AM58" s="283"/>
      <c r="AN58" s="283"/>
      <c r="AO58" s="283"/>
      <c r="AP58" s="360">
        <f>SUM(AQ58:AU58)</f>
        <v>0</v>
      </c>
      <c r="AQ58" s="283"/>
      <c r="AR58" s="283"/>
      <c r="AS58" s="283"/>
      <c r="AT58" s="283"/>
      <c r="AU58" s="283"/>
      <c r="AV58" s="360">
        <f>SUM(AW58:BA58)</f>
        <v>0</v>
      </c>
      <c r="AW58" s="283"/>
      <c r="AX58" s="283"/>
      <c r="AY58" s="283"/>
      <c r="AZ58" s="283"/>
      <c r="BA58" s="283"/>
      <c r="BB58" s="360">
        <f>SUM(BC58:BG58)</f>
        <v>48</v>
      </c>
      <c r="BC58" s="283">
        <v>32</v>
      </c>
      <c r="BD58" s="283"/>
      <c r="BE58" s="283"/>
      <c r="BF58" s="283"/>
      <c r="BG58" s="283">
        <v>16</v>
      </c>
      <c r="BH58" s="360">
        <f>SUM(BI58:BM58)</f>
        <v>72</v>
      </c>
      <c r="BI58" s="283">
        <v>48</v>
      </c>
      <c r="BJ58" s="283"/>
      <c r="BK58" s="283"/>
      <c r="BL58" s="283"/>
      <c r="BM58" s="283">
        <v>24</v>
      </c>
      <c r="BN58" s="392">
        <f>LEN(H58)-LEN(SUBSTITUTE(H58,"9",""))</f>
        <v>0</v>
      </c>
      <c r="BO58" s="360">
        <f>SUM(BP58:BV58)</f>
        <v>0</v>
      </c>
      <c r="BP58" s="283"/>
      <c r="BQ58" s="283"/>
      <c r="BR58" s="283"/>
      <c r="BS58" s="283"/>
      <c r="BT58" s="283"/>
      <c r="BU58" s="283"/>
      <c r="BV58" s="283"/>
      <c r="BW58" s="392">
        <f>LEN(H58)-LEN(SUBSTITUTE(H58,"Х",""))</f>
        <v>0</v>
      </c>
      <c r="BX58" s="360">
        <f>SUM(BY58:CE58)</f>
        <v>0</v>
      </c>
      <c r="BY58" s="283"/>
      <c r="BZ58" s="283"/>
      <c r="CA58" s="283"/>
      <c r="CB58" s="283"/>
      <c r="CC58" s="283"/>
      <c r="CD58" s="283"/>
      <c r="CE58" s="283"/>
      <c r="CF58" s="358" t="s">
        <v>474</v>
      </c>
      <c r="CG58" s="393" t="s">
        <v>333</v>
      </c>
    </row>
    <row r="59" spans="1:85" s="117" customFormat="1" ht="13.5" customHeight="1">
      <c r="A59" s="224" t="s">
        <v>374</v>
      </c>
      <c r="B59" s="224"/>
      <c r="C59" s="224"/>
      <c r="D59" s="229" t="s">
        <v>38</v>
      </c>
      <c r="E59" s="224"/>
      <c r="F59" s="224"/>
      <c r="G59" s="224"/>
      <c r="H59" s="224"/>
      <c r="I59" s="400"/>
      <c r="J59" s="400"/>
      <c r="K59" s="401"/>
      <c r="L59" s="401"/>
      <c r="M59" s="401"/>
      <c r="N59" s="401"/>
      <c r="O59" s="401"/>
      <c r="P59" s="401"/>
      <c r="Q59" s="401"/>
      <c r="R59" s="401"/>
      <c r="S59" s="400"/>
      <c r="T59" s="400"/>
      <c r="U59" s="400"/>
      <c r="V59" s="400"/>
      <c r="W59" s="400"/>
      <c r="X59" s="401"/>
      <c r="Y59" s="400"/>
      <c r="Z59" s="400"/>
      <c r="AA59" s="400"/>
      <c r="AB59" s="400"/>
      <c r="AC59" s="400"/>
      <c r="AD59" s="401"/>
      <c r="AE59" s="400"/>
      <c r="AF59" s="400"/>
      <c r="AG59" s="400"/>
      <c r="AH59" s="400"/>
      <c r="AI59" s="400"/>
      <c r="AJ59" s="401"/>
      <c r="AK59" s="400"/>
      <c r="AL59" s="400"/>
      <c r="AM59" s="400"/>
      <c r="AN59" s="400"/>
      <c r="AO59" s="400"/>
      <c r="AP59" s="401"/>
      <c r="AQ59" s="400"/>
      <c r="AR59" s="400"/>
      <c r="AS59" s="400"/>
      <c r="AT59" s="400"/>
      <c r="AU59" s="400"/>
      <c r="AV59" s="401"/>
      <c r="AW59" s="400"/>
      <c r="AX59" s="400"/>
      <c r="AY59" s="400"/>
      <c r="AZ59" s="400"/>
      <c r="BA59" s="400"/>
      <c r="BB59" s="401"/>
      <c r="BC59" s="400"/>
      <c r="BD59" s="400"/>
      <c r="BE59" s="400"/>
      <c r="BF59" s="400"/>
      <c r="BG59" s="400"/>
      <c r="BH59" s="401"/>
      <c r="BI59" s="400"/>
      <c r="BJ59" s="400"/>
      <c r="BK59" s="400"/>
      <c r="BL59" s="400"/>
      <c r="BM59" s="400"/>
      <c r="BN59" s="400"/>
      <c r="BO59" s="401"/>
      <c r="BP59" s="400"/>
      <c r="BQ59" s="400"/>
      <c r="BR59" s="400"/>
      <c r="BS59" s="400"/>
      <c r="BT59" s="400"/>
      <c r="BU59" s="400"/>
      <c r="BV59" s="400"/>
      <c r="BW59" s="400"/>
      <c r="BX59" s="401"/>
      <c r="BY59" s="400"/>
      <c r="BZ59" s="400"/>
      <c r="CA59" s="400"/>
      <c r="CB59" s="400"/>
      <c r="CC59" s="400"/>
      <c r="CD59" s="400"/>
      <c r="CE59" s="400"/>
      <c r="CF59" s="402"/>
      <c r="CG59" s="403">
        <v>0</v>
      </c>
    </row>
    <row r="60" spans="1:85" s="112" customFormat="1" ht="25.5" customHeight="1">
      <c r="A60" s="395" t="s">
        <v>156</v>
      </c>
      <c r="B60" s="548" t="s">
        <v>261</v>
      </c>
      <c r="C60" s="549"/>
      <c r="D60" s="549"/>
      <c r="E60" s="549"/>
      <c r="F60" s="549"/>
      <c r="G60" s="549"/>
      <c r="H60" s="550"/>
      <c r="I60" s="397"/>
      <c r="J60" s="397"/>
      <c r="K60" s="398">
        <f>L60+SUM(Q60:Q60)</f>
        <v>540</v>
      </c>
      <c r="L60" s="398">
        <f>SUM(M60:P60)</f>
        <v>360</v>
      </c>
      <c r="M60" s="398">
        <f aca="true" t="shared" si="79" ref="M60:P63">S60+Y60+AE60+AK60+AQ60+AW60+BC60+BI60+BQ60+BZ60</f>
        <v>360</v>
      </c>
      <c r="N60" s="398">
        <f t="shared" si="79"/>
        <v>0</v>
      </c>
      <c r="O60" s="398">
        <f t="shared" si="79"/>
        <v>0</v>
      </c>
      <c r="P60" s="398">
        <f t="shared" si="79"/>
        <v>0</v>
      </c>
      <c r="Q60" s="398">
        <f>W60+AC60+AI60+AO60+AU60+BA60+BG60+BM60+BV60+CE60</f>
        <v>180</v>
      </c>
      <c r="R60" s="398">
        <f>SUM(S60:W60)</f>
        <v>0</v>
      </c>
      <c r="S60" s="398">
        <f>SUM(S61:S63)</f>
        <v>0</v>
      </c>
      <c r="T60" s="398">
        <f>SUM(T61:T63)</f>
        <v>0</v>
      </c>
      <c r="U60" s="398">
        <f>SUM(U61:U63)</f>
        <v>0</v>
      </c>
      <c r="V60" s="398">
        <f>SUM(V61:V63)</f>
        <v>0</v>
      </c>
      <c r="W60" s="398">
        <f>SUM(W61:W63)</f>
        <v>0</v>
      </c>
      <c r="X60" s="398">
        <f>SUM(Y60:AC60)</f>
        <v>0</v>
      </c>
      <c r="Y60" s="398">
        <f>SUM(Y61:Y63)</f>
        <v>0</v>
      </c>
      <c r="Z60" s="398">
        <f>SUM(Z61:Z63)</f>
        <v>0</v>
      </c>
      <c r="AA60" s="398">
        <f>SUM(AA61:AA63)</f>
        <v>0</v>
      </c>
      <c r="AB60" s="398">
        <f>SUM(AB61:AB63)</f>
        <v>0</v>
      </c>
      <c r="AC60" s="398">
        <f>SUM(AC61:AC63)</f>
        <v>0</v>
      </c>
      <c r="AD60" s="398">
        <f>SUM(AE60:AI60)</f>
        <v>0</v>
      </c>
      <c r="AE60" s="398">
        <f>SUM(AE61:AE63)</f>
        <v>0</v>
      </c>
      <c r="AF60" s="398">
        <f>SUM(AF61:AF63)</f>
        <v>0</v>
      </c>
      <c r="AG60" s="398">
        <f>SUM(AG61:AG63)</f>
        <v>0</v>
      </c>
      <c r="AH60" s="398">
        <f>SUM(AH61:AH63)</f>
        <v>0</v>
      </c>
      <c r="AI60" s="398">
        <f>SUM(AI61:AI63)</f>
        <v>0</v>
      </c>
      <c r="AJ60" s="398">
        <f>SUM(AK60:AO60)</f>
        <v>114</v>
      </c>
      <c r="AK60" s="398">
        <f>SUM(AK61:AK63)</f>
        <v>76</v>
      </c>
      <c r="AL60" s="398">
        <f>SUM(AL61:AL63)</f>
        <v>0</v>
      </c>
      <c r="AM60" s="398">
        <f>SUM(AM61:AM63)</f>
        <v>0</v>
      </c>
      <c r="AN60" s="398">
        <f>SUM(AN61:AN63)</f>
        <v>0</v>
      </c>
      <c r="AO60" s="398">
        <f>SUM(AO61:AO63)</f>
        <v>38</v>
      </c>
      <c r="AP60" s="398">
        <f>SUM(AQ60:AU60)</f>
        <v>78</v>
      </c>
      <c r="AQ60" s="398">
        <f>SUM(AQ61:AQ63)</f>
        <v>52</v>
      </c>
      <c r="AR60" s="398">
        <f>SUM(AR61:AR63)</f>
        <v>0</v>
      </c>
      <c r="AS60" s="398">
        <f>SUM(AS61:AS63)</f>
        <v>0</v>
      </c>
      <c r="AT60" s="398">
        <f>SUM(AT61:AT63)</f>
        <v>0</v>
      </c>
      <c r="AU60" s="398">
        <f>SUM(AU61:AU63)</f>
        <v>26</v>
      </c>
      <c r="AV60" s="398">
        <f>SUM(AW60:BA60)</f>
        <v>108</v>
      </c>
      <c r="AW60" s="398">
        <f>SUM(AW61:AW63)</f>
        <v>72</v>
      </c>
      <c r="AX60" s="398">
        <f>SUM(AX61:AX63)</f>
        <v>0</v>
      </c>
      <c r="AY60" s="398">
        <f>SUM(AY61:AY63)</f>
        <v>0</v>
      </c>
      <c r="AZ60" s="398">
        <f>SUM(AZ61:AZ63)</f>
        <v>0</v>
      </c>
      <c r="BA60" s="398">
        <f>SUM(BA61:BA63)</f>
        <v>36</v>
      </c>
      <c r="BB60" s="398">
        <f>SUM(BC60:BG60)</f>
        <v>96</v>
      </c>
      <c r="BC60" s="398">
        <f>SUM(BC61:BC63)</f>
        <v>64</v>
      </c>
      <c r="BD60" s="398">
        <f>SUM(BD61:BD63)</f>
        <v>0</v>
      </c>
      <c r="BE60" s="398">
        <f>SUM(BE61:BE63)</f>
        <v>0</v>
      </c>
      <c r="BF60" s="398">
        <f>SUM(BF61:BF63)</f>
        <v>0</v>
      </c>
      <c r="BG60" s="398">
        <f>SUM(BG61:BG63)</f>
        <v>32</v>
      </c>
      <c r="BH60" s="398">
        <f>SUM(BI60:BM60)</f>
        <v>144</v>
      </c>
      <c r="BI60" s="398">
        <f>SUM(BI61:BI63)</f>
        <v>96</v>
      </c>
      <c r="BJ60" s="398">
        <f>SUM(BJ61:BJ63)</f>
        <v>0</v>
      </c>
      <c r="BK60" s="398">
        <f>SUM(BK61:BK63)</f>
        <v>0</v>
      </c>
      <c r="BL60" s="398">
        <f>SUM(BL61:BL63)</f>
        <v>0</v>
      </c>
      <c r="BM60" s="398">
        <f>SUM(BM61:BM63)</f>
        <v>48</v>
      </c>
      <c r="BN60" s="398"/>
      <c r="BO60" s="398">
        <f>SUM(BP60:BV60)</f>
        <v>0</v>
      </c>
      <c r="BP60" s="398">
        <f aca="true" t="shared" si="80" ref="BP60:BV60">SUM(BP61:BP63)</f>
        <v>0</v>
      </c>
      <c r="BQ60" s="398">
        <f t="shared" si="80"/>
        <v>0</v>
      </c>
      <c r="BR60" s="398">
        <f t="shared" si="80"/>
        <v>0</v>
      </c>
      <c r="BS60" s="398">
        <f t="shared" si="80"/>
        <v>0</v>
      </c>
      <c r="BT60" s="398">
        <f t="shared" si="80"/>
        <v>0</v>
      </c>
      <c r="BU60" s="398">
        <f t="shared" si="80"/>
        <v>0</v>
      </c>
      <c r="BV60" s="398">
        <f t="shared" si="80"/>
        <v>0</v>
      </c>
      <c r="BW60" s="398"/>
      <c r="BX60" s="398">
        <f>SUM(BY60:CE60)</f>
        <v>0</v>
      </c>
      <c r="BY60" s="398">
        <f aca="true" t="shared" si="81" ref="BY60:CE60">SUM(BY61:BY63)</f>
        <v>0</v>
      </c>
      <c r="BZ60" s="398">
        <f t="shared" si="81"/>
        <v>0</v>
      </c>
      <c r="CA60" s="398">
        <f t="shared" si="81"/>
        <v>0</v>
      </c>
      <c r="CB60" s="398">
        <f t="shared" si="81"/>
        <v>0</v>
      </c>
      <c r="CC60" s="398">
        <f t="shared" si="81"/>
        <v>0</v>
      </c>
      <c r="CD60" s="398">
        <f t="shared" si="81"/>
        <v>0</v>
      </c>
      <c r="CE60" s="398">
        <f t="shared" si="81"/>
        <v>0</v>
      </c>
      <c r="CF60" s="396" t="s">
        <v>474</v>
      </c>
      <c r="CG60" s="404" t="s">
        <v>331</v>
      </c>
    </row>
    <row r="61" spans="1:85" s="226" customFormat="1" ht="25.5" customHeight="1">
      <c r="A61" s="399" t="s">
        <v>526</v>
      </c>
      <c r="B61" s="361" t="s">
        <v>306</v>
      </c>
      <c r="C61" s="361"/>
      <c r="D61" s="394" t="s">
        <v>40</v>
      </c>
      <c r="E61" s="394"/>
      <c r="F61" s="394"/>
      <c r="G61" s="394"/>
      <c r="H61" s="394"/>
      <c r="I61" s="368"/>
      <c r="J61" s="368"/>
      <c r="K61" s="359">
        <f>L61+SUM(Q61:Q61)</f>
        <v>114</v>
      </c>
      <c r="L61" s="359">
        <f>SUM(M61:P61)</f>
        <v>76</v>
      </c>
      <c r="M61" s="359">
        <f t="shared" si="79"/>
        <v>76</v>
      </c>
      <c r="N61" s="359">
        <f t="shared" si="79"/>
        <v>0</v>
      </c>
      <c r="O61" s="359">
        <f t="shared" si="79"/>
        <v>0</v>
      </c>
      <c r="P61" s="359">
        <f t="shared" si="79"/>
        <v>0</v>
      </c>
      <c r="Q61" s="359">
        <f>W61+AC61+AI61+AO61+AU61+BA61+BG61+BM61+BV61+CE61</f>
        <v>38</v>
      </c>
      <c r="R61" s="360">
        <f>SUM(S61:W61)</f>
        <v>0</v>
      </c>
      <c r="S61" s="368"/>
      <c r="T61" s="368"/>
      <c r="U61" s="368"/>
      <c r="V61" s="368"/>
      <c r="W61" s="368"/>
      <c r="X61" s="360">
        <f>SUM(Y61:AC61)</f>
        <v>0</v>
      </c>
      <c r="Y61" s="368"/>
      <c r="Z61" s="368"/>
      <c r="AA61" s="368"/>
      <c r="AB61" s="368"/>
      <c r="AC61" s="368"/>
      <c r="AD61" s="360">
        <f>SUM(AE61:AI61)</f>
        <v>0</v>
      </c>
      <c r="AE61" s="368"/>
      <c r="AF61" s="368"/>
      <c r="AG61" s="368"/>
      <c r="AH61" s="368"/>
      <c r="AI61" s="368"/>
      <c r="AJ61" s="360">
        <f>SUM(AK61:AO61)</f>
        <v>114</v>
      </c>
      <c r="AK61" s="368">
        <v>76</v>
      </c>
      <c r="AL61" s="368"/>
      <c r="AM61" s="368"/>
      <c r="AN61" s="368"/>
      <c r="AO61" s="368">
        <v>38</v>
      </c>
      <c r="AP61" s="360">
        <f>SUM(AQ61:AU61)</f>
        <v>0</v>
      </c>
      <c r="AQ61" s="368"/>
      <c r="AR61" s="368"/>
      <c r="AS61" s="368"/>
      <c r="AT61" s="368"/>
      <c r="AU61" s="368"/>
      <c r="AV61" s="360">
        <f>SUM(AW61:BA61)</f>
        <v>0</v>
      </c>
      <c r="AW61" s="368"/>
      <c r="AX61" s="368"/>
      <c r="AY61" s="368"/>
      <c r="AZ61" s="368"/>
      <c r="BA61" s="368"/>
      <c r="BB61" s="360">
        <f>SUM(BC61:BG61)</f>
        <v>0</v>
      </c>
      <c r="BC61" s="368"/>
      <c r="BD61" s="368"/>
      <c r="BE61" s="368"/>
      <c r="BF61" s="368"/>
      <c r="BG61" s="368"/>
      <c r="BH61" s="360">
        <f>SUM(BI61:BM61)</f>
        <v>0</v>
      </c>
      <c r="BI61" s="368"/>
      <c r="BJ61" s="368"/>
      <c r="BK61" s="368"/>
      <c r="BL61" s="368"/>
      <c r="BM61" s="368"/>
      <c r="BN61" s="368">
        <f>LEN(H61)-LEN(SUBSTITUTE(H61,"9",""))</f>
        <v>0</v>
      </c>
      <c r="BO61" s="390">
        <f>SUM(BP61:BV61)</f>
        <v>0</v>
      </c>
      <c r="BP61" s="368"/>
      <c r="BQ61" s="368"/>
      <c r="BR61" s="368"/>
      <c r="BS61" s="368"/>
      <c r="BT61" s="368"/>
      <c r="BU61" s="368"/>
      <c r="BV61" s="368"/>
      <c r="BW61" s="368">
        <f>LEN(H61)-LEN(SUBSTITUTE(H61,"Х",""))</f>
        <v>0</v>
      </c>
      <c r="BX61" s="390">
        <f>SUM(BY61:CE61)</f>
        <v>0</v>
      </c>
      <c r="BY61" s="368"/>
      <c r="BZ61" s="368"/>
      <c r="CA61" s="368"/>
      <c r="CB61" s="368"/>
      <c r="CC61" s="368"/>
      <c r="CD61" s="368"/>
      <c r="CE61" s="368"/>
      <c r="CF61" s="394" t="s">
        <v>474</v>
      </c>
      <c r="CG61" s="405" t="s">
        <v>331</v>
      </c>
    </row>
    <row r="62" spans="1:85" s="117" customFormat="1" ht="25.5" customHeight="1">
      <c r="A62" s="391" t="s">
        <v>527</v>
      </c>
      <c r="B62" s="301" t="s">
        <v>262</v>
      </c>
      <c r="C62" s="301"/>
      <c r="D62" s="358" t="s">
        <v>499</v>
      </c>
      <c r="E62" s="358"/>
      <c r="F62" s="394"/>
      <c r="G62" s="358" t="s">
        <v>38</v>
      </c>
      <c r="H62" s="358" t="s">
        <v>545</v>
      </c>
      <c r="I62" s="283"/>
      <c r="J62" s="283"/>
      <c r="K62" s="359">
        <f>L62+SUM(Q62:Q62)</f>
        <v>306</v>
      </c>
      <c r="L62" s="359">
        <f>SUM(M62:P62)</f>
        <v>204</v>
      </c>
      <c r="M62" s="359">
        <f t="shared" si="79"/>
        <v>204</v>
      </c>
      <c r="N62" s="359">
        <f t="shared" si="79"/>
        <v>0</v>
      </c>
      <c r="O62" s="359">
        <f t="shared" si="79"/>
        <v>0</v>
      </c>
      <c r="P62" s="359">
        <f t="shared" si="79"/>
        <v>0</v>
      </c>
      <c r="Q62" s="359">
        <f>W62+AC62+AI62+AO62+AU62+BA62+BG62+BM62+BV62+CE62</f>
        <v>102</v>
      </c>
      <c r="R62" s="360">
        <f>SUM(S62:W62)</f>
        <v>0</v>
      </c>
      <c r="S62" s="283"/>
      <c r="T62" s="283"/>
      <c r="U62" s="283"/>
      <c r="V62" s="283"/>
      <c r="W62" s="283"/>
      <c r="X62" s="360">
        <f>SUM(Y62:AC62)</f>
        <v>0</v>
      </c>
      <c r="Y62" s="283"/>
      <c r="Z62" s="283"/>
      <c r="AA62" s="283"/>
      <c r="AB62" s="283"/>
      <c r="AC62" s="283"/>
      <c r="AD62" s="360">
        <f>SUM(AE62:AI62)</f>
        <v>0</v>
      </c>
      <c r="AE62" s="283"/>
      <c r="AF62" s="283"/>
      <c r="AG62" s="283"/>
      <c r="AH62" s="283"/>
      <c r="AI62" s="283"/>
      <c r="AJ62" s="360">
        <f>SUM(AK62:AO62)</f>
        <v>0</v>
      </c>
      <c r="AK62" s="283"/>
      <c r="AL62" s="283"/>
      <c r="AM62" s="283"/>
      <c r="AN62" s="283"/>
      <c r="AO62" s="283"/>
      <c r="AP62" s="360">
        <f>SUM(AQ62:AU62)</f>
        <v>78</v>
      </c>
      <c r="AQ62" s="283">
        <v>52</v>
      </c>
      <c r="AR62" s="283"/>
      <c r="AS62" s="283"/>
      <c r="AT62" s="283"/>
      <c r="AU62" s="283">
        <v>26</v>
      </c>
      <c r="AV62" s="360">
        <f>SUM(AW62:BA62)</f>
        <v>108</v>
      </c>
      <c r="AW62" s="283">
        <v>72</v>
      </c>
      <c r="AX62" s="283"/>
      <c r="AY62" s="283"/>
      <c r="AZ62" s="283"/>
      <c r="BA62" s="283">
        <v>36</v>
      </c>
      <c r="BB62" s="360">
        <f>SUM(BC62:BG62)</f>
        <v>48</v>
      </c>
      <c r="BC62" s="283">
        <v>32</v>
      </c>
      <c r="BD62" s="283"/>
      <c r="BE62" s="283"/>
      <c r="BF62" s="283"/>
      <c r="BG62" s="283">
        <v>16</v>
      </c>
      <c r="BH62" s="360">
        <f>SUM(BI62:BM62)</f>
        <v>72</v>
      </c>
      <c r="BI62" s="283">
        <v>48</v>
      </c>
      <c r="BJ62" s="283"/>
      <c r="BK62" s="283"/>
      <c r="BL62" s="283"/>
      <c r="BM62" s="283">
        <v>24</v>
      </c>
      <c r="BN62" s="392">
        <f>LEN(H62)-LEN(SUBSTITUTE(H62,"9",""))</f>
        <v>0</v>
      </c>
      <c r="BO62" s="360">
        <f>SUM(BP62:BV62)</f>
        <v>0</v>
      </c>
      <c r="BP62" s="283"/>
      <c r="BQ62" s="283"/>
      <c r="BR62" s="283"/>
      <c r="BS62" s="283"/>
      <c r="BT62" s="283"/>
      <c r="BU62" s="283"/>
      <c r="BV62" s="283"/>
      <c r="BW62" s="392">
        <f>LEN(H62)-LEN(SUBSTITUTE(H62,"Х",""))</f>
        <v>0</v>
      </c>
      <c r="BX62" s="360">
        <f>SUM(BY62:CE62)</f>
        <v>0</v>
      </c>
      <c r="BY62" s="283"/>
      <c r="BZ62" s="283"/>
      <c r="CA62" s="283"/>
      <c r="CB62" s="283"/>
      <c r="CC62" s="283"/>
      <c r="CD62" s="283"/>
      <c r="CE62" s="283"/>
      <c r="CF62" s="394" t="s">
        <v>474</v>
      </c>
      <c r="CG62" s="393" t="s">
        <v>331</v>
      </c>
    </row>
    <row r="63" spans="1:85" s="117" customFormat="1" ht="25.5" customHeight="1">
      <c r="A63" s="391" t="s">
        <v>528</v>
      </c>
      <c r="B63" s="301" t="s">
        <v>263</v>
      </c>
      <c r="C63" s="301"/>
      <c r="D63" s="358"/>
      <c r="E63" s="358" t="s">
        <v>38</v>
      </c>
      <c r="F63" s="358"/>
      <c r="G63" s="358"/>
      <c r="H63" s="358" t="s">
        <v>43</v>
      </c>
      <c r="I63" s="283"/>
      <c r="J63" s="283"/>
      <c r="K63" s="359">
        <f>L63+SUM(Q63:Q63)</f>
        <v>120</v>
      </c>
      <c r="L63" s="359">
        <f>SUM(M63:P63)</f>
        <v>80</v>
      </c>
      <c r="M63" s="359">
        <f t="shared" si="79"/>
        <v>80</v>
      </c>
      <c r="N63" s="359">
        <f t="shared" si="79"/>
        <v>0</v>
      </c>
      <c r="O63" s="359">
        <f t="shared" si="79"/>
        <v>0</v>
      </c>
      <c r="P63" s="359">
        <f t="shared" si="79"/>
        <v>0</v>
      </c>
      <c r="Q63" s="359">
        <f>W63+AC63+AI63+AO63+AU63+BA63+BG63+BM63+BV63+CE63</f>
        <v>40</v>
      </c>
      <c r="R63" s="360">
        <f>SUM(S63:W63)</f>
        <v>0</v>
      </c>
      <c r="S63" s="283"/>
      <c r="T63" s="283"/>
      <c r="U63" s="283"/>
      <c r="V63" s="283"/>
      <c r="W63" s="283"/>
      <c r="X63" s="360">
        <f>SUM(Y63:AC63)</f>
        <v>0</v>
      </c>
      <c r="Y63" s="283"/>
      <c r="Z63" s="283"/>
      <c r="AA63" s="283"/>
      <c r="AB63" s="283"/>
      <c r="AC63" s="283"/>
      <c r="AD63" s="360">
        <f>SUM(AE63:AI63)</f>
        <v>0</v>
      </c>
      <c r="AE63" s="283"/>
      <c r="AF63" s="283"/>
      <c r="AG63" s="283"/>
      <c r="AH63" s="283"/>
      <c r="AI63" s="283"/>
      <c r="AJ63" s="360">
        <f>SUM(AK63:AO63)</f>
        <v>0</v>
      </c>
      <c r="AK63" s="283"/>
      <c r="AL63" s="283"/>
      <c r="AM63" s="283"/>
      <c r="AN63" s="283"/>
      <c r="AO63" s="283"/>
      <c r="AP63" s="360">
        <f>SUM(AQ63:AU63)</f>
        <v>0</v>
      </c>
      <c r="AQ63" s="283"/>
      <c r="AR63" s="283"/>
      <c r="AS63" s="283"/>
      <c r="AT63" s="283"/>
      <c r="AU63" s="283"/>
      <c r="AV63" s="360">
        <f>SUM(AW63:BA63)</f>
        <v>0</v>
      </c>
      <c r="AW63" s="283"/>
      <c r="AX63" s="283"/>
      <c r="AY63" s="283"/>
      <c r="AZ63" s="283"/>
      <c r="BA63" s="283"/>
      <c r="BB63" s="360">
        <f>SUM(BC63:BG63)</f>
        <v>48</v>
      </c>
      <c r="BC63" s="283">
        <v>32</v>
      </c>
      <c r="BD63" s="283"/>
      <c r="BE63" s="283"/>
      <c r="BF63" s="283"/>
      <c r="BG63" s="283">
        <v>16</v>
      </c>
      <c r="BH63" s="360">
        <f>SUM(BI63:BM63)</f>
        <v>72</v>
      </c>
      <c r="BI63" s="283">
        <v>48</v>
      </c>
      <c r="BJ63" s="283"/>
      <c r="BK63" s="283"/>
      <c r="BL63" s="283"/>
      <c r="BM63" s="283">
        <v>24</v>
      </c>
      <c r="BN63" s="392">
        <f>LEN(H63)-LEN(SUBSTITUTE(H63,"9",""))</f>
        <v>0</v>
      </c>
      <c r="BO63" s="360">
        <f>SUM(BP63:BV63)</f>
        <v>0</v>
      </c>
      <c r="BP63" s="283"/>
      <c r="BQ63" s="283"/>
      <c r="BR63" s="283"/>
      <c r="BS63" s="283"/>
      <c r="BT63" s="283"/>
      <c r="BU63" s="283"/>
      <c r="BV63" s="283"/>
      <c r="BW63" s="392">
        <f>LEN(H63)-LEN(SUBSTITUTE(H63,"Х",""))</f>
        <v>0</v>
      </c>
      <c r="BX63" s="360">
        <f>SUM(BY63:CE63)</f>
        <v>0</v>
      </c>
      <c r="BY63" s="283"/>
      <c r="BZ63" s="283"/>
      <c r="CA63" s="283"/>
      <c r="CB63" s="283"/>
      <c r="CC63" s="283"/>
      <c r="CD63" s="283"/>
      <c r="CE63" s="283"/>
      <c r="CF63" s="394" t="s">
        <v>474</v>
      </c>
      <c r="CG63" s="393" t="s">
        <v>331</v>
      </c>
    </row>
    <row r="64" spans="1:85" s="117" customFormat="1" ht="12.75">
      <c r="A64" s="224" t="s">
        <v>374</v>
      </c>
      <c r="B64" s="224"/>
      <c r="C64" s="224"/>
      <c r="D64" s="229" t="s">
        <v>38</v>
      </c>
      <c r="E64" s="381"/>
      <c r="F64" s="224"/>
      <c r="G64" s="224"/>
      <c r="H64" s="224"/>
      <c r="I64" s="400"/>
      <c r="J64" s="400"/>
      <c r="K64" s="401"/>
      <c r="L64" s="401"/>
      <c r="M64" s="401"/>
      <c r="N64" s="401"/>
      <c r="O64" s="401"/>
      <c r="P64" s="401"/>
      <c r="Q64" s="401"/>
      <c r="R64" s="401"/>
      <c r="S64" s="400"/>
      <c r="T64" s="400"/>
      <c r="U64" s="400"/>
      <c r="V64" s="400"/>
      <c r="W64" s="400"/>
      <c r="X64" s="401"/>
      <c r="Y64" s="400"/>
      <c r="Z64" s="400"/>
      <c r="AA64" s="400"/>
      <c r="AB64" s="400"/>
      <c r="AC64" s="400"/>
      <c r="AD64" s="401"/>
      <c r="AE64" s="400"/>
      <c r="AF64" s="400"/>
      <c r="AG64" s="400"/>
      <c r="AH64" s="400"/>
      <c r="AI64" s="400"/>
      <c r="AJ64" s="401"/>
      <c r="AK64" s="400"/>
      <c r="AL64" s="400"/>
      <c r="AM64" s="400"/>
      <c r="AN64" s="400"/>
      <c r="AO64" s="400"/>
      <c r="AP64" s="401"/>
      <c r="AQ64" s="400"/>
      <c r="AR64" s="400"/>
      <c r="AS64" s="400"/>
      <c r="AT64" s="400"/>
      <c r="AU64" s="400"/>
      <c r="AV64" s="401"/>
      <c r="AW64" s="400"/>
      <c r="AX64" s="400"/>
      <c r="AY64" s="400"/>
      <c r="AZ64" s="400"/>
      <c r="BA64" s="400"/>
      <c r="BB64" s="401"/>
      <c r="BC64" s="400"/>
      <c r="BD64" s="400"/>
      <c r="BE64" s="400"/>
      <c r="BF64" s="400"/>
      <c r="BG64" s="400"/>
      <c r="BH64" s="401"/>
      <c r="BI64" s="400"/>
      <c r="BJ64" s="400"/>
      <c r="BK64" s="400"/>
      <c r="BL64" s="400"/>
      <c r="BM64" s="400"/>
      <c r="BN64" s="400"/>
      <c r="BO64" s="401"/>
      <c r="BP64" s="400"/>
      <c r="BQ64" s="400"/>
      <c r="BR64" s="400"/>
      <c r="BS64" s="400"/>
      <c r="BT64" s="400"/>
      <c r="BU64" s="400"/>
      <c r="BV64" s="400"/>
      <c r="BW64" s="400"/>
      <c r="BX64" s="401"/>
      <c r="BY64" s="400"/>
      <c r="BZ64" s="400"/>
      <c r="CA64" s="400"/>
      <c r="CB64" s="400"/>
      <c r="CC64" s="400"/>
      <c r="CD64" s="400"/>
      <c r="CE64" s="400"/>
      <c r="CF64" s="402"/>
      <c r="CG64" s="403">
        <v>0</v>
      </c>
    </row>
    <row r="65" spans="1:85" s="112" customFormat="1" ht="25.5" customHeight="1">
      <c r="A65" s="395" t="s">
        <v>157</v>
      </c>
      <c r="B65" s="548" t="s">
        <v>158</v>
      </c>
      <c r="C65" s="549"/>
      <c r="D65" s="549"/>
      <c r="E65" s="549"/>
      <c r="F65" s="549"/>
      <c r="G65" s="549"/>
      <c r="H65" s="550"/>
      <c r="I65" s="397"/>
      <c r="J65" s="397"/>
      <c r="K65" s="398">
        <f>L65+SUM(Q65:Q65)</f>
        <v>84</v>
      </c>
      <c r="L65" s="398">
        <f>SUM(M65:P65)</f>
        <v>56</v>
      </c>
      <c r="M65" s="398">
        <f aca="true" t="shared" si="82" ref="M65:P66">S65+Y65+AE65+AK65+AQ65+AW65+BC65+BI65+BQ65+BZ65</f>
        <v>56</v>
      </c>
      <c r="N65" s="398">
        <f t="shared" si="82"/>
        <v>0</v>
      </c>
      <c r="O65" s="398">
        <f t="shared" si="82"/>
        <v>0</v>
      </c>
      <c r="P65" s="398">
        <f t="shared" si="82"/>
        <v>0</v>
      </c>
      <c r="Q65" s="398">
        <f>W65+AC65+AI65+AO65+AU65+BA65+BG65+BM65+BV65+CE65</f>
        <v>28</v>
      </c>
      <c r="R65" s="398">
        <f>SUM(S65:W65)</f>
        <v>0</v>
      </c>
      <c r="S65" s="398">
        <f>SUM(S66:S66)</f>
        <v>0</v>
      </c>
      <c r="T65" s="398">
        <f>SUM(T66:T66)</f>
        <v>0</v>
      </c>
      <c r="U65" s="398">
        <f>SUM(U66:U66)</f>
        <v>0</v>
      </c>
      <c r="V65" s="398">
        <f>SUM(V66:V66)</f>
        <v>0</v>
      </c>
      <c r="W65" s="398">
        <f>SUM(W66:W66)</f>
        <v>0</v>
      </c>
      <c r="X65" s="398">
        <f>SUM(Y65:AC65)</f>
        <v>0</v>
      </c>
      <c r="Y65" s="398">
        <f>SUM(Y66:Y66)</f>
        <v>0</v>
      </c>
      <c r="Z65" s="398">
        <f>SUM(Z66:Z66)</f>
        <v>0</v>
      </c>
      <c r="AA65" s="398">
        <f>SUM(AA66:AA66)</f>
        <v>0</v>
      </c>
      <c r="AB65" s="398">
        <f>SUM(AB66:AB66)</f>
        <v>0</v>
      </c>
      <c r="AC65" s="398">
        <f>SUM(AC66:AC66)</f>
        <v>0</v>
      </c>
      <c r="AD65" s="398">
        <f>SUM(AE65:AI65)</f>
        <v>0</v>
      </c>
      <c r="AE65" s="398">
        <f>SUM(AE66:AE66)</f>
        <v>0</v>
      </c>
      <c r="AF65" s="398">
        <f>SUM(AF66:AF66)</f>
        <v>0</v>
      </c>
      <c r="AG65" s="398">
        <f>SUM(AG66:AG66)</f>
        <v>0</v>
      </c>
      <c r="AH65" s="398">
        <f>SUM(AH66:AH66)</f>
        <v>0</v>
      </c>
      <c r="AI65" s="398">
        <f>SUM(AI66:AI66)</f>
        <v>0</v>
      </c>
      <c r="AJ65" s="398">
        <f>SUM(AK65:AO65)</f>
        <v>0</v>
      </c>
      <c r="AK65" s="398">
        <f>SUM(AK66:AK66)</f>
        <v>0</v>
      </c>
      <c r="AL65" s="398">
        <f>SUM(AL66:AL66)</f>
        <v>0</v>
      </c>
      <c r="AM65" s="398">
        <f>SUM(AM66:AM66)</f>
        <v>0</v>
      </c>
      <c r="AN65" s="398">
        <f>SUM(AN66:AN66)</f>
        <v>0</v>
      </c>
      <c r="AO65" s="398">
        <f>SUM(AO66:AO66)</f>
        <v>0</v>
      </c>
      <c r="AP65" s="398">
        <f>SUM(AQ65:AU65)</f>
        <v>0</v>
      </c>
      <c r="AQ65" s="398">
        <f>SUM(AQ66:AQ66)</f>
        <v>0</v>
      </c>
      <c r="AR65" s="398">
        <f>SUM(AR66:AR66)</f>
        <v>0</v>
      </c>
      <c r="AS65" s="398">
        <f>SUM(AS66:AS66)</f>
        <v>0</v>
      </c>
      <c r="AT65" s="398">
        <f>SUM(AT66:AT66)</f>
        <v>0</v>
      </c>
      <c r="AU65" s="398">
        <f>SUM(AU66:AU66)</f>
        <v>0</v>
      </c>
      <c r="AV65" s="398">
        <f>SUM(AW65:BA65)</f>
        <v>0</v>
      </c>
      <c r="AW65" s="398">
        <f>SUM(AW66:AW66)</f>
        <v>0</v>
      </c>
      <c r="AX65" s="398">
        <f>SUM(AX66:AX66)</f>
        <v>0</v>
      </c>
      <c r="AY65" s="398">
        <f>SUM(AY66:AY66)</f>
        <v>0</v>
      </c>
      <c r="AZ65" s="398">
        <f>SUM(AZ66:AZ66)</f>
        <v>0</v>
      </c>
      <c r="BA65" s="398">
        <f>SUM(BA66:BA66)</f>
        <v>0</v>
      </c>
      <c r="BB65" s="398">
        <f>SUM(BC65:BG65)</f>
        <v>48</v>
      </c>
      <c r="BC65" s="398">
        <f>SUM(BC66:BC66)</f>
        <v>32</v>
      </c>
      <c r="BD65" s="398">
        <f>SUM(BD66:BD66)</f>
        <v>0</v>
      </c>
      <c r="BE65" s="398">
        <f>SUM(BE66:BE66)</f>
        <v>0</v>
      </c>
      <c r="BF65" s="398">
        <f>SUM(BF66:BF66)</f>
        <v>0</v>
      </c>
      <c r="BG65" s="398">
        <f>SUM(BG66:BG66)</f>
        <v>16</v>
      </c>
      <c r="BH65" s="398">
        <f>SUM(BI65:BM65)</f>
        <v>36</v>
      </c>
      <c r="BI65" s="398">
        <f>SUM(BI66:BI66)</f>
        <v>24</v>
      </c>
      <c r="BJ65" s="398">
        <f>SUM(BJ66:BJ66)</f>
        <v>0</v>
      </c>
      <c r="BK65" s="398">
        <f>SUM(BK66:BK66)</f>
        <v>0</v>
      </c>
      <c r="BL65" s="398">
        <f>SUM(BL66:BL66)</f>
        <v>0</v>
      </c>
      <c r="BM65" s="398">
        <f>SUM(BM66:BM66)</f>
        <v>12</v>
      </c>
      <c r="BN65" s="398"/>
      <c r="BO65" s="398">
        <f>SUM(BP65:BV65)</f>
        <v>0</v>
      </c>
      <c r="BP65" s="398">
        <f aca="true" t="shared" si="83" ref="BP65:BV65">SUM(BP66:BP66)</f>
        <v>0</v>
      </c>
      <c r="BQ65" s="398">
        <f t="shared" si="83"/>
        <v>0</v>
      </c>
      <c r="BR65" s="398">
        <f t="shared" si="83"/>
        <v>0</v>
      </c>
      <c r="BS65" s="398">
        <f t="shared" si="83"/>
        <v>0</v>
      </c>
      <c r="BT65" s="398">
        <f t="shared" si="83"/>
        <v>0</v>
      </c>
      <c r="BU65" s="398">
        <f t="shared" si="83"/>
        <v>0</v>
      </c>
      <c r="BV65" s="398">
        <f t="shared" si="83"/>
        <v>0</v>
      </c>
      <c r="BW65" s="398"/>
      <c r="BX65" s="398">
        <f>SUM(BY65:CE65)</f>
        <v>0</v>
      </c>
      <c r="BY65" s="398">
        <f aca="true" t="shared" si="84" ref="BY65:CE65">SUM(BY66:BY66)</f>
        <v>0</v>
      </c>
      <c r="BZ65" s="398">
        <f t="shared" si="84"/>
        <v>0</v>
      </c>
      <c r="CA65" s="398">
        <f t="shared" si="84"/>
        <v>0</v>
      </c>
      <c r="CB65" s="398">
        <f t="shared" si="84"/>
        <v>0</v>
      </c>
      <c r="CC65" s="398">
        <f t="shared" si="84"/>
        <v>0</v>
      </c>
      <c r="CD65" s="398">
        <f t="shared" si="84"/>
        <v>0</v>
      </c>
      <c r="CE65" s="398">
        <f t="shared" si="84"/>
        <v>0</v>
      </c>
      <c r="CF65" s="396" t="s">
        <v>474</v>
      </c>
      <c r="CG65" s="397" t="s">
        <v>334</v>
      </c>
    </row>
    <row r="66" spans="1:85" s="117" customFormat="1" ht="35.25" customHeight="1">
      <c r="A66" s="399" t="s">
        <v>159</v>
      </c>
      <c r="B66" s="301" t="s">
        <v>264</v>
      </c>
      <c r="C66" s="301"/>
      <c r="D66" s="358"/>
      <c r="E66" s="358" t="s">
        <v>38</v>
      </c>
      <c r="F66" s="358"/>
      <c r="G66" s="358"/>
      <c r="H66" s="358" t="s">
        <v>43</v>
      </c>
      <c r="I66" s="283"/>
      <c r="J66" s="283"/>
      <c r="K66" s="359">
        <f>L66+SUM(Q66:Q66)</f>
        <v>84</v>
      </c>
      <c r="L66" s="359">
        <f>SUM(M66:P66)</f>
        <v>56</v>
      </c>
      <c r="M66" s="359">
        <f t="shared" si="82"/>
        <v>56</v>
      </c>
      <c r="N66" s="359">
        <f t="shared" si="82"/>
        <v>0</v>
      </c>
      <c r="O66" s="359">
        <f t="shared" si="82"/>
        <v>0</v>
      </c>
      <c r="P66" s="359">
        <f t="shared" si="82"/>
        <v>0</v>
      </c>
      <c r="Q66" s="359">
        <f>W66+AC66+AI66+AO66+AU66+BA66+BG66+BM66+BV66+CE66</f>
        <v>28</v>
      </c>
      <c r="R66" s="360">
        <f>SUM(S66:W66)</f>
        <v>0</v>
      </c>
      <c r="S66" s="283"/>
      <c r="T66" s="283"/>
      <c r="U66" s="283"/>
      <c r="V66" s="283"/>
      <c r="W66" s="283"/>
      <c r="X66" s="360">
        <f>SUM(Y66:AC66)</f>
        <v>0</v>
      </c>
      <c r="Y66" s="283"/>
      <c r="Z66" s="283"/>
      <c r="AA66" s="283"/>
      <c r="AB66" s="283"/>
      <c r="AC66" s="283"/>
      <c r="AD66" s="360">
        <f>SUM(AE66:AI66)</f>
        <v>0</v>
      </c>
      <c r="AE66" s="283"/>
      <c r="AF66" s="283"/>
      <c r="AG66" s="283"/>
      <c r="AH66" s="283"/>
      <c r="AI66" s="283"/>
      <c r="AJ66" s="360">
        <f>SUM(AK66:AO66)</f>
        <v>0</v>
      </c>
      <c r="AK66" s="283"/>
      <c r="AL66" s="283"/>
      <c r="AM66" s="283"/>
      <c r="AN66" s="283"/>
      <c r="AO66" s="283"/>
      <c r="AP66" s="360">
        <f>SUM(AQ66:AU66)</f>
        <v>0</v>
      </c>
      <c r="AQ66" s="283"/>
      <c r="AR66" s="283"/>
      <c r="AS66" s="283"/>
      <c r="AT66" s="283"/>
      <c r="AU66" s="283"/>
      <c r="AV66" s="360">
        <f>SUM(AW66:BA66)</f>
        <v>0</v>
      </c>
      <c r="AW66" s="283"/>
      <c r="AX66" s="283"/>
      <c r="AY66" s="283"/>
      <c r="AZ66" s="283"/>
      <c r="BA66" s="283"/>
      <c r="BB66" s="360">
        <f>SUM(BC66:BG66)</f>
        <v>48</v>
      </c>
      <c r="BC66" s="283">
        <v>32</v>
      </c>
      <c r="BD66" s="283"/>
      <c r="BE66" s="283"/>
      <c r="BF66" s="283"/>
      <c r="BG66" s="283">
        <v>16</v>
      </c>
      <c r="BH66" s="360">
        <f>SUM(BI66:BM66)</f>
        <v>36</v>
      </c>
      <c r="BI66" s="283">
        <v>24</v>
      </c>
      <c r="BJ66" s="283"/>
      <c r="BK66" s="283"/>
      <c r="BL66" s="283"/>
      <c r="BM66" s="283">
        <v>12</v>
      </c>
      <c r="BN66" s="392">
        <f>LEN(H66)-LEN(SUBSTITUTE(H66,"9",""))</f>
        <v>0</v>
      </c>
      <c r="BO66" s="360">
        <f>SUM(BP66:BV66)</f>
        <v>0</v>
      </c>
      <c r="BP66" s="283"/>
      <c r="BQ66" s="283"/>
      <c r="BR66" s="283"/>
      <c r="BS66" s="283"/>
      <c r="BT66" s="283"/>
      <c r="BU66" s="283"/>
      <c r="BV66" s="283"/>
      <c r="BW66" s="392">
        <f>LEN(H66)-LEN(SUBSTITUTE(H66,"Х",""))</f>
        <v>0</v>
      </c>
      <c r="BX66" s="360">
        <f>SUM(BY66:CE66)</f>
        <v>0</v>
      </c>
      <c r="BY66" s="283"/>
      <c r="BZ66" s="283"/>
      <c r="CA66" s="283"/>
      <c r="CB66" s="283"/>
      <c r="CC66" s="283"/>
      <c r="CD66" s="283"/>
      <c r="CE66" s="283"/>
      <c r="CF66" s="394" t="s">
        <v>474</v>
      </c>
      <c r="CG66" s="393" t="s">
        <v>334</v>
      </c>
    </row>
    <row r="67" spans="1:85" s="117" customFormat="1" ht="13.5" customHeight="1">
      <c r="A67" s="380" t="s">
        <v>374</v>
      </c>
      <c r="B67" s="406"/>
      <c r="C67" s="406"/>
      <c r="D67" s="229" t="s">
        <v>38</v>
      </c>
      <c r="E67" s="407"/>
      <c r="F67" s="406"/>
      <c r="G67" s="406"/>
      <c r="H67" s="406"/>
      <c r="I67" s="400"/>
      <c r="J67" s="400"/>
      <c r="K67" s="401"/>
      <c r="L67" s="401"/>
      <c r="M67" s="401"/>
      <c r="N67" s="401"/>
      <c r="O67" s="401"/>
      <c r="P67" s="401"/>
      <c r="Q67" s="401"/>
      <c r="R67" s="401"/>
      <c r="S67" s="400"/>
      <c r="T67" s="400"/>
      <c r="U67" s="400"/>
      <c r="V67" s="400"/>
      <c r="W67" s="400"/>
      <c r="X67" s="401"/>
      <c r="Y67" s="400"/>
      <c r="Z67" s="400"/>
      <c r="AA67" s="400"/>
      <c r="AB67" s="400"/>
      <c r="AC67" s="400"/>
      <c r="AD67" s="401"/>
      <c r="AE67" s="400"/>
      <c r="AF67" s="400"/>
      <c r="AG67" s="400"/>
      <c r="AH67" s="400"/>
      <c r="AI67" s="400"/>
      <c r="AJ67" s="401"/>
      <c r="AK67" s="400"/>
      <c r="AL67" s="400"/>
      <c r="AM67" s="400"/>
      <c r="AN67" s="400"/>
      <c r="AO67" s="400"/>
      <c r="AP67" s="401"/>
      <c r="AQ67" s="400"/>
      <c r="AR67" s="400"/>
      <c r="AS67" s="400"/>
      <c r="AT67" s="400"/>
      <c r="AU67" s="400"/>
      <c r="AV67" s="401"/>
      <c r="AW67" s="400"/>
      <c r="AX67" s="400"/>
      <c r="AY67" s="400"/>
      <c r="AZ67" s="400"/>
      <c r="BA67" s="400"/>
      <c r="BB67" s="401"/>
      <c r="BC67" s="400"/>
      <c r="BD67" s="400"/>
      <c r="BE67" s="400"/>
      <c r="BF67" s="400"/>
      <c r="BG67" s="400"/>
      <c r="BH67" s="401"/>
      <c r="BI67" s="400"/>
      <c r="BJ67" s="400"/>
      <c r="BK67" s="400"/>
      <c r="BL67" s="400"/>
      <c r="BM67" s="400"/>
      <c r="BN67" s="400"/>
      <c r="BO67" s="401"/>
      <c r="BP67" s="400"/>
      <c r="BQ67" s="400"/>
      <c r="BR67" s="400"/>
      <c r="BS67" s="400"/>
      <c r="BT67" s="400"/>
      <c r="BU67" s="400"/>
      <c r="BV67" s="400"/>
      <c r="BW67" s="400"/>
      <c r="BX67" s="401"/>
      <c r="BY67" s="400"/>
      <c r="BZ67" s="400"/>
      <c r="CA67" s="400"/>
      <c r="CB67" s="400"/>
      <c r="CC67" s="400"/>
      <c r="CD67" s="400"/>
      <c r="CE67" s="400"/>
      <c r="CF67" s="402"/>
      <c r="CG67" s="403">
        <v>0</v>
      </c>
    </row>
    <row r="68" spans="1:85" s="125" customFormat="1" ht="25.5" customHeight="1">
      <c r="A68" s="431" t="s">
        <v>415</v>
      </c>
      <c r="B68" s="538" t="s">
        <v>338</v>
      </c>
      <c r="C68" s="539"/>
      <c r="D68" s="539"/>
      <c r="E68" s="539"/>
      <c r="F68" s="539"/>
      <c r="G68" s="539"/>
      <c r="H68" s="540"/>
      <c r="I68" s="385">
        <f>Нормы!D15</f>
        <v>1358</v>
      </c>
      <c r="J68" s="385">
        <f>Нормы!E15</f>
        <v>906</v>
      </c>
      <c r="K68" s="385">
        <f>SUM(K69:K78)</f>
        <v>1060</v>
      </c>
      <c r="L68" s="385">
        <f>SUM(L69:L78)</f>
        <v>707</v>
      </c>
      <c r="M68" s="385">
        <f>SUM(M69:M78)</f>
        <v>667</v>
      </c>
      <c r="N68" s="385">
        <f>SUM(N69:N78)</f>
        <v>40</v>
      </c>
      <c r="O68" s="385">
        <f aca="true" t="shared" si="85" ref="O68:AF68">SUM(O69:O77)</f>
        <v>0</v>
      </c>
      <c r="P68" s="385">
        <f t="shared" si="85"/>
        <v>0</v>
      </c>
      <c r="Q68" s="385">
        <f>SUM(Q69:Q78)</f>
        <v>353</v>
      </c>
      <c r="R68" s="385">
        <f t="shared" si="85"/>
        <v>0</v>
      </c>
      <c r="S68" s="385">
        <f t="shared" si="85"/>
        <v>0</v>
      </c>
      <c r="T68" s="385">
        <f t="shared" si="85"/>
        <v>0</v>
      </c>
      <c r="U68" s="385">
        <f t="shared" si="85"/>
        <v>0</v>
      </c>
      <c r="V68" s="385">
        <f t="shared" si="85"/>
        <v>0</v>
      </c>
      <c r="W68" s="385">
        <f t="shared" si="85"/>
        <v>0</v>
      </c>
      <c r="X68" s="385">
        <f t="shared" si="85"/>
        <v>0</v>
      </c>
      <c r="Y68" s="385">
        <f t="shared" si="85"/>
        <v>0</v>
      </c>
      <c r="Z68" s="385">
        <f t="shared" si="85"/>
        <v>0</v>
      </c>
      <c r="AA68" s="385">
        <f t="shared" si="85"/>
        <v>0</v>
      </c>
      <c r="AB68" s="385">
        <f t="shared" si="85"/>
        <v>0</v>
      </c>
      <c r="AC68" s="385">
        <f t="shared" si="85"/>
        <v>0</v>
      </c>
      <c r="AD68" s="385">
        <f t="shared" si="85"/>
        <v>264</v>
      </c>
      <c r="AE68" s="385">
        <f t="shared" si="85"/>
        <v>176</v>
      </c>
      <c r="AF68" s="385">
        <f t="shared" si="85"/>
        <v>0</v>
      </c>
      <c r="AG68" s="385">
        <f aca="true" t="shared" si="86" ref="AG68:BA68">SUM(AG69:AG77)</f>
        <v>0</v>
      </c>
      <c r="AH68" s="385">
        <f t="shared" si="86"/>
        <v>0</v>
      </c>
      <c r="AI68" s="385">
        <f t="shared" si="86"/>
        <v>88</v>
      </c>
      <c r="AJ68" s="385">
        <f>SUM(AJ69:AJ78)</f>
        <v>198</v>
      </c>
      <c r="AK68" s="385">
        <f>SUM(AK69:AK78)</f>
        <v>133</v>
      </c>
      <c r="AL68" s="385">
        <f t="shared" si="86"/>
        <v>0</v>
      </c>
      <c r="AM68" s="385">
        <f t="shared" si="86"/>
        <v>0</v>
      </c>
      <c r="AN68" s="385">
        <f t="shared" si="86"/>
        <v>0</v>
      </c>
      <c r="AO68" s="385">
        <f>SUM(AO69:AO78)</f>
        <v>65</v>
      </c>
      <c r="AP68" s="385">
        <f t="shared" si="86"/>
        <v>370</v>
      </c>
      <c r="AQ68" s="385">
        <f t="shared" si="86"/>
        <v>238</v>
      </c>
      <c r="AR68" s="385">
        <f t="shared" si="86"/>
        <v>0</v>
      </c>
      <c r="AS68" s="385">
        <f t="shared" si="86"/>
        <v>0</v>
      </c>
      <c r="AT68" s="385">
        <f t="shared" si="86"/>
        <v>0</v>
      </c>
      <c r="AU68" s="385">
        <f t="shared" si="86"/>
        <v>132</v>
      </c>
      <c r="AV68" s="385">
        <f t="shared" si="86"/>
        <v>176</v>
      </c>
      <c r="AW68" s="385">
        <f t="shared" si="86"/>
        <v>120</v>
      </c>
      <c r="AX68" s="385">
        <f t="shared" si="86"/>
        <v>0</v>
      </c>
      <c r="AY68" s="385">
        <f t="shared" si="86"/>
        <v>0</v>
      </c>
      <c r="AZ68" s="385">
        <f t="shared" si="86"/>
        <v>0</v>
      </c>
      <c r="BA68" s="385">
        <f t="shared" si="86"/>
        <v>56</v>
      </c>
      <c r="BB68" s="385">
        <f aca="true" t="shared" si="87" ref="BB68:CB68">SUM(BB69:BB77)</f>
        <v>22</v>
      </c>
      <c r="BC68" s="385">
        <f t="shared" si="87"/>
        <v>0</v>
      </c>
      <c r="BD68" s="385">
        <f t="shared" si="87"/>
        <v>16</v>
      </c>
      <c r="BE68" s="385">
        <f t="shared" si="87"/>
        <v>0</v>
      </c>
      <c r="BF68" s="385">
        <f t="shared" si="87"/>
        <v>0</v>
      </c>
      <c r="BG68" s="385">
        <f t="shared" si="87"/>
        <v>6</v>
      </c>
      <c r="BH68" s="385">
        <f t="shared" si="87"/>
        <v>30</v>
      </c>
      <c r="BI68" s="385">
        <f t="shared" si="87"/>
        <v>0</v>
      </c>
      <c r="BJ68" s="385">
        <f t="shared" si="87"/>
        <v>24</v>
      </c>
      <c r="BK68" s="385">
        <f t="shared" si="87"/>
        <v>0</v>
      </c>
      <c r="BL68" s="385">
        <f t="shared" si="87"/>
        <v>0</v>
      </c>
      <c r="BM68" s="385">
        <f t="shared" si="87"/>
        <v>6</v>
      </c>
      <c r="BN68" s="385">
        <f t="shared" si="87"/>
        <v>0</v>
      </c>
      <c r="BO68" s="385">
        <f t="shared" si="87"/>
        <v>0</v>
      </c>
      <c r="BP68" s="385">
        <f t="shared" si="87"/>
        <v>0</v>
      </c>
      <c r="BQ68" s="385">
        <f t="shared" si="87"/>
        <v>0</v>
      </c>
      <c r="BR68" s="385">
        <f t="shared" si="87"/>
        <v>0</v>
      </c>
      <c r="BS68" s="385">
        <f t="shared" si="87"/>
        <v>0</v>
      </c>
      <c r="BT68" s="385">
        <f t="shared" si="87"/>
        <v>0</v>
      </c>
      <c r="BU68" s="385">
        <f t="shared" si="87"/>
        <v>0</v>
      </c>
      <c r="BV68" s="385">
        <f t="shared" si="87"/>
        <v>0</v>
      </c>
      <c r="BW68" s="385">
        <f t="shared" si="87"/>
        <v>0</v>
      </c>
      <c r="BX68" s="385">
        <f t="shared" si="87"/>
        <v>0</v>
      </c>
      <c r="BY68" s="385">
        <f t="shared" si="87"/>
        <v>0</v>
      </c>
      <c r="BZ68" s="385">
        <f t="shared" si="87"/>
        <v>0</v>
      </c>
      <c r="CA68" s="385">
        <f t="shared" si="87"/>
        <v>0</v>
      </c>
      <c r="CB68" s="385">
        <f t="shared" si="87"/>
        <v>0</v>
      </c>
      <c r="CC68" s="385">
        <f>SUM(CC69:CC77)</f>
        <v>0</v>
      </c>
      <c r="CD68" s="385">
        <f>SUM(CD69:CD77)</f>
        <v>0</v>
      </c>
      <c r="CE68" s="385">
        <f>SUM(CE69:CE77)</f>
        <v>0</v>
      </c>
      <c r="CF68" s="382"/>
      <c r="CG68" s="382">
        <v>0</v>
      </c>
    </row>
    <row r="69" spans="1:85" s="112" customFormat="1" ht="25.5" customHeight="1">
      <c r="A69" s="391" t="s">
        <v>168</v>
      </c>
      <c r="B69" s="301" t="s">
        <v>487</v>
      </c>
      <c r="C69" s="301"/>
      <c r="D69" s="358"/>
      <c r="E69" s="358" t="s">
        <v>30</v>
      </c>
      <c r="F69" s="358"/>
      <c r="G69" s="358"/>
      <c r="H69" s="367"/>
      <c r="I69" s="283"/>
      <c r="J69" s="283"/>
      <c r="K69" s="359">
        <f aca="true" t="shared" si="88" ref="K69:K78">L69+SUM(Q69:Q69)</f>
        <v>54</v>
      </c>
      <c r="L69" s="359">
        <f aca="true" t="shared" si="89" ref="L69:L78">SUM(M69:P69)</f>
        <v>36</v>
      </c>
      <c r="M69" s="359">
        <f aca="true" t="shared" si="90" ref="M69:M78">S69+Y69+AE69+AK69+AQ69+AW69+BC69+BI69+BQ69+BZ69</f>
        <v>36</v>
      </c>
      <c r="N69" s="359">
        <f aca="true" t="shared" si="91" ref="N69:N78">T69+Z69+AF69+AL69+AR69+AX69+BD69+BJ69+BR69+CA69</f>
        <v>0</v>
      </c>
      <c r="O69" s="359">
        <f aca="true" t="shared" si="92" ref="O69:O78">U69+AA69+AG69+AM69+AS69+AY69+BE69+BK69+BS69+CB69</f>
        <v>0</v>
      </c>
      <c r="P69" s="359">
        <f aca="true" t="shared" si="93" ref="P69:P78">V69+AB69+AH69+AN69+AT69+AZ69+BF69+BL69+BT69+CC69</f>
        <v>0</v>
      </c>
      <c r="Q69" s="359">
        <f aca="true" t="shared" si="94" ref="Q69:Q78">W69+AC69+AI69+AO69+AU69+BA69+BG69+BM69+BV69+CE69</f>
        <v>18</v>
      </c>
      <c r="R69" s="360">
        <f>SUM(S69:W69)</f>
        <v>0</v>
      </c>
      <c r="S69" s="283"/>
      <c r="T69" s="283"/>
      <c r="U69" s="283"/>
      <c r="V69" s="283"/>
      <c r="W69" s="283"/>
      <c r="X69" s="360">
        <f>SUM(Y69:AC69)</f>
        <v>0</v>
      </c>
      <c r="Y69" s="283"/>
      <c r="Z69" s="283"/>
      <c r="AA69" s="283"/>
      <c r="AB69" s="283"/>
      <c r="AC69" s="283"/>
      <c r="AD69" s="360">
        <f>SUM(AE69:AI69)</f>
        <v>54</v>
      </c>
      <c r="AE69" s="283">
        <v>36</v>
      </c>
      <c r="AF69" s="283"/>
      <c r="AG69" s="283"/>
      <c r="AH69" s="283"/>
      <c r="AI69" s="283">
        <v>18</v>
      </c>
      <c r="AJ69" s="360">
        <f>SUM(AK69:AO69)</f>
        <v>0</v>
      </c>
      <c r="AK69" s="283"/>
      <c r="AL69" s="283"/>
      <c r="AM69" s="283"/>
      <c r="AN69" s="283"/>
      <c r="AO69" s="283"/>
      <c r="AP69" s="360">
        <f>SUM(AQ69:AU69)</f>
        <v>0</v>
      </c>
      <c r="AQ69" s="283"/>
      <c r="AR69" s="283"/>
      <c r="AS69" s="283"/>
      <c r="AT69" s="283"/>
      <c r="AU69" s="283"/>
      <c r="AV69" s="360">
        <f aca="true" t="shared" si="95" ref="AV69:AV78">SUM(AW69:BA69)</f>
        <v>0</v>
      </c>
      <c r="AW69" s="283"/>
      <c r="AX69" s="283"/>
      <c r="AY69" s="283"/>
      <c r="AZ69" s="283"/>
      <c r="BA69" s="283"/>
      <c r="BB69" s="360">
        <f>SUM(BC69:BG69)</f>
        <v>0</v>
      </c>
      <c r="BC69" s="283"/>
      <c r="BD69" s="283"/>
      <c r="BE69" s="283"/>
      <c r="BF69" s="283"/>
      <c r="BG69" s="283"/>
      <c r="BH69" s="360">
        <f>SUM(BI69:BM69)</f>
        <v>0</v>
      </c>
      <c r="BI69" s="283"/>
      <c r="BJ69" s="283"/>
      <c r="BK69" s="283"/>
      <c r="BL69" s="283"/>
      <c r="BM69" s="283"/>
      <c r="BN69" s="392">
        <f>LEN(H69)-LEN(SUBSTITUTE(H69,"9",""))</f>
        <v>0</v>
      </c>
      <c r="BO69" s="360">
        <f>SUM(BP69:BV69)</f>
        <v>0</v>
      </c>
      <c r="BP69" s="283"/>
      <c r="BQ69" s="283"/>
      <c r="BR69" s="283"/>
      <c r="BS69" s="283"/>
      <c r="BT69" s="283"/>
      <c r="BU69" s="283"/>
      <c r="BV69" s="283"/>
      <c r="BW69" s="392">
        <f>LEN(H69)-LEN(SUBSTITUTE(H69,"Х",""))</f>
        <v>0</v>
      </c>
      <c r="BX69" s="360">
        <f>SUM(BY69:CE69)</f>
        <v>0</v>
      </c>
      <c r="BY69" s="283"/>
      <c r="BZ69" s="283"/>
      <c r="CA69" s="283"/>
      <c r="CB69" s="283"/>
      <c r="CC69" s="283"/>
      <c r="CD69" s="283"/>
      <c r="CE69" s="283"/>
      <c r="CF69" s="358" t="s">
        <v>470</v>
      </c>
      <c r="CG69" s="351" t="s">
        <v>586</v>
      </c>
    </row>
    <row r="70" spans="1:85" s="112" customFormat="1" ht="25.5" customHeight="1">
      <c r="A70" s="391" t="s">
        <v>169</v>
      </c>
      <c r="B70" s="301" t="s">
        <v>296</v>
      </c>
      <c r="C70" s="301"/>
      <c r="D70" s="358"/>
      <c r="E70" s="358" t="s">
        <v>38</v>
      </c>
      <c r="F70" s="358"/>
      <c r="G70" s="358"/>
      <c r="H70" s="367">
        <v>7</v>
      </c>
      <c r="I70" s="283"/>
      <c r="J70" s="283"/>
      <c r="K70" s="359">
        <f t="shared" si="88"/>
        <v>52</v>
      </c>
      <c r="L70" s="359">
        <f t="shared" si="89"/>
        <v>40</v>
      </c>
      <c r="M70" s="359">
        <f t="shared" si="90"/>
        <v>0</v>
      </c>
      <c r="N70" s="359">
        <f t="shared" si="91"/>
        <v>40</v>
      </c>
      <c r="O70" s="359">
        <f t="shared" si="92"/>
        <v>0</v>
      </c>
      <c r="P70" s="359">
        <f t="shared" si="93"/>
        <v>0</v>
      </c>
      <c r="Q70" s="359">
        <f t="shared" si="94"/>
        <v>12</v>
      </c>
      <c r="R70" s="360">
        <f>SUM(S70:W70)</f>
        <v>0</v>
      </c>
      <c r="S70" s="283"/>
      <c r="T70" s="283"/>
      <c r="U70" s="283"/>
      <c r="V70" s="283"/>
      <c r="W70" s="283"/>
      <c r="X70" s="360">
        <f>SUM(Y70:AC70)</f>
        <v>0</v>
      </c>
      <c r="Y70" s="283"/>
      <c r="Z70" s="283"/>
      <c r="AA70" s="283"/>
      <c r="AB70" s="283"/>
      <c r="AC70" s="283"/>
      <c r="AD70" s="360">
        <f>SUM(AE70:AI70)</f>
        <v>0</v>
      </c>
      <c r="AE70" s="283"/>
      <c r="AF70" s="283"/>
      <c r="AG70" s="283"/>
      <c r="AH70" s="283"/>
      <c r="AI70" s="283"/>
      <c r="AJ70" s="360">
        <f>SUM(AK70:AO70)</f>
        <v>0</v>
      </c>
      <c r="AK70" s="283"/>
      <c r="AL70" s="283"/>
      <c r="AM70" s="283"/>
      <c r="AN70" s="283"/>
      <c r="AO70" s="283"/>
      <c r="AP70" s="360">
        <f>SUM(AQ70:AU70)</f>
        <v>0</v>
      </c>
      <c r="AQ70" s="283"/>
      <c r="AR70" s="283"/>
      <c r="AS70" s="283"/>
      <c r="AT70" s="283"/>
      <c r="AU70" s="283"/>
      <c r="AV70" s="360">
        <f t="shared" si="95"/>
        <v>0</v>
      </c>
      <c r="AW70" s="283"/>
      <c r="AX70" s="283"/>
      <c r="AY70" s="283"/>
      <c r="AZ70" s="283"/>
      <c r="BA70" s="283"/>
      <c r="BB70" s="360">
        <f>SUM(BC70:BG70)</f>
        <v>22</v>
      </c>
      <c r="BC70" s="283"/>
      <c r="BD70" s="283">
        <v>16</v>
      </c>
      <c r="BE70" s="283"/>
      <c r="BF70" s="283"/>
      <c r="BG70" s="283">
        <v>6</v>
      </c>
      <c r="BH70" s="360">
        <f>SUM(BI70:BM70)</f>
        <v>30</v>
      </c>
      <c r="BI70" s="283"/>
      <c r="BJ70" s="283">
        <v>24</v>
      </c>
      <c r="BK70" s="283"/>
      <c r="BL70" s="283"/>
      <c r="BM70" s="283">
        <v>6</v>
      </c>
      <c r="BN70" s="392"/>
      <c r="BO70" s="360">
        <f>SUM(BP70:BV70)</f>
        <v>0</v>
      </c>
      <c r="BP70" s="283"/>
      <c r="BQ70" s="283"/>
      <c r="BR70" s="283"/>
      <c r="BS70" s="283"/>
      <c r="BT70" s="283"/>
      <c r="BU70" s="283"/>
      <c r="BV70" s="283"/>
      <c r="BW70" s="392"/>
      <c r="BX70" s="360">
        <f>SUM(BY70:CE70)</f>
        <v>0</v>
      </c>
      <c r="BY70" s="283"/>
      <c r="BZ70" s="283"/>
      <c r="CA70" s="283"/>
      <c r="CB70" s="283"/>
      <c r="CC70" s="283"/>
      <c r="CD70" s="283"/>
      <c r="CE70" s="283"/>
      <c r="CF70" s="358" t="s">
        <v>470</v>
      </c>
      <c r="CG70" s="482" t="s">
        <v>582</v>
      </c>
    </row>
    <row r="71" spans="1:85" s="112" customFormat="1" ht="25.5" customHeight="1">
      <c r="A71" s="391" t="s">
        <v>441</v>
      </c>
      <c r="B71" s="301" t="s">
        <v>310</v>
      </c>
      <c r="C71" s="301"/>
      <c r="D71" s="358"/>
      <c r="E71" s="358" t="s">
        <v>30</v>
      </c>
      <c r="F71" s="358"/>
      <c r="G71" s="358"/>
      <c r="H71" s="358"/>
      <c r="I71" s="283"/>
      <c r="J71" s="283"/>
      <c r="K71" s="359">
        <f t="shared" si="88"/>
        <v>72</v>
      </c>
      <c r="L71" s="359">
        <f t="shared" si="89"/>
        <v>48</v>
      </c>
      <c r="M71" s="359">
        <f t="shared" si="90"/>
        <v>48</v>
      </c>
      <c r="N71" s="359">
        <f t="shared" si="91"/>
        <v>0</v>
      </c>
      <c r="O71" s="359">
        <f t="shared" si="92"/>
        <v>0</v>
      </c>
      <c r="P71" s="359">
        <f t="shared" si="93"/>
        <v>0</v>
      </c>
      <c r="Q71" s="359">
        <f t="shared" si="94"/>
        <v>24</v>
      </c>
      <c r="R71" s="360">
        <f>SUM(S71:W71)</f>
        <v>0</v>
      </c>
      <c r="S71" s="283"/>
      <c r="T71" s="283"/>
      <c r="U71" s="283"/>
      <c r="V71" s="283"/>
      <c r="W71" s="283"/>
      <c r="X71" s="360">
        <f>SUM(Y71:AC71)</f>
        <v>0</v>
      </c>
      <c r="Y71" s="283"/>
      <c r="Z71" s="283"/>
      <c r="AA71" s="283"/>
      <c r="AB71" s="283"/>
      <c r="AC71" s="283"/>
      <c r="AD71" s="360">
        <f>SUM(AE71:AI71)</f>
        <v>72</v>
      </c>
      <c r="AE71" s="283">
        <v>48</v>
      </c>
      <c r="AF71" s="283"/>
      <c r="AG71" s="283"/>
      <c r="AH71" s="283"/>
      <c r="AI71" s="283">
        <v>24</v>
      </c>
      <c r="AJ71" s="360">
        <f>SUM(AK71:AO71)</f>
        <v>0</v>
      </c>
      <c r="AK71" s="283"/>
      <c r="AL71" s="283"/>
      <c r="AM71" s="283"/>
      <c r="AN71" s="283"/>
      <c r="AO71" s="283"/>
      <c r="AP71" s="360">
        <f>SUM(AQ71:AU71)</f>
        <v>0</v>
      </c>
      <c r="AQ71" s="283"/>
      <c r="AR71" s="283"/>
      <c r="AS71" s="283"/>
      <c r="AT71" s="283"/>
      <c r="AU71" s="283"/>
      <c r="AV71" s="360">
        <f t="shared" si="95"/>
        <v>0</v>
      </c>
      <c r="AW71" s="283"/>
      <c r="AX71" s="283"/>
      <c r="AY71" s="283"/>
      <c r="AZ71" s="283"/>
      <c r="BA71" s="283"/>
      <c r="BB71" s="360">
        <f>SUM(BC71:BG71)</f>
        <v>0</v>
      </c>
      <c r="BC71" s="283"/>
      <c r="BD71" s="283"/>
      <c r="BE71" s="283"/>
      <c r="BF71" s="283"/>
      <c r="BG71" s="283"/>
      <c r="BH71" s="360">
        <f>SUM(BI71:BM71)</f>
        <v>0</v>
      </c>
      <c r="BI71" s="283"/>
      <c r="BJ71" s="283"/>
      <c r="BK71" s="283"/>
      <c r="BL71" s="283"/>
      <c r="BM71" s="283"/>
      <c r="BN71" s="392"/>
      <c r="BO71" s="360"/>
      <c r="BP71" s="283"/>
      <c r="BQ71" s="283"/>
      <c r="BR71" s="283"/>
      <c r="BS71" s="283"/>
      <c r="BT71" s="283"/>
      <c r="BU71" s="283"/>
      <c r="BV71" s="283"/>
      <c r="BW71" s="392"/>
      <c r="BX71" s="360"/>
      <c r="BY71" s="283"/>
      <c r="BZ71" s="283"/>
      <c r="CA71" s="283"/>
      <c r="CB71" s="283"/>
      <c r="CC71" s="283"/>
      <c r="CD71" s="283"/>
      <c r="CE71" s="283"/>
      <c r="CF71" s="394" t="s">
        <v>474</v>
      </c>
      <c r="CG71" s="351" t="s">
        <v>583</v>
      </c>
    </row>
    <row r="72" spans="1:85" s="112" customFormat="1" ht="25.5" customHeight="1">
      <c r="A72" s="391" t="s">
        <v>303</v>
      </c>
      <c r="B72" s="301" t="s">
        <v>317</v>
      </c>
      <c r="C72" s="301"/>
      <c r="D72" s="358"/>
      <c r="E72" s="358" t="s">
        <v>41</v>
      </c>
      <c r="F72" s="358"/>
      <c r="G72" s="358"/>
      <c r="H72" s="358"/>
      <c r="I72" s="283"/>
      <c r="J72" s="283"/>
      <c r="K72" s="359">
        <f t="shared" si="88"/>
        <v>106</v>
      </c>
      <c r="L72" s="359">
        <f t="shared" si="89"/>
        <v>68</v>
      </c>
      <c r="M72" s="359">
        <f t="shared" si="90"/>
        <v>68</v>
      </c>
      <c r="N72" s="359">
        <f t="shared" si="91"/>
        <v>0</v>
      </c>
      <c r="O72" s="359">
        <f t="shared" si="92"/>
        <v>0</v>
      </c>
      <c r="P72" s="359">
        <f t="shared" si="93"/>
        <v>0</v>
      </c>
      <c r="Q72" s="359">
        <f t="shared" si="94"/>
        <v>38</v>
      </c>
      <c r="R72" s="360">
        <f>SUM(S72:W72)</f>
        <v>0</v>
      </c>
      <c r="S72" s="283"/>
      <c r="T72" s="283"/>
      <c r="U72" s="283"/>
      <c r="V72" s="283"/>
      <c r="W72" s="283"/>
      <c r="X72" s="360">
        <f>SUM(Y72:AC72)</f>
        <v>0</v>
      </c>
      <c r="Y72" s="283"/>
      <c r="Z72" s="283"/>
      <c r="AA72" s="283"/>
      <c r="AB72" s="283"/>
      <c r="AC72" s="283"/>
      <c r="AD72" s="360">
        <f>SUM(AE72:AI72)</f>
        <v>0</v>
      </c>
      <c r="AE72" s="283"/>
      <c r="AF72" s="283"/>
      <c r="AG72" s="283"/>
      <c r="AH72" s="283"/>
      <c r="AI72" s="283"/>
      <c r="AJ72" s="360">
        <f>SUM(AK72:AO72)</f>
        <v>0</v>
      </c>
      <c r="AK72" s="283"/>
      <c r="AL72" s="283"/>
      <c r="AM72" s="283"/>
      <c r="AN72" s="283"/>
      <c r="AO72" s="283"/>
      <c r="AP72" s="360">
        <f>SUM(AQ72:AU72)</f>
        <v>106</v>
      </c>
      <c r="AQ72" s="283">
        <v>68</v>
      </c>
      <c r="AR72" s="283"/>
      <c r="AS72" s="283"/>
      <c r="AT72" s="283"/>
      <c r="AU72" s="283">
        <v>38</v>
      </c>
      <c r="AV72" s="360">
        <f t="shared" si="95"/>
        <v>0</v>
      </c>
      <c r="AW72" s="283"/>
      <c r="AX72" s="283"/>
      <c r="AY72" s="283"/>
      <c r="AZ72" s="283"/>
      <c r="BA72" s="283"/>
      <c r="BB72" s="360">
        <f>SUM(BC72:BG72)</f>
        <v>0</v>
      </c>
      <c r="BC72" s="283"/>
      <c r="BD72" s="283"/>
      <c r="BE72" s="283"/>
      <c r="BF72" s="283"/>
      <c r="BG72" s="283"/>
      <c r="BH72" s="360">
        <f>SUM(BI72:BM72)</f>
        <v>0</v>
      </c>
      <c r="BI72" s="283"/>
      <c r="BJ72" s="283"/>
      <c r="BK72" s="283"/>
      <c r="BL72" s="283"/>
      <c r="BM72" s="283"/>
      <c r="BN72" s="392"/>
      <c r="BO72" s="360">
        <f>SUM(BP72:BV72)</f>
        <v>0</v>
      </c>
      <c r="BP72" s="283"/>
      <c r="BQ72" s="283"/>
      <c r="BR72" s="283"/>
      <c r="BS72" s="283"/>
      <c r="BT72" s="283"/>
      <c r="BU72" s="283"/>
      <c r="BV72" s="283"/>
      <c r="BW72" s="392"/>
      <c r="BX72" s="360"/>
      <c r="BY72" s="283"/>
      <c r="BZ72" s="283"/>
      <c r="CA72" s="283"/>
      <c r="CB72" s="283"/>
      <c r="CC72" s="283"/>
      <c r="CD72" s="283"/>
      <c r="CE72" s="283"/>
      <c r="CF72" s="394" t="s">
        <v>474</v>
      </c>
      <c r="CG72" s="351" t="s">
        <v>584</v>
      </c>
    </row>
    <row r="73" spans="1:85" s="112" customFormat="1" ht="25.5" customHeight="1">
      <c r="A73" s="391" t="s">
        <v>442</v>
      </c>
      <c r="B73" s="301" t="s">
        <v>498</v>
      </c>
      <c r="C73" s="301"/>
      <c r="D73" s="358"/>
      <c r="E73" s="358" t="s">
        <v>42</v>
      </c>
      <c r="F73" s="358"/>
      <c r="G73" s="358"/>
      <c r="H73" s="358"/>
      <c r="I73" s="283"/>
      <c r="J73" s="283"/>
      <c r="K73" s="359">
        <f t="shared" si="88"/>
        <v>72</v>
      </c>
      <c r="L73" s="359">
        <f t="shared" si="89"/>
        <v>48</v>
      </c>
      <c r="M73" s="359">
        <f t="shared" si="90"/>
        <v>48</v>
      </c>
      <c r="N73" s="359">
        <f t="shared" si="91"/>
        <v>0</v>
      </c>
      <c r="O73" s="359">
        <f t="shared" si="92"/>
        <v>0</v>
      </c>
      <c r="P73" s="359">
        <f t="shared" si="93"/>
        <v>0</v>
      </c>
      <c r="Q73" s="359">
        <f t="shared" si="94"/>
        <v>24</v>
      </c>
      <c r="R73" s="360"/>
      <c r="S73" s="283"/>
      <c r="T73" s="283"/>
      <c r="U73" s="283"/>
      <c r="V73" s="283"/>
      <c r="W73" s="283"/>
      <c r="X73" s="360"/>
      <c r="Y73" s="283"/>
      <c r="Z73" s="283"/>
      <c r="AA73" s="283"/>
      <c r="AB73" s="283"/>
      <c r="AC73" s="283"/>
      <c r="AD73" s="360"/>
      <c r="AE73" s="283"/>
      <c r="AF73" s="283"/>
      <c r="AG73" s="283"/>
      <c r="AH73" s="283"/>
      <c r="AI73" s="283"/>
      <c r="AJ73" s="360"/>
      <c r="AK73" s="283"/>
      <c r="AL73" s="283"/>
      <c r="AM73" s="283"/>
      <c r="AN73" s="283"/>
      <c r="AO73" s="283"/>
      <c r="AP73" s="360"/>
      <c r="AQ73" s="283"/>
      <c r="AR73" s="283"/>
      <c r="AS73" s="283"/>
      <c r="AT73" s="283"/>
      <c r="AU73" s="283"/>
      <c r="AV73" s="360">
        <f t="shared" si="95"/>
        <v>72</v>
      </c>
      <c r="AW73" s="283">
        <v>48</v>
      </c>
      <c r="AX73" s="283"/>
      <c r="AY73" s="283"/>
      <c r="AZ73" s="283"/>
      <c r="BA73" s="283">
        <v>24</v>
      </c>
      <c r="BB73" s="360"/>
      <c r="BC73" s="283"/>
      <c r="BD73" s="283"/>
      <c r="BE73" s="283"/>
      <c r="BF73" s="283"/>
      <c r="BG73" s="283"/>
      <c r="BH73" s="360"/>
      <c r="BI73" s="283"/>
      <c r="BJ73" s="283"/>
      <c r="BK73" s="283"/>
      <c r="BL73" s="283"/>
      <c r="BM73" s="283"/>
      <c r="BN73" s="392"/>
      <c r="BO73" s="360"/>
      <c r="BP73" s="283"/>
      <c r="BQ73" s="283"/>
      <c r="BR73" s="283"/>
      <c r="BS73" s="283"/>
      <c r="BT73" s="283"/>
      <c r="BU73" s="283"/>
      <c r="BV73" s="283"/>
      <c r="BW73" s="392"/>
      <c r="BX73" s="360"/>
      <c r="BY73" s="283"/>
      <c r="BZ73" s="283"/>
      <c r="CA73" s="283"/>
      <c r="CB73" s="283"/>
      <c r="CC73" s="283"/>
      <c r="CD73" s="283"/>
      <c r="CE73" s="283"/>
      <c r="CF73" s="394" t="s">
        <v>475</v>
      </c>
      <c r="CG73" s="393" t="s">
        <v>500</v>
      </c>
    </row>
    <row r="74" spans="1:85" s="112" customFormat="1" ht="25.5" customHeight="1">
      <c r="A74" s="391" t="s">
        <v>304</v>
      </c>
      <c r="B74" s="301" t="s">
        <v>443</v>
      </c>
      <c r="C74" s="301"/>
      <c r="D74" s="358"/>
      <c r="E74" s="358" t="s">
        <v>41</v>
      </c>
      <c r="F74" s="358"/>
      <c r="G74" s="358"/>
      <c r="H74" s="358"/>
      <c r="I74" s="283"/>
      <c r="J74" s="283"/>
      <c r="K74" s="359">
        <f t="shared" si="88"/>
        <v>106</v>
      </c>
      <c r="L74" s="359">
        <f t="shared" si="89"/>
        <v>68</v>
      </c>
      <c r="M74" s="359">
        <f t="shared" si="90"/>
        <v>68</v>
      </c>
      <c r="N74" s="359">
        <f t="shared" si="91"/>
        <v>0</v>
      </c>
      <c r="O74" s="359">
        <f t="shared" si="92"/>
        <v>0</v>
      </c>
      <c r="P74" s="359">
        <f t="shared" si="93"/>
        <v>0</v>
      </c>
      <c r="Q74" s="359">
        <f t="shared" si="94"/>
        <v>38</v>
      </c>
      <c r="R74" s="360">
        <f>SUM(S74:W74)</f>
        <v>0</v>
      </c>
      <c r="S74" s="283"/>
      <c r="T74" s="283"/>
      <c r="U74" s="283"/>
      <c r="V74" s="283"/>
      <c r="W74" s="283"/>
      <c r="X74" s="360">
        <f>SUM(Y74:AC74)</f>
        <v>0</v>
      </c>
      <c r="Y74" s="283"/>
      <c r="Z74" s="283"/>
      <c r="AA74" s="283"/>
      <c r="AB74" s="283"/>
      <c r="AC74" s="283"/>
      <c r="AD74" s="360">
        <f>SUM(AE74:AI74)</f>
        <v>0</v>
      </c>
      <c r="AE74" s="283"/>
      <c r="AF74" s="283"/>
      <c r="AG74" s="283"/>
      <c r="AH74" s="283"/>
      <c r="AI74" s="283"/>
      <c r="AJ74" s="360">
        <f>SUM(AK74:AO74)</f>
        <v>0</v>
      </c>
      <c r="AK74" s="283"/>
      <c r="AL74" s="283"/>
      <c r="AM74" s="283"/>
      <c r="AN74" s="283"/>
      <c r="AO74" s="283"/>
      <c r="AP74" s="360">
        <f>SUM(AQ74:AU74)</f>
        <v>106</v>
      </c>
      <c r="AQ74" s="283">
        <v>68</v>
      </c>
      <c r="AR74" s="283"/>
      <c r="AS74" s="283"/>
      <c r="AT74" s="283"/>
      <c r="AU74" s="283">
        <v>38</v>
      </c>
      <c r="AV74" s="360">
        <f t="shared" si="95"/>
        <v>0</v>
      </c>
      <c r="AW74" s="283"/>
      <c r="AX74" s="283"/>
      <c r="AY74" s="283"/>
      <c r="AZ74" s="283"/>
      <c r="BA74" s="283"/>
      <c r="BB74" s="360">
        <f>SUM(BC74:BG74)</f>
        <v>0</v>
      </c>
      <c r="BC74" s="283"/>
      <c r="BD74" s="283"/>
      <c r="BE74" s="283"/>
      <c r="BF74" s="283"/>
      <c r="BG74" s="283"/>
      <c r="BH74" s="360">
        <f>SUM(BI74:BM74)</f>
        <v>0</v>
      </c>
      <c r="BI74" s="283"/>
      <c r="BJ74" s="283"/>
      <c r="BK74" s="283"/>
      <c r="BL74" s="283"/>
      <c r="BM74" s="283"/>
      <c r="BN74" s="392"/>
      <c r="BO74" s="360">
        <f>SUM(BP74:BV74)</f>
        <v>0</v>
      </c>
      <c r="BP74" s="283"/>
      <c r="BQ74" s="283"/>
      <c r="BR74" s="283"/>
      <c r="BS74" s="283"/>
      <c r="BT74" s="283"/>
      <c r="BU74" s="283"/>
      <c r="BV74" s="283"/>
      <c r="BW74" s="392"/>
      <c r="BX74" s="360"/>
      <c r="BY74" s="283"/>
      <c r="BZ74" s="283"/>
      <c r="CA74" s="283"/>
      <c r="CB74" s="283"/>
      <c r="CC74" s="283"/>
      <c r="CD74" s="283"/>
      <c r="CE74" s="283"/>
      <c r="CF74" s="394" t="s">
        <v>474</v>
      </c>
      <c r="CG74" s="393" t="s">
        <v>332</v>
      </c>
    </row>
    <row r="75" spans="1:85" s="225" customFormat="1" ht="25.5" customHeight="1">
      <c r="A75" s="391" t="s">
        <v>305</v>
      </c>
      <c r="B75" s="361" t="s">
        <v>402</v>
      </c>
      <c r="C75" s="361"/>
      <c r="D75" s="394"/>
      <c r="E75" s="394" t="s">
        <v>30</v>
      </c>
      <c r="F75" s="394"/>
      <c r="G75" s="394"/>
      <c r="H75" s="394"/>
      <c r="I75" s="368"/>
      <c r="J75" s="368"/>
      <c r="K75" s="359">
        <f t="shared" si="88"/>
        <v>72</v>
      </c>
      <c r="L75" s="359">
        <f t="shared" si="89"/>
        <v>48</v>
      </c>
      <c r="M75" s="359">
        <f t="shared" si="90"/>
        <v>48</v>
      </c>
      <c r="N75" s="359">
        <f t="shared" si="91"/>
        <v>0</v>
      </c>
      <c r="O75" s="359">
        <f t="shared" si="92"/>
        <v>0</v>
      </c>
      <c r="P75" s="359">
        <f t="shared" si="93"/>
        <v>0</v>
      </c>
      <c r="Q75" s="359">
        <f t="shared" si="94"/>
        <v>24</v>
      </c>
      <c r="R75" s="360">
        <f>SUM(S75:W75)</f>
        <v>0</v>
      </c>
      <c r="S75" s="368"/>
      <c r="T75" s="368"/>
      <c r="U75" s="368"/>
      <c r="V75" s="368"/>
      <c r="W75" s="368"/>
      <c r="X75" s="360">
        <f>SUM(Y75:AC75)</f>
        <v>0</v>
      </c>
      <c r="Y75" s="368"/>
      <c r="Z75" s="368"/>
      <c r="AA75" s="368"/>
      <c r="AB75" s="368"/>
      <c r="AC75" s="368"/>
      <c r="AD75" s="360">
        <f>SUM(AE75:AI75)</f>
        <v>72</v>
      </c>
      <c r="AE75" s="368">
        <v>48</v>
      </c>
      <c r="AF75" s="368"/>
      <c r="AG75" s="368"/>
      <c r="AH75" s="368"/>
      <c r="AI75" s="368">
        <v>24</v>
      </c>
      <c r="AJ75" s="360">
        <f>SUM(AK75:AO75)</f>
        <v>0</v>
      </c>
      <c r="AK75" s="368"/>
      <c r="AL75" s="368"/>
      <c r="AM75" s="368"/>
      <c r="AN75" s="368"/>
      <c r="AO75" s="368"/>
      <c r="AP75" s="360">
        <f>SUM(AQ75:AU75)</f>
        <v>0</v>
      </c>
      <c r="AQ75" s="368"/>
      <c r="AR75" s="368"/>
      <c r="AS75" s="368"/>
      <c r="AT75" s="368"/>
      <c r="AU75" s="368"/>
      <c r="AV75" s="360">
        <f t="shared" si="95"/>
        <v>0</v>
      </c>
      <c r="AW75" s="368"/>
      <c r="AX75" s="368"/>
      <c r="AY75" s="368"/>
      <c r="AZ75" s="368"/>
      <c r="BA75" s="368"/>
      <c r="BB75" s="360">
        <f>SUM(BC75:BG75)</f>
        <v>0</v>
      </c>
      <c r="BC75" s="368"/>
      <c r="BD75" s="368"/>
      <c r="BE75" s="368"/>
      <c r="BF75" s="368"/>
      <c r="BG75" s="368"/>
      <c r="BH75" s="360">
        <f>SUM(BI75:BM75)</f>
        <v>0</v>
      </c>
      <c r="BI75" s="368"/>
      <c r="BJ75" s="368"/>
      <c r="BK75" s="368"/>
      <c r="BL75" s="368"/>
      <c r="BM75" s="368"/>
      <c r="BN75" s="368"/>
      <c r="BO75" s="390"/>
      <c r="BP75" s="368"/>
      <c r="BQ75" s="368"/>
      <c r="BR75" s="368"/>
      <c r="BS75" s="368"/>
      <c r="BT75" s="368"/>
      <c r="BU75" s="368"/>
      <c r="BV75" s="368"/>
      <c r="BW75" s="368"/>
      <c r="BX75" s="390"/>
      <c r="BY75" s="368"/>
      <c r="BZ75" s="368"/>
      <c r="CA75" s="368"/>
      <c r="CB75" s="368"/>
      <c r="CC75" s="368"/>
      <c r="CD75" s="368"/>
      <c r="CE75" s="368"/>
      <c r="CF75" s="394" t="s">
        <v>474</v>
      </c>
      <c r="CG75" s="393" t="s">
        <v>407</v>
      </c>
    </row>
    <row r="76" spans="1:85" s="225" customFormat="1" ht="25.5" customHeight="1">
      <c r="A76" s="391" t="s">
        <v>406</v>
      </c>
      <c r="B76" s="361" t="s">
        <v>405</v>
      </c>
      <c r="C76" s="361"/>
      <c r="D76" s="394"/>
      <c r="E76" s="394" t="s">
        <v>41</v>
      </c>
      <c r="F76" s="394"/>
      <c r="G76" s="394"/>
      <c r="H76" s="394" t="s">
        <v>40</v>
      </c>
      <c r="I76" s="368"/>
      <c r="J76" s="368"/>
      <c r="K76" s="359">
        <f t="shared" si="88"/>
        <v>201</v>
      </c>
      <c r="L76" s="359">
        <f t="shared" si="89"/>
        <v>133</v>
      </c>
      <c r="M76" s="359">
        <f t="shared" si="90"/>
        <v>133</v>
      </c>
      <c r="N76" s="359">
        <f t="shared" si="91"/>
        <v>0</v>
      </c>
      <c r="O76" s="359">
        <f t="shared" si="92"/>
        <v>0</v>
      </c>
      <c r="P76" s="359">
        <f t="shared" si="93"/>
        <v>0</v>
      </c>
      <c r="Q76" s="359">
        <f t="shared" si="94"/>
        <v>68</v>
      </c>
      <c r="R76" s="360">
        <f>SUM(S76:W76)</f>
        <v>0</v>
      </c>
      <c r="S76" s="368"/>
      <c r="T76" s="368"/>
      <c r="U76" s="368"/>
      <c r="V76" s="368"/>
      <c r="W76" s="368"/>
      <c r="X76" s="360">
        <f>SUM(Y76:AC76)</f>
        <v>0</v>
      </c>
      <c r="Y76" s="368"/>
      <c r="Z76" s="368"/>
      <c r="AA76" s="368"/>
      <c r="AB76" s="368"/>
      <c r="AC76" s="368"/>
      <c r="AD76" s="360">
        <f>SUM(AE76:AI76)</f>
        <v>66</v>
      </c>
      <c r="AE76" s="368">
        <v>44</v>
      </c>
      <c r="AF76" s="368"/>
      <c r="AG76" s="368"/>
      <c r="AH76" s="368"/>
      <c r="AI76" s="368">
        <v>22</v>
      </c>
      <c r="AJ76" s="360">
        <f>SUM(AK76:AO76)</f>
        <v>56</v>
      </c>
      <c r="AK76" s="368">
        <v>38</v>
      </c>
      <c r="AL76" s="368"/>
      <c r="AM76" s="368"/>
      <c r="AN76" s="368"/>
      <c r="AO76" s="368">
        <v>18</v>
      </c>
      <c r="AP76" s="360">
        <f>SUM(AQ76:AU76)</f>
        <v>79</v>
      </c>
      <c r="AQ76" s="368">
        <v>51</v>
      </c>
      <c r="AR76" s="368"/>
      <c r="AS76" s="368"/>
      <c r="AT76" s="368"/>
      <c r="AU76" s="368">
        <v>28</v>
      </c>
      <c r="AV76" s="360">
        <f t="shared" si="95"/>
        <v>0</v>
      </c>
      <c r="AW76" s="368"/>
      <c r="AX76" s="368"/>
      <c r="AY76" s="368"/>
      <c r="AZ76" s="368"/>
      <c r="BA76" s="368"/>
      <c r="BB76" s="360">
        <f>SUM(BC76:BG76)</f>
        <v>0</v>
      </c>
      <c r="BC76" s="368"/>
      <c r="BD76" s="368"/>
      <c r="BE76" s="368"/>
      <c r="BF76" s="368"/>
      <c r="BG76" s="368"/>
      <c r="BH76" s="360">
        <f>SUM(BI76:BM76)</f>
        <v>0</v>
      </c>
      <c r="BI76" s="368"/>
      <c r="BJ76" s="368"/>
      <c r="BK76" s="368"/>
      <c r="BL76" s="368"/>
      <c r="BM76" s="368"/>
      <c r="BN76" s="368"/>
      <c r="BO76" s="390"/>
      <c r="BP76" s="368"/>
      <c r="BQ76" s="368"/>
      <c r="BR76" s="368"/>
      <c r="BS76" s="368"/>
      <c r="BT76" s="368"/>
      <c r="BU76" s="368"/>
      <c r="BV76" s="368"/>
      <c r="BW76" s="368"/>
      <c r="BX76" s="390"/>
      <c r="BY76" s="368"/>
      <c r="BZ76" s="368"/>
      <c r="CA76" s="368"/>
      <c r="CB76" s="368"/>
      <c r="CC76" s="368"/>
      <c r="CD76" s="368"/>
      <c r="CE76" s="368"/>
      <c r="CF76" s="394" t="s">
        <v>474</v>
      </c>
      <c r="CG76" s="393" t="s">
        <v>407</v>
      </c>
    </row>
    <row r="77" spans="1:85" s="112" customFormat="1" ht="25.5" customHeight="1">
      <c r="A77" s="391" t="s">
        <v>497</v>
      </c>
      <c r="B77" s="301" t="s">
        <v>307</v>
      </c>
      <c r="C77" s="301"/>
      <c r="D77" s="358" t="s">
        <v>42</v>
      </c>
      <c r="E77" s="358"/>
      <c r="F77" s="358"/>
      <c r="G77" s="358" t="s">
        <v>42</v>
      </c>
      <c r="H77" s="358" t="s">
        <v>41</v>
      </c>
      <c r="I77" s="283"/>
      <c r="J77" s="283"/>
      <c r="K77" s="359">
        <f t="shared" si="88"/>
        <v>183</v>
      </c>
      <c r="L77" s="359">
        <f t="shared" si="89"/>
        <v>123</v>
      </c>
      <c r="M77" s="359">
        <f t="shared" si="90"/>
        <v>123</v>
      </c>
      <c r="N77" s="359">
        <f t="shared" si="91"/>
        <v>0</v>
      </c>
      <c r="O77" s="359">
        <f t="shared" si="92"/>
        <v>0</v>
      </c>
      <c r="P77" s="359">
        <f t="shared" si="93"/>
        <v>0</v>
      </c>
      <c r="Q77" s="359">
        <f t="shared" si="94"/>
        <v>60</v>
      </c>
      <c r="R77" s="360">
        <f>SUM(S77:W77)</f>
        <v>0</v>
      </c>
      <c r="S77" s="283"/>
      <c r="T77" s="283"/>
      <c r="U77" s="283"/>
      <c r="V77" s="283"/>
      <c r="W77" s="283"/>
      <c r="X77" s="360">
        <f>SUM(Y77:AC77)</f>
        <v>0</v>
      </c>
      <c r="Y77" s="283"/>
      <c r="Z77" s="283"/>
      <c r="AA77" s="283"/>
      <c r="AB77" s="283"/>
      <c r="AC77" s="283"/>
      <c r="AD77" s="360">
        <f>SUM(AE77:AI77)</f>
        <v>0</v>
      </c>
      <c r="AE77" s="283"/>
      <c r="AF77" s="283"/>
      <c r="AG77" s="283"/>
      <c r="AH77" s="283"/>
      <c r="AI77" s="283"/>
      <c r="AJ77" s="360">
        <f>SUM(AK77:AO77)</f>
        <v>0</v>
      </c>
      <c r="AK77" s="283"/>
      <c r="AL77" s="283"/>
      <c r="AM77" s="283"/>
      <c r="AN77" s="283"/>
      <c r="AO77" s="283"/>
      <c r="AP77" s="360">
        <f>SUM(AQ77:AU77)</f>
        <v>79</v>
      </c>
      <c r="AQ77" s="283">
        <v>51</v>
      </c>
      <c r="AR77" s="283"/>
      <c r="AS77" s="283"/>
      <c r="AT77" s="283"/>
      <c r="AU77" s="283">
        <v>28</v>
      </c>
      <c r="AV77" s="360">
        <f t="shared" si="95"/>
        <v>104</v>
      </c>
      <c r="AW77" s="283">
        <v>72</v>
      </c>
      <c r="AX77" s="283"/>
      <c r="AY77" s="283"/>
      <c r="AZ77" s="283"/>
      <c r="BA77" s="283">
        <v>32</v>
      </c>
      <c r="BB77" s="360">
        <f>SUM(BC77:BG77)</f>
        <v>0</v>
      </c>
      <c r="BC77" s="283"/>
      <c r="BD77" s="283"/>
      <c r="BE77" s="283"/>
      <c r="BF77" s="283"/>
      <c r="BG77" s="283"/>
      <c r="BH77" s="360">
        <f>SUM(BI77:BM77)</f>
        <v>0</v>
      </c>
      <c r="BI77" s="283"/>
      <c r="BJ77" s="283"/>
      <c r="BK77" s="283"/>
      <c r="BL77" s="283"/>
      <c r="BM77" s="283"/>
      <c r="BN77" s="392"/>
      <c r="BO77" s="360">
        <f>SUM(BP77:BV77)</f>
        <v>0</v>
      </c>
      <c r="BP77" s="283"/>
      <c r="BQ77" s="283"/>
      <c r="BR77" s="283"/>
      <c r="BS77" s="283"/>
      <c r="BT77" s="283"/>
      <c r="BU77" s="283"/>
      <c r="BV77" s="283"/>
      <c r="BW77" s="392"/>
      <c r="BX77" s="360"/>
      <c r="BY77" s="283"/>
      <c r="BZ77" s="283"/>
      <c r="CA77" s="283"/>
      <c r="CB77" s="283"/>
      <c r="CC77" s="283"/>
      <c r="CD77" s="283"/>
      <c r="CE77" s="283"/>
      <c r="CF77" s="394" t="s">
        <v>475</v>
      </c>
      <c r="CG77" s="351" t="s">
        <v>581</v>
      </c>
    </row>
    <row r="78" spans="1:85" s="117" customFormat="1" ht="25.5" customHeight="1">
      <c r="A78" s="391" t="s">
        <v>547</v>
      </c>
      <c r="B78" s="301" t="s">
        <v>349</v>
      </c>
      <c r="C78" s="301"/>
      <c r="D78" s="358" t="s">
        <v>40</v>
      </c>
      <c r="E78" s="358"/>
      <c r="F78" s="358"/>
      <c r="G78" s="358"/>
      <c r="H78" s="358"/>
      <c r="I78" s="283"/>
      <c r="J78" s="283"/>
      <c r="K78" s="359">
        <f t="shared" si="88"/>
        <v>142</v>
      </c>
      <c r="L78" s="359">
        <f t="shared" si="89"/>
        <v>95</v>
      </c>
      <c r="M78" s="359">
        <f t="shared" si="90"/>
        <v>95</v>
      </c>
      <c r="N78" s="359">
        <f t="shared" si="91"/>
        <v>0</v>
      </c>
      <c r="O78" s="359">
        <f t="shared" si="92"/>
        <v>0</v>
      </c>
      <c r="P78" s="359">
        <f t="shared" si="93"/>
        <v>0</v>
      </c>
      <c r="Q78" s="359">
        <f t="shared" si="94"/>
        <v>47</v>
      </c>
      <c r="R78" s="360">
        <f>SUM(S78:W78)</f>
        <v>0</v>
      </c>
      <c r="S78" s="283"/>
      <c r="T78" s="283"/>
      <c r="U78" s="283"/>
      <c r="V78" s="283"/>
      <c r="W78" s="283"/>
      <c r="X78" s="360">
        <f>SUM(Y78:AC78)</f>
        <v>0</v>
      </c>
      <c r="Y78" s="283"/>
      <c r="Z78" s="283"/>
      <c r="AA78" s="283"/>
      <c r="AB78" s="283"/>
      <c r="AC78" s="283"/>
      <c r="AD78" s="360">
        <f>SUM(AE78:AI78)</f>
        <v>0</v>
      </c>
      <c r="AE78" s="283"/>
      <c r="AF78" s="283"/>
      <c r="AG78" s="283"/>
      <c r="AH78" s="283"/>
      <c r="AI78" s="283"/>
      <c r="AJ78" s="360">
        <f>SUM(AK78:AO78)</f>
        <v>142</v>
      </c>
      <c r="AK78" s="283">
        <v>95</v>
      </c>
      <c r="AL78" s="283"/>
      <c r="AM78" s="283"/>
      <c r="AN78" s="283"/>
      <c r="AO78" s="283">
        <v>47</v>
      </c>
      <c r="AP78" s="360">
        <f>SUM(AQ78:AU78)</f>
        <v>0</v>
      </c>
      <c r="AQ78" s="283"/>
      <c r="AR78" s="283"/>
      <c r="AS78" s="283"/>
      <c r="AT78" s="283"/>
      <c r="AU78" s="283"/>
      <c r="AV78" s="360">
        <f t="shared" si="95"/>
        <v>0</v>
      </c>
      <c r="AW78" s="283"/>
      <c r="AX78" s="283"/>
      <c r="AY78" s="283"/>
      <c r="AZ78" s="283"/>
      <c r="BA78" s="283"/>
      <c r="BB78" s="360">
        <f>SUM(BC78:BG78)</f>
        <v>0</v>
      </c>
      <c r="BC78" s="283"/>
      <c r="BD78" s="283"/>
      <c r="BE78" s="283"/>
      <c r="BF78" s="283"/>
      <c r="BG78" s="283"/>
      <c r="BH78" s="360">
        <f>SUM(BI78:BM78)</f>
        <v>0</v>
      </c>
      <c r="BI78" s="283"/>
      <c r="BJ78" s="283"/>
      <c r="BK78" s="283"/>
      <c r="BL78" s="283"/>
      <c r="BM78" s="283"/>
      <c r="BN78" s="392"/>
      <c r="BO78" s="360"/>
      <c r="BP78" s="283"/>
      <c r="BQ78" s="283"/>
      <c r="BR78" s="283"/>
      <c r="BS78" s="283"/>
      <c r="BT78" s="283"/>
      <c r="BU78" s="283"/>
      <c r="BV78" s="283"/>
      <c r="BW78" s="392"/>
      <c r="BX78" s="360"/>
      <c r="BY78" s="283"/>
      <c r="BZ78" s="283"/>
      <c r="CA78" s="283"/>
      <c r="CB78" s="283"/>
      <c r="CC78" s="283"/>
      <c r="CD78" s="283"/>
      <c r="CE78" s="283"/>
      <c r="CF78" s="394" t="s">
        <v>474</v>
      </c>
      <c r="CG78" s="351" t="s">
        <v>585</v>
      </c>
    </row>
    <row r="79" spans="1:85" s="125" customFormat="1" ht="27" customHeight="1">
      <c r="A79" s="384" t="s">
        <v>161</v>
      </c>
      <c r="B79" s="605" t="s">
        <v>5</v>
      </c>
      <c r="C79" s="605"/>
      <c r="D79" s="382"/>
      <c r="E79" s="382" t="s">
        <v>40</v>
      </c>
      <c r="F79" s="382"/>
      <c r="G79" s="382"/>
      <c r="H79" s="382"/>
      <c r="I79" s="385"/>
      <c r="J79" s="385">
        <f>Нормы!E18</f>
        <v>144</v>
      </c>
      <c r="K79" s="385">
        <f aca="true" t="shared" si="96" ref="K79:AF79">SUM(K80:K80)</f>
        <v>144</v>
      </c>
      <c r="L79" s="385">
        <f t="shared" si="96"/>
        <v>144</v>
      </c>
      <c r="M79" s="385">
        <f t="shared" si="96"/>
        <v>0</v>
      </c>
      <c r="N79" s="385">
        <f t="shared" si="96"/>
        <v>0</v>
      </c>
      <c r="O79" s="385">
        <f t="shared" si="96"/>
        <v>0</v>
      </c>
      <c r="P79" s="385">
        <f t="shared" si="96"/>
        <v>144</v>
      </c>
      <c r="Q79" s="385">
        <f t="shared" si="96"/>
        <v>0</v>
      </c>
      <c r="R79" s="385">
        <f t="shared" si="96"/>
        <v>0</v>
      </c>
      <c r="S79" s="385">
        <f t="shared" si="96"/>
        <v>0</v>
      </c>
      <c r="T79" s="385">
        <f t="shared" si="96"/>
        <v>0</v>
      </c>
      <c r="U79" s="385">
        <f t="shared" si="96"/>
        <v>0</v>
      </c>
      <c r="V79" s="385">
        <f t="shared" si="96"/>
        <v>0</v>
      </c>
      <c r="W79" s="385">
        <f t="shared" si="96"/>
        <v>0</v>
      </c>
      <c r="X79" s="385">
        <f t="shared" si="96"/>
        <v>0</v>
      </c>
      <c r="Y79" s="385">
        <f t="shared" si="96"/>
        <v>0</v>
      </c>
      <c r="Z79" s="385">
        <f t="shared" si="96"/>
        <v>0</v>
      </c>
      <c r="AA79" s="385">
        <f t="shared" si="96"/>
        <v>0</v>
      </c>
      <c r="AB79" s="385">
        <f t="shared" si="96"/>
        <v>0</v>
      </c>
      <c r="AC79" s="385">
        <f t="shared" si="96"/>
        <v>0</v>
      </c>
      <c r="AD79" s="385">
        <f t="shared" si="96"/>
        <v>0</v>
      </c>
      <c r="AE79" s="385">
        <f t="shared" si="96"/>
        <v>0</v>
      </c>
      <c r="AF79" s="385">
        <f t="shared" si="96"/>
        <v>0</v>
      </c>
      <c r="AG79" s="385">
        <f aca="true" t="shared" si="97" ref="AG79:BA79">SUM(AG80:AG80)</f>
        <v>0</v>
      </c>
      <c r="AH79" s="385">
        <f t="shared" si="97"/>
        <v>0</v>
      </c>
      <c r="AI79" s="385">
        <f t="shared" si="97"/>
        <v>0</v>
      </c>
      <c r="AJ79" s="385">
        <f t="shared" si="97"/>
        <v>144</v>
      </c>
      <c r="AK79" s="385">
        <f t="shared" si="97"/>
        <v>0</v>
      </c>
      <c r="AL79" s="385">
        <f t="shared" si="97"/>
        <v>0</v>
      </c>
      <c r="AM79" s="385">
        <f t="shared" si="97"/>
        <v>0</v>
      </c>
      <c r="AN79" s="385">
        <f t="shared" si="97"/>
        <v>144</v>
      </c>
      <c r="AO79" s="385">
        <f t="shared" si="97"/>
        <v>0</v>
      </c>
      <c r="AP79" s="385">
        <f t="shared" si="97"/>
        <v>0</v>
      </c>
      <c r="AQ79" s="385">
        <f t="shared" si="97"/>
        <v>0</v>
      </c>
      <c r="AR79" s="385">
        <f t="shared" si="97"/>
        <v>0</v>
      </c>
      <c r="AS79" s="385">
        <f t="shared" si="97"/>
        <v>0</v>
      </c>
      <c r="AT79" s="385">
        <f t="shared" si="97"/>
        <v>0</v>
      </c>
      <c r="AU79" s="385">
        <f t="shared" si="97"/>
        <v>0</v>
      </c>
      <c r="AV79" s="385">
        <f t="shared" si="97"/>
        <v>0</v>
      </c>
      <c r="AW79" s="385">
        <f t="shared" si="97"/>
        <v>0</v>
      </c>
      <c r="AX79" s="385">
        <f t="shared" si="97"/>
        <v>0</v>
      </c>
      <c r="AY79" s="385">
        <f t="shared" si="97"/>
        <v>0</v>
      </c>
      <c r="AZ79" s="385">
        <f t="shared" si="97"/>
        <v>0</v>
      </c>
      <c r="BA79" s="385">
        <f t="shared" si="97"/>
        <v>0</v>
      </c>
      <c r="BB79" s="385">
        <f aca="true" t="shared" si="98" ref="BB79:CB79">SUM(BB80:BB80)</f>
        <v>0</v>
      </c>
      <c r="BC79" s="385">
        <f t="shared" si="98"/>
        <v>0</v>
      </c>
      <c r="BD79" s="385">
        <f t="shared" si="98"/>
        <v>0</v>
      </c>
      <c r="BE79" s="385">
        <f t="shared" si="98"/>
        <v>0</v>
      </c>
      <c r="BF79" s="385">
        <f t="shared" si="98"/>
        <v>0</v>
      </c>
      <c r="BG79" s="385">
        <f t="shared" si="98"/>
        <v>0</v>
      </c>
      <c r="BH79" s="385">
        <f t="shared" si="98"/>
        <v>0</v>
      </c>
      <c r="BI79" s="385">
        <f t="shared" si="98"/>
        <v>0</v>
      </c>
      <c r="BJ79" s="385">
        <f t="shared" si="98"/>
        <v>0</v>
      </c>
      <c r="BK79" s="385">
        <f t="shared" si="98"/>
        <v>0</v>
      </c>
      <c r="BL79" s="385">
        <f t="shared" si="98"/>
        <v>0</v>
      </c>
      <c r="BM79" s="385">
        <f t="shared" si="98"/>
        <v>0</v>
      </c>
      <c r="BN79" s="385">
        <f t="shared" si="98"/>
        <v>0</v>
      </c>
      <c r="BO79" s="385">
        <f t="shared" si="98"/>
        <v>0</v>
      </c>
      <c r="BP79" s="385">
        <f t="shared" si="98"/>
        <v>0</v>
      </c>
      <c r="BQ79" s="385">
        <f t="shared" si="98"/>
        <v>0</v>
      </c>
      <c r="BR79" s="385">
        <f t="shared" si="98"/>
        <v>0</v>
      </c>
      <c r="BS79" s="385">
        <f t="shared" si="98"/>
        <v>0</v>
      </c>
      <c r="BT79" s="385">
        <f t="shared" si="98"/>
        <v>0</v>
      </c>
      <c r="BU79" s="385">
        <f t="shared" si="98"/>
        <v>0</v>
      </c>
      <c r="BV79" s="385">
        <f t="shared" si="98"/>
        <v>0</v>
      </c>
      <c r="BW79" s="385">
        <f t="shared" si="98"/>
        <v>0</v>
      </c>
      <c r="BX79" s="385">
        <f t="shared" si="98"/>
        <v>0</v>
      </c>
      <c r="BY79" s="385">
        <f t="shared" si="98"/>
        <v>0</v>
      </c>
      <c r="BZ79" s="385">
        <f t="shared" si="98"/>
        <v>0</v>
      </c>
      <c r="CA79" s="385">
        <f t="shared" si="98"/>
        <v>0</v>
      </c>
      <c r="CB79" s="385">
        <f t="shared" si="98"/>
        <v>0</v>
      </c>
      <c r="CC79" s="385">
        <f>SUM(CC80:CC80)</f>
        <v>0</v>
      </c>
      <c r="CD79" s="385">
        <f>SUM(CD80:CD80)</f>
        <v>0</v>
      </c>
      <c r="CE79" s="385">
        <f>SUM(CE80:CE80)</f>
        <v>0</v>
      </c>
      <c r="CF79" s="382"/>
      <c r="CG79" s="382" t="s">
        <v>396</v>
      </c>
    </row>
    <row r="80" spans="1:85" s="112" customFormat="1" ht="25.5" hidden="1">
      <c r="A80" s="391" t="s">
        <v>162</v>
      </c>
      <c r="B80" s="301" t="s">
        <v>5</v>
      </c>
      <c r="C80" s="301"/>
      <c r="D80" s="358"/>
      <c r="E80" s="358" t="s">
        <v>40</v>
      </c>
      <c r="F80" s="358"/>
      <c r="G80" s="358"/>
      <c r="H80" s="358"/>
      <c r="I80" s="283"/>
      <c r="J80" s="283"/>
      <c r="K80" s="359">
        <f>L80+SUM(Q80:Q80)</f>
        <v>144</v>
      </c>
      <c r="L80" s="359">
        <f>SUM(M80:P80)</f>
        <v>144</v>
      </c>
      <c r="M80" s="359">
        <f>S80+Y80+AE80+AK80+AQ80+AW80+BC80+BI80+BQ80+BZ80</f>
        <v>0</v>
      </c>
      <c r="N80" s="359">
        <f>T80+Z80+AF80+AL80+AR80+AX80+BD80+BJ80+BR80+CA80</f>
        <v>0</v>
      </c>
      <c r="O80" s="359">
        <f>U80+AA80+AG80+AM80+AS80+AY80+BE80+BK80+BS80+CB80</f>
        <v>0</v>
      </c>
      <c r="P80" s="359">
        <f>V80+AB80+AH80+AN80+AT80+AZ80+BF80+BL80+BT80+CC80</f>
        <v>144</v>
      </c>
      <c r="Q80" s="359">
        <f>W80+AC80+AI80+AO80+AU80+BA80+BG80+BM80+BV80+CE80</f>
        <v>0</v>
      </c>
      <c r="R80" s="360">
        <f>SUM(S80:W80)</f>
        <v>0</v>
      </c>
      <c r="S80" s="283"/>
      <c r="T80" s="283"/>
      <c r="U80" s="283"/>
      <c r="V80" s="283"/>
      <c r="W80" s="283"/>
      <c r="X80" s="360">
        <f>SUM(Y80:AC80)</f>
        <v>0</v>
      </c>
      <c r="Y80" s="283"/>
      <c r="Z80" s="283"/>
      <c r="AA80" s="283"/>
      <c r="AB80" s="283"/>
      <c r="AC80" s="283"/>
      <c r="AD80" s="360">
        <f>SUM(AE80:AI80)</f>
        <v>0</v>
      </c>
      <c r="AE80" s="283"/>
      <c r="AF80" s="283"/>
      <c r="AG80" s="283"/>
      <c r="AH80" s="283"/>
      <c r="AI80" s="283"/>
      <c r="AJ80" s="360">
        <f>SUM(AK80:AO80)</f>
        <v>144</v>
      </c>
      <c r="AK80" s="283"/>
      <c r="AL80" s="283"/>
      <c r="AM80" s="283"/>
      <c r="AN80" s="283">
        <v>144</v>
      </c>
      <c r="AO80" s="283"/>
      <c r="AP80" s="360">
        <f>SUM(AQ80:AU80)</f>
        <v>0</v>
      </c>
      <c r="AQ80" s="283"/>
      <c r="AR80" s="283"/>
      <c r="AS80" s="283"/>
      <c r="AT80" s="283"/>
      <c r="AU80" s="283"/>
      <c r="AV80" s="360">
        <f>SUM(AW80:BA80)</f>
        <v>0</v>
      </c>
      <c r="AW80" s="283"/>
      <c r="AX80" s="283"/>
      <c r="AY80" s="283"/>
      <c r="AZ80" s="283"/>
      <c r="BA80" s="283"/>
      <c r="BB80" s="360">
        <f>SUM(BC80:BG80)</f>
        <v>0</v>
      </c>
      <c r="BC80" s="283"/>
      <c r="BD80" s="283"/>
      <c r="BE80" s="283"/>
      <c r="BF80" s="283"/>
      <c r="BG80" s="283"/>
      <c r="BH80" s="360">
        <f>SUM(BI80:BM80)</f>
        <v>0</v>
      </c>
      <c r="BI80" s="283"/>
      <c r="BJ80" s="283"/>
      <c r="BK80" s="283"/>
      <c r="BL80" s="283"/>
      <c r="BM80" s="283"/>
      <c r="BN80" s="392">
        <f>LEN(H80)-LEN(SUBSTITUTE(H80,"9",""))</f>
        <v>0</v>
      </c>
      <c r="BO80" s="360">
        <f>SUM(BP80:BV80)</f>
        <v>0</v>
      </c>
      <c r="BP80" s="283"/>
      <c r="BQ80" s="283"/>
      <c r="BR80" s="283"/>
      <c r="BS80" s="283"/>
      <c r="BT80" s="283"/>
      <c r="BU80" s="283"/>
      <c r="BV80" s="283"/>
      <c r="BW80" s="392">
        <f>LEN(H80)-LEN(SUBSTITUTE(H80,"Х",""))</f>
        <v>0</v>
      </c>
      <c r="BX80" s="360">
        <f>SUM(BY80:CE80)</f>
        <v>0</v>
      </c>
      <c r="BY80" s="283"/>
      <c r="BZ80" s="283"/>
      <c r="CA80" s="283"/>
      <c r="CB80" s="283"/>
      <c r="CC80" s="283"/>
      <c r="CD80" s="283"/>
      <c r="CE80" s="283"/>
      <c r="CF80" s="394" t="s">
        <v>474</v>
      </c>
      <c r="CG80" s="393" t="s">
        <v>396</v>
      </c>
    </row>
    <row r="81" spans="1:85" s="125" customFormat="1" ht="27" customHeight="1">
      <c r="A81" s="384" t="s">
        <v>163</v>
      </c>
      <c r="B81" s="605" t="s">
        <v>113</v>
      </c>
      <c r="C81" s="605"/>
      <c r="D81" s="382"/>
      <c r="E81" s="382"/>
      <c r="F81" s="382"/>
      <c r="G81" s="382"/>
      <c r="H81" s="382"/>
      <c r="I81" s="385"/>
      <c r="J81" s="385">
        <v>900</v>
      </c>
      <c r="K81" s="385">
        <f aca="true" t="shared" si="99" ref="K81:AF81">SUM(K82:K83)</f>
        <v>900</v>
      </c>
      <c r="L81" s="385">
        <f t="shared" si="99"/>
        <v>900</v>
      </c>
      <c r="M81" s="385">
        <f t="shared" si="99"/>
        <v>0</v>
      </c>
      <c r="N81" s="385">
        <f t="shared" si="99"/>
        <v>0</v>
      </c>
      <c r="O81" s="385">
        <f t="shared" si="99"/>
        <v>0</v>
      </c>
      <c r="P81" s="385">
        <f t="shared" si="99"/>
        <v>900</v>
      </c>
      <c r="Q81" s="385">
        <f t="shared" si="99"/>
        <v>0</v>
      </c>
      <c r="R81" s="385">
        <f t="shared" si="99"/>
        <v>0</v>
      </c>
      <c r="S81" s="385">
        <f t="shared" si="99"/>
        <v>0</v>
      </c>
      <c r="T81" s="385">
        <f t="shared" si="99"/>
        <v>0</v>
      </c>
      <c r="U81" s="385">
        <f t="shared" si="99"/>
        <v>0</v>
      </c>
      <c r="V81" s="385">
        <f t="shared" si="99"/>
        <v>0</v>
      </c>
      <c r="W81" s="385">
        <f t="shared" si="99"/>
        <v>0</v>
      </c>
      <c r="X81" s="385">
        <f t="shared" si="99"/>
        <v>0</v>
      </c>
      <c r="Y81" s="385">
        <f t="shared" si="99"/>
        <v>0</v>
      </c>
      <c r="Z81" s="385">
        <f t="shared" si="99"/>
        <v>0</v>
      </c>
      <c r="AA81" s="385">
        <f t="shared" si="99"/>
        <v>0</v>
      </c>
      <c r="AB81" s="385">
        <f t="shared" si="99"/>
        <v>0</v>
      </c>
      <c r="AC81" s="385">
        <f t="shared" si="99"/>
        <v>0</v>
      </c>
      <c r="AD81" s="385">
        <f t="shared" si="99"/>
        <v>0</v>
      </c>
      <c r="AE81" s="385">
        <f t="shared" si="99"/>
        <v>0</v>
      </c>
      <c r="AF81" s="385">
        <f t="shared" si="99"/>
        <v>0</v>
      </c>
      <c r="AG81" s="385">
        <f aca="true" t="shared" si="100" ref="AG81:BA81">SUM(AG82:AG83)</f>
        <v>0</v>
      </c>
      <c r="AH81" s="385">
        <f t="shared" si="100"/>
        <v>0</v>
      </c>
      <c r="AI81" s="385">
        <f t="shared" si="100"/>
        <v>0</v>
      </c>
      <c r="AJ81" s="385">
        <f t="shared" si="100"/>
        <v>0</v>
      </c>
      <c r="AK81" s="385">
        <f t="shared" si="100"/>
        <v>0</v>
      </c>
      <c r="AL81" s="385">
        <f t="shared" si="100"/>
        <v>0</v>
      </c>
      <c r="AM81" s="385">
        <f t="shared" si="100"/>
        <v>0</v>
      </c>
      <c r="AN81" s="385">
        <f t="shared" si="100"/>
        <v>0</v>
      </c>
      <c r="AO81" s="385">
        <f t="shared" si="100"/>
        <v>0</v>
      </c>
      <c r="AP81" s="385">
        <f t="shared" si="100"/>
        <v>0</v>
      </c>
      <c r="AQ81" s="385">
        <f t="shared" si="100"/>
        <v>0</v>
      </c>
      <c r="AR81" s="385">
        <f t="shared" si="100"/>
        <v>0</v>
      </c>
      <c r="AS81" s="385">
        <f t="shared" si="100"/>
        <v>0</v>
      </c>
      <c r="AT81" s="385">
        <f t="shared" si="100"/>
        <v>0</v>
      </c>
      <c r="AU81" s="385">
        <f t="shared" si="100"/>
        <v>0</v>
      </c>
      <c r="AV81" s="385">
        <f t="shared" si="100"/>
        <v>432</v>
      </c>
      <c r="AW81" s="385">
        <f t="shared" si="100"/>
        <v>0</v>
      </c>
      <c r="AX81" s="385">
        <f t="shared" si="100"/>
        <v>0</v>
      </c>
      <c r="AY81" s="385">
        <f t="shared" si="100"/>
        <v>0</v>
      </c>
      <c r="AZ81" s="385">
        <f t="shared" si="100"/>
        <v>432</v>
      </c>
      <c r="BA81" s="385">
        <f t="shared" si="100"/>
        <v>0</v>
      </c>
      <c r="BB81" s="385">
        <f aca="true" t="shared" si="101" ref="BB81:CB81">SUM(BB82:BB83)</f>
        <v>324</v>
      </c>
      <c r="BC81" s="385">
        <f t="shared" si="101"/>
        <v>0</v>
      </c>
      <c r="BD81" s="385">
        <f t="shared" si="101"/>
        <v>0</v>
      </c>
      <c r="BE81" s="385">
        <f t="shared" si="101"/>
        <v>0</v>
      </c>
      <c r="BF81" s="385">
        <f t="shared" si="101"/>
        <v>324</v>
      </c>
      <c r="BG81" s="385">
        <f t="shared" si="101"/>
        <v>0</v>
      </c>
      <c r="BH81" s="385">
        <f t="shared" si="101"/>
        <v>144</v>
      </c>
      <c r="BI81" s="385">
        <f t="shared" si="101"/>
        <v>0</v>
      </c>
      <c r="BJ81" s="385">
        <f t="shared" si="101"/>
        <v>0</v>
      </c>
      <c r="BK81" s="385">
        <f t="shared" si="101"/>
        <v>0</v>
      </c>
      <c r="BL81" s="385">
        <f t="shared" si="101"/>
        <v>144</v>
      </c>
      <c r="BM81" s="385">
        <f t="shared" si="101"/>
        <v>0</v>
      </c>
      <c r="BN81" s="385">
        <f t="shared" si="101"/>
        <v>0</v>
      </c>
      <c r="BO81" s="385">
        <f t="shared" si="101"/>
        <v>0</v>
      </c>
      <c r="BP81" s="385">
        <f t="shared" si="101"/>
        <v>0</v>
      </c>
      <c r="BQ81" s="385">
        <f t="shared" si="101"/>
        <v>0</v>
      </c>
      <c r="BR81" s="385">
        <f t="shared" si="101"/>
        <v>0</v>
      </c>
      <c r="BS81" s="385">
        <f t="shared" si="101"/>
        <v>0</v>
      </c>
      <c r="BT81" s="385">
        <f t="shared" si="101"/>
        <v>0</v>
      </c>
      <c r="BU81" s="385">
        <f t="shared" si="101"/>
        <v>0</v>
      </c>
      <c r="BV81" s="385">
        <f t="shared" si="101"/>
        <v>0</v>
      </c>
      <c r="BW81" s="385">
        <f t="shared" si="101"/>
        <v>0</v>
      </c>
      <c r="BX81" s="385">
        <f t="shared" si="101"/>
        <v>0</v>
      </c>
      <c r="BY81" s="385">
        <f t="shared" si="101"/>
        <v>0</v>
      </c>
      <c r="BZ81" s="385">
        <f t="shared" si="101"/>
        <v>0</v>
      </c>
      <c r="CA81" s="385">
        <f t="shared" si="101"/>
        <v>0</v>
      </c>
      <c r="CB81" s="385">
        <f t="shared" si="101"/>
        <v>0</v>
      </c>
      <c r="CC81" s="385">
        <f>SUM(CC82:CC83)</f>
        <v>0</v>
      </c>
      <c r="CD81" s="385">
        <f>SUM(CD82:CD83)</f>
        <v>0</v>
      </c>
      <c r="CE81" s="385">
        <f>SUM(CE82:CE83)</f>
        <v>0</v>
      </c>
      <c r="CF81" s="382"/>
      <c r="CG81" s="382" t="s">
        <v>373</v>
      </c>
    </row>
    <row r="82" spans="1:85" s="112" customFormat="1" ht="25.5">
      <c r="A82" s="391" t="s">
        <v>164</v>
      </c>
      <c r="B82" s="408" t="s">
        <v>492</v>
      </c>
      <c r="C82" s="301"/>
      <c r="D82" s="358"/>
      <c r="E82" s="358" t="s">
        <v>43</v>
      </c>
      <c r="F82" s="358"/>
      <c r="G82" s="358"/>
      <c r="H82" s="358"/>
      <c r="I82" s="283"/>
      <c r="J82" s="283"/>
      <c r="K82" s="359">
        <f>L82+SUM(Q82:Q82)</f>
        <v>756</v>
      </c>
      <c r="L82" s="359">
        <f>SUM(M82:P82)</f>
        <v>756</v>
      </c>
      <c r="M82" s="359">
        <f aca="true" t="shared" si="102" ref="M82:P83">S82+Y82+AE82+AK82+AQ82+AW82+BC82+BI82+BQ82+BZ82</f>
        <v>0</v>
      </c>
      <c r="N82" s="359">
        <f t="shared" si="102"/>
        <v>0</v>
      </c>
      <c r="O82" s="359">
        <f t="shared" si="102"/>
        <v>0</v>
      </c>
      <c r="P82" s="359">
        <f t="shared" si="102"/>
        <v>756</v>
      </c>
      <c r="Q82" s="359">
        <f>W82+AC82+AI82+AO82+AU82+BA82+BG82+BM82+BV82+CE82</f>
        <v>0</v>
      </c>
      <c r="R82" s="360">
        <f>SUM(S82:W82)</f>
        <v>0</v>
      </c>
      <c r="S82" s="283"/>
      <c r="T82" s="283"/>
      <c r="U82" s="283"/>
      <c r="V82" s="283"/>
      <c r="W82" s="283"/>
      <c r="X82" s="360">
        <f>SUM(Y82:AC82)</f>
        <v>0</v>
      </c>
      <c r="Y82" s="283"/>
      <c r="Z82" s="283"/>
      <c r="AA82" s="283"/>
      <c r="AB82" s="283"/>
      <c r="AC82" s="283"/>
      <c r="AD82" s="360">
        <f>SUM(AE82:AI82)</f>
        <v>0</v>
      </c>
      <c r="AE82" s="283"/>
      <c r="AF82" s="283"/>
      <c r="AG82" s="283"/>
      <c r="AH82" s="283"/>
      <c r="AI82" s="283"/>
      <c r="AJ82" s="360">
        <f>SUM(AK82:AO82)</f>
        <v>0</v>
      </c>
      <c r="AK82" s="283"/>
      <c r="AL82" s="283"/>
      <c r="AM82" s="283"/>
      <c r="AN82" s="283"/>
      <c r="AO82" s="283"/>
      <c r="AP82" s="360">
        <f>SUM(AQ82:AU82)</f>
        <v>0</v>
      </c>
      <c r="AQ82" s="283"/>
      <c r="AR82" s="283"/>
      <c r="AS82" s="283"/>
      <c r="AT82" s="283"/>
      <c r="AU82" s="283"/>
      <c r="AV82" s="360">
        <f>SUM(AW82:BA82)</f>
        <v>432</v>
      </c>
      <c r="AW82" s="283"/>
      <c r="AX82" s="283"/>
      <c r="AY82" s="283"/>
      <c r="AZ82" s="283">
        <v>432</v>
      </c>
      <c r="BA82" s="283"/>
      <c r="BB82" s="360">
        <f>SUM(BC82:BG82)</f>
        <v>324</v>
      </c>
      <c r="BC82" s="283"/>
      <c r="BD82" s="283"/>
      <c r="BE82" s="283"/>
      <c r="BF82" s="283">
        <v>324</v>
      </c>
      <c r="BG82" s="283"/>
      <c r="BH82" s="360">
        <f>SUM(BI82:BM82)</f>
        <v>0</v>
      </c>
      <c r="BI82" s="283"/>
      <c r="BJ82" s="283"/>
      <c r="BK82" s="283"/>
      <c r="BL82" s="283"/>
      <c r="BM82" s="283"/>
      <c r="BN82" s="392">
        <f>LEN(H82)-LEN(SUBSTITUTE(H82,"9",""))</f>
        <v>0</v>
      </c>
      <c r="BO82" s="360">
        <f>SUM(BP82:BV82)</f>
        <v>0</v>
      </c>
      <c r="BP82" s="283"/>
      <c r="BQ82" s="283"/>
      <c r="BR82" s="283"/>
      <c r="BS82" s="283"/>
      <c r="BT82" s="283"/>
      <c r="BU82" s="283"/>
      <c r="BV82" s="283"/>
      <c r="BW82" s="392">
        <f>LEN(H82)-LEN(SUBSTITUTE(H82,"Х",""))</f>
        <v>0</v>
      </c>
      <c r="BX82" s="360">
        <f>SUM(BY82:CE82)</f>
        <v>0</v>
      </c>
      <c r="BY82" s="283"/>
      <c r="BZ82" s="283"/>
      <c r="CA82" s="283"/>
      <c r="CB82" s="283"/>
      <c r="CC82" s="283"/>
      <c r="CD82" s="283"/>
      <c r="CE82" s="283"/>
      <c r="CF82" s="394" t="s">
        <v>474</v>
      </c>
      <c r="CG82" s="393" t="s">
        <v>373</v>
      </c>
    </row>
    <row r="83" spans="1:85" s="112" customFormat="1" ht="25.5">
      <c r="A83" s="391" t="s">
        <v>351</v>
      </c>
      <c r="B83" s="408" t="s">
        <v>295</v>
      </c>
      <c r="C83" s="408"/>
      <c r="D83" s="358"/>
      <c r="E83" s="358" t="s">
        <v>38</v>
      </c>
      <c r="F83" s="358"/>
      <c r="G83" s="358"/>
      <c r="H83" s="358"/>
      <c r="I83" s="283"/>
      <c r="J83" s="283">
        <v>144</v>
      </c>
      <c r="K83" s="359">
        <f>L83+SUM(Q83:Q83)</f>
        <v>144</v>
      </c>
      <c r="L83" s="359">
        <f>SUM(M83:P83)</f>
        <v>144</v>
      </c>
      <c r="M83" s="359">
        <f t="shared" si="102"/>
        <v>0</v>
      </c>
      <c r="N83" s="359">
        <f t="shared" si="102"/>
        <v>0</v>
      </c>
      <c r="O83" s="359">
        <f t="shared" si="102"/>
        <v>0</v>
      </c>
      <c r="P83" s="359">
        <f t="shared" si="102"/>
        <v>144</v>
      </c>
      <c r="Q83" s="359">
        <f>W83+AC83+AI83+AO83+AU83+BA83+BG83+BM83+BV83+CE83</f>
        <v>0</v>
      </c>
      <c r="R83" s="360">
        <f>SUM(S83:W83)</f>
        <v>0</v>
      </c>
      <c r="S83" s="283"/>
      <c r="T83" s="283"/>
      <c r="U83" s="283"/>
      <c r="V83" s="283"/>
      <c r="W83" s="283"/>
      <c r="X83" s="360">
        <f>SUM(Y83:AC83)</f>
        <v>0</v>
      </c>
      <c r="Y83" s="283"/>
      <c r="Z83" s="283"/>
      <c r="AA83" s="283"/>
      <c r="AB83" s="283"/>
      <c r="AC83" s="283"/>
      <c r="AD83" s="360">
        <f>SUM(AE83:AI83)</f>
        <v>0</v>
      </c>
      <c r="AE83" s="283"/>
      <c r="AF83" s="283"/>
      <c r="AG83" s="283"/>
      <c r="AH83" s="283"/>
      <c r="AI83" s="283"/>
      <c r="AJ83" s="360">
        <f>SUM(AK83:AO83)</f>
        <v>0</v>
      </c>
      <c r="AK83" s="283"/>
      <c r="AL83" s="283"/>
      <c r="AM83" s="283"/>
      <c r="AN83" s="283"/>
      <c r="AO83" s="283"/>
      <c r="AP83" s="360">
        <f>SUM(AQ83:AU83)</f>
        <v>0</v>
      </c>
      <c r="AQ83" s="283"/>
      <c r="AR83" s="283"/>
      <c r="AS83" s="283"/>
      <c r="AT83" s="283"/>
      <c r="AU83" s="283"/>
      <c r="AV83" s="360">
        <f>SUM(AW83:BA83)</f>
        <v>0</v>
      </c>
      <c r="AW83" s="283"/>
      <c r="AX83" s="283"/>
      <c r="AY83" s="283"/>
      <c r="AZ83" s="283"/>
      <c r="BA83" s="283"/>
      <c r="BB83" s="360">
        <f>SUM(BC83:BG83)</f>
        <v>0</v>
      </c>
      <c r="BC83" s="283"/>
      <c r="BD83" s="283"/>
      <c r="BE83" s="283"/>
      <c r="BF83" s="283"/>
      <c r="BG83" s="283"/>
      <c r="BH83" s="360">
        <f>SUM(BI83:BM83)</f>
        <v>144</v>
      </c>
      <c r="BI83" s="283"/>
      <c r="BJ83" s="283"/>
      <c r="BK83" s="283"/>
      <c r="BL83" s="283">
        <v>144</v>
      </c>
      <c r="BM83" s="283"/>
      <c r="BN83" s="392">
        <f>LEN(H83)-LEN(SUBSTITUTE(H83,"9",""))</f>
        <v>0</v>
      </c>
      <c r="BO83" s="360">
        <f>SUM(BP83:BV83)</f>
        <v>0</v>
      </c>
      <c r="BP83" s="283"/>
      <c r="BQ83" s="283"/>
      <c r="BR83" s="283"/>
      <c r="BS83" s="283"/>
      <c r="BT83" s="283"/>
      <c r="BU83" s="283"/>
      <c r="BV83" s="283"/>
      <c r="BW83" s="392">
        <f>LEN(H83)-LEN(SUBSTITUTE(H83,"Х",""))</f>
        <v>0</v>
      </c>
      <c r="BX83" s="360">
        <f>SUM(BY83:CE83)</f>
        <v>0</v>
      </c>
      <c r="BY83" s="283"/>
      <c r="BZ83" s="283"/>
      <c r="CA83" s="283"/>
      <c r="CB83" s="283"/>
      <c r="CC83" s="283"/>
      <c r="CD83" s="283"/>
      <c r="CE83" s="283"/>
      <c r="CF83" s="394" t="s">
        <v>474</v>
      </c>
      <c r="CG83" s="393" t="s">
        <v>373</v>
      </c>
    </row>
    <row r="84" spans="1:85" s="125" customFormat="1" ht="26.25" customHeight="1">
      <c r="A84" s="384" t="s">
        <v>165</v>
      </c>
      <c r="B84" s="538" t="s">
        <v>542</v>
      </c>
      <c r="C84" s="539"/>
      <c r="D84" s="539"/>
      <c r="E84" s="539"/>
      <c r="F84" s="539"/>
      <c r="G84" s="539"/>
      <c r="H84" s="540"/>
      <c r="I84" s="385">
        <v>324</v>
      </c>
      <c r="J84" s="385"/>
      <c r="K84" s="385">
        <f aca="true" t="shared" si="103" ref="K84:P84">SUM(K85:K86)</f>
        <v>324</v>
      </c>
      <c r="L84" s="385">
        <f t="shared" si="103"/>
        <v>0</v>
      </c>
      <c r="M84" s="385">
        <f t="shared" si="103"/>
        <v>0</v>
      </c>
      <c r="N84" s="385">
        <f t="shared" si="103"/>
        <v>0</v>
      </c>
      <c r="O84" s="385">
        <f t="shared" si="103"/>
        <v>0</v>
      </c>
      <c r="P84" s="385">
        <f t="shared" si="103"/>
        <v>0</v>
      </c>
      <c r="Q84" s="385">
        <f aca="true" t="shared" si="104" ref="Q84:BM84">SUM(Q85:Q86)</f>
        <v>324</v>
      </c>
      <c r="R84" s="385">
        <f t="shared" si="104"/>
        <v>0</v>
      </c>
      <c r="S84" s="385">
        <f t="shared" si="104"/>
        <v>0</v>
      </c>
      <c r="T84" s="385">
        <f t="shared" si="104"/>
        <v>0</v>
      </c>
      <c r="U84" s="385">
        <f t="shared" si="104"/>
        <v>0</v>
      </c>
      <c r="V84" s="385">
        <f t="shared" si="104"/>
        <v>0</v>
      </c>
      <c r="W84" s="385">
        <f t="shared" si="104"/>
        <v>0</v>
      </c>
      <c r="X84" s="385">
        <f t="shared" si="104"/>
        <v>0</v>
      </c>
      <c r="Y84" s="385">
        <f t="shared" si="104"/>
        <v>0</v>
      </c>
      <c r="Z84" s="385">
        <f t="shared" si="104"/>
        <v>0</v>
      </c>
      <c r="AA84" s="385">
        <f t="shared" si="104"/>
        <v>0</v>
      </c>
      <c r="AB84" s="385">
        <f t="shared" si="104"/>
        <v>0</v>
      </c>
      <c r="AC84" s="385">
        <f t="shared" si="104"/>
        <v>0</v>
      </c>
      <c r="AD84" s="385">
        <f t="shared" si="104"/>
        <v>0</v>
      </c>
      <c r="AE84" s="385">
        <f t="shared" si="104"/>
        <v>0</v>
      </c>
      <c r="AF84" s="385">
        <f t="shared" si="104"/>
        <v>0</v>
      </c>
      <c r="AG84" s="385">
        <f t="shared" si="104"/>
        <v>0</v>
      </c>
      <c r="AH84" s="385">
        <f t="shared" si="104"/>
        <v>0</v>
      </c>
      <c r="AI84" s="385">
        <f t="shared" si="104"/>
        <v>0</v>
      </c>
      <c r="AJ84" s="385">
        <f t="shared" si="104"/>
        <v>0</v>
      </c>
      <c r="AK84" s="385">
        <f t="shared" si="104"/>
        <v>0</v>
      </c>
      <c r="AL84" s="385">
        <f t="shared" si="104"/>
        <v>0</v>
      </c>
      <c r="AM84" s="385">
        <f t="shared" si="104"/>
        <v>0</v>
      </c>
      <c r="AN84" s="385">
        <f t="shared" si="104"/>
        <v>0</v>
      </c>
      <c r="AO84" s="385">
        <f t="shared" si="104"/>
        <v>0</v>
      </c>
      <c r="AP84" s="385">
        <f t="shared" si="104"/>
        <v>0</v>
      </c>
      <c r="AQ84" s="385">
        <f t="shared" si="104"/>
        <v>0</v>
      </c>
      <c r="AR84" s="385">
        <f t="shared" si="104"/>
        <v>0</v>
      </c>
      <c r="AS84" s="385">
        <f t="shared" si="104"/>
        <v>0</v>
      </c>
      <c r="AT84" s="385">
        <f t="shared" si="104"/>
        <v>0</v>
      </c>
      <c r="AU84" s="385">
        <f t="shared" si="104"/>
        <v>0</v>
      </c>
      <c r="AV84" s="385">
        <f t="shared" si="104"/>
        <v>0</v>
      </c>
      <c r="AW84" s="385">
        <f t="shared" si="104"/>
        <v>0</v>
      </c>
      <c r="AX84" s="385">
        <f t="shared" si="104"/>
        <v>0</v>
      </c>
      <c r="AY84" s="385">
        <f t="shared" si="104"/>
        <v>0</v>
      </c>
      <c r="AZ84" s="385">
        <f t="shared" si="104"/>
        <v>0</v>
      </c>
      <c r="BA84" s="385">
        <f t="shared" si="104"/>
        <v>0</v>
      </c>
      <c r="BB84" s="385">
        <f t="shared" si="104"/>
        <v>0</v>
      </c>
      <c r="BC84" s="385">
        <f t="shared" si="104"/>
        <v>0</v>
      </c>
      <c r="BD84" s="385">
        <f t="shared" si="104"/>
        <v>0</v>
      </c>
      <c r="BE84" s="385">
        <f t="shared" si="104"/>
        <v>0</v>
      </c>
      <c r="BF84" s="385">
        <f t="shared" si="104"/>
        <v>0</v>
      </c>
      <c r="BG84" s="385">
        <f t="shared" si="104"/>
        <v>0</v>
      </c>
      <c r="BH84" s="385">
        <f t="shared" si="104"/>
        <v>324</v>
      </c>
      <c r="BI84" s="385">
        <f t="shared" si="104"/>
        <v>0</v>
      </c>
      <c r="BJ84" s="385">
        <f t="shared" si="104"/>
        <v>0</v>
      </c>
      <c r="BK84" s="385">
        <f t="shared" si="104"/>
        <v>0</v>
      </c>
      <c r="BL84" s="385">
        <f t="shared" si="104"/>
        <v>0</v>
      </c>
      <c r="BM84" s="385">
        <f t="shared" si="104"/>
        <v>324</v>
      </c>
      <c r="BN84" s="385">
        <f aca="true" t="shared" si="105" ref="BN84:CB84">SUM(BN86:BN86)</f>
        <v>0</v>
      </c>
      <c r="BO84" s="385">
        <f t="shared" si="105"/>
        <v>0</v>
      </c>
      <c r="BP84" s="385">
        <f t="shared" si="105"/>
        <v>0</v>
      </c>
      <c r="BQ84" s="385">
        <f t="shared" si="105"/>
        <v>0</v>
      </c>
      <c r="BR84" s="385">
        <f t="shared" si="105"/>
        <v>0</v>
      </c>
      <c r="BS84" s="385">
        <f t="shared" si="105"/>
        <v>0</v>
      </c>
      <c r="BT84" s="385">
        <f t="shared" si="105"/>
        <v>0</v>
      </c>
      <c r="BU84" s="385">
        <f t="shared" si="105"/>
        <v>0</v>
      </c>
      <c r="BV84" s="385">
        <f t="shared" si="105"/>
        <v>0</v>
      </c>
      <c r="BW84" s="385">
        <f t="shared" si="105"/>
        <v>0</v>
      </c>
      <c r="BX84" s="385">
        <f t="shared" si="105"/>
        <v>0</v>
      </c>
      <c r="BY84" s="385">
        <f t="shared" si="105"/>
        <v>0</v>
      </c>
      <c r="BZ84" s="385">
        <f t="shared" si="105"/>
        <v>0</v>
      </c>
      <c r="CA84" s="385">
        <f t="shared" si="105"/>
        <v>0</v>
      </c>
      <c r="CB84" s="385">
        <f t="shared" si="105"/>
        <v>0</v>
      </c>
      <c r="CC84" s="385">
        <f>SUM(CC86:CC86)</f>
        <v>0</v>
      </c>
      <c r="CD84" s="385">
        <f>SUM(CD86:CD86)</f>
        <v>0</v>
      </c>
      <c r="CE84" s="385">
        <f>SUM(CE86:CE86)</f>
        <v>0</v>
      </c>
      <c r="CF84" s="382"/>
      <c r="CG84" s="382"/>
    </row>
    <row r="85" spans="1:85" s="112" customFormat="1" ht="25.5">
      <c r="A85" s="106" t="s">
        <v>167</v>
      </c>
      <c r="B85" s="107" t="s">
        <v>560</v>
      </c>
      <c r="C85" s="107"/>
      <c r="D85" s="126"/>
      <c r="E85" s="108"/>
      <c r="F85" s="108"/>
      <c r="G85" s="108"/>
      <c r="H85" s="108"/>
      <c r="I85" s="110"/>
      <c r="J85" s="110"/>
      <c r="K85" s="109">
        <f>L85+SUM(Q85:Q85)</f>
        <v>216</v>
      </c>
      <c r="L85" s="109">
        <f>SUM(M85:P85)</f>
        <v>0</v>
      </c>
      <c r="M85" s="109">
        <f aca="true" t="shared" si="106" ref="M85:P86">S85+Y85+AE85+AK85+AQ85+AW85+BC85+BI85+BQ85+BZ85</f>
        <v>0</v>
      </c>
      <c r="N85" s="109">
        <f t="shared" si="106"/>
        <v>0</v>
      </c>
      <c r="O85" s="109">
        <f t="shared" si="106"/>
        <v>0</v>
      </c>
      <c r="P85" s="109">
        <f t="shared" si="106"/>
        <v>0</v>
      </c>
      <c r="Q85" s="109">
        <f>W85+AC85+AI85+AO85+AU85+BA85+BG85+BM85+BV85+CE85</f>
        <v>216</v>
      </c>
      <c r="R85" s="286"/>
      <c r="S85" s="110"/>
      <c r="T85" s="110"/>
      <c r="U85" s="110"/>
      <c r="V85" s="110"/>
      <c r="W85" s="110"/>
      <c r="X85" s="286"/>
      <c r="Y85" s="110"/>
      <c r="Z85" s="110"/>
      <c r="AA85" s="110"/>
      <c r="AB85" s="110"/>
      <c r="AC85" s="110"/>
      <c r="AD85" s="286"/>
      <c r="AE85" s="110"/>
      <c r="AF85" s="110"/>
      <c r="AG85" s="110"/>
      <c r="AH85" s="110"/>
      <c r="AI85" s="110"/>
      <c r="AJ85" s="286"/>
      <c r="AK85" s="110"/>
      <c r="AL85" s="110"/>
      <c r="AM85" s="110"/>
      <c r="AN85" s="110"/>
      <c r="AO85" s="110"/>
      <c r="AP85" s="286"/>
      <c r="AQ85" s="110"/>
      <c r="AR85" s="110"/>
      <c r="AS85" s="110"/>
      <c r="AT85" s="110"/>
      <c r="AU85" s="110"/>
      <c r="AV85" s="286"/>
      <c r="AW85" s="110"/>
      <c r="AX85" s="110"/>
      <c r="AY85" s="110"/>
      <c r="AZ85" s="110"/>
      <c r="BA85" s="110"/>
      <c r="BB85" s="286"/>
      <c r="BC85" s="110"/>
      <c r="BD85" s="110"/>
      <c r="BE85" s="110"/>
      <c r="BF85" s="110"/>
      <c r="BG85" s="110"/>
      <c r="BH85" s="286">
        <f>SUM(BI85:BM85)</f>
        <v>216</v>
      </c>
      <c r="BI85" s="110"/>
      <c r="BJ85" s="110"/>
      <c r="BK85" s="110"/>
      <c r="BL85" s="110"/>
      <c r="BM85" s="110">
        <f>4*54</f>
        <v>216</v>
      </c>
      <c r="BN85" s="378"/>
      <c r="BO85" s="286"/>
      <c r="BP85" s="110"/>
      <c r="BQ85" s="110"/>
      <c r="BR85" s="110"/>
      <c r="BS85" s="110"/>
      <c r="BT85" s="110"/>
      <c r="BU85" s="110"/>
      <c r="BV85" s="110"/>
      <c r="BW85" s="378"/>
      <c r="BX85" s="286"/>
      <c r="BY85" s="110"/>
      <c r="BZ85" s="110"/>
      <c r="CA85" s="110"/>
      <c r="CB85" s="110"/>
      <c r="CC85" s="110"/>
      <c r="CD85" s="110"/>
      <c r="CE85" s="110"/>
      <c r="CF85" s="394" t="s">
        <v>474</v>
      </c>
      <c r="CG85" s="111"/>
    </row>
    <row r="86" spans="1:85" s="112" customFormat="1" ht="25.5">
      <c r="A86" s="106" t="s">
        <v>559</v>
      </c>
      <c r="B86" s="107" t="s">
        <v>561</v>
      </c>
      <c r="C86" s="107"/>
      <c r="D86" s="126"/>
      <c r="E86" s="108"/>
      <c r="F86" s="108"/>
      <c r="G86" s="108"/>
      <c r="H86" s="108"/>
      <c r="I86" s="110"/>
      <c r="J86" s="110"/>
      <c r="K86" s="109">
        <f>L86+SUM(Q86:Q86)</f>
        <v>108</v>
      </c>
      <c r="L86" s="109">
        <f>SUM(M86:P86)</f>
        <v>0</v>
      </c>
      <c r="M86" s="109">
        <f t="shared" si="106"/>
        <v>0</v>
      </c>
      <c r="N86" s="109">
        <f t="shared" si="106"/>
        <v>0</v>
      </c>
      <c r="O86" s="109">
        <f t="shared" si="106"/>
        <v>0</v>
      </c>
      <c r="P86" s="109">
        <f t="shared" si="106"/>
        <v>0</v>
      </c>
      <c r="Q86" s="109">
        <f>W86+AC86+AI86+AO86+AU86+BA86+BG86+BM86+BV86+CE86</f>
        <v>108</v>
      </c>
      <c r="R86" s="286">
        <f>SUM(S86:W86)</f>
        <v>0</v>
      </c>
      <c r="S86" s="110"/>
      <c r="T86" s="110"/>
      <c r="U86" s="110"/>
      <c r="V86" s="110"/>
      <c r="W86" s="110"/>
      <c r="X86" s="286">
        <f>SUM(Y86:AC86)</f>
        <v>0</v>
      </c>
      <c r="Y86" s="110"/>
      <c r="Z86" s="110"/>
      <c r="AA86" s="110"/>
      <c r="AB86" s="110"/>
      <c r="AC86" s="110"/>
      <c r="AD86" s="286">
        <f>SUM(AE86:AI86)</f>
        <v>0</v>
      </c>
      <c r="AE86" s="110"/>
      <c r="AF86" s="110"/>
      <c r="AG86" s="110"/>
      <c r="AH86" s="110"/>
      <c r="AI86" s="110"/>
      <c r="AJ86" s="286">
        <f>SUM(AK86:AO86)</f>
        <v>0</v>
      </c>
      <c r="AK86" s="110"/>
      <c r="AL86" s="110"/>
      <c r="AM86" s="110"/>
      <c r="AN86" s="110"/>
      <c r="AO86" s="110"/>
      <c r="AP86" s="286">
        <f>SUM(AQ86:AU86)</f>
        <v>0</v>
      </c>
      <c r="AQ86" s="110"/>
      <c r="AR86" s="110"/>
      <c r="AS86" s="110"/>
      <c r="AT86" s="110"/>
      <c r="AU86" s="110"/>
      <c r="AV86" s="286">
        <f>SUM(AW86:BA86)</f>
        <v>0</v>
      </c>
      <c r="AW86" s="110"/>
      <c r="AX86" s="110"/>
      <c r="AY86" s="110"/>
      <c r="AZ86" s="110"/>
      <c r="BA86" s="110"/>
      <c r="BB86" s="286">
        <f>SUM(BC86:BG86)</f>
        <v>0</v>
      </c>
      <c r="BC86" s="110"/>
      <c r="BD86" s="110"/>
      <c r="BE86" s="110"/>
      <c r="BF86" s="110"/>
      <c r="BG86" s="110"/>
      <c r="BH86" s="286">
        <f>SUM(BI86:BM86)</f>
        <v>108</v>
      </c>
      <c r="BI86" s="110"/>
      <c r="BJ86" s="110"/>
      <c r="BK86" s="110"/>
      <c r="BL86" s="110"/>
      <c r="BM86" s="110">
        <f>2*54</f>
        <v>108</v>
      </c>
      <c r="BN86" s="378">
        <f>LEN(H86)-LEN(SUBSTITUTE(H86,"9",""))</f>
        <v>0</v>
      </c>
      <c r="BO86" s="286">
        <f>SUM(BP86:BV86)</f>
        <v>0</v>
      </c>
      <c r="BP86" s="110"/>
      <c r="BQ86" s="110"/>
      <c r="BR86" s="110"/>
      <c r="BS86" s="110"/>
      <c r="BT86" s="110"/>
      <c r="BU86" s="110"/>
      <c r="BV86" s="110"/>
      <c r="BW86" s="378">
        <f>LEN(H86)-LEN(SUBSTITUTE(H86,"Х",""))</f>
        <v>0</v>
      </c>
      <c r="BX86" s="286">
        <f>SUM(BY86:CE86)</f>
        <v>0</v>
      </c>
      <c r="BY86" s="110"/>
      <c r="BZ86" s="110"/>
      <c r="CA86" s="110"/>
      <c r="CB86" s="110"/>
      <c r="CC86" s="110"/>
      <c r="CD86" s="110"/>
      <c r="CE86" s="110"/>
      <c r="CF86" s="394" t="s">
        <v>474</v>
      </c>
      <c r="CG86" s="111"/>
    </row>
    <row r="87" spans="1:85" s="125" customFormat="1" ht="12.75" hidden="1">
      <c r="A87" s="127"/>
      <c r="B87" s="118" t="s">
        <v>149</v>
      </c>
      <c r="C87" s="119"/>
      <c r="D87" s="120"/>
      <c r="E87" s="120"/>
      <c r="F87" s="120"/>
      <c r="G87" s="120"/>
      <c r="H87" s="120"/>
      <c r="I87" s="121">
        <f>Нормы!D21</f>
        <v>0</v>
      </c>
      <c r="J87" s="122" t="str">
        <f>Нормы!E21</f>
        <v>-</v>
      </c>
      <c r="K87" s="128">
        <f>SUM(L87:Q87)</f>
        <v>0</v>
      </c>
      <c r="L87" s="123"/>
      <c r="M87" s="123"/>
      <c r="N87" s="123"/>
      <c r="O87" s="123"/>
      <c r="P87" s="123"/>
      <c r="Q87" s="123"/>
      <c r="R87" s="128">
        <f>SUM(S87:W87)</f>
        <v>0</v>
      </c>
      <c r="S87" s="123"/>
      <c r="T87" s="123"/>
      <c r="U87" s="123"/>
      <c r="V87" s="123"/>
      <c r="W87" s="123"/>
      <c r="X87" s="113">
        <f>SUM(Y87:AC87)</f>
        <v>0</v>
      </c>
      <c r="Y87" s="123"/>
      <c r="Z87" s="123"/>
      <c r="AA87" s="123"/>
      <c r="AB87" s="123"/>
      <c r="AC87" s="123"/>
      <c r="AD87" s="128">
        <f>SUM(AE87:AI87)</f>
        <v>0</v>
      </c>
      <c r="AE87" s="123"/>
      <c r="AF87" s="123"/>
      <c r="AG87" s="123"/>
      <c r="AH87" s="123"/>
      <c r="AI87" s="123"/>
      <c r="AJ87" s="113">
        <f>SUM(AK87:AO87)</f>
        <v>0</v>
      </c>
      <c r="AK87" s="123"/>
      <c r="AL87" s="123"/>
      <c r="AM87" s="123"/>
      <c r="AN87" s="123"/>
      <c r="AO87" s="123"/>
      <c r="AP87" s="128">
        <f>SUM(AQ87:AU87)</f>
        <v>0</v>
      </c>
      <c r="AQ87" s="123"/>
      <c r="AR87" s="123"/>
      <c r="AS87" s="123"/>
      <c r="AT87" s="123"/>
      <c r="AU87" s="123"/>
      <c r="AV87" s="113">
        <f>SUM(AW87:BA87)</f>
        <v>0</v>
      </c>
      <c r="AW87" s="123"/>
      <c r="AX87" s="123"/>
      <c r="AY87" s="123"/>
      <c r="AZ87" s="123"/>
      <c r="BA87" s="123"/>
      <c r="BB87" s="128">
        <f>SUM(BC87:BG87)</f>
        <v>0</v>
      </c>
      <c r="BC87" s="123"/>
      <c r="BD87" s="123"/>
      <c r="BE87" s="123"/>
      <c r="BF87" s="123"/>
      <c r="BG87" s="123"/>
      <c r="BH87" s="113">
        <f>SUM(BI87:BM87)</f>
        <v>0</v>
      </c>
      <c r="BI87" s="123"/>
      <c r="BJ87" s="123"/>
      <c r="BK87" s="123"/>
      <c r="BL87" s="123"/>
      <c r="BM87" s="123"/>
      <c r="BN87" s="123"/>
      <c r="BO87" s="128">
        <f>SUM(BP87:BV87)</f>
        <v>0</v>
      </c>
      <c r="BP87" s="123"/>
      <c r="BQ87" s="123"/>
      <c r="BR87" s="123"/>
      <c r="BS87" s="123"/>
      <c r="BT87" s="123"/>
      <c r="BU87" s="123">
        <f>BU11+BU28+BU68+BU79+BU81+BU84</f>
        <v>0</v>
      </c>
      <c r="BV87" s="123"/>
      <c r="BW87" s="123"/>
      <c r="BX87" s="113">
        <f>SUM(BY87:CE87)</f>
        <v>0</v>
      </c>
      <c r="BY87" s="123"/>
      <c r="BZ87" s="123"/>
      <c r="CA87" s="123"/>
      <c r="CB87" s="123"/>
      <c r="CC87" s="123"/>
      <c r="CD87" s="123">
        <f>CD11+CD28+CD68+CD79+CD81+CD84</f>
        <v>0</v>
      </c>
      <c r="CE87" s="123"/>
      <c r="CF87" s="129"/>
      <c r="CG87" s="124"/>
    </row>
    <row r="88" spans="1:85" s="104" customFormat="1" ht="26.25" customHeight="1" hidden="1">
      <c r="A88" s="130"/>
      <c r="B88" s="131"/>
      <c r="C88" s="131"/>
      <c r="D88" s="132"/>
      <c r="E88" s="132"/>
      <c r="F88" s="132"/>
      <c r="G88" s="132"/>
      <c r="H88" s="132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3"/>
      <c r="BA88" s="133"/>
      <c r="BB88" s="133"/>
      <c r="BC88" s="133"/>
      <c r="BD88" s="133"/>
      <c r="BE88" s="133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4"/>
      <c r="CG88" s="134"/>
    </row>
    <row r="89" spans="1:85" s="104" customFormat="1" ht="27.75" customHeight="1" hidden="1">
      <c r="A89" s="607" t="str">
        <f>'Титульный лист (очная)'!A11:N11</f>
        <v>Специфика:</v>
      </c>
      <c r="B89" s="608"/>
      <c r="C89" s="608"/>
      <c r="D89" s="71"/>
      <c r="E89" s="71"/>
      <c r="F89" s="71"/>
      <c r="G89" s="71"/>
      <c r="H89" s="71"/>
      <c r="I89" s="72"/>
      <c r="J89" s="72"/>
      <c r="K89" s="71"/>
      <c r="L89" s="71"/>
      <c r="M89" s="71"/>
      <c r="N89" s="71"/>
      <c r="O89" s="71"/>
      <c r="P89" s="71"/>
      <c r="Q89" s="71"/>
      <c r="R89" s="72"/>
      <c r="S89" s="135"/>
      <c r="T89" s="135"/>
      <c r="U89" s="135"/>
      <c r="V89" s="135"/>
      <c r="W89" s="135"/>
      <c r="X89" s="72"/>
      <c r="Y89" s="135"/>
      <c r="Z89" s="135"/>
      <c r="AA89" s="135"/>
      <c r="AB89" s="135"/>
      <c r="AC89" s="135"/>
      <c r="AD89" s="72"/>
      <c r="AE89" s="135"/>
      <c r="AF89" s="135"/>
      <c r="AG89" s="135"/>
      <c r="AH89" s="135"/>
      <c r="AI89" s="135"/>
      <c r="AJ89" s="72"/>
      <c r="AK89" s="135"/>
      <c r="AL89" s="135"/>
      <c r="AM89" s="135"/>
      <c r="AN89" s="135"/>
      <c r="AO89" s="135"/>
      <c r="AP89" s="72"/>
      <c r="AQ89" s="135"/>
      <c r="AR89" s="135"/>
      <c r="AS89" s="135"/>
      <c r="AT89" s="135"/>
      <c r="AU89" s="135"/>
      <c r="AV89" s="72"/>
      <c r="AW89" s="135"/>
      <c r="AX89" s="135"/>
      <c r="AY89" s="135"/>
      <c r="AZ89" s="135"/>
      <c r="BA89" s="135"/>
      <c r="BB89" s="72"/>
      <c r="BC89" s="135"/>
      <c r="BD89" s="135"/>
      <c r="BE89" s="135"/>
      <c r="BF89" s="135"/>
      <c r="BG89" s="135"/>
      <c r="BH89" s="72"/>
      <c r="BI89" s="135"/>
      <c r="BJ89" s="135"/>
      <c r="BK89" s="135"/>
      <c r="BL89" s="135"/>
      <c r="BM89" s="135"/>
      <c r="BN89" s="72"/>
      <c r="BO89" s="72"/>
      <c r="BP89" s="135"/>
      <c r="BQ89" s="135"/>
      <c r="BR89" s="135"/>
      <c r="BS89" s="135"/>
      <c r="BT89" s="135"/>
      <c r="BU89" s="135"/>
      <c r="BV89" s="135"/>
      <c r="BW89" s="72"/>
      <c r="BX89" s="72"/>
      <c r="BY89" s="135"/>
      <c r="BZ89" s="135"/>
      <c r="CA89" s="135"/>
      <c r="CB89" s="135"/>
      <c r="CC89" s="135"/>
      <c r="CD89" s="135"/>
      <c r="CE89" s="135"/>
      <c r="CF89" s="134"/>
      <c r="CG89" s="134"/>
    </row>
    <row r="90" spans="1:85" s="104" customFormat="1" ht="27.75" customHeight="1" hidden="1">
      <c r="A90" s="594">
        <f>'Титульный лист (очная)'!O11:O11</f>
        <v>0</v>
      </c>
      <c r="B90" s="595"/>
      <c r="C90" s="595"/>
      <c r="D90" s="73"/>
      <c r="E90" s="73"/>
      <c r="F90" s="73"/>
      <c r="G90" s="73"/>
      <c r="H90" s="73"/>
      <c r="I90" s="74"/>
      <c r="J90" s="74"/>
      <c r="K90" s="73"/>
      <c r="L90" s="73"/>
      <c r="M90" s="73"/>
      <c r="N90" s="73"/>
      <c r="O90" s="73"/>
      <c r="P90" s="73"/>
      <c r="Q90" s="73"/>
      <c r="R90" s="74"/>
      <c r="S90" s="136"/>
      <c r="T90" s="136"/>
      <c r="U90" s="136"/>
      <c r="V90" s="136"/>
      <c r="W90" s="136"/>
      <c r="X90" s="74"/>
      <c r="Y90" s="136"/>
      <c r="Z90" s="136"/>
      <c r="AA90" s="136"/>
      <c r="AB90" s="136"/>
      <c r="AC90" s="136"/>
      <c r="AD90" s="74"/>
      <c r="AE90" s="136"/>
      <c r="AF90" s="136"/>
      <c r="AG90" s="136"/>
      <c r="AH90" s="136"/>
      <c r="AI90" s="136"/>
      <c r="AJ90" s="74"/>
      <c r="AK90" s="136"/>
      <c r="AL90" s="136"/>
      <c r="AM90" s="136"/>
      <c r="AN90" s="136"/>
      <c r="AO90" s="136"/>
      <c r="AP90" s="74"/>
      <c r="AQ90" s="136"/>
      <c r="AR90" s="136"/>
      <c r="AS90" s="136"/>
      <c r="AT90" s="136"/>
      <c r="AU90" s="136"/>
      <c r="AV90" s="74"/>
      <c r="AW90" s="136"/>
      <c r="AX90" s="136"/>
      <c r="AY90" s="136"/>
      <c r="AZ90" s="136"/>
      <c r="BA90" s="136"/>
      <c r="BB90" s="74"/>
      <c r="BC90" s="136"/>
      <c r="BD90" s="136"/>
      <c r="BE90" s="136"/>
      <c r="BF90" s="136"/>
      <c r="BG90" s="136"/>
      <c r="BH90" s="164"/>
      <c r="BI90" s="165"/>
      <c r="BJ90" s="165"/>
      <c r="BK90" s="165"/>
      <c r="BL90" s="165"/>
      <c r="BM90" s="165"/>
      <c r="BN90" s="74"/>
      <c r="BO90" s="74"/>
      <c r="BP90" s="136"/>
      <c r="BQ90" s="136"/>
      <c r="BR90" s="136"/>
      <c r="BS90" s="136"/>
      <c r="BT90" s="136"/>
      <c r="BU90" s="136"/>
      <c r="BV90" s="136"/>
      <c r="BW90" s="74"/>
      <c r="BX90" s="74"/>
      <c r="BY90" s="136"/>
      <c r="BZ90" s="136"/>
      <c r="CA90" s="136"/>
      <c r="CB90" s="136"/>
      <c r="CC90" s="136"/>
      <c r="CD90" s="136"/>
      <c r="CE90" s="136"/>
      <c r="CF90" s="134"/>
      <c r="CG90" s="134"/>
    </row>
    <row r="91" spans="1:85" s="104" customFormat="1" ht="12.75">
      <c r="A91" s="75"/>
      <c r="B91" s="596" t="s">
        <v>549</v>
      </c>
      <c r="C91" s="597"/>
      <c r="D91" s="597"/>
      <c r="E91" s="597"/>
      <c r="F91" s="597"/>
      <c r="G91" s="597"/>
      <c r="H91" s="598"/>
      <c r="I91" s="137">
        <f aca="true" t="shared" si="107" ref="I91:Q91">I11+I28+I68</f>
        <v>6642</v>
      </c>
      <c r="J91" s="137">
        <f t="shared" si="107"/>
        <v>4428</v>
      </c>
      <c r="K91" s="138">
        <f t="shared" si="107"/>
        <v>6642</v>
      </c>
      <c r="L91" s="138">
        <f t="shared" si="107"/>
        <v>4428</v>
      </c>
      <c r="M91" s="138">
        <f t="shared" si="107"/>
        <v>3896</v>
      </c>
      <c r="N91" s="138">
        <f t="shared" si="107"/>
        <v>532</v>
      </c>
      <c r="O91" s="138">
        <f t="shared" si="107"/>
        <v>0</v>
      </c>
      <c r="P91" s="138">
        <f t="shared" si="107"/>
        <v>0</v>
      </c>
      <c r="Q91" s="425">
        <f t="shared" si="107"/>
        <v>2214</v>
      </c>
      <c r="R91" s="429">
        <f>SUM(S91:W91)</f>
        <v>918</v>
      </c>
      <c r="S91" s="140">
        <f>S11+S28+S68</f>
        <v>527</v>
      </c>
      <c r="T91" s="140">
        <f>T11+T28+T68</f>
        <v>85</v>
      </c>
      <c r="U91" s="140">
        <f>U11+U28+U68</f>
        <v>0</v>
      </c>
      <c r="V91" s="140">
        <f>V11+V28+V68</f>
        <v>0</v>
      </c>
      <c r="W91" s="140">
        <f>W11+W28+W68</f>
        <v>306</v>
      </c>
      <c r="X91" s="427">
        <f>SUM(Y91:AC91)</f>
        <v>1188</v>
      </c>
      <c r="Y91" s="140">
        <f>Y11+Y28+Y68</f>
        <v>671</v>
      </c>
      <c r="Z91" s="140">
        <f>Z11+Z28+Z68</f>
        <v>121</v>
      </c>
      <c r="AA91" s="140">
        <f>AA11+AA28+AA68</f>
        <v>0</v>
      </c>
      <c r="AB91" s="140">
        <f>AB11+AB28+AB68</f>
        <v>0</v>
      </c>
      <c r="AC91" s="154">
        <f>AC11+AC28+AC68</f>
        <v>396</v>
      </c>
      <c r="AD91" s="429">
        <f>SUM(AE91:AI91)</f>
        <v>864</v>
      </c>
      <c r="AE91" s="140">
        <f>AE11+AE28+AE68</f>
        <v>442</v>
      </c>
      <c r="AF91" s="140">
        <f>AF11+AF28+AF68</f>
        <v>134</v>
      </c>
      <c r="AG91" s="140">
        <f>AG11+AG28+AG68</f>
        <v>0</v>
      </c>
      <c r="AH91" s="140">
        <f>AH11+AH28+AH68</f>
        <v>0</v>
      </c>
      <c r="AI91" s="140">
        <f>AI11+AI28+AI68</f>
        <v>288</v>
      </c>
      <c r="AJ91" s="427">
        <f>SUM(AK91:AO91)</f>
        <v>1026</v>
      </c>
      <c r="AK91" s="140">
        <f>AK11+AK28+AK68</f>
        <v>646</v>
      </c>
      <c r="AL91" s="140">
        <f>AL11+AL28+AL68</f>
        <v>38</v>
      </c>
      <c r="AM91" s="140">
        <f>AM11+AM28+AM68</f>
        <v>0</v>
      </c>
      <c r="AN91" s="140">
        <f>AN11+AN28+AN68</f>
        <v>0</v>
      </c>
      <c r="AO91" s="154">
        <f>AO11+AO28+AO68</f>
        <v>342</v>
      </c>
      <c r="AP91" s="429">
        <f>SUM(AQ91:AU91)</f>
        <v>918</v>
      </c>
      <c r="AQ91" s="140">
        <f>AQ11+AQ28+AQ68</f>
        <v>578</v>
      </c>
      <c r="AR91" s="140">
        <f>AR11+AR28+AR68</f>
        <v>34</v>
      </c>
      <c r="AS91" s="140">
        <f>AS11+AS28+AS68</f>
        <v>0</v>
      </c>
      <c r="AT91" s="140">
        <f>AT11+AT28+AT68</f>
        <v>0</v>
      </c>
      <c r="AU91" s="140">
        <f>AU11+AU28+AU68</f>
        <v>306</v>
      </c>
      <c r="AV91" s="427">
        <f>SUM(AW91:BA91)</f>
        <v>648</v>
      </c>
      <c r="AW91" s="140">
        <f>AW11+AW28+AW68</f>
        <v>408</v>
      </c>
      <c r="AX91" s="140">
        <f>AX11+AX28+AX68</f>
        <v>24</v>
      </c>
      <c r="AY91" s="140">
        <f>AY11+AY28+AY68</f>
        <v>0</v>
      </c>
      <c r="AZ91" s="140">
        <f>AZ11+AZ28+AZ68</f>
        <v>0</v>
      </c>
      <c r="BA91" s="154">
        <f>BA11+BA28+BA68</f>
        <v>216</v>
      </c>
      <c r="BB91" s="429">
        <f>SUM(BC91:BG91)</f>
        <v>432</v>
      </c>
      <c r="BC91" s="140">
        <f>BC11+BC28+BC68</f>
        <v>240</v>
      </c>
      <c r="BD91" s="140">
        <f>BD11+BD28+BD68</f>
        <v>48</v>
      </c>
      <c r="BE91" s="140">
        <f>BE11+BE28+BE68</f>
        <v>0</v>
      </c>
      <c r="BF91" s="140">
        <f>BF11+BF28+BF68</f>
        <v>0</v>
      </c>
      <c r="BG91" s="140">
        <f>BG11+BG28+BG68</f>
        <v>144</v>
      </c>
      <c r="BH91" s="429">
        <f>SUM(BI91:BM91)</f>
        <v>648</v>
      </c>
      <c r="BI91" s="140">
        <f>BI11+BI28+BI68</f>
        <v>384</v>
      </c>
      <c r="BJ91" s="140">
        <f>BJ11+BJ28+BJ68</f>
        <v>48</v>
      </c>
      <c r="BK91" s="140">
        <f>BK11+BK28+BK68</f>
        <v>0</v>
      </c>
      <c r="BL91" s="140">
        <f>BL11+BL28+BL68</f>
        <v>0</v>
      </c>
      <c r="BM91" s="140">
        <f>BM11+BM28+BM68</f>
        <v>216</v>
      </c>
      <c r="BN91" s="160"/>
      <c r="BO91" s="139">
        <f>SUM(BP91:BV91)</f>
        <v>0</v>
      </c>
      <c r="BP91" s="140">
        <f aca="true" t="shared" si="108" ref="BP91:BV91">BP11+BP28+BP68</f>
        <v>0</v>
      </c>
      <c r="BQ91" s="140">
        <f t="shared" si="108"/>
        <v>0</v>
      </c>
      <c r="BR91" s="140">
        <f t="shared" si="108"/>
        <v>0</v>
      </c>
      <c r="BS91" s="140">
        <f t="shared" si="108"/>
        <v>0</v>
      </c>
      <c r="BT91" s="140">
        <f t="shared" si="108"/>
        <v>0</v>
      </c>
      <c r="BU91" s="140">
        <f t="shared" si="108"/>
        <v>0</v>
      </c>
      <c r="BV91" s="140">
        <f t="shared" si="108"/>
        <v>0</v>
      </c>
      <c r="BW91" s="141"/>
      <c r="BX91" s="139">
        <f>SUM(BY91:CE91)</f>
        <v>0</v>
      </c>
      <c r="BY91" s="140">
        <f aca="true" t="shared" si="109" ref="BY91:CE91">BY11+BY28+BY68</f>
        <v>0</v>
      </c>
      <c r="BZ91" s="140">
        <f t="shared" si="109"/>
        <v>0</v>
      </c>
      <c r="CA91" s="140">
        <f t="shared" si="109"/>
        <v>0</v>
      </c>
      <c r="CB91" s="140">
        <f t="shared" si="109"/>
        <v>0</v>
      </c>
      <c r="CC91" s="140">
        <f t="shared" si="109"/>
        <v>0</v>
      </c>
      <c r="CD91" s="140">
        <f t="shared" si="109"/>
        <v>0</v>
      </c>
      <c r="CE91" s="142">
        <f t="shared" si="109"/>
        <v>0</v>
      </c>
      <c r="CF91" s="134"/>
      <c r="CG91" s="134"/>
    </row>
    <row r="92" spans="1:85" s="104" customFormat="1" ht="12.75">
      <c r="A92" s="75"/>
      <c r="B92" s="596" t="s">
        <v>196</v>
      </c>
      <c r="C92" s="597"/>
      <c r="D92" s="597"/>
      <c r="E92" s="597"/>
      <c r="F92" s="597"/>
      <c r="G92" s="597"/>
      <c r="H92" s="598"/>
      <c r="I92" s="137">
        <f aca="true" t="shared" si="110" ref="I92:Q92">I79+I81</f>
        <v>0</v>
      </c>
      <c r="J92" s="137">
        <f t="shared" si="110"/>
        <v>1044</v>
      </c>
      <c r="K92" s="138">
        <f t="shared" si="110"/>
        <v>1044</v>
      </c>
      <c r="L92" s="138">
        <f t="shared" si="110"/>
        <v>1044</v>
      </c>
      <c r="M92" s="138">
        <f t="shared" si="110"/>
        <v>0</v>
      </c>
      <c r="N92" s="138">
        <f t="shared" si="110"/>
        <v>0</v>
      </c>
      <c r="O92" s="138">
        <f t="shared" si="110"/>
        <v>0</v>
      </c>
      <c r="P92" s="138">
        <f t="shared" si="110"/>
        <v>1044</v>
      </c>
      <c r="Q92" s="426">
        <f t="shared" si="110"/>
        <v>0</v>
      </c>
      <c r="R92" s="429">
        <f>SUM(S92:W92)</f>
        <v>0</v>
      </c>
      <c r="S92" s="140">
        <f>S79+S81</f>
        <v>0</v>
      </c>
      <c r="T92" s="140">
        <f>T79+T81</f>
        <v>0</v>
      </c>
      <c r="U92" s="140">
        <f>U79+U81</f>
        <v>0</v>
      </c>
      <c r="V92" s="140">
        <f>V79+V81</f>
        <v>0</v>
      </c>
      <c r="W92" s="146">
        <f>W79+W81</f>
        <v>0</v>
      </c>
      <c r="X92" s="427">
        <f>SUM(Y92:AC92)</f>
        <v>0</v>
      </c>
      <c r="Y92" s="140">
        <f>Y79+Y81</f>
        <v>0</v>
      </c>
      <c r="Z92" s="140">
        <f>Z79+Z81</f>
        <v>0</v>
      </c>
      <c r="AA92" s="140">
        <f>AA79+AA81</f>
        <v>0</v>
      </c>
      <c r="AB92" s="140">
        <f>AB79+AB81</f>
        <v>0</v>
      </c>
      <c r="AC92" s="143">
        <f>AC79+AC81</f>
        <v>0</v>
      </c>
      <c r="AD92" s="429">
        <f>SUM(AE92:AI92)</f>
        <v>0</v>
      </c>
      <c r="AE92" s="140">
        <f>AE79+AE81</f>
        <v>0</v>
      </c>
      <c r="AF92" s="140">
        <f>AF79+AF81</f>
        <v>0</v>
      </c>
      <c r="AG92" s="140">
        <f>AG79+AG81</f>
        <v>0</v>
      </c>
      <c r="AH92" s="140">
        <f>AH79+AH81</f>
        <v>0</v>
      </c>
      <c r="AI92" s="146">
        <f>AI79+AI81</f>
        <v>0</v>
      </c>
      <c r="AJ92" s="427">
        <f>SUM(AK92:AO92)</f>
        <v>144</v>
      </c>
      <c r="AK92" s="140">
        <f>AK79+AK81</f>
        <v>0</v>
      </c>
      <c r="AL92" s="140">
        <f>AL79+AL81</f>
        <v>0</v>
      </c>
      <c r="AM92" s="140">
        <f>AM79+AM81</f>
        <v>0</v>
      </c>
      <c r="AN92" s="140">
        <f>AN79+AN81</f>
        <v>144</v>
      </c>
      <c r="AO92" s="143">
        <f>AO79+AO81</f>
        <v>0</v>
      </c>
      <c r="AP92" s="429">
        <f>SUM(AQ92:AU92)</f>
        <v>0</v>
      </c>
      <c r="AQ92" s="140">
        <f>AQ79+AQ81</f>
        <v>0</v>
      </c>
      <c r="AR92" s="140">
        <f>AR79+AR81</f>
        <v>0</v>
      </c>
      <c r="AS92" s="140">
        <f>AS79+AS81</f>
        <v>0</v>
      </c>
      <c r="AT92" s="140">
        <f>AT79+AT81</f>
        <v>0</v>
      </c>
      <c r="AU92" s="146">
        <f>AU79+AU81</f>
        <v>0</v>
      </c>
      <c r="AV92" s="427">
        <f>SUM(AW92:BA92)</f>
        <v>432</v>
      </c>
      <c r="AW92" s="140">
        <f>AW79+AW81</f>
        <v>0</v>
      </c>
      <c r="AX92" s="140">
        <f>AX79+AX81</f>
        <v>0</v>
      </c>
      <c r="AY92" s="140">
        <f>AY79+AY81</f>
        <v>0</v>
      </c>
      <c r="AZ92" s="140">
        <f>AZ79+AZ81</f>
        <v>432</v>
      </c>
      <c r="BA92" s="143">
        <f>BA79+BA81</f>
        <v>0</v>
      </c>
      <c r="BB92" s="429">
        <f>SUM(BC92:BG92)</f>
        <v>324</v>
      </c>
      <c r="BC92" s="140">
        <f>BC79+BC81</f>
        <v>0</v>
      </c>
      <c r="BD92" s="140">
        <f>BD79+BD81</f>
        <v>0</v>
      </c>
      <c r="BE92" s="140">
        <f>BE79+BE81</f>
        <v>0</v>
      </c>
      <c r="BF92" s="140">
        <f>BF79+BF81</f>
        <v>324</v>
      </c>
      <c r="BG92" s="146">
        <f>BG79+BG81</f>
        <v>0</v>
      </c>
      <c r="BH92" s="429">
        <f>SUM(BI92:BM92)</f>
        <v>144</v>
      </c>
      <c r="BI92" s="140">
        <f>BI79+BI81</f>
        <v>0</v>
      </c>
      <c r="BJ92" s="140">
        <f>BJ79+BJ81</f>
        <v>0</v>
      </c>
      <c r="BK92" s="140">
        <f>BK79+BK81</f>
        <v>0</v>
      </c>
      <c r="BL92" s="140">
        <f>BL79+BL81</f>
        <v>144</v>
      </c>
      <c r="BM92" s="146">
        <f>BM79+BM81</f>
        <v>0</v>
      </c>
      <c r="BN92" s="160"/>
      <c r="BO92" s="139">
        <f>SUM(BP92:BV92)</f>
        <v>0</v>
      </c>
      <c r="BP92" s="140">
        <f aca="true" t="shared" si="111" ref="BP92:BV92">BP79+BP81</f>
        <v>0</v>
      </c>
      <c r="BQ92" s="140">
        <f t="shared" si="111"/>
        <v>0</v>
      </c>
      <c r="BR92" s="140">
        <f t="shared" si="111"/>
        <v>0</v>
      </c>
      <c r="BS92" s="140">
        <f t="shared" si="111"/>
        <v>0</v>
      </c>
      <c r="BT92" s="140">
        <f t="shared" si="111"/>
        <v>0</v>
      </c>
      <c r="BU92" s="140">
        <f t="shared" si="111"/>
        <v>0</v>
      </c>
      <c r="BV92" s="143">
        <f t="shared" si="111"/>
        <v>0</v>
      </c>
      <c r="BW92" s="141"/>
      <c r="BX92" s="139">
        <f>SUM(BY92:CE92)</f>
        <v>0</v>
      </c>
      <c r="BY92" s="140">
        <f aca="true" t="shared" si="112" ref="BY92:CE92">BY79+BY81</f>
        <v>0</v>
      </c>
      <c r="BZ92" s="140">
        <f t="shared" si="112"/>
        <v>0</v>
      </c>
      <c r="CA92" s="140">
        <f t="shared" si="112"/>
        <v>0</v>
      </c>
      <c r="CB92" s="140">
        <f t="shared" si="112"/>
        <v>0</v>
      </c>
      <c r="CC92" s="140">
        <f t="shared" si="112"/>
        <v>0</v>
      </c>
      <c r="CD92" s="140">
        <f t="shared" si="112"/>
        <v>0</v>
      </c>
      <c r="CE92" s="144">
        <f t="shared" si="112"/>
        <v>0</v>
      </c>
      <c r="CF92" s="134"/>
      <c r="CG92" s="134"/>
    </row>
    <row r="93" spans="1:85" s="104" customFormat="1" ht="12.75">
      <c r="A93" s="75"/>
      <c r="B93" s="596" t="s">
        <v>550</v>
      </c>
      <c r="C93" s="597"/>
      <c r="D93" s="597"/>
      <c r="E93" s="597"/>
      <c r="F93" s="597"/>
      <c r="G93" s="597"/>
      <c r="H93" s="598"/>
      <c r="I93" s="137">
        <f aca="true" t="shared" si="113" ref="I93:Q93">I84</f>
        <v>324</v>
      </c>
      <c r="J93" s="137">
        <f t="shared" si="113"/>
        <v>0</v>
      </c>
      <c r="K93" s="138">
        <f t="shared" si="113"/>
        <v>324</v>
      </c>
      <c r="L93" s="138">
        <f t="shared" si="113"/>
        <v>0</v>
      </c>
      <c r="M93" s="138">
        <f t="shared" si="113"/>
        <v>0</v>
      </c>
      <c r="N93" s="138">
        <f t="shared" si="113"/>
        <v>0</v>
      </c>
      <c r="O93" s="138">
        <f t="shared" si="113"/>
        <v>0</v>
      </c>
      <c r="P93" s="138">
        <f t="shared" si="113"/>
        <v>0</v>
      </c>
      <c r="Q93" s="426">
        <f t="shared" si="113"/>
        <v>324</v>
      </c>
      <c r="R93" s="429">
        <f>SUM(S93:W93)</f>
        <v>0</v>
      </c>
      <c r="S93" s="140">
        <f>S84</f>
        <v>0</v>
      </c>
      <c r="T93" s="140">
        <f>T84</f>
        <v>0</v>
      </c>
      <c r="U93" s="140">
        <f>U84</f>
        <v>0</v>
      </c>
      <c r="V93" s="140">
        <f>V84</f>
        <v>0</v>
      </c>
      <c r="W93" s="146">
        <f>W84</f>
        <v>0</v>
      </c>
      <c r="X93" s="427">
        <f aca="true" t="shared" si="114" ref="X93:AC93">X84</f>
        <v>0</v>
      </c>
      <c r="Y93" s="140">
        <f t="shared" si="114"/>
        <v>0</v>
      </c>
      <c r="Z93" s="140">
        <f t="shared" si="114"/>
        <v>0</v>
      </c>
      <c r="AA93" s="140">
        <f t="shared" si="114"/>
        <v>0</v>
      </c>
      <c r="AB93" s="140">
        <f t="shared" si="114"/>
        <v>0</v>
      </c>
      <c r="AC93" s="143">
        <f t="shared" si="114"/>
        <v>0</v>
      </c>
      <c r="AD93" s="429">
        <f aca="true" t="shared" si="115" ref="AD93:AI93">AD84</f>
        <v>0</v>
      </c>
      <c r="AE93" s="140">
        <f t="shared" si="115"/>
        <v>0</v>
      </c>
      <c r="AF93" s="140">
        <f t="shared" si="115"/>
        <v>0</v>
      </c>
      <c r="AG93" s="140">
        <f t="shared" si="115"/>
        <v>0</v>
      </c>
      <c r="AH93" s="140">
        <f t="shared" si="115"/>
        <v>0</v>
      </c>
      <c r="AI93" s="146">
        <f t="shared" si="115"/>
        <v>0</v>
      </c>
      <c r="AJ93" s="427">
        <f aca="true" t="shared" si="116" ref="AJ93:AO93">AJ84</f>
        <v>0</v>
      </c>
      <c r="AK93" s="140">
        <f t="shared" si="116"/>
        <v>0</v>
      </c>
      <c r="AL93" s="140">
        <f t="shared" si="116"/>
        <v>0</v>
      </c>
      <c r="AM93" s="140">
        <f t="shared" si="116"/>
        <v>0</v>
      </c>
      <c r="AN93" s="140">
        <f t="shared" si="116"/>
        <v>0</v>
      </c>
      <c r="AO93" s="143">
        <f t="shared" si="116"/>
        <v>0</v>
      </c>
      <c r="AP93" s="429">
        <f aca="true" t="shared" si="117" ref="AP93:AU93">AP84</f>
        <v>0</v>
      </c>
      <c r="AQ93" s="140">
        <f t="shared" si="117"/>
        <v>0</v>
      </c>
      <c r="AR93" s="140">
        <f t="shared" si="117"/>
        <v>0</v>
      </c>
      <c r="AS93" s="140">
        <f t="shared" si="117"/>
        <v>0</v>
      </c>
      <c r="AT93" s="140">
        <f t="shared" si="117"/>
        <v>0</v>
      </c>
      <c r="AU93" s="146">
        <f t="shared" si="117"/>
        <v>0</v>
      </c>
      <c r="AV93" s="427">
        <f aca="true" t="shared" si="118" ref="AV93:BA93">AV84</f>
        <v>0</v>
      </c>
      <c r="AW93" s="140">
        <f t="shared" si="118"/>
        <v>0</v>
      </c>
      <c r="AX93" s="140">
        <f t="shared" si="118"/>
        <v>0</v>
      </c>
      <c r="AY93" s="140">
        <f t="shared" si="118"/>
        <v>0</v>
      </c>
      <c r="AZ93" s="140">
        <f t="shared" si="118"/>
        <v>0</v>
      </c>
      <c r="BA93" s="143">
        <f t="shared" si="118"/>
        <v>0</v>
      </c>
      <c r="BB93" s="429">
        <f aca="true" t="shared" si="119" ref="BB93:BG93">BB84</f>
        <v>0</v>
      </c>
      <c r="BC93" s="140">
        <f t="shared" si="119"/>
        <v>0</v>
      </c>
      <c r="BD93" s="140">
        <f t="shared" si="119"/>
        <v>0</v>
      </c>
      <c r="BE93" s="140">
        <f t="shared" si="119"/>
        <v>0</v>
      </c>
      <c r="BF93" s="140">
        <f t="shared" si="119"/>
        <v>0</v>
      </c>
      <c r="BG93" s="146">
        <f t="shared" si="119"/>
        <v>0</v>
      </c>
      <c r="BH93" s="429">
        <f aca="true" t="shared" si="120" ref="BH93:BM93">BH84</f>
        <v>324</v>
      </c>
      <c r="BI93" s="140">
        <f t="shared" si="120"/>
        <v>0</v>
      </c>
      <c r="BJ93" s="140">
        <f t="shared" si="120"/>
        <v>0</v>
      </c>
      <c r="BK93" s="140">
        <f t="shared" si="120"/>
        <v>0</v>
      </c>
      <c r="BL93" s="140">
        <f t="shared" si="120"/>
        <v>0</v>
      </c>
      <c r="BM93" s="146">
        <f t="shared" si="120"/>
        <v>324</v>
      </c>
      <c r="BN93" s="160"/>
      <c r="BO93" s="139">
        <f aca="true" t="shared" si="121" ref="BO93:BV93">BO84</f>
        <v>0</v>
      </c>
      <c r="BP93" s="140">
        <f t="shared" si="121"/>
        <v>0</v>
      </c>
      <c r="BQ93" s="140">
        <f t="shared" si="121"/>
        <v>0</v>
      </c>
      <c r="BR93" s="140">
        <f t="shared" si="121"/>
        <v>0</v>
      </c>
      <c r="BS93" s="140">
        <f t="shared" si="121"/>
        <v>0</v>
      </c>
      <c r="BT93" s="140">
        <f t="shared" si="121"/>
        <v>0</v>
      </c>
      <c r="BU93" s="140">
        <f t="shared" si="121"/>
        <v>0</v>
      </c>
      <c r="BV93" s="143">
        <f t="shared" si="121"/>
        <v>0</v>
      </c>
      <c r="BW93" s="141"/>
      <c r="BX93" s="139">
        <f aca="true" t="shared" si="122" ref="BX93:CE93">BX84</f>
        <v>0</v>
      </c>
      <c r="BY93" s="140">
        <f t="shared" si="122"/>
        <v>0</v>
      </c>
      <c r="BZ93" s="140">
        <f t="shared" si="122"/>
        <v>0</v>
      </c>
      <c r="CA93" s="140">
        <f t="shared" si="122"/>
        <v>0</v>
      </c>
      <c r="CB93" s="140">
        <f t="shared" si="122"/>
        <v>0</v>
      </c>
      <c r="CC93" s="140">
        <f t="shared" si="122"/>
        <v>0</v>
      </c>
      <c r="CD93" s="140">
        <f t="shared" si="122"/>
        <v>0</v>
      </c>
      <c r="CE93" s="144">
        <f t="shared" si="122"/>
        <v>0</v>
      </c>
      <c r="CF93" s="134"/>
      <c r="CG93" s="134"/>
    </row>
    <row r="94" spans="1:85" s="150" customFormat="1" ht="12.75" customHeight="1" hidden="1">
      <c r="A94" s="76"/>
      <c r="B94" s="584" t="s">
        <v>239</v>
      </c>
      <c r="C94" s="585"/>
      <c r="D94" s="585"/>
      <c r="E94" s="585"/>
      <c r="F94" s="585"/>
      <c r="G94" s="585"/>
      <c r="H94" s="606"/>
      <c r="I94" s="145">
        <f aca="true" t="shared" si="123" ref="I94:Q94">I87</f>
        <v>0</v>
      </c>
      <c r="J94" s="145" t="str">
        <f t="shared" si="123"/>
        <v>-</v>
      </c>
      <c r="K94" s="146">
        <f t="shared" si="123"/>
        <v>0</v>
      </c>
      <c r="L94" s="146">
        <f t="shared" si="123"/>
        <v>0</v>
      </c>
      <c r="M94" s="146">
        <f t="shared" si="123"/>
        <v>0</v>
      </c>
      <c r="N94" s="146">
        <f t="shared" si="123"/>
        <v>0</v>
      </c>
      <c r="O94" s="146">
        <f t="shared" si="123"/>
        <v>0</v>
      </c>
      <c r="P94" s="146">
        <f t="shared" si="123"/>
        <v>0</v>
      </c>
      <c r="Q94" s="143">
        <f t="shared" si="123"/>
        <v>0</v>
      </c>
      <c r="R94" s="430">
        <f aca="true" t="shared" si="124" ref="R94:W94">R87</f>
        <v>0</v>
      </c>
      <c r="S94" s="140">
        <f t="shared" si="124"/>
        <v>0</v>
      </c>
      <c r="T94" s="140">
        <f t="shared" si="124"/>
        <v>0</v>
      </c>
      <c r="U94" s="140">
        <f t="shared" si="124"/>
        <v>0</v>
      </c>
      <c r="V94" s="140">
        <f t="shared" si="124"/>
        <v>0</v>
      </c>
      <c r="W94" s="146">
        <f t="shared" si="124"/>
        <v>0</v>
      </c>
      <c r="X94" s="428">
        <f aca="true" t="shared" si="125" ref="X94:AC94">X87</f>
        <v>0</v>
      </c>
      <c r="Y94" s="140">
        <f t="shared" si="125"/>
        <v>0</v>
      </c>
      <c r="Z94" s="140">
        <f t="shared" si="125"/>
        <v>0</v>
      </c>
      <c r="AA94" s="140">
        <f t="shared" si="125"/>
        <v>0</v>
      </c>
      <c r="AB94" s="140">
        <f t="shared" si="125"/>
        <v>0</v>
      </c>
      <c r="AC94" s="143">
        <f t="shared" si="125"/>
        <v>0</v>
      </c>
      <c r="AD94" s="430">
        <f aca="true" t="shared" si="126" ref="AD94:AI94">AD87</f>
        <v>0</v>
      </c>
      <c r="AE94" s="140">
        <f t="shared" si="126"/>
        <v>0</v>
      </c>
      <c r="AF94" s="140">
        <f t="shared" si="126"/>
        <v>0</v>
      </c>
      <c r="AG94" s="140">
        <f t="shared" si="126"/>
        <v>0</v>
      </c>
      <c r="AH94" s="140">
        <f t="shared" si="126"/>
        <v>0</v>
      </c>
      <c r="AI94" s="146">
        <f t="shared" si="126"/>
        <v>0</v>
      </c>
      <c r="AJ94" s="428">
        <f aca="true" t="shared" si="127" ref="AJ94:AO94">AJ87</f>
        <v>0</v>
      </c>
      <c r="AK94" s="140">
        <f t="shared" si="127"/>
        <v>0</v>
      </c>
      <c r="AL94" s="140">
        <f t="shared" si="127"/>
        <v>0</v>
      </c>
      <c r="AM94" s="140">
        <f t="shared" si="127"/>
        <v>0</v>
      </c>
      <c r="AN94" s="140">
        <f t="shared" si="127"/>
        <v>0</v>
      </c>
      <c r="AO94" s="143">
        <f t="shared" si="127"/>
        <v>0</v>
      </c>
      <c r="AP94" s="430">
        <f aca="true" t="shared" si="128" ref="AP94:AU94">AP87</f>
        <v>0</v>
      </c>
      <c r="AQ94" s="140">
        <f t="shared" si="128"/>
        <v>0</v>
      </c>
      <c r="AR94" s="140">
        <f t="shared" si="128"/>
        <v>0</v>
      </c>
      <c r="AS94" s="140">
        <f t="shared" si="128"/>
        <v>0</v>
      </c>
      <c r="AT94" s="140">
        <f t="shared" si="128"/>
        <v>0</v>
      </c>
      <c r="AU94" s="146">
        <f t="shared" si="128"/>
        <v>0</v>
      </c>
      <c r="AV94" s="428">
        <f aca="true" t="shared" si="129" ref="AV94:BA94">AV87</f>
        <v>0</v>
      </c>
      <c r="AW94" s="140">
        <f t="shared" si="129"/>
        <v>0</v>
      </c>
      <c r="AX94" s="140">
        <f t="shared" si="129"/>
        <v>0</v>
      </c>
      <c r="AY94" s="140">
        <f t="shared" si="129"/>
        <v>0</v>
      </c>
      <c r="AZ94" s="140">
        <f t="shared" si="129"/>
        <v>0</v>
      </c>
      <c r="BA94" s="143">
        <f t="shared" si="129"/>
        <v>0</v>
      </c>
      <c r="BB94" s="430">
        <f aca="true" t="shared" si="130" ref="BB94:BG94">BB87</f>
        <v>0</v>
      </c>
      <c r="BC94" s="140">
        <f t="shared" si="130"/>
        <v>0</v>
      </c>
      <c r="BD94" s="140">
        <f t="shared" si="130"/>
        <v>0</v>
      </c>
      <c r="BE94" s="140">
        <f t="shared" si="130"/>
        <v>0</v>
      </c>
      <c r="BF94" s="140">
        <f t="shared" si="130"/>
        <v>0</v>
      </c>
      <c r="BG94" s="146">
        <f t="shared" si="130"/>
        <v>0</v>
      </c>
      <c r="BH94" s="430">
        <f aca="true" t="shared" si="131" ref="BH94:BM94">BH87</f>
        <v>0</v>
      </c>
      <c r="BI94" s="140">
        <f t="shared" si="131"/>
        <v>0</v>
      </c>
      <c r="BJ94" s="140">
        <f t="shared" si="131"/>
        <v>0</v>
      </c>
      <c r="BK94" s="140">
        <f t="shared" si="131"/>
        <v>0</v>
      </c>
      <c r="BL94" s="140">
        <f t="shared" si="131"/>
        <v>0</v>
      </c>
      <c r="BM94" s="146">
        <f t="shared" si="131"/>
        <v>0</v>
      </c>
      <c r="BN94" s="161"/>
      <c r="BO94" s="147">
        <f aca="true" t="shared" si="132" ref="BO94:BV94">BO87</f>
        <v>0</v>
      </c>
      <c r="BP94" s="140">
        <f t="shared" si="132"/>
        <v>0</v>
      </c>
      <c r="BQ94" s="140">
        <f t="shared" si="132"/>
        <v>0</v>
      </c>
      <c r="BR94" s="140">
        <f t="shared" si="132"/>
        <v>0</v>
      </c>
      <c r="BS94" s="140">
        <f t="shared" si="132"/>
        <v>0</v>
      </c>
      <c r="BT94" s="140">
        <f t="shared" si="132"/>
        <v>0</v>
      </c>
      <c r="BU94" s="140">
        <f t="shared" si="132"/>
        <v>0</v>
      </c>
      <c r="BV94" s="143">
        <f t="shared" si="132"/>
        <v>0</v>
      </c>
      <c r="BW94" s="148"/>
      <c r="BX94" s="147">
        <f aca="true" t="shared" si="133" ref="BX94:CE94">BX87</f>
        <v>0</v>
      </c>
      <c r="BY94" s="140">
        <f t="shared" si="133"/>
        <v>0</v>
      </c>
      <c r="BZ94" s="140">
        <f t="shared" si="133"/>
        <v>0</v>
      </c>
      <c r="CA94" s="140">
        <f t="shared" si="133"/>
        <v>0</v>
      </c>
      <c r="CB94" s="140">
        <f t="shared" si="133"/>
        <v>0</v>
      </c>
      <c r="CC94" s="140">
        <f t="shared" si="133"/>
        <v>0</v>
      </c>
      <c r="CD94" s="140">
        <f t="shared" si="133"/>
        <v>0</v>
      </c>
      <c r="CE94" s="143">
        <f t="shared" si="133"/>
        <v>0</v>
      </c>
      <c r="CF94" s="149"/>
      <c r="CG94" s="149"/>
    </row>
    <row r="95" spans="1:85" s="104" customFormat="1" ht="12.75">
      <c r="A95" s="151"/>
      <c r="B95" s="596" t="s">
        <v>180</v>
      </c>
      <c r="C95" s="597"/>
      <c r="D95" s="597"/>
      <c r="E95" s="597"/>
      <c r="F95" s="597"/>
      <c r="G95" s="597"/>
      <c r="H95" s="597"/>
      <c r="I95" s="152">
        <f aca="true" t="shared" si="134" ref="I95:Q95">SUM(I91:I93)</f>
        <v>6966</v>
      </c>
      <c r="J95" s="152">
        <f t="shared" si="134"/>
        <v>5472</v>
      </c>
      <c r="K95" s="153">
        <f t="shared" si="134"/>
        <v>8010</v>
      </c>
      <c r="L95" s="153">
        <f t="shared" si="134"/>
        <v>5472</v>
      </c>
      <c r="M95" s="153">
        <f t="shared" si="134"/>
        <v>3896</v>
      </c>
      <c r="N95" s="153">
        <f t="shared" si="134"/>
        <v>532</v>
      </c>
      <c r="O95" s="153">
        <f t="shared" si="134"/>
        <v>0</v>
      </c>
      <c r="P95" s="153">
        <f t="shared" si="134"/>
        <v>1044</v>
      </c>
      <c r="Q95" s="426">
        <f t="shared" si="134"/>
        <v>2538</v>
      </c>
      <c r="R95" s="429">
        <f aca="true" t="shared" si="135" ref="R95:AC95">SUM(R91:R93)</f>
        <v>918</v>
      </c>
      <c r="S95" s="140">
        <f t="shared" si="135"/>
        <v>527</v>
      </c>
      <c r="T95" s="140">
        <f t="shared" si="135"/>
        <v>85</v>
      </c>
      <c r="U95" s="140">
        <f t="shared" si="135"/>
        <v>0</v>
      </c>
      <c r="V95" s="140">
        <f t="shared" si="135"/>
        <v>0</v>
      </c>
      <c r="W95" s="140">
        <f t="shared" si="135"/>
        <v>306</v>
      </c>
      <c r="X95" s="427">
        <f t="shared" si="135"/>
        <v>1188</v>
      </c>
      <c r="Y95" s="140">
        <f t="shared" si="135"/>
        <v>671</v>
      </c>
      <c r="Z95" s="140">
        <f t="shared" si="135"/>
        <v>121</v>
      </c>
      <c r="AA95" s="140">
        <f t="shared" si="135"/>
        <v>0</v>
      </c>
      <c r="AB95" s="140">
        <f t="shared" si="135"/>
        <v>0</v>
      </c>
      <c r="AC95" s="154">
        <f t="shared" si="135"/>
        <v>396</v>
      </c>
      <c r="AD95" s="429">
        <f aca="true" t="shared" si="136" ref="AD95:AO95">SUM(AD91:AD93)</f>
        <v>864</v>
      </c>
      <c r="AE95" s="140">
        <f t="shared" si="136"/>
        <v>442</v>
      </c>
      <c r="AF95" s="140">
        <f t="shared" si="136"/>
        <v>134</v>
      </c>
      <c r="AG95" s="140">
        <f t="shared" si="136"/>
        <v>0</v>
      </c>
      <c r="AH95" s="140">
        <f t="shared" si="136"/>
        <v>0</v>
      </c>
      <c r="AI95" s="140">
        <f t="shared" si="136"/>
        <v>288</v>
      </c>
      <c r="AJ95" s="427">
        <f t="shared" si="136"/>
        <v>1170</v>
      </c>
      <c r="AK95" s="140">
        <f t="shared" si="136"/>
        <v>646</v>
      </c>
      <c r="AL95" s="140">
        <f t="shared" si="136"/>
        <v>38</v>
      </c>
      <c r="AM95" s="140">
        <f t="shared" si="136"/>
        <v>0</v>
      </c>
      <c r="AN95" s="140">
        <f t="shared" si="136"/>
        <v>144</v>
      </c>
      <c r="AO95" s="154">
        <f t="shared" si="136"/>
        <v>342</v>
      </c>
      <c r="AP95" s="429">
        <f aca="true" t="shared" si="137" ref="AP95:BA95">SUM(AP91:AP93)</f>
        <v>918</v>
      </c>
      <c r="AQ95" s="140">
        <f t="shared" si="137"/>
        <v>578</v>
      </c>
      <c r="AR95" s="140">
        <f t="shared" si="137"/>
        <v>34</v>
      </c>
      <c r="AS95" s="140">
        <f t="shared" si="137"/>
        <v>0</v>
      </c>
      <c r="AT95" s="140">
        <f t="shared" si="137"/>
        <v>0</v>
      </c>
      <c r="AU95" s="140">
        <f t="shared" si="137"/>
        <v>306</v>
      </c>
      <c r="AV95" s="427">
        <f t="shared" si="137"/>
        <v>1080</v>
      </c>
      <c r="AW95" s="140">
        <f t="shared" si="137"/>
        <v>408</v>
      </c>
      <c r="AX95" s="140">
        <f t="shared" si="137"/>
        <v>24</v>
      </c>
      <c r="AY95" s="140">
        <f t="shared" si="137"/>
        <v>0</v>
      </c>
      <c r="AZ95" s="140">
        <f t="shared" si="137"/>
        <v>432</v>
      </c>
      <c r="BA95" s="154">
        <f t="shared" si="137"/>
        <v>216</v>
      </c>
      <c r="BB95" s="429">
        <f aca="true" t="shared" si="138" ref="BB95:BM95">SUM(BB91:BB93)</f>
        <v>756</v>
      </c>
      <c r="BC95" s="140">
        <f t="shared" si="138"/>
        <v>240</v>
      </c>
      <c r="BD95" s="140">
        <f t="shared" si="138"/>
        <v>48</v>
      </c>
      <c r="BE95" s="140">
        <f t="shared" si="138"/>
        <v>0</v>
      </c>
      <c r="BF95" s="140">
        <f t="shared" si="138"/>
        <v>324</v>
      </c>
      <c r="BG95" s="140">
        <f t="shared" si="138"/>
        <v>144</v>
      </c>
      <c r="BH95" s="429">
        <f t="shared" si="138"/>
        <v>1116</v>
      </c>
      <c r="BI95" s="140">
        <f t="shared" si="138"/>
        <v>384</v>
      </c>
      <c r="BJ95" s="140">
        <f t="shared" si="138"/>
        <v>48</v>
      </c>
      <c r="BK95" s="140">
        <f t="shared" si="138"/>
        <v>0</v>
      </c>
      <c r="BL95" s="140">
        <f t="shared" si="138"/>
        <v>144</v>
      </c>
      <c r="BM95" s="140">
        <f t="shared" si="138"/>
        <v>540</v>
      </c>
      <c r="BN95" s="160"/>
      <c r="BO95" s="139">
        <f aca="true" t="shared" si="139" ref="BO95:CE95">SUM(BO91:BO93)</f>
        <v>0</v>
      </c>
      <c r="BP95" s="140">
        <f t="shared" si="139"/>
        <v>0</v>
      </c>
      <c r="BQ95" s="140">
        <f t="shared" si="139"/>
        <v>0</v>
      </c>
      <c r="BR95" s="140">
        <f t="shared" si="139"/>
        <v>0</v>
      </c>
      <c r="BS95" s="140">
        <f t="shared" si="139"/>
        <v>0</v>
      </c>
      <c r="BT95" s="140">
        <f t="shared" si="139"/>
        <v>0</v>
      </c>
      <c r="BU95" s="140">
        <f t="shared" si="139"/>
        <v>0</v>
      </c>
      <c r="BV95" s="154">
        <f t="shared" si="139"/>
        <v>0</v>
      </c>
      <c r="BW95" s="155">
        <f t="shared" si="139"/>
        <v>0</v>
      </c>
      <c r="BX95" s="139">
        <f t="shared" si="139"/>
        <v>0</v>
      </c>
      <c r="BY95" s="140">
        <f t="shared" si="139"/>
        <v>0</v>
      </c>
      <c r="BZ95" s="140">
        <f t="shared" si="139"/>
        <v>0</v>
      </c>
      <c r="CA95" s="140">
        <f t="shared" si="139"/>
        <v>0</v>
      </c>
      <c r="CB95" s="140">
        <f t="shared" si="139"/>
        <v>0</v>
      </c>
      <c r="CC95" s="140">
        <f t="shared" si="139"/>
        <v>0</v>
      </c>
      <c r="CD95" s="140">
        <f t="shared" si="139"/>
        <v>0</v>
      </c>
      <c r="CE95" s="154">
        <f t="shared" si="139"/>
        <v>0</v>
      </c>
      <c r="CF95" s="134"/>
      <c r="CG95" s="134"/>
    </row>
    <row r="96" spans="1:85" s="104" customFormat="1" ht="12.75">
      <c r="A96" s="151"/>
      <c r="B96" s="584" t="s">
        <v>197</v>
      </c>
      <c r="C96" s="585"/>
      <c r="D96" s="585"/>
      <c r="E96" s="585"/>
      <c r="F96" s="585"/>
      <c r="G96" s="585"/>
      <c r="H96" s="585"/>
      <c r="I96" s="585"/>
      <c r="J96" s="585"/>
      <c r="K96" s="586">
        <f>COUNTIF(K13:K18,"&gt;0")+COUNTIF(K20:K27,"&gt;0")+COUNTIF(K30:K33,"&gt;0")+COUNTIF(K35:K36,"&gt;0")+COUNTIF(K39:K46,"&gt;0")+DCOUNT(A10:CE66,"21",A107:B108)+COUNTIF(K69:K77,"&gt;0")</f>
        <v>45</v>
      </c>
      <c r="L96" s="587"/>
      <c r="M96" s="587"/>
      <c r="N96" s="587"/>
      <c r="O96" s="587"/>
      <c r="P96" s="587"/>
      <c r="Q96" s="587"/>
      <c r="R96" s="576">
        <f>COUNTIF(R13:R18,"&gt;0")+COUNTIF(R20:R27,"&gt;0")+COUNTIF(R30:R33,"&gt;0")+COUNTIF(R35:R36,"&gt;0")+COUNTIF(R39:R46,"&gt;0")+DCOUNT(A10:CE66,"21",A109:B110)+COUNTIF(R69:R77,"&gt;0")</f>
        <v>14</v>
      </c>
      <c r="S96" s="575"/>
      <c r="T96" s="575"/>
      <c r="U96" s="575"/>
      <c r="V96" s="575"/>
      <c r="W96" s="577"/>
      <c r="X96" s="575">
        <f>COUNTIF(X13:X18,"&gt;0")+COUNTIF(X20:X27,"&gt;0")+COUNTIF(X30:X33,"&gt;0")+COUNTIF(X35:X36,"&gt;0")+COUNTIF(X39:X46,"&gt;0")+DCOUNT(A10:CE66,"21",A111:B112)+COUNTIF(X69:X77,"&gt;0")</f>
        <v>12</v>
      </c>
      <c r="Y96" s="575"/>
      <c r="Z96" s="575"/>
      <c r="AA96" s="575"/>
      <c r="AB96" s="575"/>
      <c r="AC96" s="575"/>
      <c r="AD96" s="576">
        <f>COUNTIF(AD13:AD18,"&gt;0")+COUNTIF(AD20:AD27,"&gt;0")+COUNTIF(AD30:AD33,"&gt;0")+COUNTIF(AD35:AD36,"&gt;0")+COUNTIF(AD39:AD46,"&gt;0")+DCOUNT(A10:CE66,"21",A113:B114)+COUNTIF(AD69:AD77,"&gt;0")</f>
        <v>12</v>
      </c>
      <c r="AE96" s="575"/>
      <c r="AF96" s="575"/>
      <c r="AG96" s="575"/>
      <c r="AH96" s="575"/>
      <c r="AI96" s="577"/>
      <c r="AJ96" s="575">
        <f>COUNTIF(AJ13:AJ18,"&gt;0")+COUNTIF(AJ20:AJ27,"&gt;0")+COUNTIF(AJ30:AJ33,"&gt;0")+COUNTIF(AJ35:AJ36,"&gt;0")+COUNTIF(AJ39:AJ46,"&gt;0")+DCOUNT(A10:CE66,"21",A115:B116)+COUNTIF(AJ69:AJ77,"&gt;0")</f>
        <v>11</v>
      </c>
      <c r="AK96" s="575"/>
      <c r="AL96" s="575"/>
      <c r="AM96" s="575"/>
      <c r="AN96" s="575"/>
      <c r="AO96" s="575"/>
      <c r="AP96" s="576">
        <f>COUNTIF(AP13:AP18,"&gt;0")+COUNTIF(AP20:AP27,"&gt;0")+COUNTIF(AP30:AP33,"&gt;0")+COUNTIF(AP35:AP36,"&gt;0")+COUNTIF(AP39:AP46,"&gt;0")+DCOUNT(A10:CE66,"21",A117:B118)+COUNTIF(AP69:AP77,"&gt;0")</f>
        <v>11</v>
      </c>
      <c r="AQ96" s="575"/>
      <c r="AR96" s="575"/>
      <c r="AS96" s="575"/>
      <c r="AT96" s="575"/>
      <c r="AU96" s="577"/>
      <c r="AV96" s="575">
        <f>COUNTIF(AV13:AV18,"&gt;0")+COUNTIF(AV20:AV27,"&gt;0")+COUNTIF(AV30:AV33,"&gt;0")+COUNTIF(AV35:AV36,"&gt;0")+COUNTIF(AV39:AV46,"&gt;0")+DCOUNT(A10:CE66,"21",A119:B120)+COUNTIF(AV69:AV77,"&gt;0")</f>
        <v>8</v>
      </c>
      <c r="AW96" s="575"/>
      <c r="AX96" s="575"/>
      <c r="AY96" s="575"/>
      <c r="AZ96" s="575"/>
      <c r="BA96" s="575"/>
      <c r="BB96" s="576">
        <f>COUNTIF(BB13:BB18,"&gt;0")+COUNTIF(BB20:BB27,"&gt;0")+COUNTIF(BB30:BB33,"&gt;0")+COUNTIF(BB35:BB36,"&gt;0")+COUNTIF(BB39:BB46,"&gt;0")+DCOUNT(A10:CE66,"21",A121:B122)+COUNTIF(BB69:BB77,"&gt;0")</f>
        <v>8</v>
      </c>
      <c r="BC96" s="575"/>
      <c r="BD96" s="575"/>
      <c r="BE96" s="575"/>
      <c r="BF96" s="575"/>
      <c r="BG96" s="577"/>
      <c r="BH96" s="576">
        <f>COUNTIF(BH13:BH18,"&gt;0")+COUNTIF(BH20:BH27,"&gt;0")+COUNTIF(BH30:BH33,"&gt;0")+COUNTIF(BH35:BH36,"&gt;0")+COUNTIF(BH39:BH46,"&gt;0")+DCOUNT(A10:CE66,"21",A123:B124)+COUNTIF(BH69:BH77,"&gt;0")</f>
        <v>8</v>
      </c>
      <c r="BI96" s="575"/>
      <c r="BJ96" s="575"/>
      <c r="BK96" s="575"/>
      <c r="BL96" s="575"/>
      <c r="BM96" s="577"/>
      <c r="BN96" s="162"/>
      <c r="BO96" s="578">
        <f>COUNTIF(BO13:BO18,"&gt;0")+COUNTIF(BO20:BO27,"&gt;0")+COUNTIF(BO30:BO33,"&gt;0")+COUNTIF(BO35:BO36,"&gt;0")+COUNTIF(BO39:BO46,"&gt;0")+DCOUNT(A10:CE66,"21",A125:B126)+COUNTIF(BO69:BO77,"&gt;0")</f>
        <v>0</v>
      </c>
      <c r="BP96" s="575"/>
      <c r="BQ96" s="575"/>
      <c r="BR96" s="575"/>
      <c r="BS96" s="575"/>
      <c r="BT96" s="575"/>
      <c r="BU96" s="575"/>
      <c r="BV96" s="580"/>
      <c r="BW96" s="141"/>
      <c r="BX96" s="578">
        <f>COUNTIF(BX13:BX18,"&gt;0")+COUNTIF(BX20:BX27,"&gt;0")+COUNTIF(BX30:BX33,"&gt;0")+COUNTIF(BX35:BX36,"&gt;0")+COUNTIF(BX39:BX46,"&gt;0")+DCOUNT(A10:CE66,"21",A127:B128)+COUNTIF(BX69:BX77,"&gt;0")</f>
        <v>0</v>
      </c>
      <c r="BY96" s="575"/>
      <c r="BZ96" s="575"/>
      <c r="CA96" s="575"/>
      <c r="CB96" s="575"/>
      <c r="CC96" s="575"/>
      <c r="CD96" s="575"/>
      <c r="CE96" s="579"/>
      <c r="CF96" s="134"/>
      <c r="CG96" s="134"/>
    </row>
    <row r="97" spans="1:85" s="104" customFormat="1" ht="12.75">
      <c r="A97" s="151"/>
      <c r="B97" s="584" t="s">
        <v>85</v>
      </c>
      <c r="C97" s="585"/>
      <c r="D97" s="585"/>
      <c r="E97" s="585"/>
      <c r="F97" s="585"/>
      <c r="G97" s="585"/>
      <c r="H97" s="585"/>
      <c r="I97" s="585"/>
      <c r="J97" s="585"/>
      <c r="K97" s="591">
        <f>COUNTIF(K80:K80,"&gt;0")+COUNTIF(K82:K83,"&gt;0")</f>
        <v>3</v>
      </c>
      <c r="L97" s="592"/>
      <c r="M97" s="592"/>
      <c r="N97" s="592"/>
      <c r="O97" s="592"/>
      <c r="P97" s="592"/>
      <c r="Q97" s="593"/>
      <c r="R97" s="572">
        <f>COUNTIF(R80:R80,"&gt;0")+COUNTIF(R82:R83,"&gt;0")</f>
        <v>0</v>
      </c>
      <c r="S97" s="573"/>
      <c r="T97" s="573"/>
      <c r="U97" s="573"/>
      <c r="V97" s="573"/>
      <c r="W97" s="574"/>
      <c r="X97" s="579">
        <f>COUNTIF(X80:X80,"&gt;0")+COUNTIF(X82:X83,"&gt;0")</f>
        <v>0</v>
      </c>
      <c r="Y97" s="573"/>
      <c r="Z97" s="573"/>
      <c r="AA97" s="573"/>
      <c r="AB97" s="573"/>
      <c r="AC97" s="578"/>
      <c r="AD97" s="572">
        <f>COUNTIF(AD80:AD80,"&gt;0")+COUNTIF(AD82:AD83,"&gt;0")</f>
        <v>0</v>
      </c>
      <c r="AE97" s="573"/>
      <c r="AF97" s="573"/>
      <c r="AG97" s="573"/>
      <c r="AH97" s="573"/>
      <c r="AI97" s="574"/>
      <c r="AJ97" s="579">
        <f>COUNTIF(AJ80:AJ80,"&gt;0")+COUNTIF(AJ82:AJ83,"&gt;0")</f>
        <v>1</v>
      </c>
      <c r="AK97" s="573"/>
      <c r="AL97" s="573"/>
      <c r="AM97" s="573"/>
      <c r="AN97" s="573"/>
      <c r="AO97" s="578"/>
      <c r="AP97" s="572">
        <f>COUNTIF(AP80:AP80,"&gt;0")+COUNTIF(AP82:AP83,"&gt;0")</f>
        <v>0</v>
      </c>
      <c r="AQ97" s="573"/>
      <c r="AR97" s="573"/>
      <c r="AS97" s="573"/>
      <c r="AT97" s="573"/>
      <c r="AU97" s="574"/>
      <c r="AV97" s="579">
        <f>COUNTIF(AV80:AV80,"&gt;0")+COUNTIF(AV82:AV83,"&gt;0")</f>
        <v>1</v>
      </c>
      <c r="AW97" s="573"/>
      <c r="AX97" s="573"/>
      <c r="AY97" s="573"/>
      <c r="AZ97" s="573"/>
      <c r="BA97" s="578"/>
      <c r="BB97" s="572">
        <f>COUNTIF(BB80:BB80,"&gt;0")+COUNTIF(BB82:BB83,"&gt;0")</f>
        <v>1</v>
      </c>
      <c r="BC97" s="573"/>
      <c r="BD97" s="573"/>
      <c r="BE97" s="573"/>
      <c r="BF97" s="573"/>
      <c r="BG97" s="574"/>
      <c r="BH97" s="572">
        <f>COUNTIF(BH80:BH80,"&gt;0")+COUNTIF(BH82:BH83,"&gt;0")</f>
        <v>1</v>
      </c>
      <c r="BI97" s="573"/>
      <c r="BJ97" s="573"/>
      <c r="BK97" s="573"/>
      <c r="BL97" s="573"/>
      <c r="BM97" s="574"/>
      <c r="BN97" s="162"/>
      <c r="BO97" s="573">
        <f>COUNTIF(BO80:BO80,"&gt;0")+COUNTIF(BO82:BO83,"&gt;0")</f>
        <v>0</v>
      </c>
      <c r="BP97" s="573"/>
      <c r="BQ97" s="573"/>
      <c r="BR97" s="573"/>
      <c r="BS97" s="573"/>
      <c r="BT97" s="573"/>
      <c r="BU97" s="573"/>
      <c r="BV97" s="578"/>
      <c r="BW97" s="141"/>
      <c r="BX97" s="573">
        <f>COUNTIF(BX80:BX80,"&gt;0")+COUNTIF(BX82:BX83,"&gt;0")</f>
        <v>0</v>
      </c>
      <c r="BY97" s="573"/>
      <c r="BZ97" s="573"/>
      <c r="CA97" s="573"/>
      <c r="CB97" s="573"/>
      <c r="CC97" s="573"/>
      <c r="CD97" s="573"/>
      <c r="CE97" s="573"/>
      <c r="CF97" s="134"/>
      <c r="CG97" s="134"/>
    </row>
    <row r="98" spans="1:85" s="104" customFormat="1" ht="12.75">
      <c r="A98" s="156"/>
      <c r="B98" s="599" t="s">
        <v>564</v>
      </c>
      <c r="C98" s="585"/>
      <c r="D98" s="585"/>
      <c r="E98" s="585"/>
      <c r="F98" s="585"/>
      <c r="G98" s="585"/>
      <c r="H98" s="585"/>
      <c r="I98" s="585"/>
      <c r="J98" s="585"/>
      <c r="K98" s="588">
        <f>K91/(V5+AB5+AH5+AN5+AT5+AZ5+BF5+BL5)</f>
        <v>54</v>
      </c>
      <c r="L98" s="589"/>
      <c r="M98" s="589"/>
      <c r="N98" s="589"/>
      <c r="O98" s="589"/>
      <c r="P98" s="589"/>
      <c r="Q98" s="590"/>
      <c r="R98" s="564">
        <f>R91/V5</f>
        <v>54</v>
      </c>
      <c r="S98" s="562"/>
      <c r="T98" s="562"/>
      <c r="U98" s="562"/>
      <c r="V98" s="562"/>
      <c r="W98" s="565"/>
      <c r="X98" s="561">
        <f>X91/AB5</f>
        <v>54</v>
      </c>
      <c r="Y98" s="562"/>
      <c r="Z98" s="562"/>
      <c r="AA98" s="562"/>
      <c r="AB98" s="562"/>
      <c r="AC98" s="563"/>
      <c r="AD98" s="564">
        <f>AD91/AH5</f>
        <v>54</v>
      </c>
      <c r="AE98" s="562"/>
      <c r="AF98" s="562"/>
      <c r="AG98" s="562"/>
      <c r="AH98" s="562"/>
      <c r="AI98" s="565"/>
      <c r="AJ98" s="561">
        <f>AJ91/AN5</f>
        <v>54</v>
      </c>
      <c r="AK98" s="562"/>
      <c r="AL98" s="562"/>
      <c r="AM98" s="562"/>
      <c r="AN98" s="562"/>
      <c r="AO98" s="563"/>
      <c r="AP98" s="564">
        <f>AP91/AT5</f>
        <v>54</v>
      </c>
      <c r="AQ98" s="562"/>
      <c r="AR98" s="562"/>
      <c r="AS98" s="562"/>
      <c r="AT98" s="562"/>
      <c r="AU98" s="565"/>
      <c r="AV98" s="561">
        <f>AV91/AZ5</f>
        <v>54</v>
      </c>
      <c r="AW98" s="562"/>
      <c r="AX98" s="562"/>
      <c r="AY98" s="562"/>
      <c r="AZ98" s="562"/>
      <c r="BA98" s="563"/>
      <c r="BB98" s="564">
        <f>BB91/BF5</f>
        <v>54</v>
      </c>
      <c r="BC98" s="562"/>
      <c r="BD98" s="562"/>
      <c r="BE98" s="562"/>
      <c r="BF98" s="562"/>
      <c r="BG98" s="565"/>
      <c r="BH98" s="564">
        <f>BH91/BL5</f>
        <v>54</v>
      </c>
      <c r="BI98" s="562"/>
      <c r="BJ98" s="562"/>
      <c r="BK98" s="562"/>
      <c r="BL98" s="562"/>
      <c r="BM98" s="565"/>
      <c r="BN98" s="162"/>
      <c r="BO98" s="562">
        <f>IF(AND(BT5=0,BU7=0,BU8=0),0,IF(BO95=0,0,BO95/(BT5+BU7+BU8)))</f>
        <v>0</v>
      </c>
      <c r="BP98" s="562"/>
      <c r="BQ98" s="562"/>
      <c r="BR98" s="562"/>
      <c r="BS98" s="562"/>
      <c r="BT98" s="562"/>
      <c r="BU98" s="562"/>
      <c r="BV98" s="563"/>
      <c r="BW98" s="141"/>
      <c r="BX98" s="562">
        <f>IF(AND(CC5=0,CD7=0,CD8=0),0,IF(BX95=0,0,BX95/(CC5+CD7+CD8)))</f>
        <v>0</v>
      </c>
      <c r="BY98" s="562"/>
      <c r="BZ98" s="562"/>
      <c r="CA98" s="562"/>
      <c r="CB98" s="562"/>
      <c r="CC98" s="562"/>
      <c r="CD98" s="562"/>
      <c r="CE98" s="563"/>
      <c r="CF98" s="134"/>
      <c r="CG98" s="134"/>
    </row>
    <row r="99" spans="1:85" s="104" customFormat="1" ht="12.75">
      <c r="A99" s="157"/>
      <c r="B99" s="584" t="s">
        <v>195</v>
      </c>
      <c r="C99" s="585"/>
      <c r="D99" s="585"/>
      <c r="E99" s="585"/>
      <c r="F99" s="585"/>
      <c r="G99" s="585"/>
      <c r="H99" s="585"/>
      <c r="I99" s="585"/>
      <c r="J99" s="585"/>
      <c r="K99" s="588">
        <f>IF('Титульный лист (очная)'!BD29=0,0,IF(L91=0,0,L91/(V5+AB5+AH5+AN5+AT5+AZ5+BF5+BL5+BT5+CC5)))</f>
        <v>36</v>
      </c>
      <c r="L99" s="589"/>
      <c r="M99" s="589"/>
      <c r="N99" s="589"/>
      <c r="O99" s="589"/>
      <c r="P99" s="589"/>
      <c r="Q99" s="590"/>
      <c r="R99" s="564">
        <f>IF(V5=0,0,IF(SUM(S91:V91)=0,0,SUM(S91:V91)/V5))</f>
        <v>36</v>
      </c>
      <c r="S99" s="562"/>
      <c r="T99" s="562"/>
      <c r="U99" s="562"/>
      <c r="V99" s="562"/>
      <c r="W99" s="565"/>
      <c r="X99" s="561">
        <f>IF(AB5=0,0,IF(SUM(Y91:AB91)=0,0,SUM(Y91:AB91)/AB5))</f>
        <v>36</v>
      </c>
      <c r="Y99" s="562"/>
      <c r="Z99" s="562"/>
      <c r="AA99" s="562"/>
      <c r="AB99" s="562"/>
      <c r="AC99" s="563"/>
      <c r="AD99" s="564">
        <f>IF(AH5=0,0,IF(SUM(AE91:AH91)=0,0,SUM(AE91:AH91)/AH5))</f>
        <v>36</v>
      </c>
      <c r="AE99" s="562"/>
      <c r="AF99" s="562"/>
      <c r="AG99" s="562"/>
      <c r="AH99" s="562"/>
      <c r="AI99" s="565"/>
      <c r="AJ99" s="561">
        <f>IF(AN5=0,0,IF(SUM(AK91:AN91)=0,0,SUM(AK91:AN91)/AN5))</f>
        <v>36</v>
      </c>
      <c r="AK99" s="562"/>
      <c r="AL99" s="562"/>
      <c r="AM99" s="562"/>
      <c r="AN99" s="562"/>
      <c r="AO99" s="563"/>
      <c r="AP99" s="564">
        <f>IF(AT5=0,0,IF(SUM(AQ91:AT91)=0,0,SUM(AQ91:AT91)/AT5))</f>
        <v>36</v>
      </c>
      <c r="AQ99" s="562"/>
      <c r="AR99" s="562"/>
      <c r="AS99" s="562"/>
      <c r="AT99" s="562"/>
      <c r="AU99" s="565"/>
      <c r="AV99" s="561">
        <f>IF(AZ5=0,0,IF(SUM(AW91:AZ91)=0,0,SUM(AW91:AZ91)/AZ5))</f>
        <v>36</v>
      </c>
      <c r="AW99" s="562"/>
      <c r="AX99" s="562"/>
      <c r="AY99" s="562"/>
      <c r="AZ99" s="562"/>
      <c r="BA99" s="563"/>
      <c r="BB99" s="564">
        <f>IF(BF5=0,0,IF(SUM(BC91:BF91)=0,0,SUM(BC91:BF91)/BF5))</f>
        <v>36</v>
      </c>
      <c r="BC99" s="562"/>
      <c r="BD99" s="562"/>
      <c r="BE99" s="562"/>
      <c r="BF99" s="562"/>
      <c r="BG99" s="565"/>
      <c r="BH99" s="564">
        <f>IF(BL5=0,0,IF(SUM(BI91:BL91)=0,0,SUM(BI91:BL91)/BL5))</f>
        <v>36</v>
      </c>
      <c r="BI99" s="562"/>
      <c r="BJ99" s="562"/>
      <c r="BK99" s="562"/>
      <c r="BL99" s="562"/>
      <c r="BM99" s="565"/>
      <c r="BN99" s="162"/>
      <c r="BO99" s="562">
        <f>IF(BT5=0,0,IF(SUM(BP91:BT91)=0,0,SUM(BP91:BT91)/BT5))</f>
        <v>0</v>
      </c>
      <c r="BP99" s="562"/>
      <c r="BQ99" s="562"/>
      <c r="BR99" s="562"/>
      <c r="BS99" s="562"/>
      <c r="BT99" s="562"/>
      <c r="BU99" s="562"/>
      <c r="BV99" s="563"/>
      <c r="BW99" s="141"/>
      <c r="BX99" s="562">
        <f>IF(CC5=0,0,IF(SUM(BY91:CC91)=0,0,SUM(BY91:CC91)/CC5))</f>
        <v>0</v>
      </c>
      <c r="BY99" s="562"/>
      <c r="BZ99" s="562"/>
      <c r="CA99" s="562"/>
      <c r="CB99" s="562"/>
      <c r="CC99" s="562"/>
      <c r="CD99" s="562"/>
      <c r="CE99" s="563"/>
      <c r="CF99" s="134"/>
      <c r="CG99" s="134"/>
    </row>
    <row r="100" spans="1:85" s="104" customFormat="1" ht="12.75" customHeight="1">
      <c r="A100" s="157"/>
      <c r="B100" s="584" t="s">
        <v>194</v>
      </c>
      <c r="C100" s="585"/>
      <c r="D100" s="585"/>
      <c r="E100" s="585"/>
      <c r="F100" s="585"/>
      <c r="G100" s="585"/>
      <c r="H100" s="585"/>
      <c r="I100" s="585"/>
      <c r="J100" s="585"/>
      <c r="K100" s="586">
        <f>R100+X100+AD100+AJ100+AP100+AV100+BB100+BH100+BO100+BX100</f>
        <v>13</v>
      </c>
      <c r="L100" s="587"/>
      <c r="M100" s="587" t="s">
        <v>223</v>
      </c>
      <c r="N100" s="587"/>
      <c r="O100" s="587"/>
      <c r="P100" s="587">
        <f>V100+AB100+AH100+AN100+AT100+AZ100+BF100+BL100+BT100+CC100</f>
        <v>13</v>
      </c>
      <c r="Q100" s="587"/>
      <c r="R100" s="576">
        <f>COUNTIF($D$11:$D$77,"*1*")</f>
        <v>0</v>
      </c>
      <c r="S100" s="575"/>
      <c r="T100" s="575" t="s">
        <v>223</v>
      </c>
      <c r="U100" s="575"/>
      <c r="V100" s="575">
        <f>COUNTIF($D$11:$D$77,"*1*")-DCOUNTA($A$10:$H$77,"5",E107:F108)</f>
        <v>0</v>
      </c>
      <c r="W100" s="577"/>
      <c r="X100" s="575">
        <f>COUNTIF($D$11:$D$77,"*2*")</f>
        <v>3</v>
      </c>
      <c r="Y100" s="575"/>
      <c r="Z100" s="575" t="s">
        <v>223</v>
      </c>
      <c r="AA100" s="575"/>
      <c r="AB100" s="575">
        <f>COUNTIF($D$11:$D$77,"*2*")-DCOUNTA($A$10:$H$77,"5",E109:F110)</f>
        <v>3</v>
      </c>
      <c r="AC100" s="575"/>
      <c r="AD100" s="576">
        <f>COUNTIF($D$11:$D$77,"*3*")</f>
        <v>2</v>
      </c>
      <c r="AE100" s="575"/>
      <c r="AF100" s="575" t="s">
        <v>223</v>
      </c>
      <c r="AG100" s="575"/>
      <c r="AH100" s="575">
        <f>COUNTIF($D$11:$D$77,"*3*")-DCOUNTA($A$10:$H$77,"5",E111:F112)</f>
        <v>2</v>
      </c>
      <c r="AI100" s="577"/>
      <c r="AJ100" s="575">
        <f>COUNTIF($D$11:$D$77,"*4*")</f>
        <v>1</v>
      </c>
      <c r="AK100" s="575"/>
      <c r="AL100" s="575" t="s">
        <v>223</v>
      </c>
      <c r="AM100" s="575"/>
      <c r="AN100" s="575">
        <f>COUNTIF($D$11:$D$77,"*4*")-DCOUNTA($A$10:$H$77,"5",E113:F114)</f>
        <v>1</v>
      </c>
      <c r="AO100" s="575"/>
      <c r="AP100" s="576">
        <f>COUNTIF($D$11:$D$77,"*5*")</f>
        <v>0</v>
      </c>
      <c r="AQ100" s="575"/>
      <c r="AR100" s="575" t="s">
        <v>223</v>
      </c>
      <c r="AS100" s="575"/>
      <c r="AT100" s="575">
        <f>COUNTIF($D$11:$D$77,"*5*")-DCOUNTA($A$10:$H$77,"5",E115:F116)</f>
        <v>0</v>
      </c>
      <c r="AU100" s="577"/>
      <c r="AV100" s="575">
        <f>COUNTIF($D$11:$D$77,"*6*")</f>
        <v>2</v>
      </c>
      <c r="AW100" s="575"/>
      <c r="AX100" s="575" t="s">
        <v>223</v>
      </c>
      <c r="AY100" s="575"/>
      <c r="AZ100" s="575">
        <f>COUNTIF($D$11:$D$77,"*6*")-DCOUNTA($A$10:$H$77,"5",E117:F118)</f>
        <v>2</v>
      </c>
      <c r="BA100" s="575"/>
      <c r="BB100" s="576">
        <f>COUNTIF($D$11:$D$77,"*7*")</f>
        <v>0</v>
      </c>
      <c r="BC100" s="575"/>
      <c r="BD100" s="575" t="s">
        <v>223</v>
      </c>
      <c r="BE100" s="575"/>
      <c r="BF100" s="575">
        <f>COUNTIF($D$11:$D$77,"*7*")-DCOUNTA($A$10:$H$77,"5",E119:F120)</f>
        <v>0</v>
      </c>
      <c r="BG100" s="577"/>
      <c r="BH100" s="576">
        <f>COUNTIF($D$11:$D$77,"*8*")</f>
        <v>5</v>
      </c>
      <c r="BI100" s="575"/>
      <c r="BJ100" s="575" t="s">
        <v>223</v>
      </c>
      <c r="BK100" s="575"/>
      <c r="BL100" s="575">
        <f>COUNTIF($D$11:$D$77,"*8*")-DCOUNTA($A$10:$H$77,"7",E121:F122)</f>
        <v>5</v>
      </c>
      <c r="BM100" s="577"/>
      <c r="BN100" s="163"/>
      <c r="BO100" s="578">
        <f>COUNTIF($D$11:$D$77,"*9*")</f>
        <v>0</v>
      </c>
      <c r="BP100" s="575"/>
      <c r="BQ100" s="575"/>
      <c r="BR100" s="575" t="s">
        <v>223</v>
      </c>
      <c r="BS100" s="575"/>
      <c r="BT100" s="575">
        <f>COUNTIF($D$11:$D$77,"*9*")-DCOUNTA($A$10:$H$77,"5",E123:F124)</f>
        <v>0</v>
      </c>
      <c r="BU100" s="575"/>
      <c r="BV100" s="580"/>
      <c r="BW100" s="158"/>
      <c r="BX100" s="578">
        <f>COUNTIF($D$11:$D$77,"*{*")</f>
        <v>0</v>
      </c>
      <c r="BY100" s="575"/>
      <c r="BZ100" s="575"/>
      <c r="CA100" s="575" t="s">
        <v>223</v>
      </c>
      <c r="CB100" s="575"/>
      <c r="CC100" s="575">
        <f>COUNTIF($D$11:$D$77,"*{*")-DCOUNTA($A$10:$H$77,"5",E125:F126)</f>
        <v>0</v>
      </c>
      <c r="CD100" s="575"/>
      <c r="CE100" s="580"/>
      <c r="CF100" s="134"/>
      <c r="CG100" s="134"/>
    </row>
    <row r="101" spans="1:85" s="104" customFormat="1" ht="12.75" customHeight="1">
      <c r="A101" s="151"/>
      <c r="B101" s="584" t="s">
        <v>193</v>
      </c>
      <c r="C101" s="585"/>
      <c r="D101" s="585"/>
      <c r="E101" s="585"/>
      <c r="F101" s="585"/>
      <c r="G101" s="585"/>
      <c r="H101" s="585"/>
      <c r="I101" s="585"/>
      <c r="J101" s="585"/>
      <c r="K101" s="586">
        <f>R101+X101+AD101+AJ101+AP101+AV101+BB101+BH101+BO101+BX101</f>
        <v>48</v>
      </c>
      <c r="L101" s="587"/>
      <c r="M101" s="587" t="s">
        <v>223</v>
      </c>
      <c r="N101" s="587"/>
      <c r="O101" s="587"/>
      <c r="P101" s="587">
        <f>V101+AB101+AH101+AN101+AT101+AZ101+BF101+BL101+BT101+CC101</f>
        <v>40</v>
      </c>
      <c r="Q101" s="587"/>
      <c r="R101" s="576">
        <f>COUNTIF($E$11:$F$78,"*1*")</f>
        <v>3</v>
      </c>
      <c r="S101" s="575"/>
      <c r="T101" s="575" t="s">
        <v>223</v>
      </c>
      <c r="U101" s="575"/>
      <c r="V101" s="575">
        <f>COUNTIF($E$11:$F$78,"*1*")-DCOUNTA($A$10:$H$78,"5",C107:D108)</f>
        <v>2</v>
      </c>
      <c r="W101" s="577"/>
      <c r="X101" s="575">
        <f>COUNTIF($E$11:$F$78,"*2*")</f>
        <v>9</v>
      </c>
      <c r="Y101" s="575"/>
      <c r="Z101" s="575" t="s">
        <v>223</v>
      </c>
      <c r="AA101" s="575"/>
      <c r="AB101" s="575">
        <f>COUNTIF($E$11:$F$78,"*2*")-DCOUNTA($A$10:$H$78,"5",C109:D110)</f>
        <v>8</v>
      </c>
      <c r="AC101" s="575"/>
      <c r="AD101" s="576">
        <f>COUNTIF($E$11:$F$78,"*3*")</f>
        <v>6</v>
      </c>
      <c r="AE101" s="575"/>
      <c r="AF101" s="575" t="s">
        <v>223</v>
      </c>
      <c r="AG101" s="575"/>
      <c r="AH101" s="575">
        <f>COUNTIF($E$11:$F$78,"*3*")-DCOUNTA($A$10:$H$78,"6",C111:D112)</f>
        <v>5</v>
      </c>
      <c r="AI101" s="577"/>
      <c r="AJ101" s="575">
        <f>COUNTIF($E$11:$F$78,"*4*")</f>
        <v>6</v>
      </c>
      <c r="AK101" s="575"/>
      <c r="AL101" s="575" t="s">
        <v>223</v>
      </c>
      <c r="AM101" s="575"/>
      <c r="AN101" s="575">
        <f>COUNTIF($E$11:$F$78,"*4*")-DCOUNTA($A$10:$H$78,"6",C113:D114)</f>
        <v>5</v>
      </c>
      <c r="AO101" s="575"/>
      <c r="AP101" s="576">
        <f>COUNTIF($E$11:$F$78,"*5*")</f>
        <v>7</v>
      </c>
      <c r="AQ101" s="575"/>
      <c r="AR101" s="575" t="s">
        <v>223</v>
      </c>
      <c r="AS101" s="575"/>
      <c r="AT101" s="575">
        <f>COUNTIF($E$11:$F$78,"*5*")-DCOUNTA($A$10:$H$78,"6",C115:D116)</f>
        <v>6</v>
      </c>
      <c r="AU101" s="577"/>
      <c r="AV101" s="575">
        <f>COUNTIF($E$11:$F$78,"*6*")</f>
        <v>5</v>
      </c>
      <c r="AW101" s="575"/>
      <c r="AX101" s="575" t="s">
        <v>223</v>
      </c>
      <c r="AY101" s="575"/>
      <c r="AZ101" s="575">
        <f>COUNTIF($E$11:$F$78,"*6*")-DCOUNTA($A$10:$H$78,"6",C117:D118)</f>
        <v>4</v>
      </c>
      <c r="BA101" s="575"/>
      <c r="BB101" s="576">
        <f>COUNTIF($E$11:$F$78,"*7*")</f>
        <v>2</v>
      </c>
      <c r="BC101" s="575"/>
      <c r="BD101" s="575" t="s">
        <v>223</v>
      </c>
      <c r="BE101" s="575"/>
      <c r="BF101" s="575">
        <f>COUNTIF($E$11:$F$78,"*7*")-DCOUNTA($A$10:$H$78,"6",C119:D120)</f>
        <v>1</v>
      </c>
      <c r="BG101" s="577"/>
      <c r="BH101" s="576">
        <f>COUNTIF($E$11:$F$78,"*8*")</f>
        <v>10</v>
      </c>
      <c r="BI101" s="575"/>
      <c r="BJ101" s="575" t="s">
        <v>223</v>
      </c>
      <c r="BK101" s="575"/>
      <c r="BL101" s="575">
        <f>COUNTIF($E$11:$F$78,"*8*")-DCOUNTA($A$10:$H$78,"6",C121:D122)</f>
        <v>9</v>
      </c>
      <c r="BM101" s="577"/>
      <c r="BN101" s="163"/>
      <c r="BO101" s="578">
        <f>COUNTIF($E$11:$E$77,"*9*")</f>
        <v>0</v>
      </c>
      <c r="BP101" s="575"/>
      <c r="BQ101" s="575"/>
      <c r="BR101" s="575" t="s">
        <v>223</v>
      </c>
      <c r="BS101" s="575"/>
      <c r="BT101" s="575">
        <f>COUNTIF($E$11:$E$77,"*9*")-DCOUNTA($A$10:$H$77,"5",C123:D124)</f>
        <v>0</v>
      </c>
      <c r="BU101" s="575"/>
      <c r="BV101" s="580"/>
      <c r="BW101" s="158"/>
      <c r="BX101" s="578">
        <f>COUNTIF($E$11:$E$77,"*{*")</f>
        <v>0</v>
      </c>
      <c r="BY101" s="575"/>
      <c r="BZ101" s="575"/>
      <c r="CA101" s="575" t="s">
        <v>223</v>
      </c>
      <c r="CB101" s="575"/>
      <c r="CC101" s="575">
        <f>COUNTIF($E$11:$E$77,"*{*")-DCOUNTA($A$10:$H$77,"5",C125:D126)</f>
        <v>0</v>
      </c>
      <c r="CD101" s="575"/>
      <c r="CE101" s="580"/>
      <c r="CF101" s="134"/>
      <c r="CG101" s="134"/>
    </row>
    <row r="102" spans="1:85" s="104" customFormat="1" ht="12.75" customHeight="1">
      <c r="A102" s="151"/>
      <c r="B102" s="599" t="s">
        <v>544</v>
      </c>
      <c r="C102" s="651"/>
      <c r="D102" s="651"/>
      <c r="E102" s="651"/>
      <c r="F102" s="651"/>
      <c r="G102" s="651"/>
      <c r="H102" s="651"/>
      <c r="I102" s="651"/>
      <c r="J102" s="651"/>
      <c r="K102" s="586">
        <f>R102+X102+AD102+AJ102+AP102+AV102+BB102+BH102+BO102+BX102</f>
        <v>3</v>
      </c>
      <c r="L102" s="587"/>
      <c r="M102" s="587"/>
      <c r="N102" s="587"/>
      <c r="O102" s="587"/>
      <c r="P102" s="587"/>
      <c r="Q102" s="587"/>
      <c r="R102" s="576">
        <f>COUNTIF($G$11:$G$77,"*1*")</f>
        <v>0</v>
      </c>
      <c r="S102" s="575"/>
      <c r="T102" s="575"/>
      <c r="U102" s="575"/>
      <c r="V102" s="575"/>
      <c r="W102" s="577"/>
      <c r="X102" s="575">
        <f>COUNTIF($G$11:$G$77,"*2*")</f>
        <v>0</v>
      </c>
      <c r="Y102" s="575"/>
      <c r="Z102" s="575"/>
      <c r="AA102" s="575"/>
      <c r="AB102" s="575"/>
      <c r="AC102" s="575"/>
      <c r="AD102" s="576">
        <f>COUNTIF($G$11:$G$77,"*3*")</f>
        <v>0</v>
      </c>
      <c r="AE102" s="575"/>
      <c r="AF102" s="575"/>
      <c r="AG102" s="575"/>
      <c r="AH102" s="575"/>
      <c r="AI102" s="577"/>
      <c r="AJ102" s="575">
        <f>COUNTIF($G$11:$G$77,"*4*")</f>
        <v>0</v>
      </c>
      <c r="AK102" s="575"/>
      <c r="AL102" s="575"/>
      <c r="AM102" s="575"/>
      <c r="AN102" s="575"/>
      <c r="AO102" s="575"/>
      <c r="AP102" s="576">
        <f>COUNTIF($G$11:$G$77,"*5*")</f>
        <v>0</v>
      </c>
      <c r="AQ102" s="575"/>
      <c r="AR102" s="575"/>
      <c r="AS102" s="575"/>
      <c r="AT102" s="575"/>
      <c r="AU102" s="577"/>
      <c r="AV102" s="575">
        <f>COUNTIF($G$11:$G$77,"*6*")</f>
        <v>1</v>
      </c>
      <c r="AW102" s="575"/>
      <c r="AX102" s="575"/>
      <c r="AY102" s="575"/>
      <c r="AZ102" s="575"/>
      <c r="BA102" s="575"/>
      <c r="BB102" s="576">
        <f>COUNTIF($G$11:$G$77,"*7*")</f>
        <v>0</v>
      </c>
      <c r="BC102" s="575"/>
      <c r="BD102" s="575"/>
      <c r="BE102" s="575"/>
      <c r="BF102" s="575"/>
      <c r="BG102" s="577"/>
      <c r="BH102" s="576">
        <f>COUNTIF($G$11:$G$77,"*8*")</f>
        <v>2</v>
      </c>
      <c r="BI102" s="575"/>
      <c r="BJ102" s="575"/>
      <c r="BK102" s="575"/>
      <c r="BL102" s="575"/>
      <c r="BM102" s="577"/>
      <c r="BN102" s="163"/>
      <c r="BO102" s="578">
        <f>COUNTIF($G$11:$G$77,"*9*")</f>
        <v>0</v>
      </c>
      <c r="BP102" s="575"/>
      <c r="BQ102" s="575"/>
      <c r="BR102" s="575"/>
      <c r="BS102" s="575"/>
      <c r="BT102" s="575"/>
      <c r="BU102" s="575"/>
      <c r="BV102" s="580"/>
      <c r="BW102" s="158"/>
      <c r="BX102" s="578">
        <f>COUNTIF($G$11:$G$77,"*Х*")</f>
        <v>0</v>
      </c>
      <c r="BY102" s="575"/>
      <c r="BZ102" s="575"/>
      <c r="CA102" s="575"/>
      <c r="CB102" s="575"/>
      <c r="CC102" s="575"/>
      <c r="CD102" s="575"/>
      <c r="CE102" s="579"/>
      <c r="CF102" s="134"/>
      <c r="CG102" s="134"/>
    </row>
    <row r="103" spans="1:85" s="104" customFormat="1" ht="12.75" customHeight="1">
      <c r="A103" s="159"/>
      <c r="B103" s="599" t="s">
        <v>543</v>
      </c>
      <c r="C103" s="651"/>
      <c r="D103" s="651"/>
      <c r="E103" s="651"/>
      <c r="F103" s="651"/>
      <c r="G103" s="651"/>
      <c r="H103" s="651"/>
      <c r="I103" s="651"/>
      <c r="J103" s="651"/>
      <c r="K103" s="586">
        <f>R103+X103+AD103+AJ103+AP103+AV103+BB103+BH103+BO103+BX103</f>
        <v>25</v>
      </c>
      <c r="L103" s="587"/>
      <c r="M103" s="587"/>
      <c r="N103" s="587"/>
      <c r="O103" s="587"/>
      <c r="P103" s="587"/>
      <c r="Q103" s="587"/>
      <c r="R103" s="581">
        <f>COUNTIF($H$11:$H$78,"*1*")</f>
        <v>10</v>
      </c>
      <c r="S103" s="582"/>
      <c r="T103" s="582"/>
      <c r="U103" s="582"/>
      <c r="V103" s="582"/>
      <c r="W103" s="583"/>
      <c r="X103" s="582">
        <f>COUNTIF($H$11:$H$78,"*2*")</f>
        <v>0</v>
      </c>
      <c r="Y103" s="582"/>
      <c r="Z103" s="582"/>
      <c r="AA103" s="582"/>
      <c r="AB103" s="582"/>
      <c r="AC103" s="582"/>
      <c r="AD103" s="581">
        <f>COUNTIF($H$11:$H$78,"*3*")</f>
        <v>2</v>
      </c>
      <c r="AE103" s="582"/>
      <c r="AF103" s="582"/>
      <c r="AG103" s="582"/>
      <c r="AH103" s="582"/>
      <c r="AI103" s="583"/>
      <c r="AJ103" s="582">
        <f>COUNTIF($H$11:$H$78,"*4*")</f>
        <v>3</v>
      </c>
      <c r="AK103" s="582"/>
      <c r="AL103" s="582"/>
      <c r="AM103" s="582"/>
      <c r="AN103" s="582"/>
      <c r="AO103" s="582"/>
      <c r="AP103" s="581">
        <f>COUNTIF($H$11:$H$78,"*5*")</f>
        <v>3</v>
      </c>
      <c r="AQ103" s="582"/>
      <c r="AR103" s="582"/>
      <c r="AS103" s="582"/>
      <c r="AT103" s="582"/>
      <c r="AU103" s="583"/>
      <c r="AV103" s="582">
        <f>COUNTIF($H$11:$H$78,"*6*")</f>
        <v>1</v>
      </c>
      <c r="AW103" s="582"/>
      <c r="AX103" s="582"/>
      <c r="AY103" s="582"/>
      <c r="AZ103" s="582"/>
      <c r="BA103" s="582"/>
      <c r="BB103" s="581">
        <f>COUNTIF($H$11:$H$78,"*7*")</f>
        <v>6</v>
      </c>
      <c r="BC103" s="582"/>
      <c r="BD103" s="582"/>
      <c r="BE103" s="582"/>
      <c r="BF103" s="582"/>
      <c r="BG103" s="583"/>
      <c r="BH103" s="581">
        <f>COUNTIF($H$11:$H$78,"*8*")</f>
        <v>0</v>
      </c>
      <c r="BI103" s="582"/>
      <c r="BJ103" s="582"/>
      <c r="BK103" s="582"/>
      <c r="BL103" s="582"/>
      <c r="BM103" s="583"/>
      <c r="BN103" s="163"/>
      <c r="BO103" s="578">
        <f>BN11+BN28+BN68</f>
        <v>0</v>
      </c>
      <c r="BP103" s="575"/>
      <c r="BQ103" s="575"/>
      <c r="BR103" s="575"/>
      <c r="BS103" s="575"/>
      <c r="BT103" s="575"/>
      <c r="BU103" s="575"/>
      <c r="BV103" s="580"/>
      <c r="BW103" s="158"/>
      <c r="BX103" s="578">
        <f>BW11+BW28+BW68</f>
        <v>0</v>
      </c>
      <c r="BY103" s="575"/>
      <c r="BZ103" s="575"/>
      <c r="CA103" s="575"/>
      <c r="CB103" s="575"/>
      <c r="CC103" s="575"/>
      <c r="CD103" s="575"/>
      <c r="CE103" s="579"/>
      <c r="CF103" s="134"/>
      <c r="CG103" s="134"/>
    </row>
    <row r="106" spans="1:6" ht="12.75" hidden="1">
      <c r="A106" s="652" t="s">
        <v>221</v>
      </c>
      <c r="B106" s="652"/>
      <c r="C106" s="653" t="s">
        <v>222</v>
      </c>
      <c r="D106" s="653"/>
      <c r="E106" s="653" t="s">
        <v>243</v>
      </c>
      <c r="F106" s="653"/>
    </row>
    <row r="107" spans="1:6" ht="12.75" hidden="1">
      <c r="A107" s="79">
        <v>1</v>
      </c>
      <c r="B107" s="79">
        <v>11</v>
      </c>
      <c r="C107" s="80">
        <v>2</v>
      </c>
      <c r="D107" s="81" t="s">
        <v>41</v>
      </c>
      <c r="E107" s="80">
        <v>2</v>
      </c>
      <c r="F107" s="81" t="s">
        <v>40</v>
      </c>
    </row>
    <row r="108" spans="1:6" ht="51" hidden="1">
      <c r="A108" s="79" t="s">
        <v>201</v>
      </c>
      <c r="B108" s="79" t="s">
        <v>122</v>
      </c>
      <c r="C108" s="79" t="s">
        <v>6</v>
      </c>
      <c r="D108" s="82" t="s">
        <v>224</v>
      </c>
      <c r="E108" s="79" t="s">
        <v>6</v>
      </c>
      <c r="F108" s="82" t="s">
        <v>224</v>
      </c>
    </row>
    <row r="109" spans="1:6" ht="12.75" hidden="1">
      <c r="A109" s="79">
        <v>1</v>
      </c>
      <c r="B109" s="79">
        <v>21</v>
      </c>
      <c r="C109" s="80">
        <v>2</v>
      </c>
      <c r="D109" s="81" t="s">
        <v>41</v>
      </c>
      <c r="E109" s="80">
        <v>2</v>
      </c>
      <c r="F109" s="81" t="s">
        <v>40</v>
      </c>
    </row>
    <row r="110" spans="1:6" ht="51" hidden="1">
      <c r="A110" s="79" t="s">
        <v>201</v>
      </c>
      <c r="B110" s="79" t="s">
        <v>122</v>
      </c>
      <c r="C110" s="79" t="s">
        <v>6</v>
      </c>
      <c r="D110" s="82" t="s">
        <v>225</v>
      </c>
      <c r="E110" s="79" t="s">
        <v>6</v>
      </c>
      <c r="F110" s="82" t="s">
        <v>225</v>
      </c>
    </row>
    <row r="111" spans="1:6" ht="12.75" hidden="1">
      <c r="A111" s="79">
        <v>1</v>
      </c>
      <c r="B111" s="79">
        <v>30</v>
      </c>
      <c r="C111" s="80">
        <v>2</v>
      </c>
      <c r="D111" s="81" t="s">
        <v>42</v>
      </c>
      <c r="E111" s="80">
        <v>2</v>
      </c>
      <c r="F111" s="81" t="s">
        <v>40</v>
      </c>
    </row>
    <row r="112" spans="1:6" ht="51" hidden="1">
      <c r="A112" s="79" t="s">
        <v>201</v>
      </c>
      <c r="B112" s="79" t="s">
        <v>122</v>
      </c>
      <c r="C112" s="79" t="s">
        <v>6</v>
      </c>
      <c r="D112" s="82" t="s">
        <v>226</v>
      </c>
      <c r="E112" s="79" t="s">
        <v>6</v>
      </c>
      <c r="F112" s="82" t="s">
        <v>226</v>
      </c>
    </row>
    <row r="113" spans="1:6" ht="12.75" hidden="1">
      <c r="A113" s="79">
        <v>1</v>
      </c>
      <c r="B113" s="79">
        <v>39</v>
      </c>
      <c r="C113" s="80">
        <v>2</v>
      </c>
      <c r="D113" s="81" t="s">
        <v>42</v>
      </c>
      <c r="E113" s="80">
        <v>2</v>
      </c>
      <c r="F113" s="81" t="s">
        <v>40</v>
      </c>
    </row>
    <row r="114" spans="1:6" ht="51" hidden="1">
      <c r="A114" s="79" t="s">
        <v>201</v>
      </c>
      <c r="B114" s="79" t="s">
        <v>122</v>
      </c>
      <c r="C114" s="79" t="s">
        <v>6</v>
      </c>
      <c r="D114" s="82" t="s">
        <v>227</v>
      </c>
      <c r="E114" s="79" t="s">
        <v>6</v>
      </c>
      <c r="F114" s="82" t="s">
        <v>227</v>
      </c>
    </row>
    <row r="115" spans="1:6" ht="12.75" hidden="1">
      <c r="A115" s="79">
        <v>1</v>
      </c>
      <c r="B115" s="79">
        <v>48</v>
      </c>
      <c r="C115" s="80">
        <v>2</v>
      </c>
      <c r="D115" s="81" t="s">
        <v>42</v>
      </c>
      <c r="E115" s="80">
        <v>2</v>
      </c>
      <c r="F115" s="81" t="s">
        <v>40</v>
      </c>
    </row>
    <row r="116" spans="1:6" ht="51" hidden="1">
      <c r="A116" s="79" t="s">
        <v>201</v>
      </c>
      <c r="B116" s="79" t="s">
        <v>122</v>
      </c>
      <c r="C116" s="79" t="s">
        <v>6</v>
      </c>
      <c r="D116" s="82" t="s">
        <v>228</v>
      </c>
      <c r="E116" s="79" t="s">
        <v>6</v>
      </c>
      <c r="F116" s="82" t="s">
        <v>228</v>
      </c>
    </row>
    <row r="117" spans="1:6" ht="12.75" hidden="1">
      <c r="A117" s="79">
        <v>1</v>
      </c>
      <c r="B117" s="79">
        <v>57</v>
      </c>
      <c r="C117" s="80">
        <v>2</v>
      </c>
      <c r="D117" s="81" t="s">
        <v>42</v>
      </c>
      <c r="E117" s="80">
        <v>2</v>
      </c>
      <c r="F117" s="81" t="s">
        <v>40</v>
      </c>
    </row>
    <row r="118" spans="1:6" ht="51" hidden="1">
      <c r="A118" s="79" t="s">
        <v>201</v>
      </c>
      <c r="B118" s="79" t="s">
        <v>122</v>
      </c>
      <c r="C118" s="79" t="s">
        <v>6</v>
      </c>
      <c r="D118" s="82" t="s">
        <v>229</v>
      </c>
      <c r="E118" s="79" t="s">
        <v>6</v>
      </c>
      <c r="F118" s="82" t="s">
        <v>229</v>
      </c>
    </row>
    <row r="119" spans="1:6" ht="12.75" hidden="1">
      <c r="A119" s="79">
        <v>1</v>
      </c>
      <c r="B119" s="79">
        <v>66</v>
      </c>
      <c r="C119" s="80">
        <v>2</v>
      </c>
      <c r="D119" s="81" t="s">
        <v>42</v>
      </c>
      <c r="E119" s="80">
        <v>2</v>
      </c>
      <c r="F119" s="81" t="s">
        <v>40</v>
      </c>
    </row>
    <row r="120" spans="1:6" ht="51" hidden="1">
      <c r="A120" s="79" t="s">
        <v>201</v>
      </c>
      <c r="B120" s="79" t="s">
        <v>122</v>
      </c>
      <c r="C120" s="79" t="s">
        <v>6</v>
      </c>
      <c r="D120" s="82" t="s">
        <v>230</v>
      </c>
      <c r="E120" s="79" t="s">
        <v>6</v>
      </c>
      <c r="F120" s="82" t="s">
        <v>230</v>
      </c>
    </row>
    <row r="121" spans="1:6" ht="12.75" hidden="1">
      <c r="A121" s="79">
        <v>1</v>
      </c>
      <c r="B121" s="79">
        <v>75</v>
      </c>
      <c r="C121" s="80">
        <v>2</v>
      </c>
      <c r="D121" s="81" t="s">
        <v>42</v>
      </c>
      <c r="E121" s="80">
        <v>2</v>
      </c>
      <c r="F121" s="81" t="s">
        <v>40</v>
      </c>
    </row>
    <row r="122" spans="1:6" ht="51" hidden="1">
      <c r="A122" s="79" t="s">
        <v>201</v>
      </c>
      <c r="B122" s="79" t="s">
        <v>122</v>
      </c>
      <c r="C122" s="79" t="s">
        <v>6</v>
      </c>
      <c r="D122" s="82" t="s">
        <v>231</v>
      </c>
      <c r="E122" s="79" t="s">
        <v>6</v>
      </c>
      <c r="F122" s="82" t="s">
        <v>231</v>
      </c>
    </row>
    <row r="123" spans="1:6" ht="12.75" hidden="1">
      <c r="A123" s="79">
        <v>1</v>
      </c>
      <c r="B123" s="79">
        <v>84</v>
      </c>
      <c r="C123" s="80">
        <v>2</v>
      </c>
      <c r="D123" s="81" t="s">
        <v>42</v>
      </c>
      <c r="E123" s="80">
        <v>2</v>
      </c>
      <c r="F123" s="81" t="s">
        <v>40</v>
      </c>
    </row>
    <row r="124" spans="1:6" ht="51" hidden="1">
      <c r="A124" s="79" t="s">
        <v>201</v>
      </c>
      <c r="B124" s="79" t="s">
        <v>122</v>
      </c>
      <c r="C124" s="79" t="s">
        <v>6</v>
      </c>
      <c r="D124" s="82" t="s">
        <v>232</v>
      </c>
      <c r="E124" s="79" t="s">
        <v>6</v>
      </c>
      <c r="F124" s="82" t="s">
        <v>232</v>
      </c>
    </row>
    <row r="125" spans="1:6" ht="12.75" hidden="1">
      <c r="A125" s="79">
        <v>1</v>
      </c>
      <c r="B125" s="79">
        <v>93</v>
      </c>
      <c r="C125" s="80">
        <v>2</v>
      </c>
      <c r="D125" s="81" t="s">
        <v>42</v>
      </c>
      <c r="E125" s="80">
        <v>2</v>
      </c>
      <c r="F125" s="81" t="s">
        <v>40</v>
      </c>
    </row>
    <row r="126" spans="1:6" ht="51" hidden="1">
      <c r="A126" s="79" t="s">
        <v>201</v>
      </c>
      <c r="B126" s="79" t="s">
        <v>122</v>
      </c>
      <c r="C126" s="79" t="s">
        <v>6</v>
      </c>
      <c r="D126" s="82" t="s">
        <v>233</v>
      </c>
      <c r="E126" s="79" t="s">
        <v>6</v>
      </c>
      <c r="F126" s="82" t="s">
        <v>233</v>
      </c>
    </row>
    <row r="127" spans="1:3" ht="12.75" hidden="1">
      <c r="A127" s="79">
        <v>1</v>
      </c>
      <c r="B127" s="79">
        <v>102</v>
      </c>
      <c r="C127" s="77"/>
    </row>
    <row r="128" spans="1:3" ht="12.75" hidden="1">
      <c r="A128" s="79" t="s">
        <v>201</v>
      </c>
      <c r="B128" s="79" t="s">
        <v>122</v>
      </c>
      <c r="C128" s="77"/>
    </row>
    <row r="129" ht="12.75" hidden="1"/>
    <row r="130" spans="2:85" ht="12.75" hidden="1">
      <c r="B130" s="230" t="s">
        <v>411</v>
      </c>
      <c r="C130" s="230"/>
      <c r="D130" s="231">
        <f>SUM(S130:BL130)</f>
        <v>116</v>
      </c>
      <c r="S130" s="78">
        <v>30</v>
      </c>
      <c r="AE130" s="78">
        <v>39</v>
      </c>
      <c r="AQ130" s="78">
        <v>30</v>
      </c>
      <c r="AZ130" s="232"/>
      <c r="BC130" s="78">
        <v>17</v>
      </c>
      <c r="BV130" s="40"/>
      <c r="BW130" s="40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</row>
    <row r="131" spans="19:85" ht="12.75" hidden="1">
      <c r="S131" s="91"/>
      <c r="AE131" s="91"/>
      <c r="AQ131" s="91"/>
      <c r="AZ131" s="232"/>
      <c r="BC131" s="91"/>
      <c r="BV131" s="40"/>
      <c r="BW131" s="40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</row>
    <row r="132" spans="19:85" ht="12.75" hidden="1">
      <c r="S132" s="91"/>
      <c r="AE132" s="91"/>
      <c r="AQ132" s="91"/>
      <c r="AZ132" s="232"/>
      <c r="BC132" s="91"/>
      <c r="BV132" s="40"/>
      <c r="BW132" s="40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</row>
    <row r="133" spans="19:85" ht="12.75" hidden="1">
      <c r="S133" s="91"/>
      <c r="AE133" s="91"/>
      <c r="AQ133" s="91"/>
      <c r="AZ133" s="232"/>
      <c r="BC133" s="91"/>
      <c r="BV133" s="40"/>
      <c r="BW133" s="40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</row>
    <row r="134" spans="2:85" ht="15.75" hidden="1">
      <c r="B134" s="233" t="s">
        <v>412</v>
      </c>
      <c r="S134" s="91"/>
      <c r="AE134" s="91"/>
      <c r="AQ134" s="91"/>
      <c r="AT134" s="228"/>
      <c r="AZ134" s="234"/>
      <c r="BC134" s="91"/>
      <c r="BD134" s="228"/>
      <c r="BV134" s="40"/>
      <c r="BW134" s="40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</row>
    <row r="135" spans="2:85" ht="15.75" hidden="1">
      <c r="B135" s="233" t="s">
        <v>413</v>
      </c>
      <c r="S135" s="91"/>
      <c r="AE135" s="91"/>
      <c r="AQ135" s="91"/>
      <c r="AT135" s="228"/>
      <c r="AZ135" s="234"/>
      <c r="BC135" s="91"/>
      <c r="BD135" s="228"/>
      <c r="BV135" s="40"/>
      <c r="BW135" s="40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</row>
    <row r="136" spans="2:85" ht="25.5" hidden="1">
      <c r="B136" s="233" t="s">
        <v>410</v>
      </c>
      <c r="S136" s="91"/>
      <c r="AE136" s="91"/>
      <c r="AQ136" s="91"/>
      <c r="AT136" s="228"/>
      <c r="AZ136" s="235"/>
      <c r="BC136" s="91"/>
      <c r="BD136" s="228"/>
      <c r="BV136" s="40"/>
      <c r="BW136" s="40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</row>
    <row r="137" spans="19:85" ht="15.75" hidden="1">
      <c r="S137" s="91"/>
      <c r="AT137" s="228"/>
      <c r="AZ137" s="228"/>
      <c r="BD137" s="228"/>
      <c r="BV137" s="40"/>
      <c r="BW137" s="40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</row>
    <row r="138" spans="46:85" ht="15.75" hidden="1">
      <c r="AT138" s="228"/>
      <c r="AZ138" s="228"/>
      <c r="BD138" s="228"/>
      <c r="BV138" s="40"/>
      <c r="BW138" s="40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</row>
    <row r="139" spans="74:85" ht="12.75" hidden="1">
      <c r="BV139" s="40"/>
      <c r="BW139" s="40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</row>
    <row r="140" spans="74:85" ht="12.75" hidden="1">
      <c r="BV140" s="40"/>
      <c r="BW140" s="40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</row>
    <row r="141" spans="2:85" ht="12.75" hidden="1">
      <c r="B141" s="230" t="s">
        <v>408</v>
      </c>
      <c r="C141" s="230"/>
      <c r="D141" s="236">
        <f>SUM(R134:BL134)</f>
        <v>0</v>
      </c>
      <c r="BV141" s="40"/>
      <c r="BW141" s="40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</row>
    <row r="142" spans="2:85" ht="12.75" hidden="1">
      <c r="B142" s="230" t="s">
        <v>409</v>
      </c>
      <c r="C142" s="230"/>
      <c r="D142" s="236">
        <f>D141/720</f>
        <v>0</v>
      </c>
      <c r="E142" s="91">
        <f>SUM(R135:CG135,BM135)</f>
        <v>0</v>
      </c>
      <c r="BV142" s="40"/>
      <c r="BW142" s="40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</row>
    <row r="143" spans="2:85" ht="12.75" hidden="1">
      <c r="B143" s="230"/>
      <c r="C143" s="230"/>
      <c r="D143" s="237"/>
      <c r="BV143" s="40"/>
      <c r="BW143" s="40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</row>
    <row r="144" spans="2:85" ht="25.5" hidden="1">
      <c r="B144" s="230" t="s">
        <v>410</v>
      </c>
      <c r="C144" s="230"/>
      <c r="D144" s="238" t="e">
        <f>D130/D142</f>
        <v>#DIV/0!</v>
      </c>
      <c r="E144" s="91" t="e">
        <f>D130/E142</f>
        <v>#DIV/0!</v>
      </c>
      <c r="BV144" s="40"/>
      <c r="BW144" s="40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</row>
  </sheetData>
  <sheetProtection selectLockedCells="1" sort="0" autoFilter="0" pivotTables="0" selectUnlockedCells="1"/>
  <autoFilter ref="A10:CG103"/>
  <mergeCells count="240">
    <mergeCell ref="A106:B106"/>
    <mergeCell ref="C106:D106"/>
    <mergeCell ref="X102:AC102"/>
    <mergeCell ref="K102:Q102"/>
    <mergeCell ref="AD103:AI103"/>
    <mergeCell ref="E106:F106"/>
    <mergeCell ref="AD102:AI102"/>
    <mergeCell ref="R103:W103"/>
    <mergeCell ref="R102:W102"/>
    <mergeCell ref="K103:Q103"/>
    <mergeCell ref="B102:J102"/>
    <mergeCell ref="B103:J103"/>
    <mergeCell ref="AR101:AS101"/>
    <mergeCell ref="X103:AC103"/>
    <mergeCell ref="AJ101:AK101"/>
    <mergeCell ref="AL101:AM101"/>
    <mergeCell ref="R101:S101"/>
    <mergeCell ref="T101:U101"/>
    <mergeCell ref="AF101:AG101"/>
    <mergeCell ref="AH101:AI101"/>
    <mergeCell ref="AJ5:AK5"/>
    <mergeCell ref="AD97:AI97"/>
    <mergeCell ref="AF100:AG100"/>
    <mergeCell ref="AD7:AE7"/>
    <mergeCell ref="AN101:AO101"/>
    <mergeCell ref="AD98:AI98"/>
    <mergeCell ref="AJ97:AO97"/>
    <mergeCell ref="AD8:AF8"/>
    <mergeCell ref="AD5:AE5"/>
    <mergeCell ref="R100:S100"/>
    <mergeCell ref="T100:U100"/>
    <mergeCell ref="X98:AC98"/>
    <mergeCell ref="AN100:AO100"/>
    <mergeCell ref="AL100:AM100"/>
    <mergeCell ref="AB101:AC101"/>
    <mergeCell ref="X101:Y101"/>
    <mergeCell ref="AJ100:AK100"/>
    <mergeCell ref="R99:W99"/>
    <mergeCell ref="Z100:AA100"/>
    <mergeCell ref="AX101:AY101"/>
    <mergeCell ref="V101:W101"/>
    <mergeCell ref="AD96:AI96"/>
    <mergeCell ref="X97:AC97"/>
    <mergeCell ref="Z101:AA101"/>
    <mergeCell ref="AD101:AE101"/>
    <mergeCell ref="X96:AC96"/>
    <mergeCell ref="AJ96:AO96"/>
    <mergeCell ref="V100:W100"/>
    <mergeCell ref="X100:Y100"/>
    <mergeCell ref="AJ102:AO102"/>
    <mergeCell ref="AP103:AU103"/>
    <mergeCell ref="AV102:BA102"/>
    <mergeCell ref="AP102:AU102"/>
    <mergeCell ref="AV103:BA103"/>
    <mergeCell ref="AJ103:AO103"/>
    <mergeCell ref="AP5:AQ5"/>
    <mergeCell ref="AV5:AW5"/>
    <mergeCell ref="AV6:AW6"/>
    <mergeCell ref="AJ6:AK6"/>
    <mergeCell ref="BB5:BC5"/>
    <mergeCell ref="B79:C79"/>
    <mergeCell ref="AD6:AE6"/>
    <mergeCell ref="D5:D9"/>
    <mergeCell ref="I3:J8"/>
    <mergeCell ref="K3:Q3"/>
    <mergeCell ref="BH5:BI5"/>
    <mergeCell ref="A1:CG1"/>
    <mergeCell ref="CF3:CF9"/>
    <mergeCell ref="A3:A9"/>
    <mergeCell ref="BT6:BU6"/>
    <mergeCell ref="AD4:AO4"/>
    <mergeCell ref="AP4:BA4"/>
    <mergeCell ref="D3:H4"/>
    <mergeCell ref="N6:N9"/>
    <mergeCell ref="BB4:BM4"/>
    <mergeCell ref="BO96:BV96"/>
    <mergeCell ref="BN4:CE4"/>
    <mergeCell ref="CG3:CG9"/>
    <mergeCell ref="CC6:CD6"/>
    <mergeCell ref="BX6:BZ6"/>
    <mergeCell ref="BB6:BC6"/>
    <mergeCell ref="BH6:BI6"/>
    <mergeCell ref="BY7:BZ7"/>
    <mergeCell ref="S3:CE3"/>
    <mergeCell ref="R4:AC4"/>
    <mergeCell ref="BX5:BZ5"/>
    <mergeCell ref="BX98:CE98"/>
    <mergeCell ref="BY8:CC8"/>
    <mergeCell ref="CC5:CD5"/>
    <mergeCell ref="BX96:CE96"/>
    <mergeCell ref="BO5:BQ5"/>
    <mergeCell ref="BT5:BU5"/>
    <mergeCell ref="BP8:BR8"/>
    <mergeCell ref="BO6:BQ6"/>
    <mergeCell ref="BP7:BQ7"/>
    <mergeCell ref="BX97:CE97"/>
    <mergeCell ref="BX99:CE99"/>
    <mergeCell ref="BX100:BZ100"/>
    <mergeCell ref="CA100:CB100"/>
    <mergeCell ref="BO99:BV99"/>
    <mergeCell ref="BO98:BV98"/>
    <mergeCell ref="CC100:CE100"/>
    <mergeCell ref="BO97:BV97"/>
    <mergeCell ref="AP6:AQ6"/>
    <mergeCell ref="BH99:BM99"/>
    <mergeCell ref="BH97:BM97"/>
    <mergeCell ref="BH98:BM98"/>
    <mergeCell ref="BB96:BG96"/>
    <mergeCell ref="BH96:BM96"/>
    <mergeCell ref="AV97:BA97"/>
    <mergeCell ref="AV96:BA96"/>
    <mergeCell ref="BB98:BG98"/>
    <mergeCell ref="AP99:AU99"/>
    <mergeCell ref="L5:L9"/>
    <mergeCell ref="P6:P9"/>
    <mergeCell ref="X5:Y5"/>
    <mergeCell ref="M5:P5"/>
    <mergeCell ref="R5:S5"/>
    <mergeCell ref="X6:Y6"/>
    <mergeCell ref="M6:M9"/>
    <mergeCell ref="R6:S6"/>
    <mergeCell ref="L4:Q4"/>
    <mergeCell ref="O6:O9"/>
    <mergeCell ref="B11:H11"/>
    <mergeCell ref="AP96:AU96"/>
    <mergeCell ref="B81:C81"/>
    <mergeCell ref="B94:H94"/>
    <mergeCell ref="B28:H28"/>
    <mergeCell ref="A89:C89"/>
    <mergeCell ref="K4:K9"/>
    <mergeCell ref="T6:V6"/>
    <mergeCell ref="B98:J98"/>
    <mergeCell ref="K98:Q98"/>
    <mergeCell ref="B97:J97"/>
    <mergeCell ref="B96:J96"/>
    <mergeCell ref="K96:Q96"/>
    <mergeCell ref="R96:W96"/>
    <mergeCell ref="K99:Q99"/>
    <mergeCell ref="R97:W97"/>
    <mergeCell ref="R98:W98"/>
    <mergeCell ref="K97:Q97"/>
    <mergeCell ref="A90:C90"/>
    <mergeCell ref="B92:H92"/>
    <mergeCell ref="B99:J99"/>
    <mergeCell ref="B95:H95"/>
    <mergeCell ref="B91:H91"/>
    <mergeCell ref="B93:H93"/>
    <mergeCell ref="B100:J100"/>
    <mergeCell ref="K101:L101"/>
    <mergeCell ref="P101:Q101"/>
    <mergeCell ref="M101:O101"/>
    <mergeCell ref="M100:O100"/>
    <mergeCell ref="B101:J101"/>
    <mergeCell ref="P100:Q100"/>
    <mergeCell ref="K100:L100"/>
    <mergeCell ref="BX103:CE103"/>
    <mergeCell ref="BH103:BM103"/>
    <mergeCell ref="BO102:BV102"/>
    <mergeCell ref="BH102:BM102"/>
    <mergeCell ref="BR100:BS100"/>
    <mergeCell ref="BO100:BQ100"/>
    <mergeCell ref="BT100:BV100"/>
    <mergeCell ref="BH101:BI101"/>
    <mergeCell ref="BH100:BI100"/>
    <mergeCell ref="CC101:CE101"/>
    <mergeCell ref="BO103:BV103"/>
    <mergeCell ref="BB103:BG103"/>
    <mergeCell ref="BO101:BQ101"/>
    <mergeCell ref="BJ101:BK101"/>
    <mergeCell ref="BL101:BM101"/>
    <mergeCell ref="BT101:BV101"/>
    <mergeCell ref="BF101:BG101"/>
    <mergeCell ref="BB101:BC101"/>
    <mergeCell ref="BD101:BE101"/>
    <mergeCell ref="BX102:CE102"/>
    <mergeCell ref="BB100:BC100"/>
    <mergeCell ref="BD100:BE100"/>
    <mergeCell ref="BX101:BZ101"/>
    <mergeCell ref="CA101:CB101"/>
    <mergeCell ref="BR101:BS101"/>
    <mergeCell ref="BB102:BG102"/>
    <mergeCell ref="BL100:BM100"/>
    <mergeCell ref="BJ100:BK100"/>
    <mergeCell ref="BF100:BG100"/>
    <mergeCell ref="AZ101:BA101"/>
    <mergeCell ref="AV101:AW101"/>
    <mergeCell ref="AT101:AU101"/>
    <mergeCell ref="AT100:AU100"/>
    <mergeCell ref="AP100:AQ100"/>
    <mergeCell ref="AV100:AW100"/>
    <mergeCell ref="AZ100:BA100"/>
    <mergeCell ref="AR100:AS100"/>
    <mergeCell ref="AX100:AY100"/>
    <mergeCell ref="AP101:AQ101"/>
    <mergeCell ref="AB100:AC100"/>
    <mergeCell ref="AD99:AI99"/>
    <mergeCell ref="X99:AC99"/>
    <mergeCell ref="AD100:AE100"/>
    <mergeCell ref="AH100:AI100"/>
    <mergeCell ref="AJ99:AO99"/>
    <mergeCell ref="AP97:AU97"/>
    <mergeCell ref="AJ98:AO98"/>
    <mergeCell ref="AV98:BA98"/>
    <mergeCell ref="BB97:BG97"/>
    <mergeCell ref="AP98:AU98"/>
    <mergeCell ref="BH7:BI7"/>
    <mergeCell ref="BH8:BJ8"/>
    <mergeCell ref="BB7:BC7"/>
    <mergeCell ref="BB8:BD8"/>
    <mergeCell ref="AJ8:AL8"/>
    <mergeCell ref="AV99:BA99"/>
    <mergeCell ref="BB99:BG99"/>
    <mergeCell ref="AV7:AW7"/>
    <mergeCell ref="AV8:AX8"/>
    <mergeCell ref="B34:H34"/>
    <mergeCell ref="B37:H37"/>
    <mergeCell ref="B47:H47"/>
    <mergeCell ref="AP7:AQ7"/>
    <mergeCell ref="AP8:AR8"/>
    <mergeCell ref="AJ7:AK7"/>
    <mergeCell ref="B84:H84"/>
    <mergeCell ref="R7:S7"/>
    <mergeCell ref="R8:T8"/>
    <mergeCell ref="B12:H12"/>
    <mergeCell ref="B60:H60"/>
    <mergeCell ref="B65:H65"/>
    <mergeCell ref="B38:H38"/>
    <mergeCell ref="B3:B9"/>
    <mergeCell ref="E5:E9"/>
    <mergeCell ref="H5:H9"/>
    <mergeCell ref="B68:H68"/>
    <mergeCell ref="B29:H29"/>
    <mergeCell ref="X7:Y7"/>
    <mergeCell ref="X8:Z8"/>
    <mergeCell ref="B48:H48"/>
    <mergeCell ref="B56:H56"/>
    <mergeCell ref="G5:G9"/>
    <mergeCell ref="B24:H24"/>
    <mergeCell ref="C3:C9"/>
    <mergeCell ref="Q5:Q9"/>
  </mergeCells>
  <conditionalFormatting sqref="CF30:CF33 CF35:CF36 CF39:CF46 CF49:CF55 CF57:CF59 CF61:CF64 CF80 CF82:CF83 CF13:CF18 CF69:CF78 CF66:CF67 CF85:CF86 CF20:CF23 CF25:CF27">
    <cfRule type="expression" priority="560" dxfId="1" stopIfTrue="1">
      <formula>AND(K13&gt;0,CF13=0)</formula>
    </cfRule>
    <cfRule type="expression" priority="561" dxfId="1" stopIfTrue="1">
      <formula>AND(K13=0,CF13&lt;&gt;0)</formula>
    </cfRule>
  </conditionalFormatting>
  <conditionalFormatting sqref="CF69:CF70">
    <cfRule type="expression" priority="557" dxfId="1" stopIfTrue="1">
      <formula>AND(K69&gt;0,CF69=0)</formula>
    </cfRule>
    <cfRule type="expression" priority="558" dxfId="1" stopIfTrue="1">
      <formula>AND(K69=0,CF69&lt;&gt;0)</formula>
    </cfRule>
  </conditionalFormatting>
  <conditionalFormatting sqref="CF13:CF23 CF25:CF27">
    <cfRule type="expression" priority="555" dxfId="1" stopIfTrue="1">
      <formula>AND(M13&gt;0,CF13=0)</formula>
    </cfRule>
    <cfRule type="expression" priority="556" dxfId="1" stopIfTrue="1">
      <formula>AND(M13=0,CF13&lt;&gt;0)</formula>
    </cfRule>
  </conditionalFormatting>
  <conditionalFormatting sqref="CF13:CF19">
    <cfRule type="expression" priority="725" dxfId="1" stopIfTrue="1">
      <formula>AND(M13&gt;0,CF13=0)</formula>
    </cfRule>
    <cfRule type="expression" priority="726" dxfId="1" stopIfTrue="1">
      <formula>AND(M13=0,CF13&lt;&gt;0)</formula>
    </cfRule>
  </conditionalFormatting>
  <conditionalFormatting sqref="CF13:CF19">
    <cfRule type="expression" priority="719" dxfId="1" stopIfTrue="1">
      <formula>AND(M13&gt;0,CF13=0)</formula>
    </cfRule>
    <cfRule type="expression" priority="720" dxfId="1" stopIfTrue="1">
      <formula>AND(M13=0,CF13&lt;&gt;0)</formula>
    </cfRule>
  </conditionalFormatting>
  <conditionalFormatting sqref="CF13:CF19">
    <cfRule type="expression" priority="717" dxfId="1" stopIfTrue="1">
      <formula>AND(M13&gt;0,CF13=0)</formula>
    </cfRule>
    <cfRule type="expression" priority="718" dxfId="1" stopIfTrue="1">
      <formula>AND(M13=0,CF13&lt;&gt;0)</formula>
    </cfRule>
  </conditionalFormatting>
  <conditionalFormatting sqref="CF14:CF19">
    <cfRule type="expression" priority="715" dxfId="1" stopIfTrue="1">
      <formula>AND(M14&gt;0,CF14=0)</formula>
    </cfRule>
    <cfRule type="expression" priority="716" dxfId="1" stopIfTrue="1">
      <formula>AND(M14=0,CF14&lt;&gt;0)</formula>
    </cfRule>
  </conditionalFormatting>
  <conditionalFormatting sqref="CF14:CF19">
    <cfRule type="expression" priority="713" dxfId="1" stopIfTrue="1">
      <formula>AND(M14&gt;0,CF14=0)</formula>
    </cfRule>
    <cfRule type="expression" priority="714" dxfId="1" stopIfTrue="1">
      <formula>AND(M14=0,CF14&lt;&gt;0)</formula>
    </cfRule>
  </conditionalFormatting>
  <conditionalFormatting sqref="CF15:CF19">
    <cfRule type="expression" priority="711" dxfId="1" stopIfTrue="1">
      <formula>AND(M15&gt;0,CF15=0)</formula>
    </cfRule>
    <cfRule type="expression" priority="712" dxfId="1" stopIfTrue="1">
      <formula>AND(M15=0,CF15&lt;&gt;0)</formula>
    </cfRule>
  </conditionalFormatting>
  <conditionalFormatting sqref="CF15:CF19">
    <cfRule type="expression" priority="709" dxfId="1" stopIfTrue="1">
      <formula>AND(M15&gt;0,CF15=0)</formula>
    </cfRule>
    <cfRule type="expression" priority="710" dxfId="1" stopIfTrue="1">
      <formula>AND(M15=0,CF15&lt;&gt;0)</formula>
    </cfRule>
  </conditionalFormatting>
  <conditionalFormatting sqref="CF15">
    <cfRule type="expression" priority="677" dxfId="1" stopIfTrue="1">
      <formula>AND(M15&gt;0,CF15=0)</formula>
    </cfRule>
    <cfRule type="expression" priority="678" dxfId="1" stopIfTrue="1">
      <formula>AND(M15=0,CF15&lt;&gt;0)</formula>
    </cfRule>
  </conditionalFormatting>
  <conditionalFormatting sqref="CF13:CF18">
    <cfRule type="expression" priority="675" dxfId="1" stopIfTrue="1">
      <formula>AND(M13&gt;0,CF13=0)</formula>
    </cfRule>
    <cfRule type="expression" priority="676" dxfId="1" stopIfTrue="1">
      <formula>AND(M13=0,CF13&lt;&gt;0)</formula>
    </cfRule>
  </conditionalFormatting>
  <conditionalFormatting sqref="CF15">
    <cfRule type="expression" priority="673" dxfId="1" stopIfTrue="1">
      <formula>AND(M15&gt;0,CF15=0)</formula>
    </cfRule>
    <cfRule type="expression" priority="674" dxfId="1" stopIfTrue="1">
      <formula>AND(M15=0,CF15&lt;&gt;0)</formula>
    </cfRule>
  </conditionalFormatting>
  <conditionalFormatting sqref="CF15">
    <cfRule type="expression" priority="671" dxfId="1" stopIfTrue="1">
      <formula>AND(M15&gt;0,CF15=0)</formula>
    </cfRule>
    <cfRule type="expression" priority="672" dxfId="1" stopIfTrue="1">
      <formula>AND(M15=0,CF15&lt;&gt;0)</formula>
    </cfRule>
  </conditionalFormatting>
  <conditionalFormatting sqref="CF15">
    <cfRule type="expression" priority="669" dxfId="1" stopIfTrue="1">
      <formula>AND(M15&gt;0,CF15=0)</formula>
    </cfRule>
    <cfRule type="expression" priority="670" dxfId="1" stopIfTrue="1">
      <formula>AND(M15=0,CF15&lt;&gt;0)</formula>
    </cfRule>
  </conditionalFormatting>
  <conditionalFormatting sqref="CF15">
    <cfRule type="expression" priority="667" dxfId="1" stopIfTrue="1">
      <formula>AND(M15&gt;0,CF15=0)</formula>
    </cfRule>
    <cfRule type="expression" priority="668" dxfId="1" stopIfTrue="1">
      <formula>AND(M15=0,CF15&lt;&gt;0)</formula>
    </cfRule>
  </conditionalFormatting>
  <conditionalFormatting sqref="CF15">
    <cfRule type="expression" priority="665" dxfId="1" stopIfTrue="1">
      <formula>AND(M15&gt;0,CF15=0)</formula>
    </cfRule>
    <cfRule type="expression" priority="666" dxfId="1" stopIfTrue="1">
      <formula>AND(M15=0,CF15&lt;&gt;0)</formula>
    </cfRule>
  </conditionalFormatting>
  <conditionalFormatting sqref="CF21">
    <cfRule type="expression" priority="647" dxfId="1" stopIfTrue="1">
      <formula>AND(M21&gt;0,CF21=0)</formula>
    </cfRule>
    <cfRule type="expression" priority="648" dxfId="1" stopIfTrue="1">
      <formula>AND(M21=0,CF21&lt;&gt;0)</formula>
    </cfRule>
  </conditionalFormatting>
  <conditionalFormatting sqref="CF21">
    <cfRule type="expression" priority="645" dxfId="1" stopIfTrue="1">
      <formula>AND(M21&gt;0,CF21=0)</formula>
    </cfRule>
    <cfRule type="expression" priority="646" dxfId="1" stopIfTrue="1">
      <formula>AND(M21=0,CF21&lt;&gt;0)</formula>
    </cfRule>
  </conditionalFormatting>
  <conditionalFormatting sqref="CF22">
    <cfRule type="expression" priority="643" dxfId="1" stopIfTrue="1">
      <formula>AND(M22&gt;0,CF22=0)</formula>
    </cfRule>
    <cfRule type="expression" priority="644" dxfId="1" stopIfTrue="1">
      <formula>AND(M22=0,CF22&lt;&gt;0)</formula>
    </cfRule>
  </conditionalFormatting>
  <conditionalFormatting sqref="CF22">
    <cfRule type="expression" priority="641" dxfId="1" stopIfTrue="1">
      <formula>AND(M22&gt;0,CF22=0)</formula>
    </cfRule>
    <cfRule type="expression" priority="642" dxfId="1" stopIfTrue="1">
      <formula>AND(M22=0,CF22&lt;&gt;0)</formula>
    </cfRule>
  </conditionalFormatting>
  <conditionalFormatting sqref="CF13:CF19">
    <cfRule type="expression" priority="639" dxfId="1" stopIfTrue="1">
      <formula>AND(M13&gt;0,CF13=0)</formula>
    </cfRule>
    <cfRule type="expression" priority="640" dxfId="1" stopIfTrue="1">
      <formula>AND(M13=0,CF13&lt;&gt;0)</formula>
    </cfRule>
  </conditionalFormatting>
  <conditionalFormatting sqref="CF13:CF19">
    <cfRule type="expression" priority="633" dxfId="1" stopIfTrue="1">
      <formula>AND(M13&gt;0,CF13=0)</formula>
    </cfRule>
    <cfRule type="expression" priority="634" dxfId="1" stopIfTrue="1">
      <formula>AND(M13=0,CF13&lt;&gt;0)</formula>
    </cfRule>
  </conditionalFormatting>
  <conditionalFormatting sqref="CF13:CF19">
    <cfRule type="expression" priority="631" dxfId="1" stopIfTrue="1">
      <formula>AND(M13&gt;0,CF13=0)</formula>
    </cfRule>
    <cfRule type="expression" priority="632" dxfId="1" stopIfTrue="1">
      <formula>AND(M13=0,CF13&lt;&gt;0)</formula>
    </cfRule>
  </conditionalFormatting>
  <conditionalFormatting sqref="CF14:CF19">
    <cfRule type="expression" priority="629" dxfId="1" stopIfTrue="1">
      <formula>AND(M14&gt;0,CF14=0)</formula>
    </cfRule>
    <cfRule type="expression" priority="630" dxfId="1" stopIfTrue="1">
      <formula>AND(M14=0,CF14&lt;&gt;0)</formula>
    </cfRule>
  </conditionalFormatting>
  <conditionalFormatting sqref="CF14:CF19">
    <cfRule type="expression" priority="627" dxfId="1" stopIfTrue="1">
      <formula>AND(M14&gt;0,CF14=0)</formula>
    </cfRule>
    <cfRule type="expression" priority="628" dxfId="1" stopIfTrue="1">
      <formula>AND(M14=0,CF14&lt;&gt;0)</formula>
    </cfRule>
  </conditionalFormatting>
  <conditionalFormatting sqref="CF15:CF19">
    <cfRule type="expression" priority="625" dxfId="1" stopIfTrue="1">
      <formula>AND(M15&gt;0,CF15=0)</formula>
    </cfRule>
    <cfRule type="expression" priority="626" dxfId="1" stopIfTrue="1">
      <formula>AND(M15=0,CF15&lt;&gt;0)</formula>
    </cfRule>
  </conditionalFormatting>
  <conditionalFormatting sqref="CF15:CF19">
    <cfRule type="expression" priority="623" dxfId="1" stopIfTrue="1">
      <formula>AND(M15&gt;0,CF15=0)</formula>
    </cfRule>
    <cfRule type="expression" priority="624" dxfId="1" stopIfTrue="1">
      <formula>AND(M15=0,CF15&lt;&gt;0)</formula>
    </cfRule>
  </conditionalFormatting>
  <conditionalFormatting sqref="CF15">
    <cfRule type="expression" priority="591" dxfId="1" stopIfTrue="1">
      <formula>AND(M15&gt;0,CF15=0)</formula>
    </cfRule>
    <cfRule type="expression" priority="592" dxfId="1" stopIfTrue="1">
      <formula>AND(M15=0,CF15&lt;&gt;0)</formula>
    </cfRule>
  </conditionalFormatting>
  <conditionalFormatting sqref="CF13:CF18">
    <cfRule type="expression" priority="589" dxfId="1" stopIfTrue="1">
      <formula>AND(M13&gt;0,CF13=0)</formula>
    </cfRule>
    <cfRule type="expression" priority="590" dxfId="1" stopIfTrue="1">
      <formula>AND(M13=0,CF13&lt;&gt;0)</formula>
    </cfRule>
  </conditionalFormatting>
  <conditionalFormatting sqref="CF15">
    <cfRule type="expression" priority="587" dxfId="1" stopIfTrue="1">
      <formula>AND(M15&gt;0,CF15=0)</formula>
    </cfRule>
    <cfRule type="expression" priority="588" dxfId="1" stopIfTrue="1">
      <formula>AND(M15=0,CF15&lt;&gt;0)</formula>
    </cfRule>
  </conditionalFormatting>
  <conditionalFormatting sqref="CF15">
    <cfRule type="expression" priority="585" dxfId="1" stopIfTrue="1">
      <formula>AND(M15&gt;0,CF15=0)</formula>
    </cfRule>
    <cfRule type="expression" priority="586" dxfId="1" stopIfTrue="1">
      <formula>AND(M15=0,CF15&lt;&gt;0)</formula>
    </cfRule>
  </conditionalFormatting>
  <conditionalFormatting sqref="CF15">
    <cfRule type="expression" priority="583" dxfId="1" stopIfTrue="1">
      <formula>AND(M15&gt;0,CF15=0)</formula>
    </cfRule>
    <cfRule type="expression" priority="584" dxfId="1" stopIfTrue="1">
      <formula>AND(M15=0,CF15&lt;&gt;0)</formula>
    </cfRule>
  </conditionalFormatting>
  <conditionalFormatting sqref="CF15">
    <cfRule type="expression" priority="581" dxfId="1" stopIfTrue="1">
      <formula>AND(M15&gt;0,CF15=0)</formula>
    </cfRule>
    <cfRule type="expression" priority="582" dxfId="1" stopIfTrue="1">
      <formula>AND(M15=0,CF15&lt;&gt;0)</formula>
    </cfRule>
  </conditionalFormatting>
  <conditionalFormatting sqref="CF15">
    <cfRule type="expression" priority="579" dxfId="1" stopIfTrue="1">
      <formula>AND(M15&gt;0,CF15=0)</formula>
    </cfRule>
    <cfRule type="expression" priority="580" dxfId="1" stopIfTrue="1">
      <formula>AND(M15=0,CF15&lt;&gt;0)</formula>
    </cfRule>
  </conditionalFormatting>
  <conditionalFormatting sqref="CF21">
    <cfRule type="expression" priority="561" dxfId="1" stopIfTrue="1">
      <formula>AND(M21&gt;0,CF21=0)</formula>
    </cfRule>
    <cfRule type="expression" priority="562" dxfId="1" stopIfTrue="1">
      <formula>AND(M21=0,CF21&lt;&gt;0)</formula>
    </cfRule>
  </conditionalFormatting>
  <conditionalFormatting sqref="CF21">
    <cfRule type="expression" priority="559" dxfId="1" stopIfTrue="1">
      <formula>AND(M21&gt;0,CF21=0)</formula>
    </cfRule>
    <cfRule type="expression" priority="560" dxfId="1" stopIfTrue="1">
      <formula>AND(M21=0,CF21&lt;&gt;0)</formula>
    </cfRule>
  </conditionalFormatting>
  <conditionalFormatting sqref="CF22">
    <cfRule type="expression" priority="557" dxfId="1" stopIfTrue="1">
      <formula>AND(M22&gt;0,CF22=0)</formula>
    </cfRule>
    <cfRule type="expression" priority="558" dxfId="1" stopIfTrue="1">
      <formula>AND(M22=0,CF22&lt;&gt;0)</formula>
    </cfRule>
  </conditionalFormatting>
  <conditionalFormatting sqref="CF13:CF19">
    <cfRule type="expression" priority="381" dxfId="1" stopIfTrue="1">
      <formula>AND(M13&gt;0,CF13=0)</formula>
    </cfRule>
    <cfRule type="expression" priority="382" dxfId="1" stopIfTrue="1">
      <formula>AND(M13=0,CF13&lt;&gt;0)</formula>
    </cfRule>
  </conditionalFormatting>
  <conditionalFormatting sqref="CF13:CF19">
    <cfRule type="expression" priority="375" dxfId="1" stopIfTrue="1">
      <formula>AND(M13&gt;0,CF13=0)</formula>
    </cfRule>
    <cfRule type="expression" priority="376" dxfId="1" stopIfTrue="1">
      <formula>AND(M13=0,CF13&lt;&gt;0)</formula>
    </cfRule>
  </conditionalFormatting>
  <conditionalFormatting sqref="CF13:CF19">
    <cfRule type="expression" priority="373" dxfId="1" stopIfTrue="1">
      <formula>AND(M13&gt;0,CF13=0)</formula>
    </cfRule>
    <cfRule type="expression" priority="374" dxfId="1" stopIfTrue="1">
      <formula>AND(M13=0,CF13&lt;&gt;0)</formula>
    </cfRule>
  </conditionalFormatting>
  <conditionalFormatting sqref="CF14:CF19">
    <cfRule type="expression" priority="371" dxfId="1" stopIfTrue="1">
      <formula>AND(M14&gt;0,CF14=0)</formula>
    </cfRule>
    <cfRule type="expression" priority="372" dxfId="1" stopIfTrue="1">
      <formula>AND(M14=0,CF14&lt;&gt;0)</formula>
    </cfRule>
  </conditionalFormatting>
  <conditionalFormatting sqref="CF14:CF19">
    <cfRule type="expression" priority="369" dxfId="1" stopIfTrue="1">
      <formula>AND(M14&gt;0,CF14=0)</formula>
    </cfRule>
    <cfRule type="expression" priority="370" dxfId="1" stopIfTrue="1">
      <formula>AND(M14=0,CF14&lt;&gt;0)</formula>
    </cfRule>
  </conditionalFormatting>
  <conditionalFormatting sqref="CF15:CF19">
    <cfRule type="expression" priority="367" dxfId="1" stopIfTrue="1">
      <formula>AND(M15&gt;0,CF15=0)</formula>
    </cfRule>
    <cfRule type="expression" priority="368" dxfId="1" stopIfTrue="1">
      <formula>AND(M15=0,CF15&lt;&gt;0)</formula>
    </cfRule>
  </conditionalFormatting>
  <conditionalFormatting sqref="CF15:CF19">
    <cfRule type="expression" priority="365" dxfId="1" stopIfTrue="1">
      <formula>AND(M15&gt;0,CF15=0)</formula>
    </cfRule>
    <cfRule type="expression" priority="366" dxfId="1" stopIfTrue="1">
      <formula>AND(M15=0,CF15&lt;&gt;0)</formula>
    </cfRule>
  </conditionalFormatting>
  <conditionalFormatting sqref="CF27">
    <cfRule type="expression" priority="341" dxfId="1" stopIfTrue="1">
      <formula>AND(M27&gt;0,CF27=0)</formula>
    </cfRule>
    <cfRule type="expression" priority="342" dxfId="1" stopIfTrue="1">
      <formula>AND(M27=0,CF27&lt;&gt;0)</formula>
    </cfRule>
  </conditionalFormatting>
  <conditionalFormatting sqref="CF27">
    <cfRule type="expression" priority="339" dxfId="1" stopIfTrue="1">
      <formula>AND(M27&gt;0,CF27=0)</formula>
    </cfRule>
    <cfRule type="expression" priority="340" dxfId="1" stopIfTrue="1">
      <formula>AND(M27=0,CF27&lt;&gt;0)</formula>
    </cfRule>
  </conditionalFormatting>
  <conditionalFormatting sqref="CF15">
    <cfRule type="expression" priority="333" dxfId="1" stopIfTrue="1">
      <formula>AND(M15&gt;0,CF15=0)</formula>
    </cfRule>
    <cfRule type="expression" priority="334" dxfId="1" stopIfTrue="1">
      <formula>AND(M15=0,CF15&lt;&gt;0)</formula>
    </cfRule>
  </conditionalFormatting>
  <conditionalFormatting sqref="CF13:CF18">
    <cfRule type="expression" priority="331" dxfId="1" stopIfTrue="1">
      <formula>AND(M13&gt;0,CF13=0)</formula>
    </cfRule>
    <cfRule type="expression" priority="332" dxfId="1" stopIfTrue="1">
      <formula>AND(M13=0,CF13&lt;&gt;0)</formula>
    </cfRule>
  </conditionalFormatting>
  <conditionalFormatting sqref="CF15">
    <cfRule type="expression" priority="329" dxfId="1" stopIfTrue="1">
      <formula>AND(M15&gt;0,CF15=0)</formula>
    </cfRule>
    <cfRule type="expression" priority="330" dxfId="1" stopIfTrue="1">
      <formula>AND(M15=0,CF15&lt;&gt;0)</formula>
    </cfRule>
  </conditionalFormatting>
  <conditionalFormatting sqref="CF15">
    <cfRule type="expression" priority="327" dxfId="1" stopIfTrue="1">
      <formula>AND(M15&gt;0,CF15=0)</formula>
    </cfRule>
    <cfRule type="expression" priority="328" dxfId="1" stopIfTrue="1">
      <formula>AND(M15=0,CF15&lt;&gt;0)</formula>
    </cfRule>
  </conditionalFormatting>
  <conditionalFormatting sqref="CF15">
    <cfRule type="expression" priority="325" dxfId="1" stopIfTrue="1">
      <formula>AND(M15&gt;0,CF15=0)</formula>
    </cfRule>
    <cfRule type="expression" priority="326" dxfId="1" stopIfTrue="1">
      <formula>AND(M15=0,CF15&lt;&gt;0)</formula>
    </cfRule>
  </conditionalFormatting>
  <conditionalFormatting sqref="CF15">
    <cfRule type="expression" priority="323" dxfId="1" stopIfTrue="1">
      <formula>AND(M15&gt;0,CF15=0)</formula>
    </cfRule>
    <cfRule type="expression" priority="324" dxfId="1" stopIfTrue="1">
      <formula>AND(M15=0,CF15&lt;&gt;0)</formula>
    </cfRule>
  </conditionalFormatting>
  <conditionalFormatting sqref="CF15">
    <cfRule type="expression" priority="321" dxfId="1" stopIfTrue="1">
      <formula>AND(M15&gt;0,CF15=0)</formula>
    </cfRule>
    <cfRule type="expression" priority="322" dxfId="1" stopIfTrue="1">
      <formula>AND(M15=0,CF15&lt;&gt;0)</formula>
    </cfRule>
  </conditionalFormatting>
  <conditionalFormatting sqref="CF21">
    <cfRule type="expression" priority="303" dxfId="1" stopIfTrue="1">
      <formula>AND(M21&gt;0,CF21=0)</formula>
    </cfRule>
    <cfRule type="expression" priority="304" dxfId="1" stopIfTrue="1">
      <formula>AND(M21=0,CF21&lt;&gt;0)</formula>
    </cfRule>
  </conditionalFormatting>
  <conditionalFormatting sqref="CF21">
    <cfRule type="expression" priority="301" dxfId="1" stopIfTrue="1">
      <formula>AND(M21&gt;0,CF21=0)</formula>
    </cfRule>
    <cfRule type="expression" priority="302" dxfId="1" stopIfTrue="1">
      <formula>AND(M21=0,CF21&lt;&gt;0)</formula>
    </cfRule>
  </conditionalFormatting>
  <conditionalFormatting sqref="CF22">
    <cfRule type="expression" priority="299" dxfId="1" stopIfTrue="1">
      <formula>AND(M22&gt;0,CF22=0)</formula>
    </cfRule>
    <cfRule type="expression" priority="300" dxfId="1" stopIfTrue="1">
      <formula>AND(M22=0,CF22&lt;&gt;0)</formula>
    </cfRule>
  </conditionalFormatting>
  <conditionalFormatting sqref="CF22">
    <cfRule type="expression" priority="297" dxfId="1" stopIfTrue="1">
      <formula>AND(M22&gt;0,CF22=0)</formula>
    </cfRule>
    <cfRule type="expression" priority="298" dxfId="1" stopIfTrue="1">
      <formula>AND(M22=0,CF22&lt;&gt;0)</formula>
    </cfRule>
  </conditionalFormatting>
  <conditionalFormatting sqref="CF13:CF19">
    <cfRule type="expression" priority="295" dxfId="1" stopIfTrue="1">
      <formula>AND(M13&gt;0,CF13=0)</formula>
    </cfRule>
    <cfRule type="expression" priority="296" dxfId="1" stopIfTrue="1">
      <formula>AND(M13=0,CF13&lt;&gt;0)</formula>
    </cfRule>
  </conditionalFormatting>
  <conditionalFormatting sqref="CF13:CF19">
    <cfRule type="expression" priority="289" dxfId="1" stopIfTrue="1">
      <formula>AND(M13&gt;0,CF13=0)</formula>
    </cfRule>
    <cfRule type="expression" priority="290" dxfId="1" stopIfTrue="1">
      <formula>AND(M13=0,CF13&lt;&gt;0)</formula>
    </cfRule>
  </conditionalFormatting>
  <conditionalFormatting sqref="CF13:CF19">
    <cfRule type="expression" priority="287" dxfId="1" stopIfTrue="1">
      <formula>AND(M13&gt;0,CF13=0)</formula>
    </cfRule>
    <cfRule type="expression" priority="288" dxfId="1" stopIfTrue="1">
      <formula>AND(M13=0,CF13&lt;&gt;0)</formula>
    </cfRule>
  </conditionalFormatting>
  <conditionalFormatting sqref="CF14:CF19">
    <cfRule type="expression" priority="285" dxfId="1" stopIfTrue="1">
      <formula>AND(M14&gt;0,CF14=0)</formula>
    </cfRule>
    <cfRule type="expression" priority="286" dxfId="1" stopIfTrue="1">
      <formula>AND(M14=0,CF14&lt;&gt;0)</formula>
    </cfRule>
  </conditionalFormatting>
  <conditionalFormatting sqref="CF14:CF19">
    <cfRule type="expression" priority="283" dxfId="1" stopIfTrue="1">
      <formula>AND(M14&gt;0,CF14=0)</formula>
    </cfRule>
    <cfRule type="expression" priority="284" dxfId="1" stopIfTrue="1">
      <formula>AND(M14=0,CF14&lt;&gt;0)</formula>
    </cfRule>
  </conditionalFormatting>
  <conditionalFormatting sqref="CF15:CF19">
    <cfRule type="expression" priority="281" dxfId="1" stopIfTrue="1">
      <formula>AND(M15&gt;0,CF15=0)</formula>
    </cfRule>
    <cfRule type="expression" priority="282" dxfId="1" stopIfTrue="1">
      <formula>AND(M15=0,CF15&lt;&gt;0)</formula>
    </cfRule>
  </conditionalFormatting>
  <conditionalFormatting sqref="CF15:CF19">
    <cfRule type="expression" priority="279" dxfId="1" stopIfTrue="1">
      <formula>AND(M15&gt;0,CF15=0)</formula>
    </cfRule>
    <cfRule type="expression" priority="280" dxfId="1" stopIfTrue="1">
      <formula>AND(M15=0,CF15&lt;&gt;0)</formula>
    </cfRule>
  </conditionalFormatting>
  <conditionalFormatting sqref="CF25:CF27">
    <cfRule type="expression" priority="255" dxfId="1" stopIfTrue="1">
      <formula>AND(M25&gt;0,CF25=0)</formula>
    </cfRule>
    <cfRule type="expression" priority="256" dxfId="1" stopIfTrue="1">
      <formula>AND(M25=0,CF25&lt;&gt;0)</formula>
    </cfRule>
  </conditionalFormatting>
  <conditionalFormatting sqref="CF25:CF27">
    <cfRule type="expression" priority="253" dxfId="1" stopIfTrue="1">
      <formula>AND(M25&gt;0,CF25=0)</formula>
    </cfRule>
    <cfRule type="expression" priority="254" dxfId="1" stopIfTrue="1">
      <formula>AND(M25=0,CF25&lt;&gt;0)</formula>
    </cfRule>
  </conditionalFormatting>
  <conditionalFormatting sqref="CF15">
    <cfRule type="expression" priority="247" dxfId="1" stopIfTrue="1">
      <formula>AND(M15&gt;0,CF15=0)</formula>
    </cfRule>
    <cfRule type="expression" priority="248" dxfId="1" stopIfTrue="1">
      <formula>AND(M15=0,CF15&lt;&gt;0)</formula>
    </cfRule>
  </conditionalFormatting>
  <conditionalFormatting sqref="CF13:CF18">
    <cfRule type="expression" priority="245" dxfId="1" stopIfTrue="1">
      <formula>AND(M13&gt;0,CF13=0)</formula>
    </cfRule>
    <cfRule type="expression" priority="246" dxfId="1" stopIfTrue="1">
      <formula>AND(M13=0,CF13&lt;&gt;0)</formula>
    </cfRule>
  </conditionalFormatting>
  <conditionalFormatting sqref="CF15">
    <cfRule type="expression" priority="243" dxfId="1" stopIfTrue="1">
      <formula>AND(M15&gt;0,CF15=0)</formula>
    </cfRule>
    <cfRule type="expression" priority="244" dxfId="1" stopIfTrue="1">
      <formula>AND(M15=0,CF15&lt;&gt;0)</formula>
    </cfRule>
  </conditionalFormatting>
  <conditionalFormatting sqref="CF15">
    <cfRule type="expression" priority="241" dxfId="1" stopIfTrue="1">
      <formula>AND(M15&gt;0,CF15=0)</formula>
    </cfRule>
    <cfRule type="expression" priority="242" dxfId="1" stopIfTrue="1">
      <formula>AND(M15=0,CF15&lt;&gt;0)</formula>
    </cfRule>
  </conditionalFormatting>
  <conditionalFormatting sqref="CF15">
    <cfRule type="expression" priority="239" dxfId="1" stopIfTrue="1">
      <formula>AND(M15&gt;0,CF15=0)</formula>
    </cfRule>
    <cfRule type="expression" priority="240" dxfId="1" stopIfTrue="1">
      <formula>AND(M15=0,CF15&lt;&gt;0)</formula>
    </cfRule>
  </conditionalFormatting>
  <conditionalFormatting sqref="CF15">
    <cfRule type="expression" priority="237" dxfId="1" stopIfTrue="1">
      <formula>AND(M15&gt;0,CF15=0)</formula>
    </cfRule>
    <cfRule type="expression" priority="238" dxfId="1" stopIfTrue="1">
      <formula>AND(M15=0,CF15&lt;&gt;0)</formula>
    </cfRule>
  </conditionalFormatting>
  <conditionalFormatting sqref="CF15">
    <cfRule type="expression" priority="235" dxfId="1" stopIfTrue="1">
      <formula>AND(M15&gt;0,CF15=0)</formula>
    </cfRule>
    <cfRule type="expression" priority="236" dxfId="1" stopIfTrue="1">
      <formula>AND(M15=0,CF15&lt;&gt;0)</formula>
    </cfRule>
  </conditionalFormatting>
  <conditionalFormatting sqref="CF21">
    <cfRule type="expression" priority="217" dxfId="1" stopIfTrue="1">
      <formula>AND(M21&gt;0,CF21=0)</formula>
    </cfRule>
    <cfRule type="expression" priority="218" dxfId="1" stopIfTrue="1">
      <formula>AND(M21=0,CF21&lt;&gt;0)</formula>
    </cfRule>
  </conditionalFormatting>
  <conditionalFormatting sqref="CF21">
    <cfRule type="expression" priority="215" dxfId="1" stopIfTrue="1">
      <formula>AND(M21&gt;0,CF21=0)</formula>
    </cfRule>
    <cfRule type="expression" priority="216" dxfId="1" stopIfTrue="1">
      <formula>AND(M21=0,CF21&lt;&gt;0)</formula>
    </cfRule>
  </conditionalFormatting>
  <conditionalFormatting sqref="CF22">
    <cfRule type="expression" priority="213" dxfId="1" stopIfTrue="1">
      <formula>AND(M22&gt;0,CF22=0)</formula>
    </cfRule>
    <cfRule type="expression" priority="214" dxfId="1" stopIfTrue="1">
      <formula>AND(M22=0,CF22&lt;&gt;0)</formula>
    </cfRule>
  </conditionalFormatting>
  <conditionalFormatting sqref="CF22">
    <cfRule type="expression" priority="211" dxfId="1" stopIfTrue="1">
      <formula>AND(M22&gt;0,CF22=0)</formula>
    </cfRule>
    <cfRule type="expression" priority="212" dxfId="1" stopIfTrue="1">
      <formula>AND(M22=0,CF22&lt;&gt;0)</formula>
    </cfRule>
  </conditionalFormatting>
  <conditionalFormatting sqref="CF13:CF19">
    <cfRule type="expression" priority="139" dxfId="1" stopIfTrue="1">
      <formula>AND(M13&gt;0,CF13=0)</formula>
    </cfRule>
    <cfRule type="expression" priority="140" dxfId="1" stopIfTrue="1">
      <formula>AND(M13=0,CF13&lt;&gt;0)</formula>
    </cfRule>
  </conditionalFormatting>
  <conditionalFormatting sqref="CF13:CF19">
    <cfRule type="expression" priority="137" dxfId="1" stopIfTrue="1">
      <formula>AND(M13&gt;0,CF13=0)</formula>
    </cfRule>
    <cfRule type="expression" priority="138" dxfId="1" stopIfTrue="1">
      <formula>AND(M13=0,CF13&lt;&gt;0)</formula>
    </cfRule>
  </conditionalFormatting>
  <conditionalFormatting sqref="CF13:CF19">
    <cfRule type="expression" priority="135" dxfId="1" stopIfTrue="1">
      <formula>AND(M13&gt;0,CF13=0)</formula>
    </cfRule>
    <cfRule type="expression" priority="136" dxfId="1" stopIfTrue="1">
      <formula>AND(M13=0,CF13&lt;&gt;0)</formula>
    </cfRule>
  </conditionalFormatting>
  <conditionalFormatting sqref="CF14:CF19">
    <cfRule type="expression" priority="133" dxfId="1" stopIfTrue="1">
      <formula>AND(M14&gt;0,CF14=0)</formula>
    </cfRule>
    <cfRule type="expression" priority="134" dxfId="1" stopIfTrue="1">
      <formula>AND(M14=0,CF14&lt;&gt;0)</formula>
    </cfRule>
  </conditionalFormatting>
  <conditionalFormatting sqref="CF14:CF19">
    <cfRule type="expression" priority="131" dxfId="1" stopIfTrue="1">
      <formula>AND(M14&gt;0,CF14=0)</formula>
    </cfRule>
    <cfRule type="expression" priority="132" dxfId="1" stopIfTrue="1">
      <formula>AND(M14=0,CF14&lt;&gt;0)</formula>
    </cfRule>
  </conditionalFormatting>
  <conditionalFormatting sqref="CF15:CF19">
    <cfRule type="expression" priority="129" dxfId="1" stopIfTrue="1">
      <formula>AND(M15&gt;0,CF15=0)</formula>
    </cfRule>
    <cfRule type="expression" priority="130" dxfId="1" stopIfTrue="1">
      <formula>AND(M15=0,CF15&lt;&gt;0)</formula>
    </cfRule>
  </conditionalFormatting>
  <conditionalFormatting sqref="CF15:CF19">
    <cfRule type="expression" priority="127" dxfId="1" stopIfTrue="1">
      <formula>AND(M15&gt;0,CF15=0)</formula>
    </cfRule>
    <cfRule type="expression" priority="128" dxfId="1" stopIfTrue="1">
      <formula>AND(M15=0,CF15&lt;&gt;0)</formula>
    </cfRule>
  </conditionalFormatting>
  <conditionalFormatting sqref="CF15">
    <cfRule type="expression" priority="125" dxfId="1" stopIfTrue="1">
      <formula>AND(M15&gt;0,CF15=0)</formula>
    </cfRule>
    <cfRule type="expression" priority="126" dxfId="1" stopIfTrue="1">
      <formula>AND(M15=0,CF15&lt;&gt;0)</formula>
    </cfRule>
  </conditionalFormatting>
  <conditionalFormatting sqref="CF13:CF18">
    <cfRule type="expression" priority="123" dxfId="1" stopIfTrue="1">
      <formula>AND(M13&gt;0,CF13=0)</formula>
    </cfRule>
    <cfRule type="expression" priority="124" dxfId="1" stopIfTrue="1">
      <formula>AND(M13=0,CF13&lt;&gt;0)</formula>
    </cfRule>
  </conditionalFormatting>
  <conditionalFormatting sqref="CF15">
    <cfRule type="expression" priority="121" dxfId="1" stopIfTrue="1">
      <formula>AND(M15&gt;0,CF15=0)</formula>
    </cfRule>
    <cfRule type="expression" priority="122" dxfId="1" stopIfTrue="1">
      <formula>AND(M15=0,CF15&lt;&gt;0)</formula>
    </cfRule>
  </conditionalFormatting>
  <conditionalFormatting sqref="CF15">
    <cfRule type="expression" priority="119" dxfId="1" stopIfTrue="1">
      <formula>AND(M15&gt;0,CF15=0)</formula>
    </cfRule>
    <cfRule type="expression" priority="120" dxfId="1" stopIfTrue="1">
      <formula>AND(M15=0,CF15&lt;&gt;0)</formula>
    </cfRule>
  </conditionalFormatting>
  <conditionalFormatting sqref="CF15">
    <cfRule type="expression" priority="117" dxfId="1" stopIfTrue="1">
      <formula>AND(M15&gt;0,CF15=0)</formula>
    </cfRule>
    <cfRule type="expression" priority="118" dxfId="1" stopIfTrue="1">
      <formula>AND(M15=0,CF15&lt;&gt;0)</formula>
    </cfRule>
  </conditionalFormatting>
  <conditionalFormatting sqref="CF15">
    <cfRule type="expression" priority="115" dxfId="1" stopIfTrue="1">
      <formula>AND(M15&gt;0,CF15=0)</formula>
    </cfRule>
    <cfRule type="expression" priority="116" dxfId="1" stopIfTrue="1">
      <formula>AND(M15=0,CF15&lt;&gt;0)</formula>
    </cfRule>
  </conditionalFormatting>
  <conditionalFormatting sqref="CF15">
    <cfRule type="expression" priority="113" dxfId="1" stopIfTrue="1">
      <formula>AND(M15&gt;0,CF15=0)</formula>
    </cfRule>
    <cfRule type="expression" priority="114" dxfId="1" stopIfTrue="1">
      <formula>AND(M15=0,CF15&lt;&gt;0)</formula>
    </cfRule>
  </conditionalFormatting>
  <conditionalFormatting sqref="CF21">
    <cfRule type="expression" priority="111" dxfId="1" stopIfTrue="1">
      <formula>AND(M21&gt;0,CF21=0)</formula>
    </cfRule>
    <cfRule type="expression" priority="112" dxfId="1" stopIfTrue="1">
      <formula>AND(M21=0,CF21&lt;&gt;0)</formula>
    </cfRule>
  </conditionalFormatting>
  <conditionalFormatting sqref="CF21">
    <cfRule type="expression" priority="109" dxfId="1" stopIfTrue="1">
      <formula>AND(M21&gt;0,CF21=0)</formula>
    </cfRule>
    <cfRule type="expression" priority="110" dxfId="1" stopIfTrue="1">
      <formula>AND(M21=0,CF21&lt;&gt;0)</formula>
    </cfRule>
  </conditionalFormatting>
  <conditionalFormatting sqref="CF22">
    <cfRule type="expression" priority="107" dxfId="1" stopIfTrue="1">
      <formula>AND(M22&gt;0,CF22=0)</formula>
    </cfRule>
    <cfRule type="expression" priority="108" dxfId="1" stopIfTrue="1">
      <formula>AND(M22=0,CF22&lt;&gt;0)</formula>
    </cfRule>
  </conditionalFormatting>
  <conditionalFormatting sqref="CF22">
    <cfRule type="expression" priority="105" dxfId="1" stopIfTrue="1">
      <formula>AND(M22&gt;0,CF22=0)</formula>
    </cfRule>
    <cfRule type="expression" priority="106" dxfId="1" stopIfTrue="1">
      <formula>AND(M22=0,CF22&lt;&gt;0)</formula>
    </cfRule>
  </conditionalFormatting>
  <conditionalFormatting sqref="CF13:CF19">
    <cfRule type="expression" priority="103" dxfId="1" stopIfTrue="1">
      <formula>AND(M13&gt;0,CF13=0)</formula>
    </cfRule>
    <cfRule type="expression" priority="104" dxfId="1" stopIfTrue="1">
      <formula>AND(M13=0,CF13&lt;&gt;0)</formula>
    </cfRule>
  </conditionalFormatting>
  <conditionalFormatting sqref="CF13:CF19">
    <cfRule type="expression" priority="101" dxfId="1" stopIfTrue="1">
      <formula>AND(M13&gt;0,CF13=0)</formula>
    </cfRule>
    <cfRule type="expression" priority="102" dxfId="1" stopIfTrue="1">
      <formula>AND(M13=0,CF13&lt;&gt;0)</formula>
    </cfRule>
  </conditionalFormatting>
  <conditionalFormatting sqref="CF13:CF19">
    <cfRule type="expression" priority="99" dxfId="1" stopIfTrue="1">
      <formula>AND(M13&gt;0,CF13=0)</formula>
    </cfRule>
    <cfRule type="expression" priority="100" dxfId="1" stopIfTrue="1">
      <formula>AND(M13=0,CF13&lt;&gt;0)</formula>
    </cfRule>
  </conditionalFormatting>
  <conditionalFormatting sqref="CF14:CF19">
    <cfRule type="expression" priority="97" dxfId="1" stopIfTrue="1">
      <formula>AND(M14&gt;0,CF14=0)</formula>
    </cfRule>
    <cfRule type="expression" priority="98" dxfId="1" stopIfTrue="1">
      <formula>AND(M14=0,CF14&lt;&gt;0)</formula>
    </cfRule>
  </conditionalFormatting>
  <conditionalFormatting sqref="CF14:CF19">
    <cfRule type="expression" priority="95" dxfId="1" stopIfTrue="1">
      <formula>AND(M14&gt;0,CF14=0)</formula>
    </cfRule>
    <cfRule type="expression" priority="96" dxfId="1" stopIfTrue="1">
      <formula>AND(M14=0,CF14&lt;&gt;0)</formula>
    </cfRule>
  </conditionalFormatting>
  <conditionalFormatting sqref="CF15:CF19">
    <cfRule type="expression" priority="93" dxfId="1" stopIfTrue="1">
      <formula>AND(M15&gt;0,CF15=0)</formula>
    </cfRule>
    <cfRule type="expression" priority="94" dxfId="1" stopIfTrue="1">
      <formula>AND(M15=0,CF15&lt;&gt;0)</formula>
    </cfRule>
  </conditionalFormatting>
  <conditionalFormatting sqref="CF15:CF19">
    <cfRule type="expression" priority="91" dxfId="1" stopIfTrue="1">
      <formula>AND(M15&gt;0,CF15=0)</formula>
    </cfRule>
    <cfRule type="expression" priority="92" dxfId="1" stopIfTrue="1">
      <formula>AND(M15=0,CF15&lt;&gt;0)</formula>
    </cfRule>
  </conditionalFormatting>
  <conditionalFormatting sqref="CF15">
    <cfRule type="expression" priority="89" dxfId="1" stopIfTrue="1">
      <formula>AND(M15&gt;0,CF15=0)</formula>
    </cfRule>
    <cfRule type="expression" priority="90" dxfId="1" stopIfTrue="1">
      <formula>AND(M15=0,CF15&lt;&gt;0)</formula>
    </cfRule>
  </conditionalFormatting>
  <conditionalFormatting sqref="CF13:CF18">
    <cfRule type="expression" priority="87" dxfId="1" stopIfTrue="1">
      <formula>AND(M13&gt;0,CF13=0)</formula>
    </cfRule>
    <cfRule type="expression" priority="88" dxfId="1" stopIfTrue="1">
      <formula>AND(M13=0,CF13&lt;&gt;0)</formula>
    </cfRule>
  </conditionalFormatting>
  <conditionalFormatting sqref="CF15">
    <cfRule type="expression" priority="85" dxfId="1" stopIfTrue="1">
      <formula>AND(M15&gt;0,CF15=0)</formula>
    </cfRule>
    <cfRule type="expression" priority="86" dxfId="1" stopIfTrue="1">
      <formula>AND(M15=0,CF15&lt;&gt;0)</formula>
    </cfRule>
  </conditionalFormatting>
  <conditionalFormatting sqref="CF15">
    <cfRule type="expression" priority="83" dxfId="1" stopIfTrue="1">
      <formula>AND(M15&gt;0,CF15=0)</formula>
    </cfRule>
    <cfRule type="expression" priority="84" dxfId="1" stopIfTrue="1">
      <formula>AND(M15=0,CF15&lt;&gt;0)</formula>
    </cfRule>
  </conditionalFormatting>
  <conditionalFormatting sqref="CF15">
    <cfRule type="expression" priority="81" dxfId="1" stopIfTrue="1">
      <formula>AND(M15&gt;0,CF15=0)</formula>
    </cfRule>
    <cfRule type="expression" priority="82" dxfId="1" stopIfTrue="1">
      <formula>AND(M15=0,CF15&lt;&gt;0)</formula>
    </cfRule>
  </conditionalFormatting>
  <conditionalFormatting sqref="CF15">
    <cfRule type="expression" priority="79" dxfId="1" stopIfTrue="1">
      <formula>AND(M15&gt;0,CF15=0)</formula>
    </cfRule>
    <cfRule type="expression" priority="80" dxfId="1" stopIfTrue="1">
      <formula>AND(M15=0,CF15&lt;&gt;0)</formula>
    </cfRule>
  </conditionalFormatting>
  <conditionalFormatting sqref="CF15">
    <cfRule type="expression" priority="77" dxfId="1" stopIfTrue="1">
      <formula>AND(M15&gt;0,CF15=0)</formula>
    </cfRule>
    <cfRule type="expression" priority="78" dxfId="1" stopIfTrue="1">
      <formula>AND(M15=0,CF15&lt;&gt;0)</formula>
    </cfRule>
  </conditionalFormatting>
  <conditionalFormatting sqref="CF21">
    <cfRule type="expression" priority="75" dxfId="1" stopIfTrue="1">
      <formula>AND(M21&gt;0,CF21=0)</formula>
    </cfRule>
    <cfRule type="expression" priority="76" dxfId="1" stopIfTrue="1">
      <formula>AND(M21=0,CF21&lt;&gt;0)</formula>
    </cfRule>
  </conditionalFormatting>
  <conditionalFormatting sqref="CF21">
    <cfRule type="expression" priority="73" dxfId="1" stopIfTrue="1">
      <formula>AND(M21&gt;0,CF21=0)</formula>
    </cfRule>
    <cfRule type="expression" priority="74" dxfId="1" stopIfTrue="1">
      <formula>AND(M21=0,CF21&lt;&gt;0)</formula>
    </cfRule>
  </conditionalFormatting>
  <conditionalFormatting sqref="CF22">
    <cfRule type="expression" priority="71" dxfId="1" stopIfTrue="1">
      <formula>AND(M22&gt;0,CF22=0)</formula>
    </cfRule>
    <cfRule type="expression" priority="72" dxfId="1" stopIfTrue="1">
      <formula>AND(M22=0,CF22&lt;&gt;0)</formula>
    </cfRule>
  </conditionalFormatting>
  <conditionalFormatting sqref="CF22">
    <cfRule type="expression" priority="69" dxfId="1" stopIfTrue="1">
      <formula>AND(M22&gt;0,CF22=0)</formula>
    </cfRule>
    <cfRule type="expression" priority="70" dxfId="1" stopIfTrue="1">
      <formula>AND(M22=0,CF22&lt;&gt;0)</formula>
    </cfRule>
  </conditionalFormatting>
  <conditionalFormatting sqref="CF15">
    <cfRule type="expression" priority="67" dxfId="1" stopIfTrue="1">
      <formula>AND(M15&gt;0,CF15=0)</formula>
    </cfRule>
    <cfRule type="expression" priority="68" dxfId="1" stopIfTrue="1">
      <formula>AND(M15=0,CF15&lt;&gt;0)</formula>
    </cfRule>
  </conditionalFormatting>
  <conditionalFormatting sqref="CF15">
    <cfRule type="expression" priority="65" dxfId="1" stopIfTrue="1">
      <formula>AND(M15&gt;0,CF15=0)</formula>
    </cfRule>
    <cfRule type="expression" priority="66" dxfId="1" stopIfTrue="1">
      <formula>AND(M15=0,CF15&lt;&gt;0)</formula>
    </cfRule>
  </conditionalFormatting>
  <conditionalFormatting sqref="CF15">
    <cfRule type="expression" priority="63" dxfId="1" stopIfTrue="1">
      <formula>AND(M15&gt;0,CF15=0)</formula>
    </cfRule>
    <cfRule type="expression" priority="64" dxfId="1" stopIfTrue="1">
      <formula>AND(M15=0,CF15&lt;&gt;0)</formula>
    </cfRule>
  </conditionalFormatting>
  <conditionalFormatting sqref="CF15">
    <cfRule type="expression" priority="61" dxfId="1" stopIfTrue="1">
      <formula>AND(M15&gt;0,CF15=0)</formula>
    </cfRule>
    <cfRule type="expression" priority="62" dxfId="1" stopIfTrue="1">
      <formula>AND(M15=0,CF15&lt;&gt;0)</formula>
    </cfRule>
  </conditionalFormatting>
  <conditionalFormatting sqref="CF15">
    <cfRule type="expression" priority="59" dxfId="1" stopIfTrue="1">
      <formula>AND(M15&gt;0,CF15=0)</formula>
    </cfRule>
    <cfRule type="expression" priority="60" dxfId="1" stopIfTrue="1">
      <formula>AND(M15=0,CF15&lt;&gt;0)</formula>
    </cfRule>
  </conditionalFormatting>
  <conditionalFormatting sqref="CF15">
    <cfRule type="expression" priority="57" dxfId="1" stopIfTrue="1">
      <formula>AND(M15&gt;0,CF15=0)</formula>
    </cfRule>
    <cfRule type="expression" priority="58" dxfId="1" stopIfTrue="1">
      <formula>AND(M15=0,CF15&lt;&gt;0)</formula>
    </cfRule>
  </conditionalFormatting>
  <conditionalFormatting sqref="CF20">
    <cfRule type="expression" priority="55" dxfId="1" stopIfTrue="1">
      <formula>AND(M20&gt;0,CF20=0)</formula>
    </cfRule>
    <cfRule type="expression" priority="56" dxfId="1" stopIfTrue="1">
      <formula>AND(M20=0,CF20&lt;&gt;0)</formula>
    </cfRule>
  </conditionalFormatting>
  <conditionalFormatting sqref="CF20">
    <cfRule type="expression" priority="53" dxfId="1" stopIfTrue="1">
      <formula>AND(M20&gt;0,CF20=0)</formula>
    </cfRule>
    <cfRule type="expression" priority="54" dxfId="1" stopIfTrue="1">
      <formula>AND(M20=0,CF20&lt;&gt;0)</formula>
    </cfRule>
  </conditionalFormatting>
  <conditionalFormatting sqref="CF13:CF16 CF22">
    <cfRule type="expression" priority="51" dxfId="1" stopIfTrue="1">
      <formula>AND(D13&gt;0,CF13=0)</formula>
    </cfRule>
    <cfRule type="expression" priority="52" dxfId="1" stopIfTrue="1">
      <formula>AND(D13=0,CF13&lt;&gt;0)</formula>
    </cfRule>
  </conditionalFormatting>
  <conditionalFormatting sqref="CF17">
    <cfRule type="expression" priority="49" dxfId="1" stopIfTrue="1">
      <formula>AND(D17&gt;0,CF17=0)</formula>
    </cfRule>
    <cfRule type="expression" priority="50" dxfId="1" stopIfTrue="1">
      <formula>AND(D17=0,CF17&lt;&gt;0)</formula>
    </cfRule>
  </conditionalFormatting>
  <conditionalFormatting sqref="CF18">
    <cfRule type="expression" priority="47" dxfId="1" stopIfTrue="1">
      <formula>AND(D18&gt;0,CF18=0)</formula>
    </cfRule>
    <cfRule type="expression" priority="48" dxfId="1" stopIfTrue="1">
      <formula>AND(D18=0,CF18&lt;&gt;0)</formula>
    </cfRule>
  </conditionalFormatting>
  <conditionalFormatting sqref="CF19">
    <cfRule type="expression" priority="45" dxfId="1" stopIfTrue="1">
      <formula>AND(D19&gt;0,CF19=0)</formula>
    </cfRule>
    <cfRule type="expression" priority="46" dxfId="1" stopIfTrue="1">
      <formula>AND(D19=0,CF19&lt;&gt;0)</formula>
    </cfRule>
  </conditionalFormatting>
  <conditionalFormatting sqref="CF19">
    <cfRule type="expression" priority="43" dxfId="1" stopIfTrue="1">
      <formula>AND(D19&gt;0,CF19=0)</formula>
    </cfRule>
    <cfRule type="expression" priority="44" dxfId="1" stopIfTrue="1">
      <formula>AND(D19=0,CF19&lt;&gt;0)</formula>
    </cfRule>
  </conditionalFormatting>
  <conditionalFormatting sqref="CF20">
    <cfRule type="expression" priority="41" dxfId="1" stopIfTrue="1">
      <formula>AND(D20&gt;0,CF20=0)</formula>
    </cfRule>
    <cfRule type="expression" priority="42" dxfId="1" stopIfTrue="1">
      <formula>AND(D20=0,CF20&lt;&gt;0)</formula>
    </cfRule>
  </conditionalFormatting>
  <conditionalFormatting sqref="CF21">
    <cfRule type="expression" priority="39" dxfId="1" stopIfTrue="1">
      <formula>AND(D21&gt;0,CF21=0)</formula>
    </cfRule>
    <cfRule type="expression" priority="40" dxfId="1" stopIfTrue="1">
      <formula>AND(D21=0,CF21&lt;&gt;0)</formula>
    </cfRule>
  </conditionalFormatting>
  <conditionalFormatting sqref="CF23">
    <cfRule type="expression" priority="37" dxfId="1" stopIfTrue="1">
      <formula>AND(D23&gt;0,CF23=0)</formula>
    </cfRule>
    <cfRule type="expression" priority="38" dxfId="1" stopIfTrue="1">
      <formula>AND(D23=0,CF23&lt;&gt;0)</formula>
    </cfRule>
  </conditionalFormatting>
  <conditionalFormatting sqref="CF27">
    <cfRule type="expression" priority="35" dxfId="1" stopIfTrue="1">
      <formula>AND(M27&gt;0,CF27=0)</formula>
    </cfRule>
    <cfRule type="expression" priority="36" dxfId="1" stopIfTrue="1">
      <formula>AND(M27=0,CF27&lt;&gt;0)</formula>
    </cfRule>
  </conditionalFormatting>
  <conditionalFormatting sqref="CF27">
    <cfRule type="expression" priority="33" dxfId="1" stopIfTrue="1">
      <formula>AND(M27&gt;0,CF27=0)</formula>
    </cfRule>
    <cfRule type="expression" priority="34" dxfId="1" stopIfTrue="1">
      <formula>AND(M27=0,CF27&lt;&gt;0)</formula>
    </cfRule>
  </conditionalFormatting>
  <conditionalFormatting sqref="CF25:CF27">
    <cfRule type="expression" priority="31" dxfId="1" stopIfTrue="1">
      <formula>AND(M25&gt;0,CF25=0)</formula>
    </cfRule>
    <cfRule type="expression" priority="32" dxfId="1" stopIfTrue="1">
      <formula>AND(M25=0,CF25&lt;&gt;0)</formula>
    </cfRule>
  </conditionalFormatting>
  <conditionalFormatting sqref="CF25:CF27">
    <cfRule type="expression" priority="29" dxfId="1" stopIfTrue="1">
      <formula>AND(M25&gt;0,CF25=0)</formula>
    </cfRule>
    <cfRule type="expression" priority="30" dxfId="1" stopIfTrue="1">
      <formula>AND(M25=0,CF25&lt;&gt;0)</formula>
    </cfRule>
  </conditionalFormatting>
  <conditionalFormatting sqref="CF27">
    <cfRule type="expression" priority="27" dxfId="1" stopIfTrue="1">
      <formula>AND(M27&gt;0,CF27=0)</formula>
    </cfRule>
    <cfRule type="expression" priority="28" dxfId="1" stopIfTrue="1">
      <formula>AND(M27=0,CF27&lt;&gt;0)</formula>
    </cfRule>
  </conditionalFormatting>
  <conditionalFormatting sqref="CF27">
    <cfRule type="expression" priority="25" dxfId="1" stopIfTrue="1">
      <formula>AND(M27&gt;0,CF27=0)</formula>
    </cfRule>
    <cfRule type="expression" priority="26" dxfId="1" stopIfTrue="1">
      <formula>AND(M27=0,CF27&lt;&gt;0)</formula>
    </cfRule>
  </conditionalFormatting>
  <conditionalFormatting sqref="CF27">
    <cfRule type="expression" priority="23" dxfId="1" stopIfTrue="1">
      <formula>AND(M27&gt;0,CF27=0)</formula>
    </cfRule>
    <cfRule type="expression" priority="24" dxfId="1" stopIfTrue="1">
      <formula>AND(M27=0,CF27&lt;&gt;0)</formula>
    </cfRule>
  </conditionalFormatting>
  <conditionalFormatting sqref="CF25">
    <cfRule type="expression" priority="21" dxfId="1" stopIfTrue="1">
      <formula>AND(M25&gt;0,CF25=0)</formula>
    </cfRule>
    <cfRule type="expression" priority="22" dxfId="1" stopIfTrue="1">
      <formula>AND(M25=0,CF25&lt;&gt;0)</formula>
    </cfRule>
  </conditionalFormatting>
  <conditionalFormatting sqref="CF25">
    <cfRule type="expression" priority="19" dxfId="1" stopIfTrue="1">
      <formula>AND(M25&gt;0,CF25=0)</formula>
    </cfRule>
    <cfRule type="expression" priority="20" dxfId="1" stopIfTrue="1">
      <formula>AND(M25=0,CF25&lt;&gt;0)</formula>
    </cfRule>
  </conditionalFormatting>
  <conditionalFormatting sqref="CF25">
    <cfRule type="expression" priority="17" dxfId="1" stopIfTrue="1">
      <formula>AND(M25&gt;0,CF25=0)</formula>
    </cfRule>
    <cfRule type="expression" priority="18" dxfId="1" stopIfTrue="1">
      <formula>AND(M25=0,CF25&lt;&gt;0)</formula>
    </cfRule>
  </conditionalFormatting>
  <conditionalFormatting sqref="CF25">
    <cfRule type="expression" priority="15" dxfId="1" stopIfTrue="1">
      <formula>AND(D25&gt;0,CF25=0)</formula>
    </cfRule>
    <cfRule type="expression" priority="16" dxfId="1" stopIfTrue="1">
      <formula>AND(D25=0,CF25&lt;&gt;0)</formula>
    </cfRule>
  </conditionalFormatting>
  <conditionalFormatting sqref="CF26">
    <cfRule type="expression" priority="13" dxfId="1" stopIfTrue="1">
      <formula>AND(M26&gt;0,CF26=0)</formula>
    </cfRule>
    <cfRule type="expression" priority="14" dxfId="1" stopIfTrue="1">
      <formula>AND(M26=0,CF26&lt;&gt;0)</formula>
    </cfRule>
  </conditionalFormatting>
  <conditionalFormatting sqref="CF26">
    <cfRule type="expression" priority="11" dxfId="1" stopIfTrue="1">
      <formula>AND(M26&gt;0,CF26=0)</formula>
    </cfRule>
    <cfRule type="expression" priority="12" dxfId="1" stopIfTrue="1">
      <formula>AND(M26=0,CF26&lt;&gt;0)</formula>
    </cfRule>
  </conditionalFormatting>
  <conditionalFormatting sqref="CF26">
    <cfRule type="expression" priority="9" dxfId="1" stopIfTrue="1">
      <formula>AND(M26&gt;0,CF26=0)</formula>
    </cfRule>
    <cfRule type="expression" priority="10" dxfId="1" stopIfTrue="1">
      <formula>AND(M26=0,CF26&lt;&gt;0)</formula>
    </cfRule>
  </conditionalFormatting>
  <conditionalFormatting sqref="CF26">
    <cfRule type="expression" priority="7" dxfId="1" stopIfTrue="1">
      <formula>AND(D26&gt;0,CF26=0)</formula>
    </cfRule>
    <cfRule type="expression" priority="8" dxfId="1" stopIfTrue="1">
      <formula>AND(D26=0,CF26&lt;&gt;0)</formula>
    </cfRule>
  </conditionalFormatting>
  <conditionalFormatting sqref="CF27">
    <cfRule type="expression" priority="5" dxfId="1" stopIfTrue="1">
      <formula>AND(M27&gt;0,CF27=0)</formula>
    </cfRule>
    <cfRule type="expression" priority="6" dxfId="1" stopIfTrue="1">
      <formula>AND(M27=0,CF27&lt;&gt;0)</formula>
    </cfRule>
  </conditionalFormatting>
  <conditionalFormatting sqref="CF27">
    <cfRule type="expression" priority="3" dxfId="1" stopIfTrue="1">
      <formula>AND(M27&gt;0,CF27=0)</formula>
    </cfRule>
    <cfRule type="expression" priority="4" dxfId="1" stopIfTrue="1">
      <formula>AND(M27=0,CF27&lt;&gt;0)</formula>
    </cfRule>
  </conditionalFormatting>
  <conditionalFormatting sqref="CF27">
    <cfRule type="expression" priority="1" dxfId="1" stopIfTrue="1">
      <formula>AND(D27&gt;0,CF27=0)</formula>
    </cfRule>
    <cfRule type="expression" priority="2" dxfId="1" stopIfTrue="1">
      <formula>AND(D27=0,CF27&lt;&gt;0)</formula>
    </cfRule>
  </conditionalFormatting>
  <printOptions horizontalCentered="1"/>
  <pageMargins left="0" right="0" top="0.3937007874015748" bottom="0.3937007874015748" header="0.11811023622047245" footer="0.11811023622047245"/>
  <pageSetup fitToHeight="1" fitToWidth="1" horizontalDpi="600" verticalDpi="600" orientation="landscape" paperSize="8" scale="22" r:id="rId2"/>
  <headerFooter alignWithMargins="0">
    <oddFooter>&amp;L&amp;F&amp;C&amp;9&amp;A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46"/>
  <sheetViews>
    <sheetView showZeros="0" zoomScale="110" zoomScaleNormal="110" zoomScalePageLayoutView="0" workbookViewId="0" topLeftCell="A15">
      <selection activeCell="H24" sqref="H24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9" width="3.33203125" style="6" customWidth="1"/>
    <col min="60" max="60" width="4.16015625" style="6" customWidth="1"/>
    <col min="61" max="61" width="4.66015625" style="6" customWidth="1"/>
    <col min="62" max="65" width="3.33203125" style="6" customWidth="1"/>
    <col min="66" max="66" width="5" style="6" customWidth="1"/>
    <col min="67" max="16384" width="2.83203125" style="6" customWidth="1"/>
  </cols>
  <sheetData>
    <row r="1" spans="1:66" ht="15.75" customHeight="1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505" t="s">
        <v>34</v>
      </c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  <c r="AI1" s="505"/>
      <c r="AJ1" s="505"/>
      <c r="AK1" s="505"/>
      <c r="AL1" s="505"/>
      <c r="AM1" s="505"/>
      <c r="AN1" s="505"/>
      <c r="AO1" s="505"/>
      <c r="AP1" s="505"/>
      <c r="AQ1" s="505"/>
      <c r="AR1" s="505"/>
      <c r="AS1" s="505"/>
      <c r="AT1" s="505"/>
      <c r="AU1" s="505"/>
      <c r="AV1" s="505"/>
      <c r="AW1" s="505"/>
      <c r="AX1" s="505"/>
      <c r="AY1" s="505"/>
      <c r="AZ1" s="505"/>
      <c r="BA1" s="505"/>
      <c r="BB1" s="50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ht="15.75" customHeight="1">
      <c r="A2" s="498" t="s">
        <v>346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506" t="s">
        <v>336</v>
      </c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8" t="s">
        <v>47</v>
      </c>
      <c r="BD2" s="508"/>
      <c r="BE2" s="508"/>
      <c r="BF2" s="508"/>
      <c r="BG2" s="508"/>
      <c r="BH2" s="508"/>
      <c r="BI2" s="508"/>
      <c r="BJ2" s="508"/>
      <c r="BK2" s="508"/>
      <c r="BL2" s="508"/>
      <c r="BM2" s="508"/>
      <c r="BN2" s="508"/>
    </row>
    <row r="3" spans="1:66" ht="15.75" customHeight="1">
      <c r="A3" s="527">
        <v>42817</v>
      </c>
      <c r="B3" s="527"/>
      <c r="C3" s="527"/>
      <c r="D3" s="527"/>
      <c r="E3" s="527"/>
      <c r="F3" s="527"/>
      <c r="G3" s="527"/>
      <c r="H3" s="527" t="s">
        <v>352</v>
      </c>
      <c r="I3" s="527"/>
      <c r="J3" s="527"/>
      <c r="K3" s="527"/>
      <c r="L3" s="527"/>
      <c r="M3" s="527"/>
      <c r="N3" s="527"/>
      <c r="O3" s="506" t="s">
        <v>335</v>
      </c>
      <c r="P3" s="506"/>
      <c r="Q3" s="506"/>
      <c r="R3" s="506"/>
      <c r="S3" s="506"/>
      <c r="T3" s="506"/>
      <c r="U3" s="506"/>
      <c r="V3" s="506"/>
      <c r="W3" s="506"/>
      <c r="X3" s="506"/>
      <c r="Y3" s="506"/>
      <c r="Z3" s="506"/>
      <c r="AA3" s="506"/>
      <c r="AB3" s="506"/>
      <c r="AC3" s="506"/>
      <c r="AD3" s="506"/>
      <c r="AE3" s="506"/>
      <c r="AF3" s="506"/>
      <c r="AG3" s="506"/>
      <c r="AH3" s="506"/>
      <c r="AI3" s="506"/>
      <c r="AJ3" s="506"/>
      <c r="AK3" s="506"/>
      <c r="AL3" s="506"/>
      <c r="AM3" s="506"/>
      <c r="AN3" s="506"/>
      <c r="AO3" s="506"/>
      <c r="AP3" s="506"/>
      <c r="AQ3" s="506"/>
      <c r="AR3" s="506"/>
      <c r="AS3" s="506"/>
      <c r="AT3" s="506"/>
      <c r="AU3" s="506"/>
      <c r="AV3" s="506"/>
      <c r="AW3" s="506"/>
      <c r="AX3" s="506"/>
      <c r="AY3" s="506"/>
      <c r="AZ3" s="506"/>
      <c r="BA3" s="506"/>
      <c r="BB3" s="506"/>
      <c r="BC3" s="510" t="s">
        <v>26</v>
      </c>
      <c r="BD3" s="510"/>
      <c r="BE3" s="510"/>
      <c r="BF3" s="510"/>
      <c r="BG3" s="510"/>
      <c r="BH3" s="510"/>
      <c r="BI3" s="510"/>
      <c r="BJ3" s="510"/>
      <c r="BK3" s="510"/>
      <c r="BL3" s="510"/>
      <c r="BM3" s="510"/>
      <c r="BN3" s="510"/>
    </row>
    <row r="4" spans="1:66" ht="15.75" customHeight="1">
      <c r="A4" s="529"/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  <c r="M4" s="529"/>
      <c r="N4" s="529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513" t="s">
        <v>308</v>
      </c>
      <c r="BD4" s="513"/>
      <c r="BE4" s="513"/>
      <c r="BF4" s="513"/>
      <c r="BG4" s="513"/>
      <c r="BH4" s="513"/>
      <c r="BI4" s="513"/>
      <c r="BJ4" s="513"/>
      <c r="BK4" s="513"/>
      <c r="BL4" s="513"/>
      <c r="BM4" s="513"/>
      <c r="BN4" s="513"/>
    </row>
    <row r="5" spans="1:66" ht="15.75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4"/>
      <c r="P5" s="24"/>
      <c r="Q5" s="24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7"/>
      <c r="BD5" s="21"/>
      <c r="BE5" s="21"/>
      <c r="BF5" s="28"/>
      <c r="BG5" s="29"/>
      <c r="BH5" s="29"/>
      <c r="BI5" s="29"/>
      <c r="BJ5" s="29"/>
      <c r="BK5" s="29"/>
      <c r="BL5" s="29"/>
      <c r="BM5" s="29"/>
      <c r="BN5" s="21"/>
    </row>
    <row r="6" spans="1:66" ht="15.7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4"/>
      <c r="P6" s="24"/>
      <c r="Q6" s="24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509">
        <v>42818</v>
      </c>
      <c r="BD6" s="509"/>
      <c r="BE6" s="509"/>
      <c r="BF6" s="509"/>
      <c r="BG6" s="509"/>
      <c r="BH6" s="509"/>
      <c r="BI6" s="509"/>
      <c r="BJ6" s="509"/>
      <c r="BK6" s="509"/>
      <c r="BL6" s="509"/>
      <c r="BM6" s="509"/>
      <c r="BN6" s="509"/>
    </row>
    <row r="7" spans="1:66" ht="25.5">
      <c r="A7" s="530" t="s">
        <v>418</v>
      </c>
      <c r="B7" s="530"/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30"/>
      <c r="AN7" s="530"/>
      <c r="AO7" s="530"/>
      <c r="AP7" s="530"/>
      <c r="AQ7" s="530"/>
      <c r="AR7" s="530"/>
      <c r="AS7" s="530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</row>
    <row r="8" spans="1:66" s="3" customFormat="1" ht="15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3"/>
      <c r="P8" s="26"/>
      <c r="Q8" s="26"/>
      <c r="R8" s="26"/>
      <c r="S8" s="26"/>
      <c r="T8" s="26"/>
      <c r="U8" s="26"/>
      <c r="V8" s="26"/>
      <c r="W8" s="26"/>
      <c r="X8" s="654" t="s">
        <v>354</v>
      </c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505"/>
      <c r="AP8" s="505"/>
      <c r="AQ8" s="505"/>
      <c r="AR8" s="505"/>
      <c r="AS8" s="505"/>
      <c r="AT8" s="505"/>
      <c r="AU8" s="505"/>
      <c r="AV8" s="26"/>
      <c r="AW8" s="26"/>
      <c r="AX8" s="26"/>
      <c r="AY8" s="26"/>
      <c r="AZ8" s="26"/>
      <c r="BA8" s="26"/>
      <c r="BB8" s="26"/>
      <c r="BC8" s="26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</row>
    <row r="9" spans="1:66" s="3" customFormat="1" ht="15.75" customHeight="1">
      <c r="A9" s="484" t="s">
        <v>133</v>
      </c>
      <c r="B9" s="484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84"/>
      <c r="N9" s="484"/>
      <c r="O9" s="524" t="s">
        <v>347</v>
      </c>
      <c r="P9" s="524"/>
      <c r="Q9" s="524"/>
      <c r="R9" s="524"/>
      <c r="S9" s="524"/>
      <c r="T9" s="524"/>
      <c r="U9" s="524"/>
      <c r="V9" s="524"/>
      <c r="W9" s="524"/>
      <c r="X9" s="524"/>
      <c r="Y9" s="524"/>
      <c r="Z9" s="524"/>
      <c r="AA9" s="524"/>
      <c r="AB9" s="524"/>
      <c r="AC9" s="524"/>
      <c r="AD9" s="524"/>
      <c r="AE9" s="524"/>
      <c r="AF9" s="524"/>
      <c r="AG9" s="524"/>
      <c r="AH9" s="524"/>
      <c r="AI9" s="524"/>
      <c r="AJ9" s="524"/>
      <c r="AK9" s="524"/>
      <c r="AL9" s="524"/>
      <c r="AM9" s="524"/>
      <c r="AN9" s="524"/>
      <c r="AO9" s="524"/>
      <c r="AP9" s="524"/>
      <c r="AQ9" s="524"/>
      <c r="AR9" s="524"/>
      <c r="AS9" s="524"/>
      <c r="AT9" s="524"/>
      <c r="AU9" s="524"/>
      <c r="AV9" s="524"/>
      <c r="AW9" s="524"/>
      <c r="AX9" s="524"/>
      <c r="AY9" s="524"/>
      <c r="AZ9" s="524"/>
      <c r="BA9" s="524"/>
      <c r="BB9" s="524"/>
      <c r="BC9" s="514" t="s">
        <v>51</v>
      </c>
      <c r="BD9" s="514"/>
      <c r="BE9" s="514"/>
      <c r="BF9" s="514"/>
      <c r="BG9" s="514"/>
      <c r="BH9" s="514"/>
      <c r="BI9" s="514"/>
      <c r="BJ9" s="514"/>
      <c r="BK9" s="514"/>
      <c r="BL9" s="514"/>
      <c r="BM9" s="514"/>
      <c r="BN9" s="514"/>
    </row>
    <row r="10" spans="1:66" s="3" customFormat="1" ht="15.75" customHeight="1">
      <c r="A10" s="484" t="s">
        <v>130</v>
      </c>
      <c r="B10" s="484"/>
      <c r="C10" s="484"/>
      <c r="D10" s="484"/>
      <c r="E10" s="484"/>
      <c r="F10" s="484"/>
      <c r="G10" s="484"/>
      <c r="H10" s="484"/>
      <c r="I10" s="484"/>
      <c r="J10" s="484"/>
      <c r="K10" s="484"/>
      <c r="L10" s="484"/>
      <c r="M10" s="484"/>
      <c r="N10" s="484"/>
      <c r="O10" s="507" t="s">
        <v>248</v>
      </c>
      <c r="P10" s="507"/>
      <c r="Q10" s="507"/>
      <c r="R10" s="507"/>
      <c r="S10" s="507"/>
      <c r="T10" s="507"/>
      <c r="U10" s="507"/>
      <c r="V10" s="507"/>
      <c r="W10" s="507"/>
      <c r="X10" s="507"/>
      <c r="Y10" s="507"/>
      <c r="Z10" s="507"/>
      <c r="AA10" s="507"/>
      <c r="AB10" s="507"/>
      <c r="AC10" s="507"/>
      <c r="AD10" s="507"/>
      <c r="AE10" s="507"/>
      <c r="AF10" s="507"/>
      <c r="AG10" s="507"/>
      <c r="AH10" s="507"/>
      <c r="AI10" s="507"/>
      <c r="AJ10" s="507"/>
      <c r="AK10" s="507"/>
      <c r="AL10" s="507"/>
      <c r="AM10" s="507"/>
      <c r="AN10" s="507"/>
      <c r="AO10" s="507"/>
      <c r="AP10" s="507"/>
      <c r="AQ10" s="507"/>
      <c r="AR10" s="507"/>
      <c r="AS10" s="507"/>
      <c r="AT10" s="507"/>
      <c r="AU10" s="507"/>
      <c r="AV10" s="507"/>
      <c r="AW10" s="507"/>
      <c r="AX10" s="507"/>
      <c r="AY10" s="507"/>
      <c r="AZ10" s="507"/>
      <c r="BA10" s="507"/>
      <c r="BB10" s="507"/>
      <c r="BC10" s="514"/>
      <c r="BD10" s="514"/>
      <c r="BE10" s="514"/>
      <c r="BF10" s="514"/>
      <c r="BG10" s="514"/>
      <c r="BH10" s="514"/>
      <c r="BI10" s="514"/>
      <c r="BJ10" s="514"/>
      <c r="BK10" s="514"/>
      <c r="BL10" s="514"/>
      <c r="BM10" s="514"/>
      <c r="BN10" s="514"/>
    </row>
    <row r="11" spans="1:66" s="3" customFormat="1" ht="15.75" customHeight="1">
      <c r="A11" s="484" t="s">
        <v>160</v>
      </c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507"/>
      <c r="P11" s="507"/>
      <c r="Q11" s="507"/>
      <c r="R11" s="507"/>
      <c r="S11" s="507"/>
      <c r="T11" s="507"/>
      <c r="U11" s="507"/>
      <c r="V11" s="507"/>
      <c r="W11" s="507"/>
      <c r="X11" s="507"/>
      <c r="Y11" s="507"/>
      <c r="Z11" s="507"/>
      <c r="AA11" s="507"/>
      <c r="AB11" s="507"/>
      <c r="AC11" s="507"/>
      <c r="AD11" s="507"/>
      <c r="AE11" s="507"/>
      <c r="AF11" s="507"/>
      <c r="AG11" s="507"/>
      <c r="AH11" s="507"/>
      <c r="AI11" s="507"/>
      <c r="AJ11" s="507"/>
      <c r="AK11" s="507"/>
      <c r="AL11" s="507"/>
      <c r="AM11" s="507"/>
      <c r="AN11" s="507"/>
      <c r="AO11" s="507"/>
      <c r="AP11" s="507"/>
      <c r="AQ11" s="507"/>
      <c r="AR11" s="507"/>
      <c r="AS11" s="507"/>
      <c r="AT11" s="507"/>
      <c r="AU11" s="507"/>
      <c r="AV11" s="507"/>
      <c r="AW11" s="507"/>
      <c r="AX11" s="507"/>
      <c r="AY11" s="507"/>
      <c r="AZ11" s="507"/>
      <c r="BA11" s="507"/>
      <c r="BB11" s="507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</row>
    <row r="12" spans="1:66" s="3" customFormat="1" ht="15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507"/>
      <c r="P12" s="507"/>
      <c r="Q12" s="507"/>
      <c r="R12" s="507"/>
      <c r="S12" s="507"/>
      <c r="T12" s="507"/>
      <c r="U12" s="507"/>
      <c r="V12" s="507"/>
      <c r="W12" s="507"/>
      <c r="X12" s="507"/>
      <c r="Y12" s="507"/>
      <c r="Z12" s="507"/>
      <c r="AA12" s="507"/>
      <c r="AB12" s="507"/>
      <c r="AC12" s="507"/>
      <c r="AD12" s="507"/>
      <c r="AE12" s="507"/>
      <c r="AF12" s="507"/>
      <c r="AG12" s="507"/>
      <c r="AH12" s="507"/>
      <c r="AI12" s="507"/>
      <c r="AJ12" s="507"/>
      <c r="AK12" s="507"/>
      <c r="AL12" s="507"/>
      <c r="AM12" s="507"/>
      <c r="AN12" s="507"/>
      <c r="AO12" s="507"/>
      <c r="AP12" s="507"/>
      <c r="AQ12" s="507"/>
      <c r="AR12" s="507"/>
      <c r="AS12" s="507"/>
      <c r="AT12" s="507"/>
      <c r="AU12" s="507"/>
      <c r="AV12" s="507"/>
      <c r="AW12" s="507"/>
      <c r="AX12" s="507"/>
      <c r="AY12" s="507"/>
      <c r="AZ12" s="507"/>
      <c r="BA12" s="507"/>
      <c r="BB12" s="507"/>
      <c r="BC12" s="514"/>
      <c r="BD12" s="514"/>
      <c r="BE12" s="514"/>
      <c r="BF12" s="514"/>
      <c r="BG12" s="514"/>
      <c r="BH12" s="514"/>
      <c r="BI12" s="514"/>
      <c r="BJ12" s="514"/>
      <c r="BK12" s="514"/>
      <c r="BL12" s="514"/>
      <c r="BM12" s="514"/>
      <c r="BN12" s="514"/>
    </row>
    <row r="13" spans="1:66" s="3" customFormat="1" ht="15.75" customHeight="1">
      <c r="A13" s="484" t="s">
        <v>48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507" t="s">
        <v>131</v>
      </c>
      <c r="P13" s="507"/>
      <c r="Q13" s="507"/>
      <c r="R13" s="507"/>
      <c r="S13" s="507"/>
      <c r="T13" s="507"/>
      <c r="U13" s="507"/>
      <c r="V13" s="507"/>
      <c r="W13" s="507"/>
      <c r="X13" s="507"/>
      <c r="Y13" s="507"/>
      <c r="Z13" s="507"/>
      <c r="AA13" s="507"/>
      <c r="AB13" s="507"/>
      <c r="AC13" s="507"/>
      <c r="AD13" s="507"/>
      <c r="AE13" s="507"/>
      <c r="AF13" s="507"/>
      <c r="AG13" s="507"/>
      <c r="AH13" s="507"/>
      <c r="AI13" s="507"/>
      <c r="AJ13" s="507"/>
      <c r="AK13" s="507"/>
      <c r="AL13" s="507"/>
      <c r="AM13" s="507"/>
      <c r="AN13" s="507"/>
      <c r="AO13" s="507"/>
      <c r="AP13" s="507"/>
      <c r="AQ13" s="507"/>
      <c r="AR13" s="507"/>
      <c r="AS13" s="507"/>
      <c r="AT13" s="507"/>
      <c r="AU13" s="507"/>
      <c r="AV13" s="507"/>
      <c r="AW13" s="507"/>
      <c r="AX13" s="507"/>
      <c r="AY13" s="507"/>
      <c r="AZ13" s="507"/>
      <c r="BA13" s="507"/>
      <c r="BB13" s="507"/>
      <c r="BC13" s="511" t="s">
        <v>319</v>
      </c>
      <c r="BD13" s="512"/>
      <c r="BE13" s="512"/>
      <c r="BF13" s="512"/>
      <c r="BG13" s="512"/>
      <c r="BH13" s="512"/>
      <c r="BI13" s="512"/>
      <c r="BJ13" s="512"/>
      <c r="BK13" s="512"/>
      <c r="BL13" s="512"/>
      <c r="BM13" s="512"/>
      <c r="BN13" s="512"/>
    </row>
    <row r="14" spans="1:66" s="3" customFormat="1" ht="15.75" customHeight="1">
      <c r="A14" s="484" t="s">
        <v>134</v>
      </c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507" t="s">
        <v>135</v>
      </c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507"/>
      <c r="AD14" s="507"/>
      <c r="AE14" s="507"/>
      <c r="AF14" s="507"/>
      <c r="AG14" s="507"/>
      <c r="AH14" s="507"/>
      <c r="AI14" s="507"/>
      <c r="AJ14" s="507"/>
      <c r="AK14" s="507"/>
      <c r="AL14" s="507"/>
      <c r="AM14" s="507"/>
      <c r="AN14" s="507"/>
      <c r="AO14" s="507"/>
      <c r="AP14" s="507"/>
      <c r="AQ14" s="507"/>
      <c r="AR14" s="507"/>
      <c r="AS14" s="507"/>
      <c r="AT14" s="507"/>
      <c r="AU14" s="507"/>
      <c r="AV14" s="507"/>
      <c r="AW14" s="507"/>
      <c r="AX14" s="507"/>
      <c r="AY14" s="507"/>
      <c r="AZ14" s="507"/>
      <c r="BA14" s="507"/>
      <c r="BB14" s="507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</row>
    <row r="15" spans="1:66" s="3" customFormat="1" ht="15.75" customHeight="1">
      <c r="A15" s="484" t="s">
        <v>49</v>
      </c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  <c r="O15" s="507" t="s">
        <v>99</v>
      </c>
      <c r="P15" s="507"/>
      <c r="Q15" s="507"/>
      <c r="R15" s="507"/>
      <c r="S15" s="507"/>
      <c r="T15" s="507"/>
      <c r="U15" s="507"/>
      <c r="V15" s="507"/>
      <c r="W15" s="507"/>
      <c r="X15" s="507"/>
      <c r="Y15" s="507"/>
      <c r="Z15" s="507"/>
      <c r="AA15" s="507"/>
      <c r="AB15" s="507"/>
      <c r="AC15" s="507"/>
      <c r="AD15" s="507"/>
      <c r="AE15" s="507"/>
      <c r="AF15" s="507"/>
      <c r="AG15" s="507"/>
      <c r="AH15" s="507"/>
      <c r="AI15" s="507"/>
      <c r="AJ15" s="507"/>
      <c r="AK15" s="507"/>
      <c r="AL15" s="507"/>
      <c r="AM15" s="507"/>
      <c r="AN15" s="507"/>
      <c r="AO15" s="507"/>
      <c r="AP15" s="507"/>
      <c r="AQ15" s="507"/>
      <c r="AR15" s="507"/>
      <c r="AS15" s="507"/>
      <c r="AT15" s="507"/>
      <c r="AU15" s="507"/>
      <c r="AV15" s="507"/>
      <c r="AW15" s="507"/>
      <c r="AX15" s="507"/>
      <c r="AY15" s="507"/>
      <c r="AZ15" s="507"/>
      <c r="BA15" s="507"/>
      <c r="BB15" s="507"/>
      <c r="BC15" s="26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</row>
    <row r="16" spans="1:66" ht="15.75" customHeight="1">
      <c r="A16" s="484" t="s">
        <v>216</v>
      </c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525">
        <v>3</v>
      </c>
      <c r="P16" s="525"/>
      <c r="Q16" s="497" t="s">
        <v>217</v>
      </c>
      <c r="R16" s="497"/>
      <c r="S16" s="497"/>
      <c r="T16" s="525">
        <v>5</v>
      </c>
      <c r="U16" s="525"/>
      <c r="V16" s="503" t="s">
        <v>218</v>
      </c>
      <c r="W16" s="503"/>
      <c r="X16" s="503"/>
      <c r="Y16" s="503"/>
      <c r="Z16" s="503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24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</row>
    <row r="17" spans="1:66" ht="15.75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526" t="s">
        <v>50</v>
      </c>
      <c r="P17" s="526"/>
      <c r="Q17" s="526"/>
      <c r="R17" s="526"/>
      <c r="S17" s="526"/>
      <c r="T17" s="526"/>
      <c r="U17" s="526"/>
      <c r="V17" s="526"/>
      <c r="W17" s="526"/>
      <c r="X17" s="526"/>
      <c r="Y17" s="526"/>
      <c r="Z17" s="526"/>
      <c r="AA17" s="526"/>
      <c r="AB17" s="526"/>
      <c r="AC17" s="526"/>
      <c r="AD17" s="526"/>
      <c r="AE17" s="526"/>
      <c r="AF17" s="526"/>
      <c r="AG17" s="526"/>
      <c r="AH17" s="526"/>
      <c r="AI17" s="526"/>
      <c r="AJ17" s="526"/>
      <c r="AK17" s="526"/>
      <c r="AL17" s="526"/>
      <c r="AM17" s="526"/>
      <c r="AN17" s="526"/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31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9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12.75">
      <c r="A19" s="485" t="s">
        <v>9</v>
      </c>
      <c r="B19" s="491" t="s">
        <v>10</v>
      </c>
      <c r="C19" s="492"/>
      <c r="D19" s="492"/>
      <c r="E19" s="493"/>
      <c r="F19" s="499" t="s">
        <v>419</v>
      </c>
      <c r="G19" s="491" t="s">
        <v>24</v>
      </c>
      <c r="H19" s="492"/>
      <c r="I19" s="493"/>
      <c r="J19" s="499" t="s">
        <v>420</v>
      </c>
      <c r="K19" s="491" t="s">
        <v>11</v>
      </c>
      <c r="L19" s="492"/>
      <c r="M19" s="492"/>
      <c r="N19" s="493"/>
      <c r="O19" s="491" t="s">
        <v>12</v>
      </c>
      <c r="P19" s="492"/>
      <c r="Q19" s="492"/>
      <c r="R19" s="493"/>
      <c r="S19" s="499" t="s">
        <v>421</v>
      </c>
      <c r="T19" s="491" t="s">
        <v>13</v>
      </c>
      <c r="U19" s="492"/>
      <c r="V19" s="493"/>
      <c r="W19" s="499" t="s">
        <v>422</v>
      </c>
      <c r="X19" s="491" t="s">
        <v>14</v>
      </c>
      <c r="Y19" s="492"/>
      <c r="Z19" s="493"/>
      <c r="AA19" s="499" t="s">
        <v>423</v>
      </c>
      <c r="AB19" s="491" t="s">
        <v>15</v>
      </c>
      <c r="AC19" s="492"/>
      <c r="AD19" s="492"/>
      <c r="AE19" s="493"/>
      <c r="AF19" s="499" t="s">
        <v>424</v>
      </c>
      <c r="AG19" s="491" t="s">
        <v>16</v>
      </c>
      <c r="AH19" s="492"/>
      <c r="AI19" s="493"/>
      <c r="AJ19" s="499" t="s">
        <v>425</v>
      </c>
      <c r="AK19" s="491" t="s">
        <v>17</v>
      </c>
      <c r="AL19" s="492"/>
      <c r="AM19" s="492"/>
      <c r="AN19" s="493"/>
      <c r="AO19" s="491" t="s">
        <v>18</v>
      </c>
      <c r="AP19" s="492"/>
      <c r="AQ19" s="492"/>
      <c r="AR19" s="493"/>
      <c r="AS19" s="499" t="s">
        <v>426</v>
      </c>
      <c r="AT19" s="491" t="s">
        <v>19</v>
      </c>
      <c r="AU19" s="492"/>
      <c r="AV19" s="493"/>
      <c r="AW19" s="499" t="s">
        <v>427</v>
      </c>
      <c r="AX19" s="491" t="s">
        <v>20</v>
      </c>
      <c r="AY19" s="492"/>
      <c r="AZ19" s="492"/>
      <c r="BA19" s="493"/>
      <c r="BB19" s="534" t="s">
        <v>58</v>
      </c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6"/>
    </row>
    <row r="20" spans="1:66" ht="15.75" customHeight="1">
      <c r="A20" s="486"/>
      <c r="B20" s="494"/>
      <c r="C20" s="495"/>
      <c r="D20" s="495"/>
      <c r="E20" s="496"/>
      <c r="F20" s="500"/>
      <c r="G20" s="494"/>
      <c r="H20" s="495"/>
      <c r="I20" s="496"/>
      <c r="J20" s="500"/>
      <c r="K20" s="494"/>
      <c r="L20" s="495"/>
      <c r="M20" s="495"/>
      <c r="N20" s="496"/>
      <c r="O20" s="494"/>
      <c r="P20" s="495"/>
      <c r="Q20" s="495"/>
      <c r="R20" s="496"/>
      <c r="S20" s="500"/>
      <c r="T20" s="494"/>
      <c r="U20" s="495"/>
      <c r="V20" s="496"/>
      <c r="W20" s="500"/>
      <c r="X20" s="494"/>
      <c r="Y20" s="495"/>
      <c r="Z20" s="496"/>
      <c r="AA20" s="500"/>
      <c r="AB20" s="494"/>
      <c r="AC20" s="495"/>
      <c r="AD20" s="495"/>
      <c r="AE20" s="496"/>
      <c r="AF20" s="500"/>
      <c r="AG20" s="494"/>
      <c r="AH20" s="495"/>
      <c r="AI20" s="496"/>
      <c r="AJ20" s="500"/>
      <c r="AK20" s="494"/>
      <c r="AL20" s="495"/>
      <c r="AM20" s="495"/>
      <c r="AN20" s="496"/>
      <c r="AO20" s="494"/>
      <c r="AP20" s="495"/>
      <c r="AQ20" s="495"/>
      <c r="AR20" s="496"/>
      <c r="AS20" s="500"/>
      <c r="AT20" s="494"/>
      <c r="AU20" s="495"/>
      <c r="AV20" s="496"/>
      <c r="AW20" s="500"/>
      <c r="AX20" s="494"/>
      <c r="AY20" s="495"/>
      <c r="AZ20" s="495"/>
      <c r="BA20" s="496"/>
      <c r="BB20" s="655" t="s">
        <v>7</v>
      </c>
      <c r="BC20" s="656"/>
      <c r="BD20" s="657"/>
      <c r="BE20" s="655" t="s">
        <v>240</v>
      </c>
      <c r="BF20" s="656"/>
      <c r="BG20" s="657"/>
      <c r="BH20" s="664" t="s">
        <v>5</v>
      </c>
      <c r="BI20" s="664" t="s">
        <v>113</v>
      </c>
      <c r="BJ20" s="664" t="s">
        <v>45</v>
      </c>
      <c r="BK20" s="664" t="s">
        <v>59</v>
      </c>
      <c r="BL20" s="664" t="s">
        <v>60</v>
      </c>
      <c r="BM20" s="664" t="s">
        <v>46</v>
      </c>
      <c r="BN20" s="664" t="s">
        <v>1</v>
      </c>
    </row>
    <row r="21" spans="1:66" ht="15.75" customHeight="1">
      <c r="A21" s="486"/>
      <c r="B21" s="7">
        <v>1</v>
      </c>
      <c r="C21" s="7">
        <v>8</v>
      </c>
      <c r="D21" s="7">
        <v>15</v>
      </c>
      <c r="E21" s="7">
        <v>22</v>
      </c>
      <c r="F21" s="501" t="s">
        <v>428</v>
      </c>
      <c r="G21" s="7">
        <v>6</v>
      </c>
      <c r="H21" s="7">
        <v>13</v>
      </c>
      <c r="I21" s="7">
        <v>20</v>
      </c>
      <c r="J21" s="501" t="s">
        <v>429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501" t="s">
        <v>430</v>
      </c>
      <c r="T21" s="7">
        <v>5</v>
      </c>
      <c r="U21" s="7">
        <v>12</v>
      </c>
      <c r="V21" s="7">
        <v>19</v>
      </c>
      <c r="W21" s="501" t="s">
        <v>431</v>
      </c>
      <c r="X21" s="7">
        <v>2</v>
      </c>
      <c r="Y21" s="7">
        <v>9</v>
      </c>
      <c r="Z21" s="7">
        <v>16</v>
      </c>
      <c r="AA21" s="501" t="s">
        <v>432</v>
      </c>
      <c r="AB21" s="7">
        <v>2</v>
      </c>
      <c r="AC21" s="7">
        <v>9</v>
      </c>
      <c r="AD21" s="7">
        <v>16</v>
      </c>
      <c r="AE21" s="7">
        <v>23</v>
      </c>
      <c r="AF21" s="501" t="s">
        <v>433</v>
      </c>
      <c r="AG21" s="7">
        <v>6</v>
      </c>
      <c r="AH21" s="7">
        <v>13</v>
      </c>
      <c r="AI21" s="7">
        <v>20</v>
      </c>
      <c r="AJ21" s="501" t="s">
        <v>434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501" t="s">
        <v>435</v>
      </c>
      <c r="AT21" s="7">
        <v>6</v>
      </c>
      <c r="AU21" s="7">
        <v>13</v>
      </c>
      <c r="AV21" s="7">
        <v>20</v>
      </c>
      <c r="AW21" s="501" t="s">
        <v>436</v>
      </c>
      <c r="AX21" s="7">
        <v>2</v>
      </c>
      <c r="AY21" s="7">
        <v>9</v>
      </c>
      <c r="AZ21" s="7">
        <v>16</v>
      </c>
      <c r="BA21" s="7">
        <v>23</v>
      </c>
      <c r="BB21" s="658"/>
      <c r="BC21" s="659"/>
      <c r="BD21" s="660"/>
      <c r="BE21" s="658"/>
      <c r="BF21" s="659"/>
      <c r="BG21" s="660"/>
      <c r="BH21" s="665"/>
      <c r="BI21" s="665"/>
      <c r="BJ21" s="665"/>
      <c r="BK21" s="665"/>
      <c r="BL21" s="665"/>
      <c r="BM21" s="665"/>
      <c r="BN21" s="665"/>
    </row>
    <row r="22" spans="1:66" ht="18" customHeight="1">
      <c r="A22" s="486"/>
      <c r="B22" s="4">
        <v>7</v>
      </c>
      <c r="C22" s="4">
        <v>14</v>
      </c>
      <c r="D22" s="4">
        <v>21</v>
      </c>
      <c r="E22" s="4">
        <v>28</v>
      </c>
      <c r="F22" s="502"/>
      <c r="G22" s="4">
        <v>12</v>
      </c>
      <c r="H22" s="4">
        <v>19</v>
      </c>
      <c r="I22" s="4">
        <v>26</v>
      </c>
      <c r="J22" s="502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502"/>
      <c r="T22" s="4">
        <v>11</v>
      </c>
      <c r="U22" s="4">
        <v>18</v>
      </c>
      <c r="V22" s="4">
        <v>25</v>
      </c>
      <c r="W22" s="502"/>
      <c r="X22" s="4">
        <v>8</v>
      </c>
      <c r="Y22" s="4">
        <v>15</v>
      </c>
      <c r="Z22" s="4">
        <v>22</v>
      </c>
      <c r="AA22" s="502"/>
      <c r="AB22" s="4">
        <v>8</v>
      </c>
      <c r="AC22" s="4">
        <v>15</v>
      </c>
      <c r="AD22" s="4">
        <v>22</v>
      </c>
      <c r="AE22" s="4">
        <v>29</v>
      </c>
      <c r="AF22" s="502"/>
      <c r="AG22" s="4">
        <v>12</v>
      </c>
      <c r="AH22" s="4">
        <v>19</v>
      </c>
      <c r="AI22" s="4">
        <v>26</v>
      </c>
      <c r="AJ22" s="502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502"/>
      <c r="AT22" s="4">
        <v>12</v>
      </c>
      <c r="AU22" s="4">
        <v>19</v>
      </c>
      <c r="AV22" s="4">
        <v>26</v>
      </c>
      <c r="AW22" s="502"/>
      <c r="AX22" s="4">
        <v>8</v>
      </c>
      <c r="AY22" s="4">
        <v>15</v>
      </c>
      <c r="AZ22" s="4">
        <v>22</v>
      </c>
      <c r="BA22" s="4">
        <v>31</v>
      </c>
      <c r="BB22" s="661"/>
      <c r="BC22" s="662"/>
      <c r="BD22" s="663"/>
      <c r="BE22" s="661"/>
      <c r="BF22" s="662"/>
      <c r="BG22" s="663"/>
      <c r="BH22" s="665"/>
      <c r="BI22" s="665"/>
      <c r="BJ22" s="665"/>
      <c r="BK22" s="665"/>
      <c r="BL22" s="665"/>
      <c r="BM22" s="665"/>
      <c r="BN22" s="665"/>
    </row>
    <row r="23" spans="1:66" ht="15.75" customHeight="1">
      <c r="A23" s="487"/>
      <c r="B23" s="290">
        <v>1</v>
      </c>
      <c r="C23" s="290">
        <v>2</v>
      </c>
      <c r="D23" s="290">
        <v>3</v>
      </c>
      <c r="E23" s="290">
        <v>4</v>
      </c>
      <c r="F23" s="290">
        <v>5</v>
      </c>
      <c r="G23" s="290">
        <v>6</v>
      </c>
      <c r="H23" s="290">
        <v>7</v>
      </c>
      <c r="I23" s="290">
        <v>8</v>
      </c>
      <c r="J23" s="290">
        <v>9</v>
      </c>
      <c r="K23" s="290">
        <v>10</v>
      </c>
      <c r="L23" s="290">
        <v>11</v>
      </c>
      <c r="M23" s="290">
        <v>12</v>
      </c>
      <c r="N23" s="290">
        <v>13</v>
      </c>
      <c r="O23" s="290">
        <v>14</v>
      </c>
      <c r="P23" s="290">
        <v>15</v>
      </c>
      <c r="Q23" s="290">
        <v>16</v>
      </c>
      <c r="R23" s="290">
        <v>17</v>
      </c>
      <c r="S23" s="290">
        <v>18</v>
      </c>
      <c r="T23" s="290">
        <v>19</v>
      </c>
      <c r="U23" s="290">
        <v>20</v>
      </c>
      <c r="V23" s="290">
        <v>21</v>
      </c>
      <c r="W23" s="290">
        <v>22</v>
      </c>
      <c r="X23" s="290">
        <v>23</v>
      </c>
      <c r="Y23" s="290">
        <v>24</v>
      </c>
      <c r="Z23" s="290">
        <v>25</v>
      </c>
      <c r="AA23" s="290">
        <v>26</v>
      </c>
      <c r="AB23" s="290">
        <v>27</v>
      </c>
      <c r="AC23" s="290">
        <v>28</v>
      </c>
      <c r="AD23" s="290">
        <v>29</v>
      </c>
      <c r="AE23" s="290">
        <v>30</v>
      </c>
      <c r="AF23" s="290">
        <v>31</v>
      </c>
      <c r="AG23" s="290">
        <v>32</v>
      </c>
      <c r="AH23" s="290">
        <v>33</v>
      </c>
      <c r="AI23" s="290">
        <v>34</v>
      </c>
      <c r="AJ23" s="290">
        <v>35</v>
      </c>
      <c r="AK23" s="290">
        <v>36</v>
      </c>
      <c r="AL23" s="290">
        <v>37</v>
      </c>
      <c r="AM23" s="290">
        <v>38</v>
      </c>
      <c r="AN23" s="290">
        <v>39</v>
      </c>
      <c r="AO23" s="290">
        <v>40</v>
      </c>
      <c r="AP23" s="290">
        <v>41</v>
      </c>
      <c r="AQ23" s="290">
        <v>42</v>
      </c>
      <c r="AR23" s="290">
        <v>43</v>
      </c>
      <c r="AS23" s="290">
        <v>44</v>
      </c>
      <c r="AT23" s="290">
        <v>45</v>
      </c>
      <c r="AU23" s="290">
        <v>46</v>
      </c>
      <c r="AV23" s="290">
        <v>47</v>
      </c>
      <c r="AW23" s="290">
        <v>48</v>
      </c>
      <c r="AX23" s="290">
        <v>49</v>
      </c>
      <c r="AY23" s="290">
        <v>50</v>
      </c>
      <c r="AZ23" s="290">
        <v>51</v>
      </c>
      <c r="BA23" s="290">
        <v>52</v>
      </c>
      <c r="BB23" s="291" t="s">
        <v>74</v>
      </c>
      <c r="BC23" s="291" t="s">
        <v>33</v>
      </c>
      <c r="BD23" s="292" t="s">
        <v>61</v>
      </c>
      <c r="BE23" s="291" t="s">
        <v>74</v>
      </c>
      <c r="BF23" s="291" t="s">
        <v>33</v>
      </c>
      <c r="BG23" s="292" t="s">
        <v>61</v>
      </c>
      <c r="BH23" s="666"/>
      <c r="BI23" s="666"/>
      <c r="BJ23" s="666"/>
      <c r="BK23" s="666"/>
      <c r="BL23" s="666"/>
      <c r="BM23" s="666"/>
      <c r="BN23" s="666"/>
    </row>
    <row r="24" spans="1:66" ht="15.75" customHeight="1">
      <c r="A24" s="8">
        <v>1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 t="s">
        <v>74</v>
      </c>
      <c r="R24" s="293" t="s">
        <v>74</v>
      </c>
      <c r="S24" s="293" t="s">
        <v>28</v>
      </c>
      <c r="T24" s="293" t="s">
        <v>28</v>
      </c>
      <c r="U24" s="293" t="s">
        <v>33</v>
      </c>
      <c r="V24" s="293" t="s">
        <v>33</v>
      </c>
      <c r="W24" s="293" t="s">
        <v>33</v>
      </c>
      <c r="X24" s="293" t="s">
        <v>33</v>
      </c>
      <c r="Y24" s="293" t="s">
        <v>33</v>
      </c>
      <c r="Z24" s="293" t="s">
        <v>33</v>
      </c>
      <c r="AA24" s="293" t="s">
        <v>33</v>
      </c>
      <c r="AB24" s="293" t="s">
        <v>33</v>
      </c>
      <c r="AC24" s="293" t="s">
        <v>33</v>
      </c>
      <c r="AD24" s="293" t="s">
        <v>33</v>
      </c>
      <c r="AE24" s="293" t="s">
        <v>33</v>
      </c>
      <c r="AF24" s="293" t="s">
        <v>175</v>
      </c>
      <c r="AG24" s="293" t="s">
        <v>175</v>
      </c>
      <c r="AH24" s="293" t="s">
        <v>175</v>
      </c>
      <c r="AI24" s="293" t="s">
        <v>175</v>
      </c>
      <c r="AJ24" s="293" t="s">
        <v>33</v>
      </c>
      <c r="AK24" s="293" t="s">
        <v>33</v>
      </c>
      <c r="AL24" s="293" t="s">
        <v>33</v>
      </c>
      <c r="AM24" s="293" t="s">
        <v>33</v>
      </c>
      <c r="AN24" s="293" t="s">
        <v>33</v>
      </c>
      <c r="AO24" s="293" t="s">
        <v>33</v>
      </c>
      <c r="AP24" s="293" t="s">
        <v>33</v>
      </c>
      <c r="AQ24" s="293" t="s">
        <v>33</v>
      </c>
      <c r="AR24" s="293" t="s">
        <v>33</v>
      </c>
      <c r="AS24" s="293" t="s">
        <v>28</v>
      </c>
      <c r="AT24" s="293" t="s">
        <v>28</v>
      </c>
      <c r="AU24" s="293" t="s">
        <v>28</v>
      </c>
      <c r="AV24" s="293" t="s">
        <v>28</v>
      </c>
      <c r="AW24" s="293" t="s">
        <v>28</v>
      </c>
      <c r="AX24" s="293" t="s">
        <v>28</v>
      </c>
      <c r="AY24" s="293" t="s">
        <v>28</v>
      </c>
      <c r="AZ24" s="293" t="s">
        <v>28</v>
      </c>
      <c r="BA24" s="293" t="s">
        <v>28</v>
      </c>
      <c r="BB24" s="294">
        <f>COUNTIF(B24:BA24,"о")</f>
        <v>2</v>
      </c>
      <c r="BC24" s="294">
        <f>COUNTIF(B24:BA24,"в")</f>
        <v>20</v>
      </c>
      <c r="BD24" s="20">
        <f>SUM(BB24:BC24)</f>
        <v>22</v>
      </c>
      <c r="BE24" s="294">
        <f>COUNTIF(B24:BA24,$R$32)</f>
        <v>0</v>
      </c>
      <c r="BF24" s="294">
        <f>COUNTIF(B24:BA24,$R$34)</f>
        <v>4</v>
      </c>
      <c r="BG24" s="20">
        <f>SUM(BE24:BF24)</f>
        <v>4</v>
      </c>
      <c r="BH24" s="20">
        <f>COUNTIF(B24:BA24,$AF$32)</f>
        <v>0</v>
      </c>
      <c r="BI24" s="20">
        <f>COUNTIF(B24:BA24,$AF$34)</f>
        <v>0</v>
      </c>
      <c r="BJ24" s="20">
        <f>COUNTIF(B24:BA24,$AQ$32)</f>
        <v>0</v>
      </c>
      <c r="BK24" s="20">
        <f>COUNTIF(B24:BA24,$AZ$32)</f>
        <v>0</v>
      </c>
      <c r="BL24" s="20">
        <f>COUNTIF(B24:BA24,$AQ$34)</f>
        <v>0</v>
      </c>
      <c r="BM24" s="20">
        <f>COUNTIF(B24:BA24,$AZ$34)</f>
        <v>11</v>
      </c>
      <c r="BN24" s="20">
        <f>SUM(BG24:BM24)+BD24</f>
        <v>37</v>
      </c>
    </row>
    <row r="25" spans="1:66" ht="15.75" customHeight="1">
      <c r="A25" s="8">
        <v>2</v>
      </c>
      <c r="B25" s="293" t="s">
        <v>74</v>
      </c>
      <c r="C25" s="293" t="s">
        <v>74</v>
      </c>
      <c r="D25" s="293" t="s">
        <v>74</v>
      </c>
      <c r="E25" s="293" t="s">
        <v>74</v>
      </c>
      <c r="F25" s="293" t="s">
        <v>74</v>
      </c>
      <c r="G25" s="293" t="s">
        <v>74</v>
      </c>
      <c r="H25" s="293" t="s">
        <v>74</v>
      </c>
      <c r="I25" s="293" t="s">
        <v>74</v>
      </c>
      <c r="J25" s="293" t="s">
        <v>74</v>
      </c>
      <c r="K25" s="293" t="s">
        <v>74</v>
      </c>
      <c r="L25" s="293" t="s">
        <v>74</v>
      </c>
      <c r="M25" s="293" t="s">
        <v>175</v>
      </c>
      <c r="N25" s="293" t="s">
        <v>175</v>
      </c>
      <c r="O25" s="293" t="s">
        <v>175</v>
      </c>
      <c r="P25" s="293" t="s">
        <v>175</v>
      </c>
      <c r="Q25" s="293" t="s">
        <v>74</v>
      </c>
      <c r="R25" s="293" t="s">
        <v>74</v>
      </c>
      <c r="S25" s="293" t="s">
        <v>28</v>
      </c>
      <c r="T25" s="293" t="s">
        <v>28</v>
      </c>
      <c r="U25" s="293" t="s">
        <v>33</v>
      </c>
      <c r="V25" s="293" t="s">
        <v>33</v>
      </c>
      <c r="W25" s="293" t="s">
        <v>33</v>
      </c>
      <c r="X25" s="293" t="s">
        <v>33</v>
      </c>
      <c r="Y25" s="293" t="s">
        <v>33</v>
      </c>
      <c r="Z25" s="293" t="s">
        <v>33</v>
      </c>
      <c r="AA25" s="293" t="s">
        <v>33</v>
      </c>
      <c r="AB25" s="293" t="s">
        <v>33</v>
      </c>
      <c r="AC25" s="293" t="s">
        <v>33</v>
      </c>
      <c r="AD25" s="293" t="s">
        <v>33</v>
      </c>
      <c r="AE25" s="293" t="s">
        <v>33</v>
      </c>
      <c r="AF25" s="293" t="s">
        <v>33</v>
      </c>
      <c r="AG25" s="293" t="s">
        <v>33</v>
      </c>
      <c r="AH25" s="293" t="s">
        <v>33</v>
      </c>
      <c r="AI25" s="293" t="s">
        <v>33</v>
      </c>
      <c r="AJ25" s="293" t="s">
        <v>33</v>
      </c>
      <c r="AK25" s="293" t="s">
        <v>33</v>
      </c>
      <c r="AL25" s="293" t="s">
        <v>33</v>
      </c>
      <c r="AM25" s="293" t="s">
        <v>33</v>
      </c>
      <c r="AN25" s="293" t="s">
        <v>33</v>
      </c>
      <c r="AO25" s="293" t="s">
        <v>52</v>
      </c>
      <c r="AP25" s="293" t="s">
        <v>52</v>
      </c>
      <c r="AQ25" s="293" t="s">
        <v>52</v>
      </c>
      <c r="AR25" s="293" t="s">
        <v>52</v>
      </c>
      <c r="AS25" s="293" t="s">
        <v>28</v>
      </c>
      <c r="AT25" s="293" t="s">
        <v>28</v>
      </c>
      <c r="AU25" s="293" t="s">
        <v>28</v>
      </c>
      <c r="AV25" s="293" t="s">
        <v>28</v>
      </c>
      <c r="AW25" s="293" t="s">
        <v>28</v>
      </c>
      <c r="AX25" s="293" t="s">
        <v>28</v>
      </c>
      <c r="AY25" s="293" t="s">
        <v>28</v>
      </c>
      <c r="AZ25" s="293" t="s">
        <v>28</v>
      </c>
      <c r="BA25" s="293" t="s">
        <v>28</v>
      </c>
      <c r="BB25" s="294">
        <f>COUNTIF(B25:BA25,"о")</f>
        <v>13</v>
      </c>
      <c r="BC25" s="294">
        <f>COUNTIF(B25:BA25,"в")</f>
        <v>20</v>
      </c>
      <c r="BD25" s="20">
        <f>SUM(BB25:BC25)</f>
        <v>33</v>
      </c>
      <c r="BE25" s="294">
        <f>COUNTIF(B25:BA25,$R$32)</f>
        <v>0</v>
      </c>
      <c r="BF25" s="294">
        <f>COUNTIF(B25:BA25,$R$34)</f>
        <v>4</v>
      </c>
      <c r="BG25" s="20">
        <f>SUM(BE25:BF25)</f>
        <v>4</v>
      </c>
      <c r="BH25" s="20">
        <f>COUNTIF(B25:BA25,$AF$32)</f>
        <v>4</v>
      </c>
      <c r="BI25" s="20">
        <f>COUNTIF(B25:BA25,$AF$34)</f>
        <v>0</v>
      </c>
      <c r="BJ25" s="20">
        <f>COUNTIF(B25:BA25,$AQ$32)</f>
        <v>0</v>
      </c>
      <c r="BK25" s="20">
        <f>COUNTIF(B25:BA25,$AZ$32)</f>
        <v>0</v>
      </c>
      <c r="BL25" s="20">
        <f>COUNTIF(B25:BA25,$AQ$34)</f>
        <v>0</v>
      </c>
      <c r="BM25" s="20">
        <f>COUNTIF(B25:BA25,$AZ$34)</f>
        <v>11</v>
      </c>
      <c r="BN25" s="20">
        <f>SUM(BG25:BM25)+BD25</f>
        <v>52</v>
      </c>
    </row>
    <row r="26" spans="1:66" ht="15.75" customHeight="1">
      <c r="A26" s="8">
        <v>3</v>
      </c>
      <c r="B26" s="293" t="s">
        <v>74</v>
      </c>
      <c r="C26" s="293" t="s">
        <v>74</v>
      </c>
      <c r="D26" s="293" t="s">
        <v>74</v>
      </c>
      <c r="E26" s="293" t="s">
        <v>74</v>
      </c>
      <c r="F26" s="293" t="s">
        <v>74</v>
      </c>
      <c r="G26" s="293" t="s">
        <v>74</v>
      </c>
      <c r="H26" s="293" t="s">
        <v>74</v>
      </c>
      <c r="I26" s="293" t="s">
        <v>74</v>
      </c>
      <c r="J26" s="293" t="s">
        <v>74</v>
      </c>
      <c r="K26" s="293" t="s">
        <v>74</v>
      </c>
      <c r="L26" s="293" t="s">
        <v>175</v>
      </c>
      <c r="M26" s="293" t="s">
        <v>175</v>
      </c>
      <c r="N26" s="293" t="s">
        <v>175</v>
      </c>
      <c r="O26" s="293" t="s">
        <v>175</v>
      </c>
      <c r="P26" s="293" t="s">
        <v>175</v>
      </c>
      <c r="Q26" s="293" t="s">
        <v>175</v>
      </c>
      <c r="R26" s="293" t="s">
        <v>74</v>
      </c>
      <c r="S26" s="293" t="s">
        <v>28</v>
      </c>
      <c r="T26" s="293" t="s">
        <v>28</v>
      </c>
      <c r="U26" s="293" t="s">
        <v>33</v>
      </c>
      <c r="V26" s="293" t="s">
        <v>33</v>
      </c>
      <c r="W26" s="293" t="s">
        <v>33</v>
      </c>
      <c r="X26" s="293" t="s">
        <v>33</v>
      </c>
      <c r="Y26" s="293" t="s">
        <v>33</v>
      </c>
      <c r="Z26" s="293" t="s">
        <v>33</v>
      </c>
      <c r="AA26" s="293" t="s">
        <v>28</v>
      </c>
      <c r="AB26" s="293" t="s">
        <v>28</v>
      </c>
      <c r="AC26" s="293" t="s">
        <v>28</v>
      </c>
      <c r="AD26" s="293" t="s">
        <v>28</v>
      </c>
      <c r="AE26" s="293" t="s">
        <v>28</v>
      </c>
      <c r="AF26" s="293" t="s">
        <v>28</v>
      </c>
      <c r="AG26" s="293" t="s">
        <v>28</v>
      </c>
      <c r="AH26" s="293" t="s">
        <v>28</v>
      </c>
      <c r="AI26" s="293" t="s">
        <v>28</v>
      </c>
      <c r="AJ26" s="293" t="s">
        <v>53</v>
      </c>
      <c r="AK26" s="293" t="s">
        <v>53</v>
      </c>
      <c r="AL26" s="293" t="s">
        <v>53</v>
      </c>
      <c r="AM26" s="293" t="s">
        <v>53</v>
      </c>
      <c r="AN26" s="293" t="s">
        <v>53</v>
      </c>
      <c r="AO26" s="293" t="s">
        <v>53</v>
      </c>
      <c r="AP26" s="293" t="s">
        <v>53</v>
      </c>
      <c r="AQ26" s="293" t="s">
        <v>53</v>
      </c>
      <c r="AR26" s="293" t="s">
        <v>53</v>
      </c>
      <c r="AS26" s="293" t="s">
        <v>53</v>
      </c>
      <c r="AT26" s="293" t="s">
        <v>53</v>
      </c>
      <c r="AU26" s="293" t="s">
        <v>53</v>
      </c>
      <c r="AV26" s="293" t="s">
        <v>53</v>
      </c>
      <c r="AW26" s="293" t="s">
        <v>53</v>
      </c>
      <c r="AX26" s="293" t="s">
        <v>53</v>
      </c>
      <c r="AY26" s="293" t="s">
        <v>53</v>
      </c>
      <c r="AZ26" s="293" t="s">
        <v>53</v>
      </c>
      <c r="BA26" s="293" t="s">
        <v>53</v>
      </c>
      <c r="BB26" s="294">
        <f>COUNTIF(B26:BA26,"о")</f>
        <v>11</v>
      </c>
      <c r="BC26" s="294">
        <f>COUNTIF(B26:BA26,"в")</f>
        <v>6</v>
      </c>
      <c r="BD26" s="20">
        <f>SUM(BB26:BC26)</f>
        <v>17</v>
      </c>
      <c r="BE26" s="294">
        <f>COUNTIF(B26:BA26,$R$32)</f>
        <v>0</v>
      </c>
      <c r="BF26" s="294">
        <f>COUNTIF(B26:BA26,$R$34)</f>
        <v>6</v>
      </c>
      <c r="BG26" s="20">
        <f>SUM(BE26:BF26)</f>
        <v>6</v>
      </c>
      <c r="BH26" s="20">
        <f>COUNTIF(B26:BA26,$AF$32)</f>
        <v>0</v>
      </c>
      <c r="BI26" s="20">
        <f>COUNTIF(B26:BA26,$AF$34)</f>
        <v>18</v>
      </c>
      <c r="BJ26" s="20">
        <f>COUNTIF(B26:BA26,$AQ$32)</f>
        <v>0</v>
      </c>
      <c r="BK26" s="20">
        <f>COUNTIF(B26:BA26,$AZ$32)</f>
        <v>0</v>
      </c>
      <c r="BL26" s="20">
        <f>COUNTIF(B26:BA26,$AQ$34)</f>
        <v>0</v>
      </c>
      <c r="BM26" s="20">
        <f>COUNTIF(B26:BA26,$AZ$34)</f>
        <v>11</v>
      </c>
      <c r="BN26" s="20">
        <f>SUM(BG26:BM26)+BD26</f>
        <v>52</v>
      </c>
    </row>
    <row r="27" spans="1:66" ht="15.75" customHeight="1">
      <c r="A27" s="8">
        <v>4</v>
      </c>
      <c r="B27" s="293" t="s">
        <v>53</v>
      </c>
      <c r="C27" s="293" t="s">
        <v>53</v>
      </c>
      <c r="D27" s="293" t="s">
        <v>53</v>
      </c>
      <c r="E27" s="293" t="s">
        <v>74</v>
      </c>
      <c r="F27" s="293" t="s">
        <v>74</v>
      </c>
      <c r="G27" s="293" t="s">
        <v>74</v>
      </c>
      <c r="H27" s="293" t="s">
        <v>74</v>
      </c>
      <c r="I27" s="293" t="s">
        <v>74</v>
      </c>
      <c r="J27" s="293" t="s">
        <v>74</v>
      </c>
      <c r="K27" s="293" t="s">
        <v>74</v>
      </c>
      <c r="L27" s="293" t="s">
        <v>175</v>
      </c>
      <c r="M27" s="293" t="s">
        <v>175</v>
      </c>
      <c r="N27" s="293" t="s">
        <v>175</v>
      </c>
      <c r="O27" s="293" t="s">
        <v>175</v>
      </c>
      <c r="P27" s="293" t="s">
        <v>175</v>
      </c>
      <c r="Q27" s="293" t="s">
        <v>175</v>
      </c>
      <c r="R27" s="293" t="s">
        <v>74</v>
      </c>
      <c r="S27" s="293" t="s">
        <v>28</v>
      </c>
      <c r="T27" s="293" t="s">
        <v>28</v>
      </c>
      <c r="U27" s="293" t="s">
        <v>33</v>
      </c>
      <c r="V27" s="293" t="s">
        <v>33</v>
      </c>
      <c r="W27" s="293" t="s">
        <v>33</v>
      </c>
      <c r="X27" s="293" t="s">
        <v>33</v>
      </c>
      <c r="Y27" s="293" t="s">
        <v>33</v>
      </c>
      <c r="Z27" s="293" t="s">
        <v>53</v>
      </c>
      <c r="AA27" s="293" t="s">
        <v>53</v>
      </c>
      <c r="AB27" s="293" t="s">
        <v>53</v>
      </c>
      <c r="AC27" s="293" t="s">
        <v>53</v>
      </c>
      <c r="AD27" s="293" t="s">
        <v>29</v>
      </c>
      <c r="AE27" s="293" t="s">
        <v>29</v>
      </c>
      <c r="AF27" s="293" t="s">
        <v>29</v>
      </c>
      <c r="AG27" s="293" t="s">
        <v>29</v>
      </c>
      <c r="AH27" s="293" t="s">
        <v>32</v>
      </c>
      <c r="AI27" s="293" t="s">
        <v>32</v>
      </c>
      <c r="AJ27" s="293" t="s">
        <v>25</v>
      </c>
      <c r="AK27" s="293" t="s">
        <v>25</v>
      </c>
      <c r="AL27" s="293" t="s">
        <v>25</v>
      </c>
      <c r="AM27" s="293" t="s">
        <v>25</v>
      </c>
      <c r="AN27" s="293" t="s">
        <v>25</v>
      </c>
      <c r="AO27" s="293" t="s">
        <v>25</v>
      </c>
      <c r="AP27" s="293" t="s">
        <v>25</v>
      </c>
      <c r="AQ27" s="293" t="s">
        <v>25</v>
      </c>
      <c r="AR27" s="293" t="s">
        <v>25</v>
      </c>
      <c r="AS27" s="293" t="s">
        <v>25</v>
      </c>
      <c r="AT27" s="293" t="s">
        <v>25</v>
      </c>
      <c r="AU27" s="293" t="s">
        <v>25</v>
      </c>
      <c r="AV27" s="293" t="s">
        <v>25</v>
      </c>
      <c r="AW27" s="293" t="s">
        <v>25</v>
      </c>
      <c r="AX27" s="293" t="s">
        <v>25</v>
      </c>
      <c r="AY27" s="293" t="s">
        <v>25</v>
      </c>
      <c r="AZ27" s="293" t="s">
        <v>25</v>
      </c>
      <c r="BA27" s="293" t="s">
        <v>25</v>
      </c>
      <c r="BB27" s="294">
        <f>COUNTIF(B27:BA27,"о")</f>
        <v>8</v>
      </c>
      <c r="BC27" s="294">
        <f>COUNTIF(B27:BA27,"в")</f>
        <v>5</v>
      </c>
      <c r="BD27" s="20">
        <f>SUM(BB27:BC27)</f>
        <v>13</v>
      </c>
      <c r="BE27" s="294">
        <f>COUNTIF(B27:BA27,$R$32)</f>
        <v>0</v>
      </c>
      <c r="BF27" s="294">
        <f>COUNTIF(B27:BA27,$R$34)</f>
        <v>6</v>
      </c>
      <c r="BG27" s="20">
        <f>SUM(BE27:BF27)</f>
        <v>6</v>
      </c>
      <c r="BH27" s="20">
        <f>COUNTIF(B27:BA27,$AF$32)</f>
        <v>0</v>
      </c>
      <c r="BI27" s="20">
        <f>COUNTIF(B27:BA27,$AF$34)</f>
        <v>7</v>
      </c>
      <c r="BJ27" s="20">
        <f>COUNTIF(B27:BA27,$AQ$32)</f>
        <v>4</v>
      </c>
      <c r="BK27" s="20">
        <f>COUNTIF(B27:BA27,$AZ$32)</f>
        <v>0</v>
      </c>
      <c r="BL27" s="20">
        <f>COUNTIF(B27:BA27,$AQ$34)</f>
        <v>2</v>
      </c>
      <c r="BM27" s="20">
        <f>COUNTIF(B27:BA27,$AZ$34)</f>
        <v>2</v>
      </c>
      <c r="BN27" s="20">
        <f>SUM(BG27:BM27)+BD27</f>
        <v>34</v>
      </c>
    </row>
    <row r="28" spans="1:66" ht="15.75" customHeight="1" hidden="1">
      <c r="A28" s="8">
        <v>5</v>
      </c>
      <c r="B28" s="293" t="s">
        <v>25</v>
      </c>
      <c r="C28" s="293" t="s">
        <v>25</v>
      </c>
      <c r="D28" s="293" t="s">
        <v>25</v>
      </c>
      <c r="E28" s="293" t="s">
        <v>25</v>
      </c>
      <c r="F28" s="293" t="s">
        <v>25</v>
      </c>
      <c r="G28" s="293" t="s">
        <v>25</v>
      </c>
      <c r="H28" s="293" t="s">
        <v>25</v>
      </c>
      <c r="I28" s="293" t="s">
        <v>25</v>
      </c>
      <c r="J28" s="293" t="s">
        <v>25</v>
      </c>
      <c r="K28" s="293" t="s">
        <v>25</v>
      </c>
      <c r="L28" s="293" t="s">
        <v>25</v>
      </c>
      <c r="M28" s="293" t="s">
        <v>25</v>
      </c>
      <c r="N28" s="293" t="s">
        <v>25</v>
      </c>
      <c r="O28" s="293" t="s">
        <v>25</v>
      </c>
      <c r="P28" s="293" t="s">
        <v>25</v>
      </c>
      <c r="Q28" s="293" t="s">
        <v>25</v>
      </c>
      <c r="R28" s="293" t="s">
        <v>25</v>
      </c>
      <c r="S28" s="293" t="s">
        <v>25</v>
      </c>
      <c r="T28" s="293" t="s">
        <v>25</v>
      </c>
      <c r="U28" s="293" t="s">
        <v>25</v>
      </c>
      <c r="V28" s="293" t="s">
        <v>25</v>
      </c>
      <c r="W28" s="293" t="s">
        <v>25</v>
      </c>
      <c r="X28" s="293" t="s">
        <v>25</v>
      </c>
      <c r="Y28" s="293" t="s">
        <v>25</v>
      </c>
      <c r="Z28" s="293" t="s">
        <v>25</v>
      </c>
      <c r="AA28" s="293" t="s">
        <v>25</v>
      </c>
      <c r="AB28" s="293" t="s">
        <v>25</v>
      </c>
      <c r="AC28" s="293" t="s">
        <v>25</v>
      </c>
      <c r="AD28" s="293" t="s">
        <v>25</v>
      </c>
      <c r="AE28" s="293" t="s">
        <v>25</v>
      </c>
      <c r="AF28" s="293" t="s">
        <v>25</v>
      </c>
      <c r="AG28" s="293" t="s">
        <v>25</v>
      </c>
      <c r="AH28" s="293" t="s">
        <v>25</v>
      </c>
      <c r="AI28" s="293" t="s">
        <v>25</v>
      </c>
      <c r="AJ28" s="293" t="s">
        <v>25</v>
      </c>
      <c r="AK28" s="293" t="s">
        <v>25</v>
      </c>
      <c r="AL28" s="293" t="s">
        <v>25</v>
      </c>
      <c r="AM28" s="293" t="s">
        <v>25</v>
      </c>
      <c r="AN28" s="293" t="s">
        <v>25</v>
      </c>
      <c r="AO28" s="293" t="s">
        <v>25</v>
      </c>
      <c r="AP28" s="293" t="s">
        <v>25</v>
      </c>
      <c r="AQ28" s="293" t="s">
        <v>25</v>
      </c>
      <c r="AR28" s="293" t="s">
        <v>25</v>
      </c>
      <c r="AS28" s="293" t="s">
        <v>25</v>
      </c>
      <c r="AT28" s="293" t="s">
        <v>25</v>
      </c>
      <c r="AU28" s="293" t="s">
        <v>25</v>
      </c>
      <c r="AV28" s="293"/>
      <c r="AW28" s="293"/>
      <c r="AX28" s="293"/>
      <c r="AY28" s="293"/>
      <c r="AZ28" s="293"/>
      <c r="BA28" s="293"/>
      <c r="BB28" s="294">
        <f>COUNTIF(B28:BA28,"о")</f>
        <v>0</v>
      </c>
      <c r="BC28" s="294">
        <f>COUNTIF(B28:BA28,"в")</f>
        <v>0</v>
      </c>
      <c r="BD28" s="20">
        <f>SUM(BB28:BC28)</f>
        <v>0</v>
      </c>
      <c r="BE28" s="294">
        <f>COUNTIF(B28:BA28,$R$32)</f>
        <v>0</v>
      </c>
      <c r="BF28" s="294">
        <f>COUNTIF(B28:BA28,$R$34)</f>
        <v>0</v>
      </c>
      <c r="BG28" s="20">
        <f>SUM(BE28:BF28)</f>
        <v>0</v>
      </c>
      <c r="BH28" s="20">
        <f>COUNTIF(B28:BA28,$AF$32)</f>
        <v>0</v>
      </c>
      <c r="BI28" s="20">
        <f>COUNTIF(B28:BA28,$AF$34)</f>
        <v>0</v>
      </c>
      <c r="BJ28" s="20">
        <f>COUNTIF(B28:BA28,$AQ$32)</f>
        <v>0</v>
      </c>
      <c r="BK28" s="20">
        <f>COUNTIF(B28:BA28,$AZ$32)</f>
        <v>0</v>
      </c>
      <c r="BL28" s="20">
        <f>COUNTIF(B28:BA28,$AQ$34)</f>
        <v>0</v>
      </c>
      <c r="BM28" s="20">
        <f>COUNTIF(B28:BA28,$AZ$34)</f>
        <v>0</v>
      </c>
      <c r="BN28" s="20">
        <f>SUM(BG28:BM28)+BD28</f>
        <v>0</v>
      </c>
    </row>
    <row r="29" spans="1:66" ht="15.75" customHeight="1" hidden="1">
      <c r="A29" s="295"/>
      <c r="B29" s="296"/>
      <c r="C29" s="297"/>
      <c r="D29" s="297"/>
      <c r="E29" s="297"/>
      <c r="F29" s="297"/>
      <c r="G29" s="297"/>
      <c r="H29" s="297"/>
      <c r="I29" s="298"/>
      <c r="J29" s="297"/>
      <c r="K29" s="297"/>
      <c r="L29" s="299"/>
      <c r="M29" s="297"/>
      <c r="N29" s="299"/>
      <c r="O29" s="297"/>
      <c r="P29" s="299"/>
      <c r="Q29" s="297"/>
      <c r="R29" s="299"/>
      <c r="S29" s="297"/>
      <c r="T29" s="299"/>
      <c r="U29" s="297"/>
      <c r="V29" s="300"/>
      <c r="W29" s="297"/>
      <c r="X29" s="299"/>
      <c r="Y29" s="298"/>
      <c r="Z29" s="297"/>
      <c r="AA29" s="300"/>
      <c r="AB29" s="299"/>
      <c r="AC29" s="298"/>
      <c r="AD29" s="297"/>
      <c r="AE29" s="297"/>
      <c r="AF29" s="299"/>
      <c r="AG29" s="297"/>
      <c r="AH29" s="299"/>
      <c r="AI29" s="297"/>
      <c r="AJ29" s="299"/>
      <c r="AK29" s="297"/>
      <c r="AL29" s="299"/>
      <c r="AM29" s="297"/>
      <c r="AN29" s="299"/>
      <c r="AO29" s="297"/>
      <c r="AP29" s="299"/>
      <c r="AQ29" s="297"/>
      <c r="AR29" s="298"/>
      <c r="AS29" s="297"/>
      <c r="AT29" s="299"/>
      <c r="AU29" s="297"/>
      <c r="AV29" s="299"/>
      <c r="AW29" s="297"/>
      <c r="AX29" s="300"/>
      <c r="AY29" s="293"/>
      <c r="AZ29" s="293"/>
      <c r="BA29" s="293"/>
      <c r="BB29" s="294"/>
      <c r="BC29" s="294"/>
      <c r="BD29" s="20"/>
      <c r="BE29" s="294"/>
      <c r="BF29" s="294"/>
      <c r="BG29" s="20"/>
      <c r="BH29" s="20"/>
      <c r="BI29" s="20"/>
      <c r="BJ29" s="20"/>
      <c r="BK29" s="20"/>
      <c r="BL29" s="20"/>
      <c r="BM29" s="20"/>
      <c r="BN29" s="20"/>
    </row>
    <row r="30" spans="1:66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533" t="s">
        <v>57</v>
      </c>
      <c r="AZ30" s="533"/>
      <c r="BA30" s="533"/>
      <c r="BB30" s="10">
        <f aca="true" t="shared" si="0" ref="BB30:BN30">SUM(BB24:BB28)</f>
        <v>34</v>
      </c>
      <c r="BC30" s="10">
        <f t="shared" si="0"/>
        <v>51</v>
      </c>
      <c r="BD30" s="10">
        <f t="shared" si="0"/>
        <v>85</v>
      </c>
      <c r="BE30" s="10">
        <f t="shared" si="0"/>
        <v>0</v>
      </c>
      <c r="BF30" s="10">
        <f t="shared" si="0"/>
        <v>20</v>
      </c>
      <c r="BG30" s="10">
        <f t="shared" si="0"/>
        <v>20</v>
      </c>
      <c r="BH30" s="10">
        <f t="shared" si="0"/>
        <v>4</v>
      </c>
      <c r="BI30" s="10">
        <f>SUM(BI24:BI28)</f>
        <v>25</v>
      </c>
      <c r="BJ30" s="10">
        <f t="shared" si="0"/>
        <v>4</v>
      </c>
      <c r="BK30" s="10">
        <f t="shared" si="0"/>
        <v>0</v>
      </c>
      <c r="BL30" s="10">
        <f t="shared" si="0"/>
        <v>2</v>
      </c>
      <c r="BM30" s="10">
        <f t="shared" si="0"/>
        <v>35</v>
      </c>
      <c r="BN30" s="10">
        <f t="shared" si="0"/>
        <v>175</v>
      </c>
    </row>
    <row r="31" spans="1:66" ht="10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</row>
    <row r="32" spans="1:66" s="5" customFormat="1" ht="11.25" customHeight="1">
      <c r="A32" s="32"/>
      <c r="B32" s="19" t="s">
        <v>74</v>
      </c>
      <c r="C32" s="33" t="s">
        <v>21</v>
      </c>
      <c r="D32" s="528" t="s">
        <v>437</v>
      </c>
      <c r="E32" s="528"/>
      <c r="F32" s="528"/>
      <c r="G32" s="528"/>
      <c r="H32" s="528"/>
      <c r="I32" s="528"/>
      <c r="J32" s="528"/>
      <c r="K32" s="528"/>
      <c r="L32" s="528"/>
      <c r="M32" s="528"/>
      <c r="N32" s="528"/>
      <c r="O32" s="528"/>
      <c r="P32" s="528"/>
      <c r="Q32" s="528"/>
      <c r="R32" s="13" t="s">
        <v>174</v>
      </c>
      <c r="S32" s="33" t="s">
        <v>21</v>
      </c>
      <c r="T32" s="528" t="s">
        <v>438</v>
      </c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15" t="s">
        <v>52</v>
      </c>
      <c r="AG32" s="33" t="s">
        <v>21</v>
      </c>
      <c r="AH32" s="531" t="s">
        <v>22</v>
      </c>
      <c r="AI32" s="531"/>
      <c r="AJ32" s="531"/>
      <c r="AK32" s="531"/>
      <c r="AL32" s="531"/>
      <c r="AM32" s="531"/>
      <c r="AN32" s="531"/>
      <c r="AO32" s="531"/>
      <c r="AP32" s="531"/>
      <c r="AQ32" s="13" t="s">
        <v>29</v>
      </c>
      <c r="AR32" s="33" t="s">
        <v>21</v>
      </c>
      <c r="AS32" s="528" t="s">
        <v>54</v>
      </c>
      <c r="AT32" s="528"/>
      <c r="AU32" s="528"/>
      <c r="AV32" s="528"/>
      <c r="AW32" s="528"/>
      <c r="AX32" s="528"/>
      <c r="AY32" s="528"/>
      <c r="AZ32" s="13" t="s">
        <v>62</v>
      </c>
      <c r="BA32" s="33" t="s">
        <v>21</v>
      </c>
      <c r="BB32" s="528" t="s">
        <v>55</v>
      </c>
      <c r="BC32" s="528"/>
      <c r="BD32" s="528"/>
      <c r="BE32" s="528"/>
      <c r="BF32" s="528"/>
      <c r="BG32" s="528"/>
      <c r="BH32" s="528"/>
      <c r="BI32" s="32"/>
      <c r="BJ32" s="32"/>
      <c r="BK32" s="32"/>
      <c r="BL32" s="32"/>
      <c r="BM32" s="32"/>
      <c r="BN32" s="32"/>
    </row>
    <row r="33" spans="1:66" s="5" customFormat="1" ht="11.25">
      <c r="A33" s="32"/>
      <c r="B33" s="32"/>
      <c r="C33" s="32"/>
      <c r="D33" s="33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4"/>
      <c r="V33" s="33"/>
      <c r="W33" s="34"/>
      <c r="X33" s="34"/>
      <c r="Y33" s="33"/>
      <c r="Z33" s="34"/>
      <c r="AA33" s="34"/>
      <c r="AB33" s="33"/>
      <c r="AC33" s="34"/>
      <c r="AD33" s="34"/>
      <c r="AE33" s="33"/>
      <c r="AF33" s="34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</row>
    <row r="34" spans="1:66" s="5" customFormat="1" ht="11.25" customHeight="1">
      <c r="A34" s="32"/>
      <c r="B34" s="19" t="s">
        <v>33</v>
      </c>
      <c r="C34" s="33" t="s">
        <v>21</v>
      </c>
      <c r="D34" s="528" t="s">
        <v>439</v>
      </c>
      <c r="E34" s="528"/>
      <c r="F34" s="528"/>
      <c r="G34" s="528"/>
      <c r="H34" s="528"/>
      <c r="I34" s="528"/>
      <c r="J34" s="528"/>
      <c r="K34" s="528"/>
      <c r="L34" s="528"/>
      <c r="M34" s="528"/>
      <c r="N34" s="528"/>
      <c r="O34" s="528"/>
      <c r="P34" s="528"/>
      <c r="Q34" s="528"/>
      <c r="R34" s="13" t="s">
        <v>175</v>
      </c>
      <c r="S34" s="33" t="s">
        <v>21</v>
      </c>
      <c r="T34" s="528" t="s">
        <v>440</v>
      </c>
      <c r="U34" s="528"/>
      <c r="V34" s="528"/>
      <c r="W34" s="528"/>
      <c r="X34" s="528"/>
      <c r="Y34" s="528"/>
      <c r="Z34" s="528"/>
      <c r="AA34" s="528"/>
      <c r="AB34" s="528"/>
      <c r="AC34" s="528"/>
      <c r="AD34" s="528"/>
      <c r="AE34" s="528"/>
      <c r="AF34" s="15" t="s">
        <v>53</v>
      </c>
      <c r="AG34" s="33" t="s">
        <v>21</v>
      </c>
      <c r="AH34" s="531" t="s">
        <v>171</v>
      </c>
      <c r="AI34" s="531"/>
      <c r="AJ34" s="531"/>
      <c r="AK34" s="531"/>
      <c r="AL34" s="531"/>
      <c r="AM34" s="531"/>
      <c r="AN34" s="531"/>
      <c r="AO34" s="531"/>
      <c r="AP34" s="531"/>
      <c r="AQ34" s="13" t="s">
        <v>32</v>
      </c>
      <c r="AR34" s="33" t="s">
        <v>21</v>
      </c>
      <c r="AS34" s="531" t="s">
        <v>56</v>
      </c>
      <c r="AT34" s="531"/>
      <c r="AU34" s="531"/>
      <c r="AV34" s="531"/>
      <c r="AW34" s="531"/>
      <c r="AX34" s="531"/>
      <c r="AY34" s="531"/>
      <c r="AZ34" s="16" t="s">
        <v>28</v>
      </c>
      <c r="BA34" s="33" t="s">
        <v>21</v>
      </c>
      <c r="BB34" s="531" t="s">
        <v>170</v>
      </c>
      <c r="BC34" s="531"/>
      <c r="BD34" s="531"/>
      <c r="BE34" s="531"/>
      <c r="BF34" s="531"/>
      <c r="BG34" s="532"/>
      <c r="BH34" s="9" t="s">
        <v>25</v>
      </c>
      <c r="BI34" s="33" t="s">
        <v>21</v>
      </c>
      <c r="BJ34" s="531" t="s">
        <v>44</v>
      </c>
      <c r="BK34" s="531"/>
      <c r="BL34" s="531"/>
      <c r="BM34" s="531"/>
      <c r="BN34" s="531"/>
    </row>
    <row r="35" spans="1:66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</row>
    <row r="36" spans="1:21" ht="12.75" hidden="1">
      <c r="A36" s="12"/>
      <c r="B36" s="14" t="str">
        <f>B32</f>
        <v>о</v>
      </c>
      <c r="D36" s="11" t="s">
        <v>97</v>
      </c>
      <c r="L36" s="537" t="s">
        <v>131</v>
      </c>
      <c r="M36" s="537"/>
      <c r="N36" s="537"/>
      <c r="O36" s="537"/>
      <c r="P36" s="537"/>
      <c r="Q36" s="537"/>
      <c r="R36" s="537"/>
      <c r="S36" s="537"/>
      <c r="T36" s="537"/>
      <c r="U36" s="537"/>
    </row>
    <row r="37" spans="1:64" ht="12.75" hidden="1">
      <c r="A37" s="12"/>
      <c r="B37" s="14" t="str">
        <f>R32</f>
        <v>оа</v>
      </c>
      <c r="D37" s="11" t="s">
        <v>98</v>
      </c>
      <c r="L37" s="537" t="s">
        <v>132</v>
      </c>
      <c r="M37" s="537"/>
      <c r="N37" s="537"/>
      <c r="O37" s="537"/>
      <c r="P37" s="537"/>
      <c r="Q37" s="537"/>
      <c r="R37" s="537"/>
      <c r="S37" s="537"/>
      <c r="T37" s="537"/>
      <c r="U37" s="537"/>
      <c r="BA37" s="5"/>
      <c r="BK37" s="1"/>
      <c r="BL37" s="1"/>
    </row>
    <row r="38" spans="1:64" ht="12.75" hidden="1">
      <c r="A38" s="12"/>
      <c r="B38" s="13" t="str">
        <f>B34</f>
        <v>в</v>
      </c>
      <c r="D38" s="11" t="s">
        <v>99</v>
      </c>
      <c r="L38" s="537" t="s">
        <v>135</v>
      </c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2.75" hidden="1">
      <c r="A39" s="12"/>
      <c r="B39" s="13" t="str">
        <f>R34</f>
        <v>ва</v>
      </c>
      <c r="D39" s="11"/>
      <c r="L39" s="537" t="s">
        <v>136</v>
      </c>
      <c r="M39" s="537"/>
      <c r="N39" s="537"/>
      <c r="O39" s="537"/>
      <c r="P39" s="537"/>
      <c r="Q39" s="537"/>
      <c r="R39" s="537"/>
      <c r="S39" s="537"/>
      <c r="T39" s="537"/>
      <c r="U39" s="537"/>
      <c r="V39" s="537"/>
      <c r="W39" s="537"/>
      <c r="X39" s="537"/>
      <c r="Y39" s="537"/>
      <c r="Z39" s="537"/>
      <c r="AA39" s="537"/>
      <c r="AB39" s="537"/>
      <c r="AC39" s="537"/>
      <c r="AD39" s="537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53" ht="12.75" hidden="1">
      <c r="A40" s="12"/>
      <c r="B40" s="15" t="str">
        <f>AF32</f>
        <v>у</v>
      </c>
      <c r="D40" s="11" t="s">
        <v>100</v>
      </c>
      <c r="AQ40" s="5"/>
      <c r="BA40" s="5"/>
    </row>
    <row r="41" spans="1:2" ht="12.75" hidden="1">
      <c r="A41" s="12"/>
      <c r="B41" s="15" t="str">
        <f>AF34</f>
        <v>п</v>
      </c>
    </row>
    <row r="42" spans="1:2" ht="12.75" hidden="1">
      <c r="A42" s="12"/>
      <c r="B42" s="16" t="str">
        <f>AZ34</f>
        <v>к</v>
      </c>
    </row>
    <row r="43" spans="1:2" ht="12.75" hidden="1">
      <c r="A43" s="12"/>
      <c r="B43" s="17" t="str">
        <f>AQ32</f>
        <v>д</v>
      </c>
    </row>
    <row r="44" spans="1:2" ht="12.75" hidden="1">
      <c r="A44" s="12"/>
      <c r="B44" s="17" t="str">
        <f>AZ32</f>
        <v>Г</v>
      </c>
    </row>
    <row r="45" spans="1:2" ht="12.75" hidden="1">
      <c r="A45" s="12"/>
      <c r="B45" s="17" t="str">
        <f>AQ34</f>
        <v>А</v>
      </c>
    </row>
    <row r="46" spans="1:2" ht="12.75" hidden="1">
      <c r="A46" s="12"/>
      <c r="B46" s="18" t="str">
        <f>BH34</f>
        <v> </v>
      </c>
    </row>
  </sheetData>
  <sheetProtection selectLockedCells="1" selectUnlockedCells="1"/>
  <mergeCells count="91">
    <mergeCell ref="L36:U36"/>
    <mergeCell ref="L37:U37"/>
    <mergeCell ref="L38:AD38"/>
    <mergeCell ref="L39:AD39"/>
    <mergeCell ref="D34:Q34"/>
    <mergeCell ref="T34:AE34"/>
    <mergeCell ref="AH34:AP34"/>
    <mergeCell ref="AS34:AY34"/>
    <mergeCell ref="BB34:BG34"/>
    <mergeCell ref="BJ34:BN34"/>
    <mergeCell ref="AY30:BA30"/>
    <mergeCell ref="D32:Q32"/>
    <mergeCell ref="T32:AE32"/>
    <mergeCell ref="AH32:AP32"/>
    <mergeCell ref="AS32:AY32"/>
    <mergeCell ref="BB32:BH32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B20:BD22"/>
    <mergeCell ref="BE20:BG22"/>
    <mergeCell ref="BH20:BH23"/>
    <mergeCell ref="BI20:BI23"/>
    <mergeCell ref="BJ20:BJ23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W19:W20"/>
    <mergeCell ref="X19:Z20"/>
    <mergeCell ref="AA19:AA20"/>
    <mergeCell ref="AB19:AE20"/>
    <mergeCell ref="AF19:AF20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A11:N11"/>
    <mergeCell ref="O11:BB11"/>
    <mergeCell ref="O12:BB12"/>
    <mergeCell ref="A13:N13"/>
    <mergeCell ref="O13:BB13"/>
    <mergeCell ref="BC13:BN13"/>
    <mergeCell ref="A4:N4"/>
    <mergeCell ref="BC4:BN4"/>
    <mergeCell ref="BC6:BN6"/>
    <mergeCell ref="A7:BN7"/>
    <mergeCell ref="X8:AU8"/>
    <mergeCell ref="A9:N9"/>
    <mergeCell ref="O9:BB9"/>
    <mergeCell ref="BC9:BN12"/>
    <mergeCell ref="A10:N10"/>
    <mergeCell ref="O10:BB10"/>
    <mergeCell ref="O1:BB1"/>
    <mergeCell ref="A2:N2"/>
    <mergeCell ref="O2:BB2"/>
    <mergeCell ref="BC2:BN2"/>
    <mergeCell ref="A3:G3"/>
    <mergeCell ref="H3:N3"/>
    <mergeCell ref="O3:BB3"/>
    <mergeCell ref="BC3:BN3"/>
  </mergeCells>
  <conditionalFormatting sqref="A36:A37">
    <cfRule type="cellIs" priority="16" dxfId="6" operator="equal" stopIfTrue="1">
      <formula>#REF!</formula>
    </cfRule>
  </conditionalFormatting>
  <conditionalFormatting sqref="A38:A39">
    <cfRule type="expression" priority="15" dxfId="331" stopIfTrue="1">
      <formula>$R$32</formula>
    </cfRule>
  </conditionalFormatting>
  <conditionalFormatting sqref="B36">
    <cfRule type="cellIs" priority="14" dxfId="6" operator="equal" stopIfTrue="1">
      <formula>$B$32</formula>
    </cfRule>
  </conditionalFormatting>
  <conditionalFormatting sqref="B37">
    <cfRule type="cellIs" priority="13" dxfId="5" operator="equal" stopIfTrue="1">
      <formula>$R$32</formula>
    </cfRule>
  </conditionalFormatting>
  <conditionalFormatting sqref="B38">
    <cfRule type="cellIs" priority="12" dxfId="332" operator="equal" stopIfTrue="1">
      <formula>$B$34</formula>
    </cfRule>
  </conditionalFormatting>
  <conditionalFormatting sqref="B39">
    <cfRule type="cellIs" priority="11" dxfId="331" operator="equal" stopIfTrue="1">
      <formula>$R$34</formula>
    </cfRule>
  </conditionalFormatting>
  <conditionalFormatting sqref="B40">
    <cfRule type="cellIs" priority="10" dxfId="6" operator="equal" stopIfTrue="1">
      <formula>$AF$32</formula>
    </cfRule>
  </conditionalFormatting>
  <conditionalFormatting sqref="B41">
    <cfRule type="cellIs" priority="9" dxfId="4" operator="equal" stopIfTrue="1">
      <formula>$AF$34</formula>
    </cfRule>
  </conditionalFormatting>
  <conditionalFormatting sqref="B42">
    <cfRule type="cellIs" priority="8" dxfId="0" operator="equal" stopIfTrue="1">
      <formula>$AZ$34</formula>
    </cfRule>
  </conditionalFormatting>
  <conditionalFormatting sqref="B43">
    <cfRule type="cellIs" priority="7" dxfId="5" operator="equal" stopIfTrue="1">
      <formula>$AQ$32</formula>
    </cfRule>
  </conditionalFormatting>
  <conditionalFormatting sqref="B44">
    <cfRule type="cellIs" priority="6" dxfId="5" operator="equal" stopIfTrue="1">
      <formula>$AZ$32</formula>
    </cfRule>
  </conditionalFormatting>
  <conditionalFormatting sqref="B45">
    <cfRule type="cellIs" priority="5" dxfId="5" operator="equal" stopIfTrue="1">
      <formula>$AQ$34</formula>
    </cfRule>
  </conditionalFormatting>
  <conditionalFormatting sqref="B46">
    <cfRule type="cellIs" priority="4" dxfId="6" operator="equal" stopIfTrue="1">
      <formula>$BH$34</formula>
    </cfRule>
  </conditionalFormatting>
  <conditionalFormatting sqref="B24:B28 B28:J28 C24:BA29">
    <cfRule type="expression" priority="1" dxfId="7" stopIfTrue="1">
      <formula>OR(B24=$R$32,B24=$R$34,B24=$AQ$32,B24=$AZ$32,B24=$AQ$34)</formula>
    </cfRule>
    <cfRule type="expression" priority="2" dxfId="4" stopIfTrue="1">
      <formula>OR(B24=$AF$32,B24=$AF$34)</formula>
    </cfRule>
    <cfRule type="cellIs" priority="3" dxfId="0" operator="equal" stopIfTrue="1">
      <formula>$AZ$34</formula>
    </cfRule>
  </conditionalFormatting>
  <dataValidations count="4">
    <dataValidation type="list" allowBlank="1" showInputMessage="1" showErrorMessage="1" prompt="выберите из списка" sqref="O13:BB13">
      <formula1>$L$36:$L$37</formula1>
    </dataValidation>
    <dataValidation type="list" allowBlank="1" showInputMessage="1" showErrorMessage="1" prompt="выберите из списка" sqref="B24:B28 C24:BA29">
      <formula1>$B$36:$B$46</formula1>
    </dataValidation>
    <dataValidation type="list" allowBlank="1" showInputMessage="1" showErrorMessage="1" prompt="выберите из списка" sqref="O15:BB15">
      <formula1>$D$36:$D$40</formula1>
    </dataValidation>
    <dataValidation type="list" allowBlank="1" showInputMessage="1" showErrorMessage="1" prompt="выберите из списка" sqref="O14:BB14">
      <formula1>$L$38:$L$39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08"/>
  <sheetViews>
    <sheetView showZeros="0" zoomScale="70" zoomScaleNormal="70" workbookViewId="0" topLeftCell="A1">
      <pane xSplit="15" ySplit="10" topLeftCell="AF11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BB16" sqref="BB16:BB59"/>
    </sheetView>
  </sheetViews>
  <sheetFormatPr defaultColWidth="9.33203125" defaultRowHeight="12.75"/>
  <cols>
    <col min="1" max="1" width="15.83203125" style="36" customWidth="1"/>
    <col min="2" max="2" width="46.83203125" style="36" customWidth="1"/>
    <col min="3" max="3" width="16.83203125" style="36" customWidth="1"/>
    <col min="4" max="4" width="8" style="77" customWidth="1"/>
    <col min="5" max="5" width="8.66015625" style="77" customWidth="1"/>
    <col min="6" max="7" width="7.66015625" style="77" customWidth="1"/>
    <col min="8" max="8" width="6.66015625" style="77" customWidth="1"/>
    <col min="9" max="9" width="6.66015625" style="350" hidden="1" customWidth="1"/>
    <col min="10" max="10" width="6.66015625" style="77" hidden="1" customWidth="1"/>
    <col min="11" max="11" width="8.16015625" style="78" customWidth="1"/>
    <col min="12" max="12" width="7.83203125" style="78" customWidth="1"/>
    <col min="13" max="14" width="8.33203125" style="36" customWidth="1"/>
    <col min="15" max="15" width="7.83203125" style="36" customWidth="1"/>
    <col min="16" max="16" width="7.16015625" style="36" customWidth="1"/>
    <col min="17" max="18" width="7.66015625" style="36" customWidth="1"/>
    <col min="19" max="19" width="7.16015625" style="36" customWidth="1"/>
    <col min="20" max="21" width="6.83203125" style="36" customWidth="1"/>
    <col min="22" max="22" width="7.66015625" style="36" customWidth="1"/>
    <col min="23" max="24" width="6.83203125" style="36" customWidth="1"/>
    <col min="25" max="25" width="7.83203125" style="36" customWidth="1"/>
    <col min="26" max="26" width="6.83203125" style="36" customWidth="1"/>
    <col min="27" max="27" width="7.33203125" style="36" customWidth="1"/>
    <col min="28" max="30" width="6.83203125" style="36" customWidth="1"/>
    <col min="31" max="31" width="7.16015625" style="36" customWidth="1"/>
    <col min="32" max="36" width="6.83203125" style="36" customWidth="1"/>
    <col min="37" max="37" width="7" style="36" customWidth="1"/>
    <col min="38" max="38" width="7.5" style="36" customWidth="1"/>
    <col min="39" max="40" width="6.83203125" style="36" customWidth="1"/>
    <col min="41" max="41" width="8.5" style="36" customWidth="1"/>
    <col min="42" max="43" width="6.83203125" style="36" customWidth="1"/>
    <col min="44" max="47" width="6.83203125" style="36" hidden="1" customWidth="1"/>
    <col min="48" max="48" width="8.5" style="36" hidden="1" customWidth="1"/>
    <col min="49" max="51" width="6.83203125" style="36" hidden="1" customWidth="1"/>
    <col min="52" max="52" width="9.33203125" style="232" hidden="1" customWidth="1"/>
    <col min="53" max="53" width="13" style="40" customWidth="1"/>
    <col min="54" max="54" width="28.83203125" style="40" customWidth="1"/>
    <col min="55" max="16384" width="9.33203125" style="37" customWidth="1"/>
  </cols>
  <sheetData>
    <row r="1" spans="1:54" s="44" customFormat="1" ht="12.75" customHeight="1">
      <c r="A1" s="554" t="s">
        <v>137</v>
      </c>
      <c r="B1" s="554" t="s">
        <v>533</v>
      </c>
      <c r="C1" s="554" t="s">
        <v>72</v>
      </c>
      <c r="D1" s="638" t="s">
        <v>534</v>
      </c>
      <c r="E1" s="639"/>
      <c r="F1" s="639"/>
      <c r="G1" s="639"/>
      <c r="H1" s="639"/>
      <c r="I1" s="341"/>
      <c r="J1" s="696" t="s">
        <v>476</v>
      </c>
      <c r="K1" s="645" t="s">
        <v>2</v>
      </c>
      <c r="L1" s="646"/>
      <c r="M1" s="626" t="s">
        <v>2</v>
      </c>
      <c r="N1" s="626"/>
      <c r="O1" s="626"/>
      <c r="P1" s="626"/>
      <c r="Q1" s="626"/>
      <c r="R1" s="626"/>
      <c r="S1" s="634"/>
      <c r="T1" s="43"/>
      <c r="U1" s="633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34"/>
      <c r="AR1" s="239"/>
      <c r="AS1" s="239"/>
      <c r="AT1" s="239"/>
      <c r="AU1" s="239"/>
      <c r="AV1" s="239"/>
      <c r="AW1" s="239"/>
      <c r="AX1" s="239"/>
      <c r="AY1" s="239"/>
      <c r="AZ1" s="240"/>
      <c r="BA1" s="627" t="s">
        <v>138</v>
      </c>
      <c r="BB1" s="627" t="s">
        <v>70</v>
      </c>
    </row>
    <row r="2" spans="1:54" s="44" customFormat="1" ht="25.5" customHeight="1">
      <c r="A2" s="555"/>
      <c r="B2" s="555"/>
      <c r="C2" s="555"/>
      <c r="D2" s="640"/>
      <c r="E2" s="641"/>
      <c r="F2" s="641"/>
      <c r="G2" s="641"/>
      <c r="H2" s="641"/>
      <c r="I2" s="342"/>
      <c r="J2" s="697"/>
      <c r="K2" s="647"/>
      <c r="L2" s="648"/>
      <c r="M2" s="609" t="s">
        <v>1</v>
      </c>
      <c r="N2" s="600" t="s">
        <v>3</v>
      </c>
      <c r="O2" s="600"/>
      <c r="P2" s="600"/>
      <c r="Q2" s="600"/>
      <c r="R2" s="600"/>
      <c r="S2" s="601"/>
      <c r="T2" s="633" t="s">
        <v>77</v>
      </c>
      <c r="U2" s="626"/>
      <c r="V2" s="626"/>
      <c r="W2" s="626"/>
      <c r="X2" s="626"/>
      <c r="Y2" s="634"/>
      <c r="Z2" s="633" t="s">
        <v>78</v>
      </c>
      <c r="AA2" s="626"/>
      <c r="AB2" s="626"/>
      <c r="AC2" s="626"/>
      <c r="AD2" s="626"/>
      <c r="AE2" s="634"/>
      <c r="AF2" s="626" t="s">
        <v>79</v>
      </c>
      <c r="AG2" s="626"/>
      <c r="AH2" s="626"/>
      <c r="AI2" s="626"/>
      <c r="AJ2" s="626"/>
      <c r="AK2" s="626"/>
      <c r="AL2" s="633" t="s">
        <v>80</v>
      </c>
      <c r="AM2" s="626"/>
      <c r="AN2" s="626"/>
      <c r="AO2" s="626"/>
      <c r="AP2" s="626"/>
      <c r="AQ2" s="634"/>
      <c r="AR2" s="626" t="s">
        <v>81</v>
      </c>
      <c r="AS2" s="626"/>
      <c r="AT2" s="626"/>
      <c r="AU2" s="626"/>
      <c r="AV2" s="626"/>
      <c r="AW2" s="626"/>
      <c r="AX2" s="626"/>
      <c r="AY2" s="634"/>
      <c r="AZ2" s="241"/>
      <c r="BA2" s="628"/>
      <c r="BB2" s="628"/>
    </row>
    <row r="3" spans="1:54" s="44" customFormat="1" ht="12.75" customHeight="1">
      <c r="A3" s="555"/>
      <c r="B3" s="555"/>
      <c r="C3" s="555"/>
      <c r="D3" s="551" t="s">
        <v>63</v>
      </c>
      <c r="E3" s="551" t="s">
        <v>535</v>
      </c>
      <c r="F3" s="362"/>
      <c r="G3" s="551" t="s">
        <v>536</v>
      </c>
      <c r="H3" s="559" t="s">
        <v>537</v>
      </c>
      <c r="I3" s="343"/>
      <c r="J3" s="697"/>
      <c r="K3" s="647"/>
      <c r="L3" s="648"/>
      <c r="M3" s="610"/>
      <c r="N3" s="602" t="s">
        <v>83</v>
      </c>
      <c r="O3" s="614"/>
      <c r="P3" s="614"/>
      <c r="Q3" s="614"/>
      <c r="R3" s="615"/>
      <c r="S3" s="556" t="s">
        <v>84</v>
      </c>
      <c r="T3" s="616"/>
      <c r="U3" s="613"/>
      <c r="V3" s="46"/>
      <c r="W3" s="622">
        <v>30</v>
      </c>
      <c r="X3" s="622"/>
      <c r="Y3" s="413"/>
      <c r="Z3" s="616"/>
      <c r="AA3" s="613"/>
      <c r="AB3" s="41"/>
      <c r="AC3" s="41"/>
      <c r="AD3" s="622">
        <v>30</v>
      </c>
      <c r="AE3" s="646"/>
      <c r="AF3" s="616"/>
      <c r="AG3" s="613"/>
      <c r="AH3" s="41"/>
      <c r="AI3" s="622">
        <v>40</v>
      </c>
      <c r="AJ3" s="622"/>
      <c r="AK3" s="413"/>
      <c r="AL3" s="616"/>
      <c r="AM3" s="613"/>
      <c r="AN3" s="41"/>
      <c r="AO3" s="622">
        <v>40</v>
      </c>
      <c r="AP3" s="622"/>
      <c r="AQ3" s="413"/>
      <c r="AR3" s="613"/>
      <c r="AS3" s="613"/>
      <c r="AT3" s="613"/>
      <c r="AU3" s="41"/>
      <c r="AV3" s="622">
        <v>40</v>
      </c>
      <c r="AW3" s="622"/>
      <c r="AX3" s="622"/>
      <c r="AY3" s="48"/>
      <c r="AZ3" s="242"/>
      <c r="BA3" s="628"/>
      <c r="BB3" s="628"/>
    </row>
    <row r="4" spans="1:54" s="44" customFormat="1" ht="12.75" customHeight="1">
      <c r="A4" s="555"/>
      <c r="B4" s="555"/>
      <c r="C4" s="555"/>
      <c r="D4" s="552"/>
      <c r="E4" s="552"/>
      <c r="F4" s="363"/>
      <c r="G4" s="552"/>
      <c r="H4" s="560"/>
      <c r="I4" s="343"/>
      <c r="J4" s="697"/>
      <c r="K4" s="647"/>
      <c r="L4" s="648"/>
      <c r="M4" s="610"/>
      <c r="N4" s="612"/>
      <c r="O4" s="602" t="s">
        <v>538</v>
      </c>
      <c r="P4" s="602" t="s">
        <v>539</v>
      </c>
      <c r="Q4" s="602" t="s">
        <v>179</v>
      </c>
      <c r="R4" s="602" t="s">
        <v>238</v>
      </c>
      <c r="S4" s="556"/>
      <c r="T4" s="617"/>
      <c r="U4" s="611"/>
      <c r="V4" s="45"/>
      <c r="W4" s="611" t="s">
        <v>414</v>
      </c>
      <c r="X4" s="611"/>
      <c r="Y4" s="414"/>
      <c r="Z4" s="617"/>
      <c r="AA4" s="611"/>
      <c r="AB4" s="45"/>
      <c r="AC4" s="45"/>
      <c r="AD4" s="611" t="s">
        <v>414</v>
      </c>
      <c r="AE4" s="676"/>
      <c r="AF4" s="617"/>
      <c r="AG4" s="611"/>
      <c r="AH4" s="45"/>
      <c r="AI4" s="611" t="s">
        <v>414</v>
      </c>
      <c r="AJ4" s="611"/>
      <c r="AK4" s="414"/>
      <c r="AL4" s="617"/>
      <c r="AM4" s="611"/>
      <c r="AN4" s="45"/>
      <c r="AO4" s="611" t="s">
        <v>414</v>
      </c>
      <c r="AP4" s="611"/>
      <c r="AQ4" s="414"/>
      <c r="AR4" s="611"/>
      <c r="AS4" s="611"/>
      <c r="AT4" s="611"/>
      <c r="AU4" s="45"/>
      <c r="AV4" s="611" t="s">
        <v>414</v>
      </c>
      <c r="AW4" s="611"/>
      <c r="AX4" s="611"/>
      <c r="AY4" s="49"/>
      <c r="AZ4" s="242"/>
      <c r="BA4" s="628"/>
      <c r="BB4" s="628"/>
    </row>
    <row r="5" spans="1:54" s="44" customFormat="1" ht="12.75" customHeight="1">
      <c r="A5" s="555"/>
      <c r="B5" s="555"/>
      <c r="C5" s="555"/>
      <c r="D5" s="552"/>
      <c r="E5" s="552"/>
      <c r="F5" s="363"/>
      <c r="G5" s="552"/>
      <c r="H5" s="560"/>
      <c r="I5" s="343"/>
      <c r="J5" s="697"/>
      <c r="K5" s="647"/>
      <c r="L5" s="648"/>
      <c r="M5" s="610"/>
      <c r="N5" s="612"/>
      <c r="O5" s="603"/>
      <c r="P5" s="603"/>
      <c r="Q5" s="603"/>
      <c r="R5" s="603"/>
      <c r="S5" s="556"/>
      <c r="T5" s="544" t="s">
        <v>115</v>
      </c>
      <c r="U5" s="545"/>
      <c r="V5" s="52"/>
      <c r="W5" s="52"/>
      <c r="X5" s="54">
        <f>IF((SUM(U61:Y61))=0,0,(SUM(U61:Y61))/Нормы!$G$39)</f>
        <v>0</v>
      </c>
      <c r="Y5" s="424" t="s">
        <v>116</v>
      </c>
      <c r="Z5" s="544" t="s">
        <v>115</v>
      </c>
      <c r="AA5" s="545"/>
      <c r="AB5" s="52"/>
      <c r="AC5" s="52"/>
      <c r="AD5" s="54">
        <f>IF((SUM(AA60:AE60))=0,0,(SUM(AA60:AE60))/Нормы!$G$39)</f>
        <v>4</v>
      </c>
      <c r="AE5" s="424" t="s">
        <v>116</v>
      </c>
      <c r="AF5" s="544" t="s">
        <v>115</v>
      </c>
      <c r="AG5" s="545"/>
      <c r="AH5" s="52"/>
      <c r="AI5" s="52"/>
      <c r="AJ5" s="54">
        <f>IF((SUM(AG61:AK61))=0,0,(SUM(AG61:AK61))/Нормы!$G$39)</f>
        <v>18</v>
      </c>
      <c r="AK5" s="424" t="s">
        <v>116</v>
      </c>
      <c r="AL5" s="544" t="s">
        <v>115</v>
      </c>
      <c r="AM5" s="545"/>
      <c r="AN5" s="52"/>
      <c r="AO5" s="52"/>
      <c r="AP5" s="54">
        <f>IF((SUM(AM61:AQ61))=0,0,(SUM(AM61:AQ61))/Нормы!$G$39)</f>
        <v>7</v>
      </c>
      <c r="AQ5" s="424" t="s">
        <v>116</v>
      </c>
      <c r="AR5" s="411"/>
      <c r="AS5" s="545" t="s">
        <v>115</v>
      </c>
      <c r="AT5" s="545"/>
      <c r="AU5" s="52"/>
      <c r="AV5" s="52"/>
      <c r="AW5" s="53"/>
      <c r="AX5" s="54" t="e">
        <f>IF((SUM(AS60:AY60)+SUM(#REF!))=0,0,(SUM(AS60:AY60)+SUM(#REF!))/'[1]Нормы'!$G$38)</f>
        <v>#REF!</v>
      </c>
      <c r="AY5" s="58" t="s">
        <v>116</v>
      </c>
      <c r="AZ5" s="242"/>
      <c r="BA5" s="628"/>
      <c r="BB5" s="628"/>
    </row>
    <row r="6" spans="1:54" s="44" customFormat="1" ht="12.75" customHeight="1">
      <c r="A6" s="555"/>
      <c r="B6" s="555"/>
      <c r="C6" s="555"/>
      <c r="D6" s="552"/>
      <c r="E6" s="552"/>
      <c r="F6" s="363"/>
      <c r="G6" s="552"/>
      <c r="H6" s="560"/>
      <c r="I6" s="343"/>
      <c r="J6" s="697"/>
      <c r="K6" s="649"/>
      <c r="L6" s="650"/>
      <c r="M6" s="610"/>
      <c r="N6" s="612"/>
      <c r="O6" s="603"/>
      <c r="P6" s="603"/>
      <c r="Q6" s="603"/>
      <c r="R6" s="603"/>
      <c r="S6" s="556"/>
      <c r="T6" s="546" t="s">
        <v>117</v>
      </c>
      <c r="U6" s="547"/>
      <c r="V6" s="547"/>
      <c r="W6" s="409"/>
      <c r="X6" s="60">
        <f>IF(SUM(U64:Y64)=0,0,SUM(U64:Y64)/Нормы!$G$38)</f>
        <v>0</v>
      </c>
      <c r="Y6" s="415" t="s">
        <v>116</v>
      </c>
      <c r="Z6" s="546" t="s">
        <v>117</v>
      </c>
      <c r="AA6" s="547"/>
      <c r="AB6" s="547"/>
      <c r="AC6" s="409"/>
      <c r="AD6" s="60">
        <f>IF(SUM(AA64:AE64)=0,0,SUM(AA64:AE64)/Нормы!$G$38)</f>
        <v>0</v>
      </c>
      <c r="AE6" s="415" t="s">
        <v>116</v>
      </c>
      <c r="AF6" s="546" t="s">
        <v>117</v>
      </c>
      <c r="AG6" s="547"/>
      <c r="AH6" s="547"/>
      <c r="AI6" s="409"/>
      <c r="AJ6" s="60">
        <f>IF(SUM(AG64:AK64)=0,0,SUM(AG64:AK64)/Нормы!$G$38)</f>
        <v>0</v>
      </c>
      <c r="AK6" s="415" t="s">
        <v>116</v>
      </c>
      <c r="AL6" s="546" t="s">
        <v>117</v>
      </c>
      <c r="AM6" s="547"/>
      <c r="AN6" s="547"/>
      <c r="AO6" s="409"/>
      <c r="AP6" s="60">
        <f>IF(SUM(AM64:AQ64)=0,0,SUM(AM64:AQ64)/Нормы!$G$38)</f>
        <v>6</v>
      </c>
      <c r="AQ6" s="415" t="s">
        <v>116</v>
      </c>
      <c r="AR6" s="410"/>
      <c r="AS6" s="547" t="s">
        <v>117</v>
      </c>
      <c r="AT6" s="547"/>
      <c r="AU6" s="547"/>
      <c r="AV6" s="547"/>
      <c r="AW6" s="547"/>
      <c r="AX6" s="60">
        <f>IF(SUM(AS64:AY64)=0,0,SUM(AS64:AY64)/'[1]Нормы'!$G$38)</f>
        <v>0</v>
      </c>
      <c r="AY6" s="64" t="s">
        <v>116</v>
      </c>
      <c r="AZ6" s="242"/>
      <c r="BA6" s="628"/>
      <c r="BB6" s="628"/>
    </row>
    <row r="7" spans="1:54" s="44" customFormat="1" ht="135">
      <c r="A7" s="555"/>
      <c r="B7" s="555"/>
      <c r="C7" s="555"/>
      <c r="D7" s="552"/>
      <c r="E7" s="552"/>
      <c r="F7" s="363" t="s">
        <v>64</v>
      </c>
      <c r="G7" s="552"/>
      <c r="H7" s="560"/>
      <c r="I7" s="344"/>
      <c r="J7" s="698"/>
      <c r="K7" s="419" t="s">
        <v>142</v>
      </c>
      <c r="L7" s="419" t="s">
        <v>198</v>
      </c>
      <c r="M7" s="610"/>
      <c r="N7" s="612"/>
      <c r="O7" s="603"/>
      <c r="P7" s="603"/>
      <c r="Q7" s="603"/>
      <c r="R7" s="603"/>
      <c r="S7" s="557"/>
      <c r="T7" s="416" t="s">
        <v>106</v>
      </c>
      <c r="U7" s="417" t="s">
        <v>540</v>
      </c>
      <c r="V7" s="418" t="s">
        <v>541</v>
      </c>
      <c r="W7" s="418" t="s">
        <v>179</v>
      </c>
      <c r="X7" s="418" t="s">
        <v>238</v>
      </c>
      <c r="Y7" s="418" t="s">
        <v>68</v>
      </c>
      <c r="Z7" s="416" t="s">
        <v>106</v>
      </c>
      <c r="AA7" s="417" t="s">
        <v>540</v>
      </c>
      <c r="AB7" s="418" t="s">
        <v>541</v>
      </c>
      <c r="AC7" s="418" t="s">
        <v>179</v>
      </c>
      <c r="AD7" s="418" t="s">
        <v>238</v>
      </c>
      <c r="AE7" s="418" t="s">
        <v>68</v>
      </c>
      <c r="AF7" s="416" t="s">
        <v>106</v>
      </c>
      <c r="AG7" s="417" t="s">
        <v>540</v>
      </c>
      <c r="AH7" s="418" t="s">
        <v>541</v>
      </c>
      <c r="AI7" s="418" t="s">
        <v>179</v>
      </c>
      <c r="AJ7" s="418" t="s">
        <v>238</v>
      </c>
      <c r="AK7" s="418" t="s">
        <v>68</v>
      </c>
      <c r="AL7" s="416" t="s">
        <v>106</v>
      </c>
      <c r="AM7" s="417" t="s">
        <v>540</v>
      </c>
      <c r="AN7" s="418" t="s">
        <v>541</v>
      </c>
      <c r="AO7" s="418" t="s">
        <v>179</v>
      </c>
      <c r="AP7" s="418" t="s">
        <v>238</v>
      </c>
      <c r="AQ7" s="418" t="s">
        <v>68</v>
      </c>
      <c r="AR7" s="69" t="s">
        <v>106</v>
      </c>
      <c r="AS7" s="67" t="s">
        <v>236</v>
      </c>
      <c r="AT7" s="67" t="s">
        <v>237</v>
      </c>
      <c r="AU7" s="67" t="s">
        <v>67</v>
      </c>
      <c r="AV7" s="67" t="s">
        <v>179</v>
      </c>
      <c r="AW7" s="67" t="s">
        <v>238</v>
      </c>
      <c r="AX7" s="67" t="s">
        <v>118</v>
      </c>
      <c r="AY7" s="70" t="s">
        <v>68</v>
      </c>
      <c r="AZ7" s="243"/>
      <c r="BA7" s="629"/>
      <c r="BB7" s="629"/>
    </row>
    <row r="8" spans="1:54" s="44" customFormat="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43">
        <v>6</v>
      </c>
      <c r="G8" s="43">
        <v>7</v>
      </c>
      <c r="H8" s="43">
        <v>8</v>
      </c>
      <c r="I8" s="433"/>
      <c r="J8" s="43"/>
      <c r="K8" s="43">
        <v>9</v>
      </c>
      <c r="L8" s="43">
        <v>10</v>
      </c>
      <c r="M8" s="43">
        <v>11</v>
      </c>
      <c r="N8" s="43">
        <v>12</v>
      </c>
      <c r="O8" s="43">
        <v>14</v>
      </c>
      <c r="P8" s="43">
        <v>15</v>
      </c>
      <c r="Q8" s="43">
        <v>16</v>
      </c>
      <c r="R8" s="43">
        <v>17</v>
      </c>
      <c r="S8" s="43">
        <v>19</v>
      </c>
      <c r="T8" s="43">
        <v>21</v>
      </c>
      <c r="U8" s="43">
        <v>23</v>
      </c>
      <c r="V8" s="43">
        <v>24</v>
      </c>
      <c r="W8" s="43">
        <v>25</v>
      </c>
      <c r="X8" s="43">
        <v>26</v>
      </c>
      <c r="Y8" s="43">
        <v>28</v>
      </c>
      <c r="Z8" s="43">
        <v>29</v>
      </c>
      <c r="AA8" s="43">
        <v>31</v>
      </c>
      <c r="AB8" s="43">
        <v>32</v>
      </c>
      <c r="AC8" s="43">
        <v>33</v>
      </c>
      <c r="AD8" s="43">
        <v>34</v>
      </c>
      <c r="AE8" s="43">
        <v>36</v>
      </c>
      <c r="AF8" s="43">
        <v>37</v>
      </c>
      <c r="AG8" s="43">
        <v>39</v>
      </c>
      <c r="AH8" s="43">
        <v>40</v>
      </c>
      <c r="AI8" s="43">
        <v>41</v>
      </c>
      <c r="AJ8" s="43">
        <v>42</v>
      </c>
      <c r="AK8" s="43">
        <v>44</v>
      </c>
      <c r="AL8" s="43">
        <v>45</v>
      </c>
      <c r="AM8" s="43">
        <v>47</v>
      </c>
      <c r="AN8" s="43">
        <v>48</v>
      </c>
      <c r="AO8" s="43">
        <v>49</v>
      </c>
      <c r="AP8" s="43">
        <v>50</v>
      </c>
      <c r="AQ8" s="43">
        <v>52</v>
      </c>
      <c r="AR8" s="43">
        <v>45</v>
      </c>
      <c r="AS8" s="43">
        <v>46</v>
      </c>
      <c r="AT8" s="43">
        <v>47</v>
      </c>
      <c r="AU8" s="43">
        <v>48</v>
      </c>
      <c r="AV8" s="43">
        <v>49</v>
      </c>
      <c r="AW8" s="43">
        <v>50</v>
      </c>
      <c r="AX8" s="43">
        <v>51</v>
      </c>
      <c r="AY8" s="43">
        <v>52</v>
      </c>
      <c r="AZ8" s="434"/>
      <c r="BA8" s="43">
        <v>53</v>
      </c>
      <c r="BB8" s="43">
        <v>54</v>
      </c>
    </row>
    <row r="9" spans="1:54" ht="25.5" customHeight="1">
      <c r="A9" s="384"/>
      <c r="B9" s="538" t="s">
        <v>337</v>
      </c>
      <c r="C9" s="539"/>
      <c r="D9" s="539"/>
      <c r="E9" s="539"/>
      <c r="F9" s="539"/>
      <c r="G9" s="539"/>
      <c r="H9" s="540"/>
      <c r="I9" s="440"/>
      <c r="J9" s="382"/>
      <c r="K9" s="435">
        <f>'Учебный план (очная)'!K28</f>
        <v>3476</v>
      </c>
      <c r="L9" s="435">
        <f>'Учебный план (очная)'!L28</f>
        <v>2317</v>
      </c>
      <c r="M9" s="385">
        <f aca="true" t="shared" si="0" ref="M9:M17">SUM(N9+S9)</f>
        <v>3392</v>
      </c>
      <c r="N9" s="385">
        <f aca="true" t="shared" si="1" ref="N9:AF9">SUM(N10+N15+N18)</f>
        <v>484</v>
      </c>
      <c r="O9" s="385">
        <f t="shared" si="1"/>
        <v>428</v>
      </c>
      <c r="P9" s="385">
        <f t="shared" si="1"/>
        <v>56</v>
      </c>
      <c r="Q9" s="385">
        <f t="shared" si="1"/>
        <v>0</v>
      </c>
      <c r="R9" s="385">
        <f t="shared" si="1"/>
        <v>0</v>
      </c>
      <c r="S9" s="385">
        <f t="shared" si="1"/>
        <v>2908</v>
      </c>
      <c r="T9" s="385">
        <f t="shared" si="1"/>
        <v>874</v>
      </c>
      <c r="U9" s="385">
        <f t="shared" si="1"/>
        <v>130</v>
      </c>
      <c r="V9" s="385">
        <f t="shared" si="1"/>
        <v>22</v>
      </c>
      <c r="W9" s="385">
        <f t="shared" si="1"/>
        <v>0</v>
      </c>
      <c r="X9" s="385">
        <f t="shared" si="1"/>
        <v>0</v>
      </c>
      <c r="Y9" s="385">
        <f t="shared" si="1"/>
        <v>722</v>
      </c>
      <c r="Z9" s="385">
        <f t="shared" si="1"/>
        <v>736</v>
      </c>
      <c r="AA9" s="385">
        <f t="shared" si="1"/>
        <v>108</v>
      </c>
      <c r="AB9" s="385">
        <f t="shared" si="1"/>
        <v>12</v>
      </c>
      <c r="AC9" s="385">
        <f t="shared" si="1"/>
        <v>0</v>
      </c>
      <c r="AD9" s="385">
        <f t="shared" si="1"/>
        <v>0</v>
      </c>
      <c r="AE9" s="385">
        <f t="shared" si="1"/>
        <v>700</v>
      </c>
      <c r="AF9" s="385">
        <f t="shared" si="1"/>
        <v>1033</v>
      </c>
      <c r="AG9" s="385">
        <f aca="true" t="shared" si="2" ref="AG9:AQ9">SUM(AG10+AG15+AG18)</f>
        <v>90</v>
      </c>
      <c r="AH9" s="385">
        <f t="shared" si="2"/>
        <v>10</v>
      </c>
      <c r="AI9" s="385">
        <f t="shared" si="2"/>
        <v>0</v>
      </c>
      <c r="AJ9" s="385">
        <f t="shared" si="2"/>
        <v>0</v>
      </c>
      <c r="AK9" s="385">
        <f t="shared" si="2"/>
        <v>933</v>
      </c>
      <c r="AL9" s="385">
        <f t="shared" si="2"/>
        <v>749</v>
      </c>
      <c r="AM9" s="385">
        <f t="shared" si="2"/>
        <v>116</v>
      </c>
      <c r="AN9" s="385">
        <f t="shared" si="2"/>
        <v>12</v>
      </c>
      <c r="AO9" s="385">
        <f t="shared" si="2"/>
        <v>0</v>
      </c>
      <c r="AP9" s="385">
        <f t="shared" si="2"/>
        <v>0</v>
      </c>
      <c r="AQ9" s="385">
        <f t="shared" si="2"/>
        <v>621</v>
      </c>
      <c r="AR9" s="385">
        <f aca="true" t="shared" si="3" ref="AR9:AY9">SUM(AR10+AR15+AR18)</f>
        <v>0</v>
      </c>
      <c r="AS9" s="385">
        <f t="shared" si="3"/>
        <v>0</v>
      </c>
      <c r="AT9" s="385">
        <f t="shared" si="3"/>
        <v>0</v>
      </c>
      <c r="AU9" s="385">
        <f t="shared" si="3"/>
        <v>0</v>
      </c>
      <c r="AV9" s="385">
        <f t="shared" si="3"/>
        <v>0</v>
      </c>
      <c r="AW9" s="385">
        <f t="shared" si="3"/>
        <v>0</v>
      </c>
      <c r="AX9" s="385">
        <f t="shared" si="3"/>
        <v>0</v>
      </c>
      <c r="AY9" s="385">
        <f t="shared" si="3"/>
        <v>0</v>
      </c>
      <c r="AZ9" s="390"/>
      <c r="BA9" s="382">
        <f>'Учебный план (очная)'!CF28</f>
        <v>0</v>
      </c>
      <c r="BB9" s="382">
        <f>'Учебный план (очная)'!CG28</f>
        <v>0</v>
      </c>
    </row>
    <row r="10" spans="1:54" s="244" customFormat="1" ht="25.5" customHeight="1">
      <c r="A10" s="387" t="s">
        <v>139</v>
      </c>
      <c r="B10" s="541" t="s">
        <v>140</v>
      </c>
      <c r="C10" s="542"/>
      <c r="D10" s="542"/>
      <c r="E10" s="542"/>
      <c r="F10" s="542"/>
      <c r="G10" s="542"/>
      <c r="H10" s="543"/>
      <c r="I10" s="441"/>
      <c r="J10" s="388"/>
      <c r="K10" s="436">
        <f>'Учебный план (очная)'!K29</f>
        <v>654</v>
      </c>
      <c r="L10" s="436">
        <f>'Учебный план (очная)'!L29</f>
        <v>436</v>
      </c>
      <c r="M10" s="379">
        <f t="shared" si="0"/>
        <v>654</v>
      </c>
      <c r="N10" s="379">
        <f aca="true" t="shared" si="4" ref="N10:AF10">SUM(N11:N14)</f>
        <v>72</v>
      </c>
      <c r="O10" s="379">
        <f t="shared" si="4"/>
        <v>30</v>
      </c>
      <c r="P10" s="379">
        <f t="shared" si="4"/>
        <v>42</v>
      </c>
      <c r="Q10" s="379">
        <f t="shared" si="4"/>
        <v>0</v>
      </c>
      <c r="R10" s="379">
        <f t="shared" si="4"/>
        <v>0</v>
      </c>
      <c r="S10" s="379">
        <f t="shared" si="4"/>
        <v>582</v>
      </c>
      <c r="T10" s="379">
        <f t="shared" si="4"/>
        <v>260</v>
      </c>
      <c r="U10" s="379">
        <f t="shared" si="4"/>
        <v>30</v>
      </c>
      <c r="V10" s="379">
        <f t="shared" si="4"/>
        <v>8</v>
      </c>
      <c r="W10" s="379">
        <f t="shared" si="4"/>
        <v>0</v>
      </c>
      <c r="X10" s="379">
        <f t="shared" si="4"/>
        <v>0</v>
      </c>
      <c r="Y10" s="379">
        <f t="shared" si="4"/>
        <v>222</v>
      </c>
      <c r="Z10" s="379">
        <f t="shared" si="4"/>
        <v>132</v>
      </c>
      <c r="AA10" s="379">
        <f t="shared" si="4"/>
        <v>0</v>
      </c>
      <c r="AB10" s="379">
        <f t="shared" si="4"/>
        <v>12</v>
      </c>
      <c r="AC10" s="379">
        <f t="shared" si="4"/>
        <v>0</v>
      </c>
      <c r="AD10" s="379">
        <f t="shared" si="4"/>
        <v>0</v>
      </c>
      <c r="AE10" s="379">
        <f t="shared" si="4"/>
        <v>120</v>
      </c>
      <c r="AF10" s="379">
        <f t="shared" si="4"/>
        <v>130</v>
      </c>
      <c r="AG10" s="379">
        <f aca="true" t="shared" si="5" ref="AG10:AY10">SUM(AG11:AG14)</f>
        <v>0</v>
      </c>
      <c r="AH10" s="379">
        <f t="shared" si="5"/>
        <v>10</v>
      </c>
      <c r="AI10" s="379">
        <f t="shared" si="5"/>
        <v>0</v>
      </c>
      <c r="AJ10" s="379">
        <f t="shared" si="5"/>
        <v>0</v>
      </c>
      <c r="AK10" s="379">
        <f t="shared" si="5"/>
        <v>120</v>
      </c>
      <c r="AL10" s="379">
        <f t="shared" si="5"/>
        <v>132</v>
      </c>
      <c r="AM10" s="379">
        <f t="shared" si="5"/>
        <v>0</v>
      </c>
      <c r="AN10" s="379">
        <f t="shared" si="5"/>
        <v>12</v>
      </c>
      <c r="AO10" s="379">
        <f t="shared" si="5"/>
        <v>0</v>
      </c>
      <c r="AP10" s="379">
        <f t="shared" si="5"/>
        <v>0</v>
      </c>
      <c r="AQ10" s="379">
        <f t="shared" si="5"/>
        <v>120</v>
      </c>
      <c r="AR10" s="379">
        <f t="shared" si="5"/>
        <v>0</v>
      </c>
      <c r="AS10" s="379">
        <f t="shared" si="5"/>
        <v>0</v>
      </c>
      <c r="AT10" s="379">
        <f t="shared" si="5"/>
        <v>0</v>
      </c>
      <c r="AU10" s="379">
        <f t="shared" si="5"/>
        <v>0</v>
      </c>
      <c r="AV10" s="379">
        <f t="shared" si="5"/>
        <v>0</v>
      </c>
      <c r="AW10" s="379">
        <f t="shared" si="5"/>
        <v>0</v>
      </c>
      <c r="AX10" s="379">
        <f t="shared" si="5"/>
        <v>0</v>
      </c>
      <c r="AY10" s="379">
        <f t="shared" si="5"/>
        <v>0</v>
      </c>
      <c r="AZ10" s="390"/>
      <c r="BA10" s="388">
        <f>'Учебный план (очная)'!CF29</f>
        <v>0</v>
      </c>
      <c r="BB10" s="388">
        <f>'Учебный план (очная)'!CG29</f>
        <v>0</v>
      </c>
    </row>
    <row r="11" spans="1:54" s="245" customFormat="1" ht="25.5" customHeight="1">
      <c r="A11" s="391" t="str">
        <f>'Учебный план (очная)'!A30</f>
        <v>ОГСЭ.01.</v>
      </c>
      <c r="B11" s="391" t="str">
        <f>'Учебный план (очная)'!B30</f>
        <v>Основы философии</v>
      </c>
      <c r="C11" s="301"/>
      <c r="D11" s="358"/>
      <c r="E11" s="358" t="s">
        <v>27</v>
      </c>
      <c r="F11" s="358"/>
      <c r="G11" s="358"/>
      <c r="H11" s="358"/>
      <c r="I11" s="283">
        <f>K11-M11</f>
        <v>0</v>
      </c>
      <c r="J11" s="358">
        <f>L11*$J$1</f>
        <v>15.6</v>
      </c>
      <c r="K11" s="283">
        <f>'Учебный план (очная)'!K30</f>
        <v>60</v>
      </c>
      <c r="L11" s="283">
        <f>'Учебный план (очная)'!L30</f>
        <v>52</v>
      </c>
      <c r="M11" s="359">
        <f t="shared" si="0"/>
        <v>60</v>
      </c>
      <c r="N11" s="359">
        <f>SUM(O11:R11)</f>
        <v>14</v>
      </c>
      <c r="O11" s="359">
        <f aca="true" t="shared" si="6" ref="O11:R14">U11+AA11+AG11+AM11+AT11</f>
        <v>14</v>
      </c>
      <c r="P11" s="359">
        <f t="shared" si="6"/>
        <v>0</v>
      </c>
      <c r="Q11" s="359">
        <f t="shared" si="6"/>
        <v>0</v>
      </c>
      <c r="R11" s="359">
        <f t="shared" si="6"/>
        <v>0</v>
      </c>
      <c r="S11" s="359">
        <f>Y11+AE11+AK11+AQ11+AY11</f>
        <v>46</v>
      </c>
      <c r="T11" s="360">
        <f aca="true" t="shared" si="7" ref="T11:T27">SUM(U11:Y11)</f>
        <v>60</v>
      </c>
      <c r="U11" s="283">
        <v>14</v>
      </c>
      <c r="V11" s="283"/>
      <c r="W11" s="283"/>
      <c r="X11" s="283"/>
      <c r="Y11" s="283">
        <v>46</v>
      </c>
      <c r="Z11" s="360">
        <f>SUM(AA11:AE11)</f>
        <v>0</v>
      </c>
      <c r="AA11" s="283"/>
      <c r="AB11" s="283"/>
      <c r="AC11" s="283"/>
      <c r="AD11" s="283"/>
      <c r="AE11" s="283"/>
      <c r="AF11" s="360">
        <f aca="true" t="shared" si="8" ref="AF11:AF27">SUM(AG11:AK11)</f>
        <v>0</v>
      </c>
      <c r="AG11" s="283"/>
      <c r="AH11" s="283"/>
      <c r="AI11" s="283"/>
      <c r="AJ11" s="283"/>
      <c r="AK11" s="283"/>
      <c r="AL11" s="360">
        <f>SUM(AM11:AQ11)</f>
        <v>0</v>
      </c>
      <c r="AM11" s="283"/>
      <c r="AN11" s="283"/>
      <c r="AO11" s="283"/>
      <c r="AP11" s="283"/>
      <c r="AQ11" s="283"/>
      <c r="AR11" s="360">
        <f>SUM(AS11:AY11)</f>
        <v>0</v>
      </c>
      <c r="AS11" s="283"/>
      <c r="AT11" s="283"/>
      <c r="AU11" s="283"/>
      <c r="AV11" s="283"/>
      <c r="AW11" s="283"/>
      <c r="AX11" s="283"/>
      <c r="AY11" s="283"/>
      <c r="AZ11" s="368"/>
      <c r="BA11" s="358" t="str">
        <f>'Учебный план (очная)'!CF30</f>
        <v>64-1</v>
      </c>
      <c r="BB11" s="393" t="str">
        <f>'Учебный план (очная)'!CG30</f>
        <v>ОК 1-9</v>
      </c>
    </row>
    <row r="12" spans="1:54" s="245" customFormat="1" ht="25.5" customHeight="1">
      <c r="A12" s="391" t="str">
        <f>'Учебный план (очная)'!A31</f>
        <v>ОГСЭ.02.</v>
      </c>
      <c r="B12" s="391" t="str">
        <f>'Учебный план (очная)'!B31</f>
        <v>История</v>
      </c>
      <c r="C12" s="301"/>
      <c r="D12" s="358" t="s">
        <v>27</v>
      </c>
      <c r="E12" s="358"/>
      <c r="F12" s="358"/>
      <c r="G12" s="358"/>
      <c r="H12" s="358"/>
      <c r="I12" s="283">
        <f aca="true" t="shared" si="9" ref="I12:I17">K12-M12</f>
        <v>0</v>
      </c>
      <c r="J12" s="358">
        <f aca="true" t="shared" si="10" ref="J12:J17">L12*$J$1</f>
        <v>14.4</v>
      </c>
      <c r="K12" s="283">
        <f>'Учебный план (очная)'!K31</f>
        <v>66</v>
      </c>
      <c r="L12" s="283">
        <f>'Учебный план (очная)'!L31</f>
        <v>48</v>
      </c>
      <c r="M12" s="359">
        <f t="shared" si="0"/>
        <v>66</v>
      </c>
      <c r="N12" s="359">
        <f>SUM(O12:R12)</f>
        <v>14</v>
      </c>
      <c r="O12" s="359">
        <f t="shared" si="6"/>
        <v>14</v>
      </c>
      <c r="P12" s="359">
        <f t="shared" si="6"/>
        <v>0</v>
      </c>
      <c r="Q12" s="359">
        <f t="shared" si="6"/>
        <v>0</v>
      </c>
      <c r="R12" s="359">
        <f t="shared" si="6"/>
        <v>0</v>
      </c>
      <c r="S12" s="359">
        <f>Y12+AE12+AK12+AQ12+AY12</f>
        <v>52</v>
      </c>
      <c r="T12" s="360">
        <f t="shared" si="7"/>
        <v>66</v>
      </c>
      <c r="U12" s="283">
        <v>14</v>
      </c>
      <c r="V12" s="283"/>
      <c r="W12" s="283"/>
      <c r="X12" s="283"/>
      <c r="Y12" s="283">
        <v>52</v>
      </c>
      <c r="Z12" s="360">
        <f>SUM(AA12:AE12)</f>
        <v>0</v>
      </c>
      <c r="AA12" s="283"/>
      <c r="AB12" s="283"/>
      <c r="AC12" s="283"/>
      <c r="AD12" s="283"/>
      <c r="AE12" s="283"/>
      <c r="AF12" s="360">
        <f t="shared" si="8"/>
        <v>0</v>
      </c>
      <c r="AG12" s="283"/>
      <c r="AH12" s="283"/>
      <c r="AI12" s="283"/>
      <c r="AJ12" s="283"/>
      <c r="AK12" s="283"/>
      <c r="AL12" s="360">
        <f>SUM(AM12:AQ12)</f>
        <v>0</v>
      </c>
      <c r="AM12" s="283"/>
      <c r="AN12" s="283"/>
      <c r="AO12" s="283"/>
      <c r="AP12" s="283"/>
      <c r="AQ12" s="283"/>
      <c r="AR12" s="360">
        <f>SUM(AS12:AY12)</f>
        <v>0</v>
      </c>
      <c r="AS12" s="283"/>
      <c r="AT12" s="283"/>
      <c r="AU12" s="283"/>
      <c r="AV12" s="283"/>
      <c r="AW12" s="283"/>
      <c r="AX12" s="283"/>
      <c r="AY12" s="283"/>
      <c r="AZ12" s="368"/>
      <c r="BA12" s="358" t="str">
        <f>'Учебный план (очная)'!CF31</f>
        <v>64-1</v>
      </c>
      <c r="BB12" s="393" t="str">
        <f>'Учебный план (очная)'!CG31</f>
        <v>ОК 1-9</v>
      </c>
    </row>
    <row r="13" spans="1:54" s="245" customFormat="1" ht="25.5" customHeight="1">
      <c r="A13" s="391" t="str">
        <f>'Учебный план (очная)'!A32</f>
        <v>ОГСЭ.03.</v>
      </c>
      <c r="B13" s="391" t="str">
        <f>'Учебный план (очная)'!B32</f>
        <v>Иностранный язык</v>
      </c>
      <c r="C13" s="301"/>
      <c r="D13" s="358"/>
      <c r="E13" s="358" t="s">
        <v>40</v>
      </c>
      <c r="F13" s="358"/>
      <c r="G13" s="358"/>
      <c r="H13" s="358"/>
      <c r="I13" s="283">
        <f t="shared" si="9"/>
        <v>0</v>
      </c>
      <c r="J13" s="358">
        <f t="shared" si="10"/>
        <v>50.4</v>
      </c>
      <c r="K13" s="283">
        <f>'Учебный план (очная)'!K32</f>
        <v>192</v>
      </c>
      <c r="L13" s="283">
        <f>'Учебный план (очная)'!L32</f>
        <v>168</v>
      </c>
      <c r="M13" s="359">
        <f t="shared" si="0"/>
        <v>192</v>
      </c>
      <c r="N13" s="359">
        <f>SUM(O13:R13)</f>
        <v>42</v>
      </c>
      <c r="O13" s="359">
        <f t="shared" si="6"/>
        <v>0</v>
      </c>
      <c r="P13" s="359">
        <f t="shared" si="6"/>
        <v>42</v>
      </c>
      <c r="Q13" s="359">
        <f t="shared" si="6"/>
        <v>0</v>
      </c>
      <c r="R13" s="359">
        <f t="shared" si="6"/>
        <v>0</v>
      </c>
      <c r="S13" s="359">
        <f>Y13+AE13+AK13+AQ13+AY13</f>
        <v>150</v>
      </c>
      <c r="T13" s="360">
        <f t="shared" si="7"/>
        <v>50</v>
      </c>
      <c r="U13" s="283"/>
      <c r="V13" s="283">
        <v>8</v>
      </c>
      <c r="W13" s="283"/>
      <c r="X13" s="283"/>
      <c r="Y13" s="283">
        <v>42</v>
      </c>
      <c r="Z13" s="360">
        <f>SUM(AA13:AE13)</f>
        <v>48</v>
      </c>
      <c r="AA13" s="283"/>
      <c r="AB13" s="283">
        <v>12</v>
      </c>
      <c r="AC13" s="283"/>
      <c r="AD13" s="283"/>
      <c r="AE13" s="283">
        <v>36</v>
      </c>
      <c r="AF13" s="360">
        <f t="shared" si="8"/>
        <v>46</v>
      </c>
      <c r="AG13" s="283"/>
      <c r="AH13" s="283">
        <v>10</v>
      </c>
      <c r="AI13" s="283"/>
      <c r="AJ13" s="283"/>
      <c r="AK13" s="283">
        <v>36</v>
      </c>
      <c r="AL13" s="360">
        <f>SUM(AM13:AQ13)</f>
        <v>48</v>
      </c>
      <c r="AM13" s="283"/>
      <c r="AN13" s="283">
        <v>12</v>
      </c>
      <c r="AO13" s="283"/>
      <c r="AP13" s="283"/>
      <c r="AQ13" s="283">
        <v>36</v>
      </c>
      <c r="AR13" s="360">
        <f>SUM(AS13:AY13)</f>
        <v>0</v>
      </c>
      <c r="AS13" s="283"/>
      <c r="AT13" s="283"/>
      <c r="AU13" s="283"/>
      <c r="AV13" s="283"/>
      <c r="AW13" s="283"/>
      <c r="AX13" s="283"/>
      <c r="AY13" s="283"/>
      <c r="AZ13" s="368"/>
      <c r="BA13" s="358" t="str">
        <f>'Учебный план (очная)'!CF32</f>
        <v>64-1</v>
      </c>
      <c r="BB13" s="393" t="str">
        <f>'Учебный план (очная)'!CG32</f>
        <v>ОК1-9; ПК 1.1,1.3,3.1,3.3</v>
      </c>
    </row>
    <row r="14" spans="1:54" s="245" customFormat="1" ht="25.5" customHeight="1">
      <c r="A14" s="391" t="str">
        <f>'Учебный план (очная)'!A33</f>
        <v>ОГСЭ.04.</v>
      </c>
      <c r="B14" s="391" t="str">
        <f>'Учебный план (очная)'!B33</f>
        <v>Физическая культура</v>
      </c>
      <c r="C14" s="301"/>
      <c r="D14" s="358"/>
      <c r="E14" s="358"/>
      <c r="F14" s="358" t="s">
        <v>40</v>
      </c>
      <c r="G14" s="358"/>
      <c r="H14" s="358"/>
      <c r="I14" s="283">
        <f t="shared" si="9"/>
        <v>0</v>
      </c>
      <c r="J14" s="358">
        <f t="shared" si="10"/>
        <v>50.4</v>
      </c>
      <c r="K14" s="283">
        <f>'Учебный план (очная)'!K33</f>
        <v>336</v>
      </c>
      <c r="L14" s="283">
        <f>'Учебный план (очная)'!L33</f>
        <v>168</v>
      </c>
      <c r="M14" s="359">
        <f t="shared" si="0"/>
        <v>336</v>
      </c>
      <c r="N14" s="359">
        <f>SUM(O14:R14)</f>
        <v>2</v>
      </c>
      <c r="O14" s="359">
        <f t="shared" si="6"/>
        <v>2</v>
      </c>
      <c r="P14" s="359">
        <f t="shared" si="6"/>
        <v>0</v>
      </c>
      <c r="Q14" s="359">
        <f t="shared" si="6"/>
        <v>0</v>
      </c>
      <c r="R14" s="359">
        <f t="shared" si="6"/>
        <v>0</v>
      </c>
      <c r="S14" s="359">
        <f>Y14+AE14+AK14+AQ14+AY14</f>
        <v>334</v>
      </c>
      <c r="T14" s="360">
        <f t="shared" si="7"/>
        <v>84</v>
      </c>
      <c r="U14" s="283">
        <v>2</v>
      </c>
      <c r="V14" s="283"/>
      <c r="W14" s="283"/>
      <c r="X14" s="283"/>
      <c r="Y14" s="283">
        <v>82</v>
      </c>
      <c r="Z14" s="360">
        <f>SUM(AA14:AE14)</f>
        <v>84</v>
      </c>
      <c r="AA14" s="283"/>
      <c r="AB14" s="283"/>
      <c r="AC14" s="283"/>
      <c r="AD14" s="283"/>
      <c r="AE14" s="283">
        <v>84</v>
      </c>
      <c r="AF14" s="360">
        <f t="shared" si="8"/>
        <v>84</v>
      </c>
      <c r="AG14" s="283"/>
      <c r="AH14" s="283"/>
      <c r="AI14" s="283"/>
      <c r="AJ14" s="283"/>
      <c r="AK14" s="283">
        <v>84</v>
      </c>
      <c r="AL14" s="360">
        <f>SUM(AM14:AQ14)</f>
        <v>84</v>
      </c>
      <c r="AM14" s="283"/>
      <c r="AN14" s="283"/>
      <c r="AO14" s="283"/>
      <c r="AP14" s="283"/>
      <c r="AQ14" s="283">
        <v>84</v>
      </c>
      <c r="AR14" s="360"/>
      <c r="AS14" s="283"/>
      <c r="AT14" s="283"/>
      <c r="AU14" s="283"/>
      <c r="AV14" s="283"/>
      <c r="AW14" s="283"/>
      <c r="AX14" s="283"/>
      <c r="AY14" s="283"/>
      <c r="AZ14" s="368"/>
      <c r="BA14" s="358" t="str">
        <f>'Учебный план (очная)'!CF33</f>
        <v>33</v>
      </c>
      <c r="BB14" s="393" t="str">
        <f>'Учебный план (очная)'!CG33</f>
        <v>ОК 2,3,6</v>
      </c>
    </row>
    <row r="15" spans="1:54" s="244" customFormat="1" ht="25.5" customHeight="1">
      <c r="A15" s="480" t="str">
        <f>'Учебный план (очная)'!A34</f>
        <v>ЕН.00</v>
      </c>
      <c r="B15" s="673" t="s">
        <v>215</v>
      </c>
      <c r="C15" s="674"/>
      <c r="D15" s="674"/>
      <c r="E15" s="674"/>
      <c r="F15" s="674"/>
      <c r="G15" s="674"/>
      <c r="H15" s="675"/>
      <c r="I15" s="446"/>
      <c r="J15" s="445"/>
      <c r="K15" s="436">
        <f>'Учебный план (очная)'!K34</f>
        <v>240</v>
      </c>
      <c r="L15" s="436">
        <f>'Учебный план (очная)'!L34</f>
        <v>160</v>
      </c>
      <c r="M15" s="442">
        <f t="shared" si="0"/>
        <v>240</v>
      </c>
      <c r="N15" s="442">
        <f aca="true" t="shared" si="11" ref="N15:S15">SUM(N16:N17)</f>
        <v>46</v>
      </c>
      <c r="O15" s="442">
        <f t="shared" si="11"/>
        <v>32</v>
      </c>
      <c r="P15" s="442">
        <f t="shared" si="11"/>
        <v>14</v>
      </c>
      <c r="Q15" s="442">
        <f t="shared" si="11"/>
        <v>0</v>
      </c>
      <c r="R15" s="442">
        <f t="shared" si="11"/>
        <v>0</v>
      </c>
      <c r="S15" s="442">
        <f t="shared" si="11"/>
        <v>194</v>
      </c>
      <c r="T15" s="442">
        <f t="shared" si="7"/>
        <v>168</v>
      </c>
      <c r="U15" s="442">
        <f aca="true" t="shared" si="12" ref="U15:AE15">SUM(U16:U17)</f>
        <v>20</v>
      </c>
      <c r="V15" s="442">
        <f t="shared" si="12"/>
        <v>14</v>
      </c>
      <c r="W15" s="442">
        <f t="shared" si="12"/>
        <v>0</v>
      </c>
      <c r="X15" s="442">
        <f t="shared" si="12"/>
        <v>0</v>
      </c>
      <c r="Y15" s="442">
        <f t="shared" si="12"/>
        <v>134</v>
      </c>
      <c r="Z15" s="442">
        <f t="shared" si="12"/>
        <v>72</v>
      </c>
      <c r="AA15" s="442">
        <f t="shared" si="12"/>
        <v>12</v>
      </c>
      <c r="AB15" s="442">
        <f t="shared" si="12"/>
        <v>0</v>
      </c>
      <c r="AC15" s="442">
        <f t="shared" si="12"/>
        <v>0</v>
      </c>
      <c r="AD15" s="442">
        <f t="shared" si="12"/>
        <v>0</v>
      </c>
      <c r="AE15" s="442">
        <f t="shared" si="12"/>
        <v>60</v>
      </c>
      <c r="AF15" s="442">
        <f t="shared" si="8"/>
        <v>0</v>
      </c>
      <c r="AG15" s="442">
        <f aca="true" t="shared" si="13" ref="AG15:AY15">SUM(AG16:AG17)</f>
        <v>0</v>
      </c>
      <c r="AH15" s="442">
        <f t="shared" si="13"/>
        <v>0</v>
      </c>
      <c r="AI15" s="442">
        <f t="shared" si="13"/>
        <v>0</v>
      </c>
      <c r="AJ15" s="442">
        <f t="shared" si="13"/>
        <v>0</v>
      </c>
      <c r="AK15" s="442">
        <f t="shared" si="13"/>
        <v>0</v>
      </c>
      <c r="AL15" s="442">
        <f t="shared" si="13"/>
        <v>0</v>
      </c>
      <c r="AM15" s="442">
        <f t="shared" si="13"/>
        <v>0</v>
      </c>
      <c r="AN15" s="442">
        <f t="shared" si="13"/>
        <v>0</v>
      </c>
      <c r="AO15" s="442">
        <f t="shared" si="13"/>
        <v>0</v>
      </c>
      <c r="AP15" s="442">
        <f t="shared" si="13"/>
        <v>0</v>
      </c>
      <c r="AQ15" s="442">
        <f t="shared" si="13"/>
        <v>0</v>
      </c>
      <c r="AR15" s="442">
        <f t="shared" si="13"/>
        <v>0</v>
      </c>
      <c r="AS15" s="442">
        <f t="shared" si="13"/>
        <v>0</v>
      </c>
      <c r="AT15" s="442">
        <f t="shared" si="13"/>
        <v>0</v>
      </c>
      <c r="AU15" s="442">
        <f t="shared" si="13"/>
        <v>0</v>
      </c>
      <c r="AV15" s="442">
        <f t="shared" si="13"/>
        <v>0</v>
      </c>
      <c r="AW15" s="442">
        <f t="shared" si="13"/>
        <v>0</v>
      </c>
      <c r="AX15" s="442">
        <f t="shared" si="13"/>
        <v>0</v>
      </c>
      <c r="AY15" s="442">
        <f t="shared" si="13"/>
        <v>0</v>
      </c>
      <c r="AZ15" s="442"/>
      <c r="BA15" s="445">
        <f>'Учебный план (очная)'!CF34</f>
        <v>0</v>
      </c>
      <c r="BB15" s="445">
        <f>'Учебный план (очная)'!CG34</f>
        <v>0</v>
      </c>
    </row>
    <row r="16" spans="1:54" s="245" customFormat="1" ht="25.5" customHeight="1">
      <c r="A16" s="391" t="str">
        <f>'Учебный план (очная)'!A35</f>
        <v>ЕН.01.</v>
      </c>
      <c r="B16" s="391" t="str">
        <f>'Учебный план (очная)'!B35</f>
        <v>Математика</v>
      </c>
      <c r="C16" s="301"/>
      <c r="D16" s="358" t="s">
        <v>31</v>
      </c>
      <c r="E16" s="358"/>
      <c r="F16" s="358"/>
      <c r="G16" s="358"/>
      <c r="H16" s="358"/>
      <c r="I16" s="283">
        <f t="shared" si="9"/>
        <v>0</v>
      </c>
      <c r="J16" s="358">
        <f t="shared" si="10"/>
        <v>28.8</v>
      </c>
      <c r="K16" s="283">
        <f>'Учебный план (очная)'!K35</f>
        <v>144</v>
      </c>
      <c r="L16" s="283">
        <f>'Учебный план (очная)'!L35</f>
        <v>96</v>
      </c>
      <c r="M16" s="359">
        <f t="shared" si="0"/>
        <v>144</v>
      </c>
      <c r="N16" s="359">
        <f>SUM(O16:R16)</f>
        <v>28</v>
      </c>
      <c r="O16" s="359">
        <f aca="true" t="shared" si="14" ref="O16:R17">U16+AA16+AG16+AM16+AT16</f>
        <v>28</v>
      </c>
      <c r="P16" s="359">
        <f t="shared" si="14"/>
        <v>0</v>
      </c>
      <c r="Q16" s="359">
        <f t="shared" si="14"/>
        <v>0</v>
      </c>
      <c r="R16" s="359">
        <f t="shared" si="14"/>
        <v>0</v>
      </c>
      <c r="S16" s="359">
        <f>Y16+AE16+AK16+AQ16+AY16</f>
        <v>116</v>
      </c>
      <c r="T16" s="360">
        <f t="shared" si="7"/>
        <v>72</v>
      </c>
      <c r="U16" s="283">
        <v>16</v>
      </c>
      <c r="V16" s="283"/>
      <c r="W16" s="283"/>
      <c r="X16" s="283"/>
      <c r="Y16" s="283">
        <v>56</v>
      </c>
      <c r="Z16" s="360">
        <f>SUM(AA16:AE16)</f>
        <v>72</v>
      </c>
      <c r="AA16" s="283">
        <v>12</v>
      </c>
      <c r="AB16" s="283"/>
      <c r="AC16" s="283"/>
      <c r="AD16" s="283"/>
      <c r="AE16" s="283">
        <v>60</v>
      </c>
      <c r="AF16" s="360">
        <f t="shared" si="8"/>
        <v>0</v>
      </c>
      <c r="AG16" s="283"/>
      <c r="AH16" s="283"/>
      <c r="AI16" s="283"/>
      <c r="AJ16" s="283"/>
      <c r="AK16" s="283"/>
      <c r="AL16" s="360">
        <f>SUM(AM16:AQ16)</f>
        <v>0</v>
      </c>
      <c r="AM16" s="283"/>
      <c r="AN16" s="283"/>
      <c r="AO16" s="283"/>
      <c r="AP16" s="283"/>
      <c r="AQ16" s="283"/>
      <c r="AR16" s="360">
        <f>SUM(AS16:AY16)</f>
        <v>0</v>
      </c>
      <c r="AS16" s="283"/>
      <c r="AT16" s="283"/>
      <c r="AU16" s="283"/>
      <c r="AV16" s="283"/>
      <c r="AW16" s="283"/>
      <c r="AX16" s="283"/>
      <c r="AY16" s="283"/>
      <c r="AZ16" s="368"/>
      <c r="BA16" s="358" t="str">
        <f>'Учебный план (очная)'!CF35</f>
        <v>64-2</v>
      </c>
      <c r="BB16" s="393" t="str">
        <f>'Учебный план (очная)'!CG35</f>
        <v>ОК 1-9, ПК 1.3,2.1,3.1</v>
      </c>
    </row>
    <row r="17" spans="1:54" s="245" customFormat="1" ht="25.5" customHeight="1">
      <c r="A17" s="391" t="str">
        <f>'Учебный план (очная)'!A36</f>
        <v>ЕН.02.</v>
      </c>
      <c r="B17" s="391" t="str">
        <f>'Учебный план (очная)'!B36</f>
        <v>Информатика</v>
      </c>
      <c r="C17" s="301"/>
      <c r="D17" s="358"/>
      <c r="E17" s="358" t="s">
        <v>27</v>
      </c>
      <c r="F17" s="358"/>
      <c r="G17" s="358"/>
      <c r="H17" s="358"/>
      <c r="I17" s="283">
        <f t="shared" si="9"/>
        <v>0</v>
      </c>
      <c r="J17" s="358">
        <f t="shared" si="10"/>
        <v>19.2</v>
      </c>
      <c r="K17" s="283">
        <f>'Учебный план (очная)'!K36</f>
        <v>96</v>
      </c>
      <c r="L17" s="283">
        <f>'Учебный план (очная)'!L36</f>
        <v>64</v>
      </c>
      <c r="M17" s="359">
        <f t="shared" si="0"/>
        <v>96</v>
      </c>
      <c r="N17" s="359">
        <f>SUM(O17:R17)</f>
        <v>18</v>
      </c>
      <c r="O17" s="359">
        <f t="shared" si="14"/>
        <v>4</v>
      </c>
      <c r="P17" s="359">
        <f t="shared" si="14"/>
        <v>14</v>
      </c>
      <c r="Q17" s="359">
        <f t="shared" si="14"/>
        <v>0</v>
      </c>
      <c r="R17" s="359">
        <f t="shared" si="14"/>
        <v>0</v>
      </c>
      <c r="S17" s="359">
        <f>Y17+AE17+AK17+AQ17+AY17</f>
        <v>78</v>
      </c>
      <c r="T17" s="360">
        <f t="shared" si="7"/>
        <v>96</v>
      </c>
      <c r="U17" s="283">
        <v>4</v>
      </c>
      <c r="V17" s="283">
        <v>14</v>
      </c>
      <c r="W17" s="283"/>
      <c r="X17" s="283"/>
      <c r="Y17" s="283">
        <v>78</v>
      </c>
      <c r="Z17" s="360">
        <f>SUM(AA17:AE17)</f>
        <v>0</v>
      </c>
      <c r="AA17" s="283"/>
      <c r="AB17" s="283"/>
      <c r="AC17" s="283"/>
      <c r="AD17" s="283"/>
      <c r="AE17" s="283"/>
      <c r="AF17" s="360">
        <f t="shared" si="8"/>
        <v>0</v>
      </c>
      <c r="AG17" s="283"/>
      <c r="AH17" s="283"/>
      <c r="AI17" s="283"/>
      <c r="AJ17" s="283"/>
      <c r="AK17" s="283"/>
      <c r="AL17" s="360">
        <f>SUM(AM17:AQ17)</f>
        <v>0</v>
      </c>
      <c r="AM17" s="283"/>
      <c r="AN17" s="283"/>
      <c r="AO17" s="283"/>
      <c r="AP17" s="283"/>
      <c r="AQ17" s="283"/>
      <c r="AR17" s="360">
        <f>SUM(AS17:AY17)</f>
        <v>0</v>
      </c>
      <c r="AS17" s="283"/>
      <c r="AT17" s="283"/>
      <c r="AU17" s="283"/>
      <c r="AV17" s="283"/>
      <c r="AW17" s="283"/>
      <c r="AX17" s="283"/>
      <c r="AY17" s="283"/>
      <c r="AZ17" s="368"/>
      <c r="BA17" s="358" t="str">
        <f>'Учебный план (очная)'!CF36</f>
        <v>64-2</v>
      </c>
      <c r="BB17" s="393" t="str">
        <f>'Учебный план (очная)'!CG36</f>
        <v>ОК 1-9, ПК 1.1,2.1,2.3,3.1</v>
      </c>
    </row>
    <row r="18" spans="1:54" ht="25.5" customHeight="1">
      <c r="A18" s="387" t="s">
        <v>153</v>
      </c>
      <c r="B18" s="541" t="s">
        <v>73</v>
      </c>
      <c r="C18" s="542"/>
      <c r="D18" s="542"/>
      <c r="E18" s="542"/>
      <c r="F18" s="542"/>
      <c r="G18" s="542"/>
      <c r="H18" s="543"/>
      <c r="I18" s="441"/>
      <c r="J18" s="388"/>
      <c r="K18" s="436">
        <f>'Учебный план (очная)'!K37</f>
        <v>2582</v>
      </c>
      <c r="L18" s="436">
        <f>'Учебный план (очная)'!L37</f>
        <v>1721</v>
      </c>
      <c r="M18" s="442">
        <f>SUM(N18+S18)</f>
        <v>2498</v>
      </c>
      <c r="N18" s="379">
        <f aca="true" t="shared" si="15" ref="N18:S18">SUM(N19+N28)</f>
        <v>366</v>
      </c>
      <c r="O18" s="379">
        <f t="shared" si="15"/>
        <v>366</v>
      </c>
      <c r="P18" s="379">
        <f t="shared" si="15"/>
        <v>0</v>
      </c>
      <c r="Q18" s="379">
        <f t="shared" si="15"/>
        <v>0</v>
      </c>
      <c r="R18" s="379">
        <f t="shared" si="15"/>
        <v>0</v>
      </c>
      <c r="S18" s="379">
        <f t="shared" si="15"/>
        <v>2132</v>
      </c>
      <c r="T18" s="442">
        <f t="shared" si="7"/>
        <v>446</v>
      </c>
      <c r="U18" s="379">
        <f aca="true" t="shared" si="16" ref="U18:AY18">U19+U28</f>
        <v>80</v>
      </c>
      <c r="V18" s="379">
        <f t="shared" si="16"/>
        <v>0</v>
      </c>
      <c r="W18" s="379">
        <f t="shared" si="16"/>
        <v>0</v>
      </c>
      <c r="X18" s="379">
        <f t="shared" si="16"/>
        <v>0</v>
      </c>
      <c r="Y18" s="379">
        <f t="shared" si="16"/>
        <v>366</v>
      </c>
      <c r="Z18" s="379">
        <f t="shared" si="16"/>
        <v>532</v>
      </c>
      <c r="AA18" s="379">
        <f t="shared" si="16"/>
        <v>96</v>
      </c>
      <c r="AB18" s="379">
        <f t="shared" si="16"/>
        <v>0</v>
      </c>
      <c r="AC18" s="379">
        <f t="shared" si="16"/>
        <v>0</v>
      </c>
      <c r="AD18" s="379">
        <f t="shared" si="16"/>
        <v>0</v>
      </c>
      <c r="AE18" s="379">
        <f t="shared" si="16"/>
        <v>520</v>
      </c>
      <c r="AF18" s="442">
        <f t="shared" si="8"/>
        <v>903</v>
      </c>
      <c r="AG18" s="379">
        <f t="shared" si="16"/>
        <v>90</v>
      </c>
      <c r="AH18" s="379">
        <f t="shared" si="16"/>
        <v>0</v>
      </c>
      <c r="AI18" s="379">
        <f t="shared" si="16"/>
        <v>0</v>
      </c>
      <c r="AJ18" s="379">
        <f t="shared" si="16"/>
        <v>0</v>
      </c>
      <c r="AK18" s="379">
        <f t="shared" si="16"/>
        <v>813</v>
      </c>
      <c r="AL18" s="379">
        <f t="shared" si="16"/>
        <v>617</v>
      </c>
      <c r="AM18" s="379">
        <f t="shared" si="16"/>
        <v>116</v>
      </c>
      <c r="AN18" s="379">
        <f t="shared" si="16"/>
        <v>0</v>
      </c>
      <c r="AO18" s="379">
        <f t="shared" si="16"/>
        <v>0</v>
      </c>
      <c r="AP18" s="379">
        <f t="shared" si="16"/>
        <v>0</v>
      </c>
      <c r="AQ18" s="379">
        <f t="shared" si="16"/>
        <v>501</v>
      </c>
      <c r="AR18" s="379">
        <f t="shared" si="16"/>
        <v>0</v>
      </c>
      <c r="AS18" s="379">
        <f t="shared" si="16"/>
        <v>0</v>
      </c>
      <c r="AT18" s="379">
        <f t="shared" si="16"/>
        <v>0</v>
      </c>
      <c r="AU18" s="379">
        <f t="shared" si="16"/>
        <v>0</v>
      </c>
      <c r="AV18" s="379">
        <f t="shared" si="16"/>
        <v>0</v>
      </c>
      <c r="AW18" s="379">
        <f t="shared" si="16"/>
        <v>0</v>
      </c>
      <c r="AX18" s="379">
        <f t="shared" si="16"/>
        <v>0</v>
      </c>
      <c r="AY18" s="379">
        <f t="shared" si="16"/>
        <v>0</v>
      </c>
      <c r="AZ18" s="390"/>
      <c r="BA18" s="388">
        <f>'Учебный план (очная)'!CF37</f>
        <v>0</v>
      </c>
      <c r="BB18" s="388">
        <f>'Учебный план (очная)'!CG37</f>
        <v>0</v>
      </c>
    </row>
    <row r="19" spans="1:54" s="244" customFormat="1" ht="25.5" customHeight="1">
      <c r="A19" s="114" t="s">
        <v>151</v>
      </c>
      <c r="B19" s="670" t="s">
        <v>150</v>
      </c>
      <c r="C19" s="671"/>
      <c r="D19" s="671"/>
      <c r="E19" s="671"/>
      <c r="F19" s="671"/>
      <c r="G19" s="671"/>
      <c r="H19" s="672"/>
      <c r="I19" s="441"/>
      <c r="J19" s="388"/>
      <c r="K19" s="436">
        <f>'Учебный план (очная)'!K38</f>
        <v>978</v>
      </c>
      <c r="L19" s="436">
        <f>'Учебный план (очная)'!L38</f>
        <v>652</v>
      </c>
      <c r="M19" s="442">
        <f>SUM(N19+S19)</f>
        <v>978</v>
      </c>
      <c r="N19" s="379">
        <f aca="true" t="shared" si="17" ref="N19:AQ19">SUM(N20:N27)</f>
        <v>160</v>
      </c>
      <c r="O19" s="379">
        <f t="shared" si="17"/>
        <v>160</v>
      </c>
      <c r="P19" s="379">
        <f t="shared" si="17"/>
        <v>0</v>
      </c>
      <c r="Q19" s="379">
        <f t="shared" si="17"/>
        <v>0</v>
      </c>
      <c r="R19" s="379">
        <f t="shared" si="17"/>
        <v>0</v>
      </c>
      <c r="S19" s="379">
        <f t="shared" si="17"/>
        <v>818</v>
      </c>
      <c r="T19" s="442">
        <f t="shared" si="7"/>
        <v>446</v>
      </c>
      <c r="U19" s="379">
        <f t="shared" si="17"/>
        <v>80</v>
      </c>
      <c r="V19" s="379">
        <f t="shared" si="17"/>
        <v>0</v>
      </c>
      <c r="W19" s="379">
        <f t="shared" si="17"/>
        <v>0</v>
      </c>
      <c r="X19" s="379">
        <f t="shared" si="17"/>
        <v>0</v>
      </c>
      <c r="Y19" s="379">
        <f t="shared" si="17"/>
        <v>366</v>
      </c>
      <c r="Z19" s="379">
        <f t="shared" si="17"/>
        <v>532</v>
      </c>
      <c r="AA19" s="379">
        <f t="shared" si="17"/>
        <v>80</v>
      </c>
      <c r="AB19" s="379">
        <f t="shared" si="17"/>
        <v>0</v>
      </c>
      <c r="AC19" s="379">
        <f t="shared" si="17"/>
        <v>0</v>
      </c>
      <c r="AD19" s="379">
        <f t="shared" si="17"/>
        <v>0</v>
      </c>
      <c r="AE19" s="379">
        <f t="shared" si="17"/>
        <v>452</v>
      </c>
      <c r="AF19" s="442">
        <f t="shared" si="8"/>
        <v>0</v>
      </c>
      <c r="AG19" s="379">
        <f t="shared" si="17"/>
        <v>0</v>
      </c>
      <c r="AH19" s="379">
        <f t="shared" si="17"/>
        <v>0</v>
      </c>
      <c r="AI19" s="379">
        <f t="shared" si="17"/>
        <v>0</v>
      </c>
      <c r="AJ19" s="379">
        <f t="shared" si="17"/>
        <v>0</v>
      </c>
      <c r="AK19" s="379">
        <f t="shared" si="17"/>
        <v>0</v>
      </c>
      <c r="AL19" s="379">
        <f t="shared" si="17"/>
        <v>0</v>
      </c>
      <c r="AM19" s="379">
        <f t="shared" si="17"/>
        <v>0</v>
      </c>
      <c r="AN19" s="379">
        <f t="shared" si="17"/>
        <v>0</v>
      </c>
      <c r="AO19" s="379">
        <f t="shared" si="17"/>
        <v>0</v>
      </c>
      <c r="AP19" s="379">
        <f t="shared" si="17"/>
        <v>0</v>
      </c>
      <c r="AQ19" s="379">
        <f t="shared" si="17"/>
        <v>0</v>
      </c>
      <c r="AR19" s="379">
        <f aca="true" t="shared" si="18" ref="AR19:AY19">SUM(AR20:AR27)</f>
        <v>0</v>
      </c>
      <c r="AS19" s="379">
        <f t="shared" si="18"/>
        <v>0</v>
      </c>
      <c r="AT19" s="379">
        <f t="shared" si="18"/>
        <v>0</v>
      </c>
      <c r="AU19" s="379">
        <f t="shared" si="18"/>
        <v>0</v>
      </c>
      <c r="AV19" s="379">
        <f t="shared" si="18"/>
        <v>0</v>
      </c>
      <c r="AW19" s="379">
        <f t="shared" si="18"/>
        <v>0</v>
      </c>
      <c r="AX19" s="379">
        <f t="shared" si="18"/>
        <v>0</v>
      </c>
      <c r="AY19" s="379">
        <f t="shared" si="18"/>
        <v>0</v>
      </c>
      <c r="AZ19" s="443"/>
      <c r="BA19" s="388">
        <f>'Учебный план (очная)'!CF38</f>
        <v>0</v>
      </c>
      <c r="BB19" s="388">
        <f>'Учебный план (очная)'!CG38</f>
        <v>0</v>
      </c>
    </row>
    <row r="20" spans="1:54" s="245" customFormat="1" ht="25.5" customHeight="1">
      <c r="A20" s="391" t="str">
        <f>'Учебный план (очная)'!A39</f>
        <v>ОП.01.</v>
      </c>
      <c r="B20" s="391" t="str">
        <f>'Учебный план (очная)'!B39</f>
        <v>Инженерная графика</v>
      </c>
      <c r="C20" s="301"/>
      <c r="D20" s="358"/>
      <c r="E20" s="358" t="s">
        <v>31</v>
      </c>
      <c r="F20" s="358"/>
      <c r="G20" s="358"/>
      <c r="H20" s="358"/>
      <c r="I20" s="283">
        <f aca="true" t="shared" si="19" ref="I20:I27">K20-M20</f>
        <v>0</v>
      </c>
      <c r="J20" s="358">
        <f aca="true" t="shared" si="20" ref="J20:J27">L20*$J$1</f>
        <v>19.2</v>
      </c>
      <c r="K20" s="283">
        <f>'Учебный план (очная)'!K39</f>
        <v>96</v>
      </c>
      <c r="L20" s="283">
        <f>'Учебный план (очная)'!L39</f>
        <v>64</v>
      </c>
      <c r="M20" s="359">
        <f aca="true" t="shared" si="21" ref="M20:M27">SUM(N20+S20)</f>
        <v>96</v>
      </c>
      <c r="N20" s="359">
        <f aca="true" t="shared" si="22" ref="N20:N27">SUM(O20:R20)</f>
        <v>18</v>
      </c>
      <c r="O20" s="359">
        <f aca="true" t="shared" si="23" ref="O20:R27">U20+AA20+AG20+AM20+AT20</f>
        <v>18</v>
      </c>
      <c r="P20" s="359">
        <f t="shared" si="23"/>
        <v>0</v>
      </c>
      <c r="Q20" s="359">
        <f t="shared" si="23"/>
        <v>0</v>
      </c>
      <c r="R20" s="359">
        <f t="shared" si="23"/>
        <v>0</v>
      </c>
      <c r="S20" s="359">
        <f aca="true" t="shared" si="24" ref="S20:S27">Y20+AE20+AK20+AQ20+AY20</f>
        <v>78</v>
      </c>
      <c r="T20" s="360">
        <f t="shared" si="7"/>
        <v>96</v>
      </c>
      <c r="U20" s="283">
        <v>18</v>
      </c>
      <c r="V20" s="283"/>
      <c r="W20" s="283"/>
      <c r="X20" s="283"/>
      <c r="Y20" s="283">
        <v>78</v>
      </c>
      <c r="Z20" s="360">
        <f aca="true" t="shared" si="25" ref="Z20:Z27">SUM(AA20:AE20)</f>
        <v>0</v>
      </c>
      <c r="AA20" s="283"/>
      <c r="AB20" s="283"/>
      <c r="AC20" s="283"/>
      <c r="AD20" s="283"/>
      <c r="AE20" s="283"/>
      <c r="AF20" s="360">
        <f t="shared" si="8"/>
        <v>0</v>
      </c>
      <c r="AG20" s="283"/>
      <c r="AH20" s="283"/>
      <c r="AI20" s="283"/>
      <c r="AJ20" s="283"/>
      <c r="AK20" s="283"/>
      <c r="AL20" s="360">
        <f aca="true" t="shared" si="26" ref="AL20:AL27">SUM(AM20:AQ20)</f>
        <v>0</v>
      </c>
      <c r="AM20" s="283"/>
      <c r="AN20" s="283"/>
      <c r="AO20" s="283"/>
      <c r="AP20" s="283"/>
      <c r="AQ20" s="283"/>
      <c r="AR20" s="360">
        <f>SUM(AS20:AY20)</f>
        <v>0</v>
      </c>
      <c r="AS20" s="283"/>
      <c r="AT20" s="283"/>
      <c r="AU20" s="283"/>
      <c r="AV20" s="283"/>
      <c r="AW20" s="283"/>
      <c r="AX20" s="283"/>
      <c r="AY20" s="283"/>
      <c r="AZ20" s="368"/>
      <c r="BA20" s="358" t="str">
        <f>'Учебный план (очная)'!CF39</f>
        <v>64-3</v>
      </c>
      <c r="BB20" s="393" t="str">
        <f>'Учебный план (очная)'!CG39</f>
        <v>ОК 1-9, ПК 2.1,3.1</v>
      </c>
    </row>
    <row r="21" spans="1:54" s="245" customFormat="1" ht="25.5" customHeight="1">
      <c r="A21" s="391" t="str">
        <f>'Учебный план (очная)'!A40</f>
        <v>ОП.02.</v>
      </c>
      <c r="B21" s="391" t="str">
        <f>'Учебный план (очная)'!B40</f>
        <v>Электротехника и электроника</v>
      </c>
      <c r="C21" s="301"/>
      <c r="D21" s="358"/>
      <c r="E21" s="358" t="s">
        <v>31</v>
      </c>
      <c r="F21" s="358"/>
      <c r="G21" s="358"/>
      <c r="H21" s="482" t="s">
        <v>27</v>
      </c>
      <c r="I21" s="283">
        <f t="shared" si="19"/>
        <v>0</v>
      </c>
      <c r="J21" s="358">
        <f t="shared" si="20"/>
        <v>26.7</v>
      </c>
      <c r="K21" s="283">
        <f>'Учебный план (очная)'!K40</f>
        <v>133</v>
      </c>
      <c r="L21" s="283">
        <f>'Учебный план (очная)'!L40</f>
        <v>89</v>
      </c>
      <c r="M21" s="359">
        <f t="shared" si="21"/>
        <v>133</v>
      </c>
      <c r="N21" s="359">
        <f t="shared" si="22"/>
        <v>26</v>
      </c>
      <c r="O21" s="359">
        <f t="shared" si="23"/>
        <v>26</v>
      </c>
      <c r="P21" s="359">
        <f t="shared" si="23"/>
        <v>0</v>
      </c>
      <c r="Q21" s="359">
        <f t="shared" si="23"/>
        <v>0</v>
      </c>
      <c r="R21" s="359">
        <f t="shared" si="23"/>
        <v>0</v>
      </c>
      <c r="S21" s="359">
        <f t="shared" si="24"/>
        <v>107</v>
      </c>
      <c r="T21" s="360">
        <f t="shared" si="7"/>
        <v>72</v>
      </c>
      <c r="U21" s="283">
        <v>12</v>
      </c>
      <c r="V21" s="283"/>
      <c r="W21" s="283"/>
      <c r="X21" s="283"/>
      <c r="Y21" s="283">
        <v>60</v>
      </c>
      <c r="Z21" s="360">
        <f t="shared" si="25"/>
        <v>61</v>
      </c>
      <c r="AA21" s="283">
        <v>14</v>
      </c>
      <c r="AB21" s="283"/>
      <c r="AC21" s="283"/>
      <c r="AD21" s="283"/>
      <c r="AE21" s="283">
        <v>47</v>
      </c>
      <c r="AF21" s="360">
        <f t="shared" si="8"/>
        <v>0</v>
      </c>
      <c r="AG21" s="283"/>
      <c r="AH21" s="283"/>
      <c r="AI21" s="283"/>
      <c r="AJ21" s="283"/>
      <c r="AK21" s="283"/>
      <c r="AL21" s="360">
        <f t="shared" si="26"/>
        <v>0</v>
      </c>
      <c r="AM21" s="283"/>
      <c r="AN21" s="283"/>
      <c r="AO21" s="283"/>
      <c r="AP21" s="283"/>
      <c r="AQ21" s="283"/>
      <c r="AR21" s="360">
        <f aca="true" t="shared" si="27" ref="AR21:AR27">SUM(AS21:AY21)</f>
        <v>0</v>
      </c>
      <c r="AS21" s="283"/>
      <c r="AT21" s="283"/>
      <c r="AU21" s="283"/>
      <c r="AV21" s="283"/>
      <c r="AW21" s="283"/>
      <c r="AX21" s="283"/>
      <c r="AY21" s="283"/>
      <c r="AZ21" s="368"/>
      <c r="BA21" s="358" t="str">
        <f>'Учебный план (очная)'!CF40</f>
        <v>64-6</v>
      </c>
      <c r="BB21" s="283" t="str">
        <f>'Учебный план (очная)'!CG40</f>
        <v>ОК 1-9, ПК 1.1,1.2,2.2,2.3</v>
      </c>
    </row>
    <row r="22" spans="1:54" s="245" customFormat="1" ht="25.5" customHeight="1">
      <c r="A22" s="391" t="str">
        <f>'Учебный план (очная)'!A41</f>
        <v>ОП.03.</v>
      </c>
      <c r="B22" s="391" t="str">
        <f>'Учебный план (очная)'!B41</f>
        <v>Метрология, стандартизация и сертификация</v>
      </c>
      <c r="C22" s="301"/>
      <c r="D22" s="358"/>
      <c r="E22" s="358" t="s">
        <v>27</v>
      </c>
      <c r="F22" s="358"/>
      <c r="G22" s="358"/>
      <c r="H22" s="358"/>
      <c r="I22" s="283">
        <f t="shared" si="19"/>
        <v>0</v>
      </c>
      <c r="J22" s="358">
        <f t="shared" si="20"/>
        <v>17.1</v>
      </c>
      <c r="K22" s="283">
        <f>'Учебный план (очная)'!K41</f>
        <v>85</v>
      </c>
      <c r="L22" s="283">
        <f>'Учебный план (очная)'!L41</f>
        <v>57</v>
      </c>
      <c r="M22" s="359">
        <f t="shared" si="21"/>
        <v>85</v>
      </c>
      <c r="N22" s="359">
        <f t="shared" si="22"/>
        <v>16</v>
      </c>
      <c r="O22" s="359">
        <f t="shared" si="23"/>
        <v>16</v>
      </c>
      <c r="P22" s="359">
        <f t="shared" si="23"/>
        <v>0</v>
      </c>
      <c r="Q22" s="359">
        <f t="shared" si="23"/>
        <v>0</v>
      </c>
      <c r="R22" s="359">
        <f t="shared" si="23"/>
        <v>0</v>
      </c>
      <c r="S22" s="359">
        <f t="shared" si="24"/>
        <v>69</v>
      </c>
      <c r="T22" s="360">
        <f t="shared" si="7"/>
        <v>85</v>
      </c>
      <c r="U22" s="283">
        <v>16</v>
      </c>
      <c r="V22" s="283"/>
      <c r="W22" s="283"/>
      <c r="X22" s="283"/>
      <c r="Y22" s="283">
        <v>69</v>
      </c>
      <c r="Z22" s="360">
        <f t="shared" si="25"/>
        <v>0</v>
      </c>
      <c r="AA22" s="283"/>
      <c r="AB22" s="283"/>
      <c r="AC22" s="283"/>
      <c r="AD22" s="283"/>
      <c r="AE22" s="283"/>
      <c r="AF22" s="360">
        <f t="shared" si="8"/>
        <v>0</v>
      </c>
      <c r="AG22" s="283"/>
      <c r="AH22" s="283"/>
      <c r="AI22" s="283"/>
      <c r="AJ22" s="283"/>
      <c r="AK22" s="283"/>
      <c r="AL22" s="360">
        <f t="shared" si="26"/>
        <v>0</v>
      </c>
      <c r="AM22" s="283"/>
      <c r="AN22" s="283"/>
      <c r="AO22" s="283"/>
      <c r="AP22" s="283"/>
      <c r="AQ22" s="283"/>
      <c r="AR22" s="360">
        <f t="shared" si="27"/>
        <v>0</v>
      </c>
      <c r="AS22" s="283"/>
      <c r="AT22" s="283"/>
      <c r="AU22" s="283"/>
      <c r="AV22" s="283"/>
      <c r="AW22" s="283"/>
      <c r="AX22" s="283"/>
      <c r="AY22" s="283"/>
      <c r="AZ22" s="368"/>
      <c r="BA22" s="358" t="str">
        <f>'Учебный план (очная)'!CF41</f>
        <v>64-3</v>
      </c>
      <c r="BB22" s="283" t="str">
        <f>'Учебный план (очная)'!CG41</f>
        <v>ОК 1-9, ПК 1.2, 2.1-2.3</v>
      </c>
    </row>
    <row r="23" spans="1:54" s="245" customFormat="1" ht="25.5" customHeight="1">
      <c r="A23" s="391" t="str">
        <f>'Учебный план (очная)'!A42</f>
        <v>ОП.04.</v>
      </c>
      <c r="B23" s="391" t="str">
        <f>'Учебный план (очная)'!B42</f>
        <v>Транспортная система России</v>
      </c>
      <c r="C23" s="301"/>
      <c r="D23" s="358"/>
      <c r="E23" s="358" t="s">
        <v>31</v>
      </c>
      <c r="F23" s="358"/>
      <c r="G23" s="358"/>
      <c r="H23" s="482" t="s">
        <v>27</v>
      </c>
      <c r="I23" s="283">
        <f t="shared" si="19"/>
        <v>0</v>
      </c>
      <c r="J23" s="358">
        <f t="shared" si="20"/>
        <v>26.7</v>
      </c>
      <c r="K23" s="283">
        <f>'Учебный план (очная)'!K42</f>
        <v>133</v>
      </c>
      <c r="L23" s="283">
        <f>'Учебный план (очная)'!L42</f>
        <v>89</v>
      </c>
      <c r="M23" s="359">
        <f t="shared" si="21"/>
        <v>133</v>
      </c>
      <c r="N23" s="359">
        <f t="shared" si="22"/>
        <v>28</v>
      </c>
      <c r="O23" s="359">
        <f t="shared" si="23"/>
        <v>28</v>
      </c>
      <c r="P23" s="359">
        <f t="shared" si="23"/>
        <v>0</v>
      </c>
      <c r="Q23" s="359">
        <f t="shared" si="23"/>
        <v>0</v>
      </c>
      <c r="R23" s="359">
        <f t="shared" si="23"/>
        <v>0</v>
      </c>
      <c r="S23" s="359">
        <f t="shared" si="24"/>
        <v>105</v>
      </c>
      <c r="T23" s="360">
        <f t="shared" si="7"/>
        <v>67</v>
      </c>
      <c r="U23" s="283">
        <v>12</v>
      </c>
      <c r="V23" s="283"/>
      <c r="W23" s="283"/>
      <c r="X23" s="283"/>
      <c r="Y23" s="283">
        <v>55</v>
      </c>
      <c r="Z23" s="360">
        <f t="shared" si="25"/>
        <v>66</v>
      </c>
      <c r="AA23" s="283">
        <v>16</v>
      </c>
      <c r="AB23" s="283"/>
      <c r="AC23" s="283"/>
      <c r="AD23" s="283"/>
      <c r="AE23" s="283">
        <v>50</v>
      </c>
      <c r="AF23" s="360">
        <f t="shared" si="8"/>
        <v>0</v>
      </c>
      <c r="AG23" s="283"/>
      <c r="AH23" s="283"/>
      <c r="AI23" s="283"/>
      <c r="AJ23" s="283"/>
      <c r="AK23" s="283"/>
      <c r="AL23" s="360">
        <f t="shared" si="26"/>
        <v>0</v>
      </c>
      <c r="AM23" s="283"/>
      <c r="AN23" s="283"/>
      <c r="AO23" s="283"/>
      <c r="AP23" s="283"/>
      <c r="AQ23" s="283"/>
      <c r="AR23" s="360">
        <f t="shared" si="27"/>
        <v>0</v>
      </c>
      <c r="AS23" s="283"/>
      <c r="AT23" s="283"/>
      <c r="AU23" s="283"/>
      <c r="AV23" s="283"/>
      <c r="AW23" s="283"/>
      <c r="AX23" s="283"/>
      <c r="AY23" s="283"/>
      <c r="AZ23" s="368"/>
      <c r="BA23" s="358" t="str">
        <f>'Учебный план (очная)'!CF42</f>
        <v>64-9</v>
      </c>
      <c r="BB23" s="283" t="str">
        <f>'Учебный план (очная)'!CG42</f>
        <v>ОК 1-9, ПК 1.1-1.3,2.1-2.3</v>
      </c>
    </row>
    <row r="24" spans="1:54" s="245" customFormat="1" ht="25.5" customHeight="1">
      <c r="A24" s="391" t="str">
        <f>'Учебный план (очная)'!A43</f>
        <v>ОП.05.</v>
      </c>
      <c r="B24" s="391" t="str">
        <f>'Учебный план (очная)'!B43</f>
        <v>Технические средства (по видам транспорта)</v>
      </c>
      <c r="C24" s="301"/>
      <c r="D24" s="358"/>
      <c r="E24" s="358" t="s">
        <v>31</v>
      </c>
      <c r="F24" s="358"/>
      <c r="G24" s="358"/>
      <c r="H24" s="482" t="s">
        <v>31</v>
      </c>
      <c r="I24" s="283">
        <f t="shared" si="19"/>
        <v>0</v>
      </c>
      <c r="J24" s="358">
        <f t="shared" si="20"/>
        <v>59.1</v>
      </c>
      <c r="K24" s="283">
        <f>'Учебный план (очная)'!K43</f>
        <v>296</v>
      </c>
      <c r="L24" s="283">
        <f>'Учебный план (очная)'!L43</f>
        <v>197</v>
      </c>
      <c r="M24" s="359">
        <f t="shared" si="21"/>
        <v>296</v>
      </c>
      <c r="N24" s="359">
        <f t="shared" si="22"/>
        <v>30</v>
      </c>
      <c r="O24" s="359">
        <f t="shared" si="23"/>
        <v>30</v>
      </c>
      <c r="P24" s="359">
        <f t="shared" si="23"/>
        <v>0</v>
      </c>
      <c r="Q24" s="359">
        <f t="shared" si="23"/>
        <v>0</v>
      </c>
      <c r="R24" s="359">
        <f t="shared" si="23"/>
        <v>0</v>
      </c>
      <c r="S24" s="359">
        <f t="shared" si="24"/>
        <v>266</v>
      </c>
      <c r="T24" s="360">
        <f t="shared" si="7"/>
        <v>0</v>
      </c>
      <c r="U24" s="283"/>
      <c r="V24" s="283"/>
      <c r="W24" s="283"/>
      <c r="X24" s="283"/>
      <c r="Y24" s="283"/>
      <c r="Z24" s="360">
        <f t="shared" si="25"/>
        <v>296</v>
      </c>
      <c r="AA24" s="283">
        <v>30</v>
      </c>
      <c r="AB24" s="283"/>
      <c r="AC24" s="283"/>
      <c r="AD24" s="283"/>
      <c r="AE24" s="283">
        <v>266</v>
      </c>
      <c r="AF24" s="360">
        <f t="shared" si="8"/>
        <v>0</v>
      </c>
      <c r="AG24" s="283"/>
      <c r="AH24" s="283"/>
      <c r="AI24" s="283"/>
      <c r="AJ24" s="283"/>
      <c r="AK24" s="283"/>
      <c r="AL24" s="360">
        <f t="shared" si="26"/>
        <v>0</v>
      </c>
      <c r="AM24" s="283"/>
      <c r="AN24" s="283"/>
      <c r="AO24" s="283"/>
      <c r="AP24" s="283"/>
      <c r="AQ24" s="283"/>
      <c r="AR24" s="360">
        <f t="shared" si="27"/>
        <v>0</v>
      </c>
      <c r="AS24" s="283"/>
      <c r="AT24" s="283"/>
      <c r="AU24" s="283"/>
      <c r="AV24" s="283"/>
      <c r="AW24" s="283"/>
      <c r="AX24" s="283"/>
      <c r="AY24" s="283"/>
      <c r="AZ24" s="368"/>
      <c r="BA24" s="358" t="str">
        <f>'Учебный план (очная)'!CF43</f>
        <v>64-9</v>
      </c>
      <c r="BB24" s="283" t="str">
        <f>'Учебный план (очная)'!CG43</f>
        <v>ОК 1-9, ПК 1.1,1.2,2.1-2.3,3.2</v>
      </c>
    </row>
    <row r="25" spans="1:54" s="245" customFormat="1" ht="25.5" customHeight="1">
      <c r="A25" s="391" t="str">
        <f>'Учебный план (очная)'!A44</f>
        <v>ОП.06.</v>
      </c>
      <c r="B25" s="391" t="str">
        <f>'Учебный план (очная)'!B44</f>
        <v>Правовое обеспечение профессиональной деятельности</v>
      </c>
      <c r="C25" s="301"/>
      <c r="D25" s="358"/>
      <c r="E25" s="358" t="s">
        <v>27</v>
      </c>
      <c r="F25" s="358"/>
      <c r="G25" s="358"/>
      <c r="H25" s="358"/>
      <c r="I25" s="283">
        <f t="shared" si="19"/>
        <v>0</v>
      </c>
      <c r="J25" s="358">
        <f t="shared" si="20"/>
        <v>14.4</v>
      </c>
      <c r="K25" s="283">
        <f>'Учебный план (очная)'!K44</f>
        <v>72</v>
      </c>
      <c r="L25" s="283">
        <f>'Учебный план (очная)'!L44</f>
        <v>48</v>
      </c>
      <c r="M25" s="359">
        <f t="shared" si="21"/>
        <v>72</v>
      </c>
      <c r="N25" s="359">
        <f t="shared" si="22"/>
        <v>14</v>
      </c>
      <c r="O25" s="359">
        <f t="shared" si="23"/>
        <v>14</v>
      </c>
      <c r="P25" s="359">
        <f t="shared" si="23"/>
        <v>0</v>
      </c>
      <c r="Q25" s="359">
        <f t="shared" si="23"/>
        <v>0</v>
      </c>
      <c r="R25" s="359">
        <f t="shared" si="23"/>
        <v>0</v>
      </c>
      <c r="S25" s="359">
        <f t="shared" si="24"/>
        <v>58</v>
      </c>
      <c r="T25" s="360">
        <f t="shared" si="7"/>
        <v>72</v>
      </c>
      <c r="U25" s="283">
        <v>14</v>
      </c>
      <c r="V25" s="283"/>
      <c r="W25" s="283"/>
      <c r="X25" s="283"/>
      <c r="Y25" s="283">
        <v>58</v>
      </c>
      <c r="Z25" s="360">
        <f t="shared" si="25"/>
        <v>0</v>
      </c>
      <c r="AA25" s="283"/>
      <c r="AB25" s="283"/>
      <c r="AC25" s="283"/>
      <c r="AD25" s="283"/>
      <c r="AE25" s="283"/>
      <c r="AF25" s="360">
        <f t="shared" si="8"/>
        <v>0</v>
      </c>
      <c r="AG25" s="283"/>
      <c r="AH25" s="283"/>
      <c r="AI25" s="283"/>
      <c r="AJ25" s="283"/>
      <c r="AK25" s="283"/>
      <c r="AL25" s="360">
        <f t="shared" si="26"/>
        <v>0</v>
      </c>
      <c r="AM25" s="283"/>
      <c r="AN25" s="283"/>
      <c r="AO25" s="283"/>
      <c r="AP25" s="283"/>
      <c r="AQ25" s="283"/>
      <c r="AR25" s="360">
        <f t="shared" si="27"/>
        <v>0</v>
      </c>
      <c r="AS25" s="283"/>
      <c r="AT25" s="283"/>
      <c r="AU25" s="283"/>
      <c r="AV25" s="283"/>
      <c r="AW25" s="283"/>
      <c r="AX25" s="283"/>
      <c r="AY25" s="283"/>
      <c r="AZ25" s="368"/>
      <c r="BA25" s="358" t="str">
        <f>'Учебный план (очная)'!CF44</f>
        <v>64-8</v>
      </c>
      <c r="BB25" s="283" t="str">
        <f>'Учебный план (очная)'!CG44</f>
        <v>ОК 1-9; ПК 3.1-3.3</v>
      </c>
    </row>
    <row r="26" spans="1:54" s="245" customFormat="1" ht="25.5" customHeight="1">
      <c r="A26" s="391" t="str">
        <f>'Учебный план (очная)'!A45</f>
        <v>ОП.07.</v>
      </c>
      <c r="B26" s="391" t="str">
        <f>'Учебный план (очная)'!B45</f>
        <v>Охрана труда</v>
      </c>
      <c r="C26" s="301"/>
      <c r="D26" s="358"/>
      <c r="E26" s="358" t="s">
        <v>31</v>
      </c>
      <c r="F26" s="358"/>
      <c r="G26" s="358"/>
      <c r="H26" s="358"/>
      <c r="I26" s="283">
        <f t="shared" si="19"/>
        <v>0</v>
      </c>
      <c r="J26" s="358">
        <f t="shared" si="20"/>
        <v>11.4</v>
      </c>
      <c r="K26" s="283">
        <f>'Учебный план (очная)'!K45</f>
        <v>57</v>
      </c>
      <c r="L26" s="283">
        <f>'Учебный план (очная)'!L45</f>
        <v>38</v>
      </c>
      <c r="M26" s="359">
        <f t="shared" si="21"/>
        <v>57</v>
      </c>
      <c r="N26" s="359">
        <f t="shared" si="22"/>
        <v>8</v>
      </c>
      <c r="O26" s="359">
        <f t="shared" si="23"/>
        <v>8</v>
      </c>
      <c r="P26" s="359">
        <f t="shared" si="23"/>
        <v>0</v>
      </c>
      <c r="Q26" s="359">
        <f t="shared" si="23"/>
        <v>0</v>
      </c>
      <c r="R26" s="359">
        <f t="shared" si="23"/>
        <v>0</v>
      </c>
      <c r="S26" s="359">
        <f t="shared" si="24"/>
        <v>49</v>
      </c>
      <c r="T26" s="360">
        <f t="shared" si="7"/>
        <v>0</v>
      </c>
      <c r="U26" s="283"/>
      <c r="V26" s="283"/>
      <c r="W26" s="283"/>
      <c r="X26" s="283"/>
      <c r="Y26" s="283"/>
      <c r="Z26" s="360">
        <f t="shared" si="25"/>
        <v>57</v>
      </c>
      <c r="AA26" s="283">
        <v>8</v>
      </c>
      <c r="AB26" s="283"/>
      <c r="AC26" s="283"/>
      <c r="AD26" s="283"/>
      <c r="AE26" s="283">
        <v>49</v>
      </c>
      <c r="AF26" s="360">
        <f t="shared" si="8"/>
        <v>0</v>
      </c>
      <c r="AG26" s="283"/>
      <c r="AH26" s="283"/>
      <c r="AI26" s="283"/>
      <c r="AJ26" s="283"/>
      <c r="AK26" s="283"/>
      <c r="AL26" s="360">
        <f t="shared" si="26"/>
        <v>0</v>
      </c>
      <c r="AM26" s="283"/>
      <c r="AN26" s="283"/>
      <c r="AO26" s="283"/>
      <c r="AP26" s="283"/>
      <c r="AQ26" s="283"/>
      <c r="AR26" s="360">
        <f t="shared" si="27"/>
        <v>0</v>
      </c>
      <c r="AS26" s="283"/>
      <c r="AT26" s="283"/>
      <c r="AU26" s="283"/>
      <c r="AV26" s="283"/>
      <c r="AW26" s="283"/>
      <c r="AX26" s="283"/>
      <c r="AY26" s="283"/>
      <c r="AZ26" s="368"/>
      <c r="BA26" s="358" t="str">
        <f>'Учебный план (очная)'!CF45</f>
        <v>64-3</v>
      </c>
      <c r="BB26" s="283" t="str">
        <f>'Учебный план (очная)'!CG45</f>
        <v>ОК 1-9; ПК 1.1-3.3</v>
      </c>
    </row>
    <row r="27" spans="1:57" s="245" customFormat="1" ht="25.5" customHeight="1">
      <c r="A27" s="391" t="str">
        <f>'Учебный план (очная)'!A46</f>
        <v>ОП.08.</v>
      </c>
      <c r="B27" s="391" t="str">
        <f>'Учебный план (очная)'!B46</f>
        <v>Безопасность жизнедеятельности</v>
      </c>
      <c r="C27" s="301"/>
      <c r="D27" s="358"/>
      <c r="E27" s="358" t="s">
        <v>31</v>
      </c>
      <c r="F27" s="358"/>
      <c r="G27" s="358"/>
      <c r="H27" s="482" t="s">
        <v>27</v>
      </c>
      <c r="I27" s="283">
        <f t="shared" si="19"/>
        <v>0</v>
      </c>
      <c r="J27" s="358">
        <f t="shared" si="20"/>
        <v>21</v>
      </c>
      <c r="K27" s="283">
        <f>'Учебный план (очная)'!K46</f>
        <v>106</v>
      </c>
      <c r="L27" s="283">
        <f>'Учебный план (очная)'!L46</f>
        <v>70</v>
      </c>
      <c r="M27" s="359">
        <f t="shared" si="21"/>
        <v>106</v>
      </c>
      <c r="N27" s="359">
        <f t="shared" si="22"/>
        <v>20</v>
      </c>
      <c r="O27" s="359">
        <f t="shared" si="23"/>
        <v>20</v>
      </c>
      <c r="P27" s="359">
        <f t="shared" si="23"/>
        <v>0</v>
      </c>
      <c r="Q27" s="359">
        <f t="shared" si="23"/>
        <v>0</v>
      </c>
      <c r="R27" s="359">
        <f t="shared" si="23"/>
        <v>0</v>
      </c>
      <c r="S27" s="359">
        <f t="shared" si="24"/>
        <v>86</v>
      </c>
      <c r="T27" s="360">
        <f t="shared" si="7"/>
        <v>54</v>
      </c>
      <c r="U27" s="283">
        <v>8</v>
      </c>
      <c r="V27" s="283"/>
      <c r="W27" s="283"/>
      <c r="X27" s="283"/>
      <c r="Y27" s="283">
        <v>46</v>
      </c>
      <c r="Z27" s="360">
        <f t="shared" si="25"/>
        <v>52</v>
      </c>
      <c r="AA27" s="283">
        <v>12</v>
      </c>
      <c r="AB27" s="283"/>
      <c r="AC27" s="283"/>
      <c r="AD27" s="283"/>
      <c r="AE27" s="283">
        <v>40</v>
      </c>
      <c r="AF27" s="360">
        <f t="shared" si="8"/>
        <v>0</v>
      </c>
      <c r="AG27" s="283"/>
      <c r="AH27" s="283"/>
      <c r="AI27" s="283"/>
      <c r="AJ27" s="283"/>
      <c r="AK27" s="283"/>
      <c r="AL27" s="360">
        <f t="shared" si="26"/>
        <v>0</v>
      </c>
      <c r="AM27" s="283"/>
      <c r="AN27" s="283"/>
      <c r="AO27" s="283"/>
      <c r="AP27" s="283"/>
      <c r="AQ27" s="283"/>
      <c r="AR27" s="360">
        <f t="shared" si="27"/>
        <v>0</v>
      </c>
      <c r="AS27" s="283"/>
      <c r="AT27" s="283"/>
      <c r="AU27" s="283"/>
      <c r="AV27" s="283"/>
      <c r="AW27" s="283"/>
      <c r="AX27" s="283"/>
      <c r="AY27" s="283"/>
      <c r="AZ27" s="368"/>
      <c r="BA27" s="358" t="str">
        <f>'Учебный план (очная)'!CF46</f>
        <v>64-3</v>
      </c>
      <c r="BB27" s="283" t="str">
        <f>'Учебный план (очная)'!CG46</f>
        <v>ОК 1-9; ПК 1.1-3.3</v>
      </c>
      <c r="BE27" s="245" t="s">
        <v>25</v>
      </c>
    </row>
    <row r="28" spans="1:54" s="244" customFormat="1" ht="25.5" customHeight="1">
      <c r="A28" s="444" t="s">
        <v>144</v>
      </c>
      <c r="B28" s="670" t="s">
        <v>148</v>
      </c>
      <c r="C28" s="671"/>
      <c r="D28" s="671"/>
      <c r="E28" s="671"/>
      <c r="F28" s="671"/>
      <c r="G28" s="671"/>
      <c r="H28" s="672"/>
      <c r="I28" s="446"/>
      <c r="J28" s="445"/>
      <c r="K28" s="436">
        <f>'Учебный план (очная)'!K47</f>
        <v>1604</v>
      </c>
      <c r="L28" s="436">
        <f>'Учебный план (очная)'!L47</f>
        <v>1069</v>
      </c>
      <c r="M28" s="442">
        <f aca="true" t="shared" si="28" ref="M28:S28">SUM(M29+M37+M41+M46)</f>
        <v>1520</v>
      </c>
      <c r="N28" s="442">
        <f t="shared" si="28"/>
        <v>206</v>
      </c>
      <c r="O28" s="442">
        <f t="shared" si="28"/>
        <v>206</v>
      </c>
      <c r="P28" s="442">
        <f t="shared" si="28"/>
        <v>0</v>
      </c>
      <c r="Q28" s="442">
        <f t="shared" si="28"/>
        <v>0</v>
      </c>
      <c r="R28" s="442">
        <f t="shared" si="28"/>
        <v>0</v>
      </c>
      <c r="S28" s="442">
        <f t="shared" si="28"/>
        <v>1314</v>
      </c>
      <c r="T28" s="442">
        <f aca="true" t="shared" si="29" ref="T28:Y28">SUM(T29+T37+T41+T46)</f>
        <v>0</v>
      </c>
      <c r="U28" s="442">
        <f t="shared" si="29"/>
        <v>0</v>
      </c>
      <c r="V28" s="442">
        <f t="shared" si="29"/>
        <v>0</v>
      </c>
      <c r="W28" s="442">
        <f t="shared" si="29"/>
        <v>0</v>
      </c>
      <c r="X28" s="442">
        <f t="shared" si="29"/>
        <v>0</v>
      </c>
      <c r="Y28" s="442">
        <f t="shared" si="29"/>
        <v>0</v>
      </c>
      <c r="Z28" s="442">
        <f aca="true" t="shared" si="30" ref="Z28:AE28">SUM(Z29+Z37+Z41+Z46)</f>
        <v>0</v>
      </c>
      <c r="AA28" s="442">
        <f t="shared" si="30"/>
        <v>16</v>
      </c>
      <c r="AB28" s="442">
        <f t="shared" si="30"/>
        <v>0</v>
      </c>
      <c r="AC28" s="442">
        <f t="shared" si="30"/>
        <v>0</v>
      </c>
      <c r="AD28" s="442">
        <f t="shared" si="30"/>
        <v>0</v>
      </c>
      <c r="AE28" s="442">
        <f t="shared" si="30"/>
        <v>68</v>
      </c>
      <c r="AF28" s="442">
        <f aca="true" t="shared" si="31" ref="AF28:AK28">SUM(AF29+AF37+AF41+AF46)</f>
        <v>903</v>
      </c>
      <c r="AG28" s="442">
        <f t="shared" si="31"/>
        <v>90</v>
      </c>
      <c r="AH28" s="442">
        <f t="shared" si="31"/>
        <v>0</v>
      </c>
      <c r="AI28" s="442">
        <f t="shared" si="31"/>
        <v>0</v>
      </c>
      <c r="AJ28" s="442">
        <f t="shared" si="31"/>
        <v>0</v>
      </c>
      <c r="AK28" s="442">
        <f t="shared" si="31"/>
        <v>813</v>
      </c>
      <c r="AL28" s="442">
        <f aca="true" t="shared" si="32" ref="AL28:AQ28">SUM(AL29+AL37+AL41+AL46)</f>
        <v>617</v>
      </c>
      <c r="AM28" s="442">
        <f t="shared" si="32"/>
        <v>116</v>
      </c>
      <c r="AN28" s="442">
        <f t="shared" si="32"/>
        <v>0</v>
      </c>
      <c r="AO28" s="442">
        <f t="shared" si="32"/>
        <v>0</v>
      </c>
      <c r="AP28" s="442">
        <f t="shared" si="32"/>
        <v>0</v>
      </c>
      <c r="AQ28" s="442">
        <f t="shared" si="32"/>
        <v>501</v>
      </c>
      <c r="AR28" s="442">
        <f aca="true" t="shared" si="33" ref="AR28:AY28">SUM(AR29+AR37+AR41+AR46)</f>
        <v>0</v>
      </c>
      <c r="AS28" s="442">
        <f t="shared" si="33"/>
        <v>0</v>
      </c>
      <c r="AT28" s="442">
        <f t="shared" si="33"/>
        <v>0</v>
      </c>
      <c r="AU28" s="442">
        <f t="shared" si="33"/>
        <v>0</v>
      </c>
      <c r="AV28" s="442">
        <f t="shared" si="33"/>
        <v>0</v>
      </c>
      <c r="AW28" s="442">
        <f t="shared" si="33"/>
        <v>0</v>
      </c>
      <c r="AX28" s="442">
        <f t="shared" si="33"/>
        <v>0</v>
      </c>
      <c r="AY28" s="442">
        <f t="shared" si="33"/>
        <v>0</v>
      </c>
      <c r="AZ28" s="442"/>
      <c r="BA28" s="445">
        <f>'Учебный план (очная)'!CF47</f>
        <v>0</v>
      </c>
      <c r="BB28" s="445">
        <f>'Учебный план (очная)'!CG47</f>
        <v>0</v>
      </c>
    </row>
    <row r="29" spans="1:54" s="245" customFormat="1" ht="25.5" customHeight="1">
      <c r="A29" s="395" t="s">
        <v>154</v>
      </c>
      <c r="B29" s="548" t="str">
        <f>'Учебный план (очная)'!B48</f>
        <v>Организация перевозочного процесса (по видам транспорта)</v>
      </c>
      <c r="C29" s="549"/>
      <c r="D29" s="549"/>
      <c r="E29" s="549"/>
      <c r="F29" s="549"/>
      <c r="G29" s="549"/>
      <c r="H29" s="550"/>
      <c r="I29" s="472"/>
      <c r="J29" s="396"/>
      <c r="K29" s="397">
        <f>'Учебный план (очная)'!K48</f>
        <v>776</v>
      </c>
      <c r="L29" s="397">
        <f>'Учебный план (очная)'!L48</f>
        <v>516</v>
      </c>
      <c r="M29" s="398">
        <f aca="true" t="shared" si="34" ref="M29:S29">SUM(M30:M35)</f>
        <v>776</v>
      </c>
      <c r="N29" s="398">
        <f t="shared" si="34"/>
        <v>104</v>
      </c>
      <c r="O29" s="398">
        <f t="shared" si="34"/>
        <v>104</v>
      </c>
      <c r="P29" s="398">
        <f t="shared" si="34"/>
        <v>0</v>
      </c>
      <c r="Q29" s="398">
        <f t="shared" si="34"/>
        <v>0</v>
      </c>
      <c r="R29" s="398">
        <f t="shared" si="34"/>
        <v>0</v>
      </c>
      <c r="S29" s="398">
        <f t="shared" si="34"/>
        <v>672</v>
      </c>
      <c r="T29" s="398">
        <f aca="true" t="shared" si="35" ref="T29:Y29">SUM(T30:T35)</f>
        <v>0</v>
      </c>
      <c r="U29" s="398">
        <f t="shared" si="35"/>
        <v>0</v>
      </c>
      <c r="V29" s="398">
        <f t="shared" si="35"/>
        <v>0</v>
      </c>
      <c r="W29" s="398">
        <f t="shared" si="35"/>
        <v>0</v>
      </c>
      <c r="X29" s="398">
        <f t="shared" si="35"/>
        <v>0</v>
      </c>
      <c r="Y29" s="398">
        <f t="shared" si="35"/>
        <v>0</v>
      </c>
      <c r="Z29" s="398">
        <f aca="true" t="shared" si="36" ref="Z29:AE29">SUM(Z30:Z35)</f>
        <v>0</v>
      </c>
      <c r="AA29" s="398">
        <f t="shared" si="36"/>
        <v>0</v>
      </c>
      <c r="AB29" s="398">
        <f t="shared" si="36"/>
        <v>0</v>
      </c>
      <c r="AC29" s="398">
        <f t="shared" si="36"/>
        <v>0</v>
      </c>
      <c r="AD29" s="398">
        <f t="shared" si="36"/>
        <v>0</v>
      </c>
      <c r="AE29" s="398">
        <f t="shared" si="36"/>
        <v>0</v>
      </c>
      <c r="AF29" s="398">
        <f aca="true" t="shared" si="37" ref="AF29:AK29">SUM(AF30:AF35)</f>
        <v>460</v>
      </c>
      <c r="AG29" s="398">
        <f t="shared" si="37"/>
        <v>44</v>
      </c>
      <c r="AH29" s="398">
        <f t="shared" si="37"/>
        <v>0</v>
      </c>
      <c r="AI29" s="398">
        <f t="shared" si="37"/>
        <v>0</v>
      </c>
      <c r="AJ29" s="398">
        <f t="shared" si="37"/>
        <v>0</v>
      </c>
      <c r="AK29" s="398">
        <f t="shared" si="37"/>
        <v>416</v>
      </c>
      <c r="AL29" s="398">
        <f aca="true" t="shared" si="38" ref="AL29:AQ29">SUM(AL30:AL35)</f>
        <v>316</v>
      </c>
      <c r="AM29" s="398">
        <f t="shared" si="38"/>
        <v>60</v>
      </c>
      <c r="AN29" s="398">
        <f t="shared" si="38"/>
        <v>0</v>
      </c>
      <c r="AO29" s="398">
        <f t="shared" si="38"/>
        <v>0</v>
      </c>
      <c r="AP29" s="398">
        <f t="shared" si="38"/>
        <v>0</v>
      </c>
      <c r="AQ29" s="398">
        <f t="shared" si="38"/>
        <v>256</v>
      </c>
      <c r="AR29" s="398">
        <f aca="true" t="shared" si="39" ref="AR29:AY29">SUM(AR30:AR35)</f>
        <v>0</v>
      </c>
      <c r="AS29" s="398">
        <f t="shared" si="39"/>
        <v>0</v>
      </c>
      <c r="AT29" s="398">
        <f t="shared" si="39"/>
        <v>0</v>
      </c>
      <c r="AU29" s="398">
        <f t="shared" si="39"/>
        <v>0</v>
      </c>
      <c r="AV29" s="398">
        <f t="shared" si="39"/>
        <v>0</v>
      </c>
      <c r="AW29" s="398">
        <f t="shared" si="39"/>
        <v>0</v>
      </c>
      <c r="AX29" s="398">
        <f t="shared" si="39"/>
        <v>0</v>
      </c>
      <c r="AY29" s="398">
        <f t="shared" si="39"/>
        <v>0</v>
      </c>
      <c r="AZ29" s="398"/>
      <c r="BA29" s="396" t="str">
        <f>'Учебный план (очная)'!CF48</f>
        <v>64-9</v>
      </c>
      <c r="BB29" s="432" t="str">
        <f>'Учебный план (очная)'!CG48</f>
        <v>ОК 1-9, ПК 1.1-1.3</v>
      </c>
    </row>
    <row r="30" spans="1:54" s="246" customFormat="1" ht="25.5" customHeight="1">
      <c r="A30" s="391" t="str">
        <f>'Учебный план (очная)'!A49</f>
        <v>МДК.01.01.</v>
      </c>
      <c r="B30" s="391" t="str">
        <f>'Учебный план (очная)'!B49</f>
        <v>Технология перевозочного процесса (по видам транспорта)</v>
      </c>
      <c r="C30" s="301"/>
      <c r="D30" s="358"/>
      <c r="E30" s="358" t="s">
        <v>40</v>
      </c>
      <c r="F30" s="358"/>
      <c r="G30" s="358" t="s">
        <v>40</v>
      </c>
      <c r="H30" s="482" t="s">
        <v>30</v>
      </c>
      <c r="I30" s="283">
        <f aca="true" t="shared" si="40" ref="I30:I35">K30-M30</f>
        <v>0</v>
      </c>
      <c r="J30" s="358">
        <f aca="true" t="shared" si="41" ref="J30:J35">L30*$J$1</f>
        <v>66</v>
      </c>
      <c r="K30" s="283">
        <f>'Учебный план (очная)'!K49</f>
        <v>332</v>
      </c>
      <c r="L30" s="283">
        <f>'Учебный план (очная)'!L49</f>
        <v>220</v>
      </c>
      <c r="M30" s="359">
        <f aca="true" t="shared" si="42" ref="M30:M35">SUM(N30+S30)</f>
        <v>332</v>
      </c>
      <c r="N30" s="359">
        <f aca="true" t="shared" si="43" ref="N30:N35">SUM(O30:R30)</f>
        <v>42</v>
      </c>
      <c r="O30" s="359">
        <f aca="true" t="shared" si="44" ref="O30:R35">U30+AA30+AG30+AM30+AT30</f>
        <v>42</v>
      </c>
      <c r="P30" s="359">
        <f t="shared" si="44"/>
        <v>0</v>
      </c>
      <c r="Q30" s="359">
        <f t="shared" si="44"/>
        <v>0</v>
      </c>
      <c r="R30" s="359">
        <f t="shared" si="44"/>
        <v>0</v>
      </c>
      <c r="S30" s="359">
        <f aca="true" t="shared" si="45" ref="S30:S35">Y30+AE30+AK30+AQ30+AY30</f>
        <v>290</v>
      </c>
      <c r="T30" s="360">
        <f aca="true" t="shared" si="46" ref="T30:T35">SUM(U30:Y30)</f>
        <v>0</v>
      </c>
      <c r="U30" s="283"/>
      <c r="V30" s="283"/>
      <c r="W30" s="283"/>
      <c r="X30" s="283"/>
      <c r="Y30" s="283"/>
      <c r="Z30" s="360">
        <f aca="true" t="shared" si="47" ref="Z30:Z35">SUM(AA30:AE30)</f>
        <v>0</v>
      </c>
      <c r="AA30" s="283"/>
      <c r="AB30" s="283"/>
      <c r="AC30" s="283"/>
      <c r="AD30" s="283"/>
      <c r="AE30" s="283"/>
      <c r="AF30" s="360">
        <f aca="true" t="shared" si="48" ref="AF30:AF35">SUM(AG30:AK30)</f>
        <v>160</v>
      </c>
      <c r="AG30" s="283">
        <v>8</v>
      </c>
      <c r="AH30" s="283"/>
      <c r="AI30" s="283"/>
      <c r="AJ30" s="283"/>
      <c r="AK30" s="283">
        <v>152</v>
      </c>
      <c r="AL30" s="360">
        <f aca="true" t="shared" si="49" ref="AL30:AL35">SUM(AM30:AQ30)</f>
        <v>172</v>
      </c>
      <c r="AM30" s="283">
        <v>34</v>
      </c>
      <c r="AN30" s="283"/>
      <c r="AO30" s="283"/>
      <c r="AP30" s="283"/>
      <c r="AQ30" s="283">
        <v>138</v>
      </c>
      <c r="AR30" s="360">
        <f aca="true" t="shared" si="50" ref="AR30:AR35">SUM(AS30:AY30)</f>
        <v>0</v>
      </c>
      <c r="AS30" s="283"/>
      <c r="AT30" s="283"/>
      <c r="AU30" s="283"/>
      <c r="AV30" s="283"/>
      <c r="AW30" s="283"/>
      <c r="AX30" s="283"/>
      <c r="AY30" s="283"/>
      <c r="AZ30" s="368"/>
      <c r="BA30" s="358" t="str">
        <f>'Учебный план (очная)'!CF49</f>
        <v>64-9</v>
      </c>
      <c r="BB30" s="283" t="str">
        <f>'Учебный план (очная)'!CG49</f>
        <v>ОК 1-9, ПК 1.1-1.3</v>
      </c>
    </row>
    <row r="31" spans="1:54" s="246" customFormat="1" ht="25.5" customHeight="1">
      <c r="A31" s="391" t="str">
        <f>'Учебный план (очная)'!A50</f>
        <v>МДК.01.02.</v>
      </c>
      <c r="B31" s="391" t="str">
        <f>'Учебный план (очная)'!B50</f>
        <v>Информационное обеспечение перевозочного процесса (по видам транспорта)</v>
      </c>
      <c r="C31" s="301"/>
      <c r="D31" s="358"/>
      <c r="E31" s="358" t="s">
        <v>30</v>
      </c>
      <c r="F31" s="358"/>
      <c r="G31" s="358"/>
      <c r="H31" s="358"/>
      <c r="I31" s="283">
        <f t="shared" si="40"/>
        <v>0</v>
      </c>
      <c r="J31" s="358">
        <f t="shared" si="41"/>
        <v>21.6</v>
      </c>
      <c r="K31" s="283">
        <f>'Учебный план (очная)'!K50</f>
        <v>108</v>
      </c>
      <c r="L31" s="283">
        <f>'Учебный план (очная)'!L50</f>
        <v>72</v>
      </c>
      <c r="M31" s="359">
        <f t="shared" si="42"/>
        <v>108</v>
      </c>
      <c r="N31" s="359">
        <f t="shared" si="43"/>
        <v>12</v>
      </c>
      <c r="O31" s="359">
        <f t="shared" si="44"/>
        <v>12</v>
      </c>
      <c r="P31" s="359">
        <f t="shared" si="44"/>
        <v>0</v>
      </c>
      <c r="Q31" s="359">
        <f t="shared" si="44"/>
        <v>0</v>
      </c>
      <c r="R31" s="359">
        <f t="shared" si="44"/>
        <v>0</v>
      </c>
      <c r="S31" s="359">
        <f t="shared" si="45"/>
        <v>96</v>
      </c>
      <c r="T31" s="360">
        <f t="shared" si="46"/>
        <v>0</v>
      </c>
      <c r="U31" s="283"/>
      <c r="V31" s="283"/>
      <c r="W31" s="283"/>
      <c r="X31" s="283"/>
      <c r="Y31" s="283"/>
      <c r="Z31" s="360">
        <f t="shared" si="47"/>
        <v>0</v>
      </c>
      <c r="AA31" s="283"/>
      <c r="AB31" s="283"/>
      <c r="AC31" s="283"/>
      <c r="AD31" s="283"/>
      <c r="AE31" s="283"/>
      <c r="AF31" s="360">
        <f t="shared" si="48"/>
        <v>108</v>
      </c>
      <c r="AG31" s="283">
        <v>12</v>
      </c>
      <c r="AH31" s="283"/>
      <c r="AI31" s="283"/>
      <c r="AJ31" s="283"/>
      <c r="AK31" s="283">
        <v>96</v>
      </c>
      <c r="AL31" s="360">
        <f t="shared" si="49"/>
        <v>0</v>
      </c>
      <c r="AM31" s="283"/>
      <c r="AN31" s="283"/>
      <c r="AO31" s="283"/>
      <c r="AP31" s="283"/>
      <c r="AQ31" s="283"/>
      <c r="AR31" s="360">
        <f t="shared" si="50"/>
        <v>0</v>
      </c>
      <c r="AS31" s="283"/>
      <c r="AT31" s="283"/>
      <c r="AU31" s="283"/>
      <c r="AV31" s="283"/>
      <c r="AW31" s="283"/>
      <c r="AX31" s="283"/>
      <c r="AY31" s="283"/>
      <c r="AZ31" s="368"/>
      <c r="BA31" s="358" t="str">
        <f>'Учебный план (очная)'!CF50</f>
        <v>64-9</v>
      </c>
      <c r="BB31" s="283" t="str">
        <f>'Учебный план (очная)'!CG50</f>
        <v>ОК 1-9, ПК 1.1-1.3</v>
      </c>
    </row>
    <row r="32" spans="1:54" s="246" customFormat="1" ht="25.5" customHeight="1">
      <c r="A32" s="391" t="str">
        <f>'Учебный план (очная)'!A51</f>
        <v>МДК.01.03.</v>
      </c>
      <c r="B32" s="391" t="str">
        <f>'Учебный план (очная)'!B51</f>
        <v>Автоматизированные системы управления на транспорте (по видам транспорта)</v>
      </c>
      <c r="C32" s="301"/>
      <c r="D32" s="358"/>
      <c r="E32" s="358" t="s">
        <v>30</v>
      </c>
      <c r="F32" s="358"/>
      <c r="G32" s="358"/>
      <c r="H32" s="358"/>
      <c r="I32" s="283">
        <f t="shared" si="40"/>
        <v>0</v>
      </c>
      <c r="J32" s="358">
        <f t="shared" si="41"/>
        <v>19.2</v>
      </c>
      <c r="K32" s="283">
        <f>'Учебный план (очная)'!K51</f>
        <v>96</v>
      </c>
      <c r="L32" s="283">
        <f>'Учебный план (очная)'!L51</f>
        <v>64</v>
      </c>
      <c r="M32" s="359">
        <f t="shared" si="42"/>
        <v>96</v>
      </c>
      <c r="N32" s="359">
        <f t="shared" si="43"/>
        <v>12</v>
      </c>
      <c r="O32" s="359">
        <f t="shared" si="44"/>
        <v>12</v>
      </c>
      <c r="P32" s="359">
        <f t="shared" si="44"/>
        <v>0</v>
      </c>
      <c r="Q32" s="359">
        <f t="shared" si="44"/>
        <v>0</v>
      </c>
      <c r="R32" s="359">
        <f t="shared" si="44"/>
        <v>0</v>
      </c>
      <c r="S32" s="359">
        <f t="shared" si="45"/>
        <v>84</v>
      </c>
      <c r="T32" s="360">
        <f t="shared" si="46"/>
        <v>0</v>
      </c>
      <c r="U32" s="283"/>
      <c r="V32" s="283"/>
      <c r="W32" s="283"/>
      <c r="X32" s="283"/>
      <c r="Y32" s="283"/>
      <c r="Z32" s="360">
        <f t="shared" si="47"/>
        <v>0</v>
      </c>
      <c r="AA32" s="283"/>
      <c r="AB32" s="283"/>
      <c r="AC32" s="283"/>
      <c r="AD32" s="283"/>
      <c r="AE32" s="283"/>
      <c r="AF32" s="360">
        <f t="shared" si="48"/>
        <v>96</v>
      </c>
      <c r="AG32" s="283">
        <v>12</v>
      </c>
      <c r="AH32" s="283"/>
      <c r="AI32" s="283"/>
      <c r="AJ32" s="283"/>
      <c r="AK32" s="283">
        <v>84</v>
      </c>
      <c r="AL32" s="360">
        <f t="shared" si="49"/>
        <v>0</v>
      </c>
      <c r="AM32" s="368"/>
      <c r="AN32" s="283"/>
      <c r="AO32" s="283"/>
      <c r="AP32" s="283"/>
      <c r="AQ32" s="283"/>
      <c r="AR32" s="360">
        <f t="shared" si="50"/>
        <v>0</v>
      </c>
      <c r="AS32" s="283"/>
      <c r="AT32" s="283"/>
      <c r="AU32" s="283"/>
      <c r="AV32" s="283"/>
      <c r="AW32" s="283"/>
      <c r="AX32" s="283"/>
      <c r="AY32" s="283"/>
      <c r="AZ32" s="368"/>
      <c r="BA32" s="358" t="str">
        <f>'Учебный план (очная)'!CF51</f>
        <v>64-9</v>
      </c>
      <c r="BB32" s="283" t="str">
        <f>'Учебный план (очная)'!CG51</f>
        <v>ОК 1-9, ПК 1.1-1.3</v>
      </c>
    </row>
    <row r="33" spans="1:54" s="246" customFormat="1" ht="25.5" customHeight="1">
      <c r="A33" s="391">
        <f>'Учебный план (очная)'!A52</f>
        <v>0</v>
      </c>
      <c r="B33" s="391" t="str">
        <f>'Учебный план (очная)'!B52</f>
        <v>Организация и управление безопасностью на водном транспорте</v>
      </c>
      <c r="C33" s="301"/>
      <c r="D33" s="358"/>
      <c r="E33" s="358" t="s">
        <v>40</v>
      </c>
      <c r="F33" s="358"/>
      <c r="G33" s="358"/>
      <c r="H33" s="358"/>
      <c r="I33" s="283">
        <f t="shared" si="40"/>
        <v>0</v>
      </c>
      <c r="J33" s="358">
        <f t="shared" si="41"/>
        <v>14.4</v>
      </c>
      <c r="K33" s="283">
        <f>'Учебный план (очная)'!K52</f>
        <v>72</v>
      </c>
      <c r="L33" s="283">
        <f>'Учебный план (очная)'!L52</f>
        <v>48</v>
      </c>
      <c r="M33" s="359">
        <f t="shared" si="42"/>
        <v>72</v>
      </c>
      <c r="N33" s="359">
        <f t="shared" si="43"/>
        <v>14</v>
      </c>
      <c r="O33" s="359">
        <f t="shared" si="44"/>
        <v>14</v>
      </c>
      <c r="P33" s="359">
        <f t="shared" si="44"/>
        <v>0</v>
      </c>
      <c r="Q33" s="359">
        <f t="shared" si="44"/>
        <v>0</v>
      </c>
      <c r="R33" s="359">
        <f t="shared" si="44"/>
        <v>0</v>
      </c>
      <c r="S33" s="359">
        <f t="shared" si="45"/>
        <v>58</v>
      </c>
      <c r="T33" s="360">
        <f t="shared" si="46"/>
        <v>0</v>
      </c>
      <c r="U33" s="283"/>
      <c r="V33" s="283"/>
      <c r="W33" s="283"/>
      <c r="X33" s="283"/>
      <c r="Y33" s="283"/>
      <c r="Z33" s="360">
        <f t="shared" si="47"/>
        <v>0</v>
      </c>
      <c r="AA33" s="283"/>
      <c r="AB33" s="283"/>
      <c r="AC33" s="283"/>
      <c r="AD33" s="283"/>
      <c r="AE33" s="283"/>
      <c r="AF33" s="360">
        <f t="shared" si="48"/>
        <v>0</v>
      </c>
      <c r="AG33" s="283"/>
      <c r="AH33" s="283"/>
      <c r="AI33" s="283"/>
      <c r="AJ33" s="283"/>
      <c r="AK33" s="283"/>
      <c r="AL33" s="360">
        <f t="shared" si="49"/>
        <v>72</v>
      </c>
      <c r="AM33" s="283">
        <v>14</v>
      </c>
      <c r="AN33" s="283"/>
      <c r="AO33" s="283"/>
      <c r="AP33" s="283"/>
      <c r="AQ33" s="283">
        <v>58</v>
      </c>
      <c r="AR33" s="360">
        <f t="shared" si="50"/>
        <v>0</v>
      </c>
      <c r="AS33" s="283"/>
      <c r="AT33" s="283"/>
      <c r="AU33" s="283"/>
      <c r="AV33" s="283"/>
      <c r="AW33" s="283"/>
      <c r="AX33" s="283"/>
      <c r="AY33" s="283"/>
      <c r="AZ33" s="368"/>
      <c r="BA33" s="358" t="str">
        <f>'Учебный план (очная)'!CF52</f>
        <v>64-9</v>
      </c>
      <c r="BB33" s="351" t="s">
        <v>580</v>
      </c>
    </row>
    <row r="34" spans="1:54" s="246" customFormat="1" ht="25.5" customHeight="1">
      <c r="A34" s="391">
        <f>'Учебный план (очная)'!A53</f>
        <v>0</v>
      </c>
      <c r="B34" s="391" t="str">
        <f>'Учебный план (очная)'!B53</f>
        <v>Бронирование и продажа перевозок и услуг</v>
      </c>
      <c r="C34" s="301"/>
      <c r="D34" s="358"/>
      <c r="E34" s="358" t="s">
        <v>30</v>
      </c>
      <c r="F34" s="358"/>
      <c r="G34" s="358"/>
      <c r="H34" s="482" t="s">
        <v>30</v>
      </c>
      <c r="I34" s="283">
        <f t="shared" si="40"/>
        <v>0</v>
      </c>
      <c r="J34" s="358">
        <f t="shared" si="41"/>
        <v>19.2</v>
      </c>
      <c r="K34" s="283">
        <f>'Учебный план (очная)'!K53</f>
        <v>96</v>
      </c>
      <c r="L34" s="283">
        <f>'Учебный план (очная)'!L53</f>
        <v>64</v>
      </c>
      <c r="M34" s="359">
        <f t="shared" si="42"/>
        <v>96</v>
      </c>
      <c r="N34" s="359">
        <f t="shared" si="43"/>
        <v>12</v>
      </c>
      <c r="O34" s="359">
        <f t="shared" si="44"/>
        <v>12</v>
      </c>
      <c r="P34" s="359">
        <f t="shared" si="44"/>
        <v>0</v>
      </c>
      <c r="Q34" s="359">
        <f t="shared" si="44"/>
        <v>0</v>
      </c>
      <c r="R34" s="359">
        <f t="shared" si="44"/>
        <v>0</v>
      </c>
      <c r="S34" s="359">
        <f t="shared" si="45"/>
        <v>84</v>
      </c>
      <c r="T34" s="360">
        <f t="shared" si="46"/>
        <v>0</v>
      </c>
      <c r="U34" s="283"/>
      <c r="V34" s="283"/>
      <c r="W34" s="283"/>
      <c r="X34" s="283"/>
      <c r="Y34" s="283"/>
      <c r="Z34" s="360">
        <f t="shared" si="47"/>
        <v>0</v>
      </c>
      <c r="AA34" s="283"/>
      <c r="AB34" s="283"/>
      <c r="AC34" s="283"/>
      <c r="AD34" s="283"/>
      <c r="AE34" s="283"/>
      <c r="AF34" s="360">
        <f t="shared" si="48"/>
        <v>96</v>
      </c>
      <c r="AG34" s="283">
        <v>12</v>
      </c>
      <c r="AH34" s="283"/>
      <c r="AI34" s="283"/>
      <c r="AJ34" s="283"/>
      <c r="AK34" s="283">
        <v>84</v>
      </c>
      <c r="AL34" s="360">
        <f t="shared" si="49"/>
        <v>0</v>
      </c>
      <c r="AM34" s="283"/>
      <c r="AN34" s="283"/>
      <c r="AO34" s="283"/>
      <c r="AP34" s="283"/>
      <c r="AQ34" s="283"/>
      <c r="AR34" s="360">
        <f t="shared" si="50"/>
        <v>0</v>
      </c>
      <c r="AS34" s="283"/>
      <c r="AT34" s="283"/>
      <c r="AU34" s="283"/>
      <c r="AV34" s="283"/>
      <c r="AW34" s="283"/>
      <c r="AX34" s="283"/>
      <c r="AY34" s="283"/>
      <c r="AZ34" s="368"/>
      <c r="BA34" s="358" t="str">
        <f>'Учебный план (очная)'!CF53</f>
        <v>64-9</v>
      </c>
      <c r="BB34" s="351" t="s">
        <v>581</v>
      </c>
    </row>
    <row r="35" spans="1:54" s="246" customFormat="1" ht="25.5" customHeight="1">
      <c r="A35" s="391">
        <f>'Учебный план (очная)'!A54</f>
        <v>0</v>
      </c>
      <c r="B35" s="391" t="str">
        <f>'Учебный план (очная)'!B54</f>
        <v>Перевозка опасных грузов</v>
      </c>
      <c r="C35" s="301"/>
      <c r="D35" s="358"/>
      <c r="E35" s="358" t="s">
        <v>40</v>
      </c>
      <c r="F35" s="358"/>
      <c r="G35" s="358"/>
      <c r="H35" s="358"/>
      <c r="I35" s="283">
        <f t="shared" si="40"/>
        <v>0</v>
      </c>
      <c r="J35" s="358">
        <f t="shared" si="41"/>
        <v>14.4</v>
      </c>
      <c r="K35" s="283">
        <f>'Учебный план (очная)'!K54</f>
        <v>72</v>
      </c>
      <c r="L35" s="283">
        <f>'Учебный план (очная)'!L54</f>
        <v>48</v>
      </c>
      <c r="M35" s="359">
        <f t="shared" si="42"/>
        <v>72</v>
      </c>
      <c r="N35" s="359">
        <f t="shared" si="43"/>
        <v>12</v>
      </c>
      <c r="O35" s="359">
        <f t="shared" si="44"/>
        <v>12</v>
      </c>
      <c r="P35" s="359">
        <f t="shared" si="44"/>
        <v>0</v>
      </c>
      <c r="Q35" s="359">
        <f t="shared" si="44"/>
        <v>0</v>
      </c>
      <c r="R35" s="359">
        <f t="shared" si="44"/>
        <v>0</v>
      </c>
      <c r="S35" s="359">
        <f t="shared" si="45"/>
        <v>60</v>
      </c>
      <c r="T35" s="360">
        <f t="shared" si="46"/>
        <v>0</v>
      </c>
      <c r="U35" s="283"/>
      <c r="V35" s="283"/>
      <c r="W35" s="283"/>
      <c r="X35" s="283"/>
      <c r="Y35" s="283"/>
      <c r="Z35" s="360">
        <f t="shared" si="47"/>
        <v>0</v>
      </c>
      <c r="AA35" s="283"/>
      <c r="AB35" s="283"/>
      <c r="AC35" s="283"/>
      <c r="AD35" s="283"/>
      <c r="AE35" s="283"/>
      <c r="AF35" s="360">
        <f t="shared" si="48"/>
        <v>0</v>
      </c>
      <c r="AG35" s="283"/>
      <c r="AH35" s="283"/>
      <c r="AI35" s="283"/>
      <c r="AJ35" s="283"/>
      <c r="AK35" s="283"/>
      <c r="AL35" s="360">
        <f t="shared" si="49"/>
        <v>72</v>
      </c>
      <c r="AM35" s="283">
        <v>12</v>
      </c>
      <c r="AN35" s="283"/>
      <c r="AO35" s="283"/>
      <c r="AP35" s="283"/>
      <c r="AQ35" s="283">
        <v>60</v>
      </c>
      <c r="AR35" s="360">
        <f t="shared" si="50"/>
        <v>0</v>
      </c>
      <c r="AS35" s="283"/>
      <c r="AT35" s="283"/>
      <c r="AU35" s="283"/>
      <c r="AV35" s="283"/>
      <c r="AW35" s="283"/>
      <c r="AX35" s="283"/>
      <c r="AY35" s="283"/>
      <c r="AZ35" s="368"/>
      <c r="BA35" s="358" t="str">
        <f>'Учебный план (очная)'!CF54</f>
        <v>64-9</v>
      </c>
      <c r="BB35" s="393" t="s">
        <v>332</v>
      </c>
    </row>
    <row r="36" spans="1:54" s="246" customFormat="1" ht="25.5" customHeight="1">
      <c r="A36" s="450" t="str">
        <f>'Учебный план (очная)'!A55</f>
        <v>Экзамен квалификационный</v>
      </c>
      <c r="B36" s="450"/>
      <c r="C36" s="450"/>
      <c r="D36" s="481" t="s">
        <v>40</v>
      </c>
      <c r="E36" s="451"/>
      <c r="F36" s="451"/>
      <c r="G36" s="451"/>
      <c r="H36" s="451"/>
      <c r="I36" s="452"/>
      <c r="J36" s="451"/>
      <c r="K36" s="288">
        <f>'Учебный план (очная)'!K55</f>
        <v>0</v>
      </c>
      <c r="L36" s="288">
        <f>'Учебный план (очная)'!L55</f>
        <v>0</v>
      </c>
      <c r="M36" s="453"/>
      <c r="N36" s="453"/>
      <c r="O36" s="453"/>
      <c r="P36" s="453"/>
      <c r="Q36" s="453"/>
      <c r="R36" s="453"/>
      <c r="S36" s="453"/>
      <c r="T36" s="453"/>
      <c r="U36" s="288"/>
      <c r="V36" s="288"/>
      <c r="W36" s="288"/>
      <c r="X36" s="288"/>
      <c r="Y36" s="288"/>
      <c r="Z36" s="453"/>
      <c r="AA36" s="288"/>
      <c r="AB36" s="288"/>
      <c r="AC36" s="288"/>
      <c r="AD36" s="288"/>
      <c r="AE36" s="288"/>
      <c r="AF36" s="453"/>
      <c r="AG36" s="288"/>
      <c r="AH36" s="288"/>
      <c r="AI36" s="288"/>
      <c r="AJ36" s="288"/>
      <c r="AK36" s="288"/>
      <c r="AL36" s="453"/>
      <c r="AM36" s="288"/>
      <c r="AN36" s="288"/>
      <c r="AO36" s="288"/>
      <c r="AP36" s="288"/>
      <c r="AQ36" s="288"/>
      <c r="AR36" s="453"/>
      <c r="AS36" s="288"/>
      <c r="AT36" s="288"/>
      <c r="AU36" s="288"/>
      <c r="AV36" s="288"/>
      <c r="AW36" s="288"/>
      <c r="AX36" s="288"/>
      <c r="AY36" s="288"/>
      <c r="AZ36" s="288"/>
      <c r="BA36" s="451">
        <f>'Учебный план (очная)'!CF55</f>
        <v>0</v>
      </c>
      <c r="BB36" s="288">
        <f>'Учебный план (очная)'!CG55</f>
        <v>0</v>
      </c>
    </row>
    <row r="37" spans="1:54" s="245" customFormat="1" ht="25.5" customHeight="1">
      <c r="A37" s="395" t="str">
        <f>'[2]Учебный план'!A76</f>
        <v>ПМ.02</v>
      </c>
      <c r="B37" s="548" t="str">
        <f>'Учебный план (очная)'!B56</f>
        <v>Организация сервисного обслуживания на транспорте (по видам транспорта)</v>
      </c>
      <c r="C37" s="549"/>
      <c r="D37" s="549"/>
      <c r="E37" s="549"/>
      <c r="F37" s="549"/>
      <c r="G37" s="549"/>
      <c r="H37" s="550"/>
      <c r="I37" s="472"/>
      <c r="J37" s="398"/>
      <c r="K37" s="397">
        <f>'Учебный план (очная)'!K56</f>
        <v>204</v>
      </c>
      <c r="L37" s="397">
        <f>'Учебный план (очная)'!L56</f>
        <v>137</v>
      </c>
      <c r="M37" s="398">
        <f>SUM(N37+S37)</f>
        <v>120</v>
      </c>
      <c r="N37" s="398">
        <f aca="true" t="shared" si="51" ref="N37:S37">SUM(N39:N40)</f>
        <v>20</v>
      </c>
      <c r="O37" s="398">
        <f t="shared" si="51"/>
        <v>20</v>
      </c>
      <c r="P37" s="398">
        <f t="shared" si="51"/>
        <v>0</v>
      </c>
      <c r="Q37" s="398">
        <f t="shared" si="51"/>
        <v>0</v>
      </c>
      <c r="R37" s="398">
        <f t="shared" si="51"/>
        <v>0</v>
      </c>
      <c r="S37" s="398">
        <f t="shared" si="51"/>
        <v>100</v>
      </c>
      <c r="T37" s="398">
        <f>SUM(T38:T40)</f>
        <v>0</v>
      </c>
      <c r="U37" s="398">
        <f>SUM(U38:U39)</f>
        <v>0</v>
      </c>
      <c r="V37" s="398">
        <f aca="true" t="shared" si="52" ref="V37:AQ37">SUM(V38:V40)</f>
        <v>0</v>
      </c>
      <c r="W37" s="398">
        <f t="shared" si="52"/>
        <v>0</v>
      </c>
      <c r="X37" s="398">
        <f t="shared" si="52"/>
        <v>0</v>
      </c>
      <c r="Y37" s="398">
        <f t="shared" si="52"/>
        <v>0</v>
      </c>
      <c r="Z37" s="398">
        <f t="shared" si="52"/>
        <v>0</v>
      </c>
      <c r="AA37" s="398">
        <f t="shared" si="52"/>
        <v>16</v>
      </c>
      <c r="AB37" s="398">
        <f t="shared" si="52"/>
        <v>0</v>
      </c>
      <c r="AC37" s="398">
        <f t="shared" si="52"/>
        <v>0</v>
      </c>
      <c r="AD37" s="398">
        <f t="shared" si="52"/>
        <v>0</v>
      </c>
      <c r="AE37" s="398">
        <f t="shared" si="52"/>
        <v>68</v>
      </c>
      <c r="AF37" s="398">
        <f t="shared" si="52"/>
        <v>64</v>
      </c>
      <c r="AG37" s="398">
        <f t="shared" si="52"/>
        <v>8</v>
      </c>
      <c r="AH37" s="398">
        <f t="shared" si="52"/>
        <v>0</v>
      </c>
      <c r="AI37" s="398">
        <f t="shared" si="52"/>
        <v>0</v>
      </c>
      <c r="AJ37" s="398">
        <f t="shared" si="52"/>
        <v>0</v>
      </c>
      <c r="AK37" s="398">
        <f t="shared" si="52"/>
        <v>56</v>
      </c>
      <c r="AL37" s="398">
        <f t="shared" si="52"/>
        <v>56</v>
      </c>
      <c r="AM37" s="398">
        <f t="shared" si="52"/>
        <v>12</v>
      </c>
      <c r="AN37" s="398">
        <f t="shared" si="52"/>
        <v>0</v>
      </c>
      <c r="AO37" s="398">
        <f t="shared" si="52"/>
        <v>0</v>
      </c>
      <c r="AP37" s="398">
        <f t="shared" si="52"/>
        <v>0</v>
      </c>
      <c r="AQ37" s="398">
        <f t="shared" si="52"/>
        <v>44</v>
      </c>
      <c r="AR37" s="398">
        <f aca="true" t="shared" si="53" ref="AR37:AY37">SUM(AR38:AR40)</f>
        <v>0</v>
      </c>
      <c r="AS37" s="398">
        <f t="shared" si="53"/>
        <v>0</v>
      </c>
      <c r="AT37" s="398">
        <f t="shared" si="53"/>
        <v>0</v>
      </c>
      <c r="AU37" s="398">
        <f t="shared" si="53"/>
        <v>0</v>
      </c>
      <c r="AV37" s="398">
        <f t="shared" si="53"/>
        <v>0</v>
      </c>
      <c r="AW37" s="398">
        <f t="shared" si="53"/>
        <v>0</v>
      </c>
      <c r="AX37" s="398">
        <f t="shared" si="53"/>
        <v>0</v>
      </c>
      <c r="AY37" s="398">
        <f t="shared" si="53"/>
        <v>0</v>
      </c>
      <c r="AZ37" s="398"/>
      <c r="BA37" s="396" t="str">
        <f>'Учебный план (очная)'!CF56</f>
        <v>64-9</v>
      </c>
      <c r="BB37" s="432" t="str">
        <f>'Учебный план (очная)'!CG56</f>
        <v>ОК 1-9; ПК 2.1-2.3</v>
      </c>
    </row>
    <row r="38" spans="1:54" s="246" customFormat="1" ht="25.5" customHeight="1">
      <c r="A38" s="391" t="str">
        <f>'Учебный план (очная)'!A57</f>
        <v>МДК.02.01.</v>
      </c>
      <c r="B38" s="391" t="str">
        <f>'Учебный план (очная)'!B57</f>
        <v>Организация движения (по видам транспорта)</v>
      </c>
      <c r="C38" s="358"/>
      <c r="D38" s="358"/>
      <c r="E38" s="358" t="s">
        <v>31</v>
      </c>
      <c r="F38" s="358"/>
      <c r="G38" s="454"/>
      <c r="H38" s="358"/>
      <c r="I38" s="283">
        <f>K38-M38</f>
        <v>0</v>
      </c>
      <c r="J38" s="358">
        <f>L38*$J$1</f>
        <v>17.1</v>
      </c>
      <c r="K38" s="283">
        <f>'Учебный план (очная)'!K57</f>
        <v>84</v>
      </c>
      <c r="L38" s="283">
        <f>'Учебный план (очная)'!L57</f>
        <v>57</v>
      </c>
      <c r="M38" s="359">
        <f>SUM(N38+S38)</f>
        <v>84</v>
      </c>
      <c r="N38" s="359">
        <f>SUM(O38:R38)</f>
        <v>16</v>
      </c>
      <c r="O38" s="359">
        <f aca="true" t="shared" si="54" ref="O38:R39">U38+AA38+AG38+AM38+AT38</f>
        <v>16</v>
      </c>
      <c r="P38" s="359">
        <f t="shared" si="54"/>
        <v>0</v>
      </c>
      <c r="Q38" s="359">
        <f t="shared" si="54"/>
        <v>0</v>
      </c>
      <c r="R38" s="359">
        <f t="shared" si="54"/>
        <v>0</v>
      </c>
      <c r="S38" s="359">
        <f>Y38+AE38+AK38+AQ38+AY38</f>
        <v>68</v>
      </c>
      <c r="T38" s="360"/>
      <c r="U38" s="283"/>
      <c r="V38" s="283"/>
      <c r="W38" s="283"/>
      <c r="X38" s="283"/>
      <c r="Y38" s="283"/>
      <c r="Z38" s="360"/>
      <c r="AA38" s="283">
        <v>16</v>
      </c>
      <c r="AB38" s="283"/>
      <c r="AC38" s="283"/>
      <c r="AD38" s="283"/>
      <c r="AE38" s="283">
        <v>68</v>
      </c>
      <c r="AF38" s="360"/>
      <c r="AG38" s="283"/>
      <c r="AH38" s="283"/>
      <c r="AI38" s="283"/>
      <c r="AJ38" s="283"/>
      <c r="AK38" s="283"/>
      <c r="AL38" s="360"/>
      <c r="AM38" s="283"/>
      <c r="AN38" s="283"/>
      <c r="AO38" s="283"/>
      <c r="AP38" s="283"/>
      <c r="AQ38" s="283"/>
      <c r="AR38" s="360"/>
      <c r="AS38" s="283"/>
      <c r="AT38" s="283"/>
      <c r="AU38" s="283"/>
      <c r="AV38" s="283"/>
      <c r="AW38" s="283"/>
      <c r="AX38" s="283"/>
      <c r="AY38" s="283"/>
      <c r="AZ38" s="368"/>
      <c r="BA38" s="394" t="str">
        <f>'Учебный план (очная)'!CF57</f>
        <v>64-9</v>
      </c>
      <c r="BB38" s="394" t="str">
        <f>'Учебный план (очная)'!CG57</f>
        <v>ОК 1-9; ПК 2.1-2.3</v>
      </c>
    </row>
    <row r="39" spans="1:54" s="246" customFormat="1" ht="25.5" customHeight="1">
      <c r="A39" s="391" t="str">
        <f>'Учебный план (очная)'!A58</f>
        <v>МДК.02.02.</v>
      </c>
      <c r="B39" s="391" t="str">
        <f>'Учебный план (очная)'!B58</f>
        <v>Организация пассажирских перевозок и обслуживание пассажиров (по видам транспорта)</v>
      </c>
      <c r="C39" s="301"/>
      <c r="D39" s="358"/>
      <c r="E39" s="358" t="s">
        <v>40</v>
      </c>
      <c r="F39" s="358"/>
      <c r="G39" s="454"/>
      <c r="H39" s="482" t="s">
        <v>30</v>
      </c>
      <c r="I39" s="283">
        <f>K39-M39</f>
        <v>0</v>
      </c>
      <c r="J39" s="358">
        <f>L39*$J$1</f>
        <v>24</v>
      </c>
      <c r="K39" s="283">
        <f>'Учебный план (очная)'!K58</f>
        <v>120</v>
      </c>
      <c r="L39" s="283">
        <f>'Учебный план (очная)'!L58</f>
        <v>80</v>
      </c>
      <c r="M39" s="359">
        <f>SUM(N39+S39)</f>
        <v>120</v>
      </c>
      <c r="N39" s="359">
        <f>SUM(O39:R39)</f>
        <v>20</v>
      </c>
      <c r="O39" s="359">
        <f t="shared" si="54"/>
        <v>20</v>
      </c>
      <c r="P39" s="359">
        <f t="shared" si="54"/>
        <v>0</v>
      </c>
      <c r="Q39" s="359">
        <f t="shared" si="54"/>
        <v>0</v>
      </c>
      <c r="R39" s="359">
        <f t="shared" si="54"/>
        <v>0</v>
      </c>
      <c r="S39" s="359">
        <f>Y39+AE39+AK39+AQ39+AY39</f>
        <v>100</v>
      </c>
      <c r="T39" s="360">
        <f>SUM(U39:Y39)</f>
        <v>0</v>
      </c>
      <c r="U39" s="283"/>
      <c r="V39" s="283"/>
      <c r="W39" s="283"/>
      <c r="X39" s="283"/>
      <c r="Y39" s="283"/>
      <c r="Z39" s="360">
        <f>SUM(AA39:AE39)</f>
        <v>0</v>
      </c>
      <c r="AA39" s="283"/>
      <c r="AB39" s="283"/>
      <c r="AC39" s="283"/>
      <c r="AD39" s="283"/>
      <c r="AE39" s="283"/>
      <c r="AF39" s="360">
        <f>SUM(AG39:AK39)</f>
        <v>64</v>
      </c>
      <c r="AG39" s="283">
        <v>8</v>
      </c>
      <c r="AH39" s="283"/>
      <c r="AI39" s="283"/>
      <c r="AJ39" s="283"/>
      <c r="AK39" s="283">
        <v>56</v>
      </c>
      <c r="AL39" s="360">
        <f>SUM(AM39:AQ39)</f>
        <v>56</v>
      </c>
      <c r="AM39" s="283">
        <v>12</v>
      </c>
      <c r="AN39" s="283"/>
      <c r="AO39" s="283"/>
      <c r="AP39" s="283"/>
      <c r="AQ39" s="283">
        <v>44</v>
      </c>
      <c r="AR39" s="360">
        <f>SUM(AS39:AY39)</f>
        <v>0</v>
      </c>
      <c r="AS39" s="283"/>
      <c r="AT39" s="283"/>
      <c r="AU39" s="283"/>
      <c r="AV39" s="283"/>
      <c r="AW39" s="283"/>
      <c r="AX39" s="283"/>
      <c r="AY39" s="283"/>
      <c r="AZ39" s="368"/>
      <c r="BA39" s="394" t="str">
        <f>'Учебный план (очная)'!CF58</f>
        <v>64-9</v>
      </c>
      <c r="BB39" s="394" t="str">
        <f>'Учебный план (очная)'!CG58</f>
        <v>ОК 1-9; ПК 2.1-2.3</v>
      </c>
    </row>
    <row r="40" spans="1:54" s="246" customFormat="1" ht="25.5" customHeight="1">
      <c r="A40" s="455" t="str">
        <f>'Учебный план (очная)'!A59</f>
        <v>Экзамен квалификационный</v>
      </c>
      <c r="B40" s="455"/>
      <c r="C40" s="456"/>
      <c r="D40" s="481" t="s">
        <v>40</v>
      </c>
      <c r="E40" s="451"/>
      <c r="F40" s="451"/>
      <c r="G40" s="453"/>
      <c r="H40" s="451"/>
      <c r="I40" s="452"/>
      <c r="J40" s="451"/>
      <c r="K40" s="288">
        <f>'Учебный план (очная)'!K59</f>
        <v>0</v>
      </c>
      <c r="L40" s="288">
        <f>'Учебный план (очная)'!L59</f>
        <v>0</v>
      </c>
      <c r="M40" s="453"/>
      <c r="N40" s="453">
        <f>SUM(O40:R40)</f>
        <v>0</v>
      </c>
      <c r="O40" s="453">
        <f>U40+AA40+AG40+AM40</f>
        <v>0</v>
      </c>
      <c r="P40" s="453">
        <f>V40+AB40+AH40+AN40</f>
        <v>0</v>
      </c>
      <c r="Q40" s="453">
        <f>W40+AC40+AI40+AO40</f>
        <v>0</v>
      </c>
      <c r="R40" s="453">
        <f>X40+AD40+AJ40+AP40</f>
        <v>0</v>
      </c>
      <c r="S40" s="453">
        <f>Y40+AE40+AK40+AQ40</f>
        <v>0</v>
      </c>
      <c r="T40" s="453">
        <f>SUM(U40:Y40)</f>
        <v>0</v>
      </c>
      <c r="U40" s="288"/>
      <c r="V40" s="288"/>
      <c r="W40" s="288"/>
      <c r="X40" s="288"/>
      <c r="Y40" s="288"/>
      <c r="Z40" s="453">
        <f>SUM(AA40:AE40)</f>
        <v>0</v>
      </c>
      <c r="AA40" s="288"/>
      <c r="AB40" s="288"/>
      <c r="AC40" s="288"/>
      <c r="AD40" s="288"/>
      <c r="AE40" s="288"/>
      <c r="AF40" s="453">
        <f>SUM(AG40:AK40)</f>
        <v>0</v>
      </c>
      <c r="AG40" s="288"/>
      <c r="AH40" s="288"/>
      <c r="AI40" s="288"/>
      <c r="AJ40" s="288"/>
      <c r="AK40" s="288"/>
      <c r="AL40" s="453">
        <f>SUM(AM40:AQ40)</f>
        <v>0</v>
      </c>
      <c r="AM40" s="288"/>
      <c r="AN40" s="288"/>
      <c r="AO40" s="288"/>
      <c r="AP40" s="288"/>
      <c r="AQ40" s="288"/>
      <c r="AR40" s="453">
        <f>SUM(AS40:AY40)</f>
        <v>0</v>
      </c>
      <c r="AS40" s="288"/>
      <c r="AT40" s="288"/>
      <c r="AU40" s="288"/>
      <c r="AV40" s="288"/>
      <c r="AW40" s="288"/>
      <c r="AX40" s="288"/>
      <c r="AY40" s="288"/>
      <c r="AZ40" s="288"/>
      <c r="BA40" s="451">
        <f>'Учебный план (очная)'!CF59</f>
        <v>0</v>
      </c>
      <c r="BB40" s="451">
        <f>'Учебный план (очная)'!CG59</f>
        <v>0</v>
      </c>
    </row>
    <row r="41" spans="1:54" s="246" customFormat="1" ht="25.5" customHeight="1">
      <c r="A41" s="395" t="str">
        <f>'Учебный план (очная)'!A60</f>
        <v>ПМ.03</v>
      </c>
      <c r="B41" s="548" t="str">
        <f>'Учебный план (очная)'!B60</f>
        <v>Организация транспортно-логистической деятельности (по видам транспорта)</v>
      </c>
      <c r="C41" s="549"/>
      <c r="D41" s="549"/>
      <c r="E41" s="549"/>
      <c r="F41" s="549"/>
      <c r="G41" s="549"/>
      <c r="H41" s="550"/>
      <c r="I41" s="472"/>
      <c r="J41" s="398"/>
      <c r="K41" s="397">
        <f>'Учебный план (очная)'!K60</f>
        <v>540</v>
      </c>
      <c r="L41" s="397">
        <f>'Учебный план (очная)'!L60</f>
        <v>360</v>
      </c>
      <c r="M41" s="398">
        <f>SUM(M42:M44)</f>
        <v>540</v>
      </c>
      <c r="N41" s="398">
        <f>SUM(N42:N44)</f>
        <v>70</v>
      </c>
      <c r="O41" s="398">
        <f aca="true" t="shared" si="55" ref="O41:AQ41">SUM(O42:O44)</f>
        <v>70</v>
      </c>
      <c r="P41" s="398">
        <f t="shared" si="55"/>
        <v>0</v>
      </c>
      <c r="Q41" s="398">
        <f t="shared" si="55"/>
        <v>0</v>
      </c>
      <c r="R41" s="398">
        <f t="shared" si="55"/>
        <v>0</v>
      </c>
      <c r="S41" s="398">
        <f t="shared" si="55"/>
        <v>470</v>
      </c>
      <c r="T41" s="398">
        <f t="shared" si="55"/>
        <v>0</v>
      </c>
      <c r="U41" s="398">
        <f t="shared" si="55"/>
        <v>0</v>
      </c>
      <c r="V41" s="398">
        <f t="shared" si="55"/>
        <v>0</v>
      </c>
      <c r="W41" s="398">
        <f t="shared" si="55"/>
        <v>0</v>
      </c>
      <c r="X41" s="398">
        <f t="shared" si="55"/>
        <v>0</v>
      </c>
      <c r="Y41" s="398">
        <f t="shared" si="55"/>
        <v>0</v>
      </c>
      <c r="Z41" s="398">
        <f t="shared" si="55"/>
        <v>0</v>
      </c>
      <c r="AA41" s="398">
        <f t="shared" si="55"/>
        <v>0</v>
      </c>
      <c r="AB41" s="398">
        <f t="shared" si="55"/>
        <v>0</v>
      </c>
      <c r="AC41" s="398">
        <f t="shared" si="55"/>
        <v>0</v>
      </c>
      <c r="AD41" s="398">
        <f t="shared" si="55"/>
        <v>0</v>
      </c>
      <c r="AE41" s="398">
        <f t="shared" si="55"/>
        <v>0</v>
      </c>
      <c r="AF41" s="398">
        <f t="shared" si="55"/>
        <v>379</v>
      </c>
      <c r="AG41" s="398">
        <f t="shared" si="55"/>
        <v>38</v>
      </c>
      <c r="AH41" s="398">
        <f t="shared" si="55"/>
        <v>0</v>
      </c>
      <c r="AI41" s="398">
        <f t="shared" si="55"/>
        <v>0</v>
      </c>
      <c r="AJ41" s="398">
        <f t="shared" si="55"/>
        <v>0</v>
      </c>
      <c r="AK41" s="398">
        <f t="shared" si="55"/>
        <v>341</v>
      </c>
      <c r="AL41" s="398">
        <f t="shared" si="55"/>
        <v>161</v>
      </c>
      <c r="AM41" s="398">
        <f t="shared" si="55"/>
        <v>32</v>
      </c>
      <c r="AN41" s="398">
        <f t="shared" si="55"/>
        <v>0</v>
      </c>
      <c r="AO41" s="398">
        <f t="shared" si="55"/>
        <v>0</v>
      </c>
      <c r="AP41" s="398">
        <f t="shared" si="55"/>
        <v>0</v>
      </c>
      <c r="AQ41" s="398">
        <f t="shared" si="55"/>
        <v>129</v>
      </c>
      <c r="AR41" s="398">
        <f aca="true" t="shared" si="56" ref="AR41:AY41">SUM(AR42:AR44)</f>
        <v>0</v>
      </c>
      <c r="AS41" s="398">
        <f t="shared" si="56"/>
        <v>0</v>
      </c>
      <c r="AT41" s="398">
        <f t="shared" si="56"/>
        <v>0</v>
      </c>
      <c r="AU41" s="398">
        <f t="shared" si="56"/>
        <v>0</v>
      </c>
      <c r="AV41" s="398">
        <f t="shared" si="56"/>
        <v>0</v>
      </c>
      <c r="AW41" s="398">
        <f t="shared" si="56"/>
        <v>0</v>
      </c>
      <c r="AX41" s="398">
        <f t="shared" si="56"/>
        <v>0</v>
      </c>
      <c r="AY41" s="398">
        <f t="shared" si="56"/>
        <v>0</v>
      </c>
      <c r="AZ41" s="397"/>
      <c r="BA41" s="404" t="str">
        <f>'Учебный план (очная)'!CF60</f>
        <v>64-9</v>
      </c>
      <c r="BB41" s="432" t="str">
        <f>'Учебный план (очная)'!CG60</f>
        <v>ОК 1-9; ПК 3.1-3.3</v>
      </c>
    </row>
    <row r="42" spans="1:54" s="246" customFormat="1" ht="25.5" customHeight="1">
      <c r="A42" s="399" t="str">
        <f>'Учебный план (очная)'!A61</f>
        <v>МДК.03.01.</v>
      </c>
      <c r="B42" s="399" t="str">
        <f>'Учебный план (очная)'!B61</f>
        <v>Транспортно-экспедиционная деятельность (по видам транспорта)</v>
      </c>
      <c r="C42" s="301"/>
      <c r="D42" s="358" t="s">
        <v>30</v>
      </c>
      <c r="E42" s="358"/>
      <c r="F42" s="358"/>
      <c r="G42" s="358"/>
      <c r="H42" s="394"/>
      <c r="I42" s="283">
        <f>K42-M42</f>
        <v>0</v>
      </c>
      <c r="J42" s="358">
        <f>L42*$J$1</f>
        <v>22.8</v>
      </c>
      <c r="K42" s="283">
        <f>'Учебный план (очная)'!K61</f>
        <v>114</v>
      </c>
      <c r="L42" s="283">
        <f>'Учебный план (очная)'!L61</f>
        <v>76</v>
      </c>
      <c r="M42" s="359">
        <f>SUM(N42+S42)</f>
        <v>114</v>
      </c>
      <c r="N42" s="359">
        <f>SUM(O42:R42)</f>
        <v>14</v>
      </c>
      <c r="O42" s="359">
        <f aca="true" t="shared" si="57" ref="O42:R44">U42+AA42+AG42+AM42+AT42</f>
        <v>14</v>
      </c>
      <c r="P42" s="359">
        <f t="shared" si="57"/>
        <v>0</v>
      </c>
      <c r="Q42" s="359">
        <f t="shared" si="57"/>
        <v>0</v>
      </c>
      <c r="R42" s="359">
        <f t="shared" si="57"/>
        <v>0</v>
      </c>
      <c r="S42" s="359">
        <f>Y42+AE42+AK42+AQ42+AY42</f>
        <v>100</v>
      </c>
      <c r="T42" s="360">
        <f>SUM(U42:Y42)</f>
        <v>0</v>
      </c>
      <c r="U42" s="283"/>
      <c r="V42" s="283"/>
      <c r="W42" s="283"/>
      <c r="X42" s="283"/>
      <c r="Y42" s="283"/>
      <c r="Z42" s="360">
        <f>SUM(AA42:AE42)</f>
        <v>0</v>
      </c>
      <c r="AA42" s="283"/>
      <c r="AB42" s="283"/>
      <c r="AC42" s="283"/>
      <c r="AD42" s="283"/>
      <c r="AE42" s="283"/>
      <c r="AF42" s="360">
        <f>SUM(AG42:AK42)</f>
        <v>114</v>
      </c>
      <c r="AG42" s="283">
        <v>14</v>
      </c>
      <c r="AH42" s="283"/>
      <c r="AI42" s="283"/>
      <c r="AJ42" s="283"/>
      <c r="AK42" s="283">
        <v>100</v>
      </c>
      <c r="AL42" s="360">
        <f>SUM(AM42:AQ42)</f>
        <v>0</v>
      </c>
      <c r="AM42" s="283"/>
      <c r="AN42" s="283"/>
      <c r="AO42" s="283"/>
      <c r="AP42" s="283"/>
      <c r="AQ42" s="283"/>
      <c r="AR42" s="360">
        <f>SUM(AS42:AY42)</f>
        <v>0</v>
      </c>
      <c r="AS42" s="283"/>
      <c r="AT42" s="283"/>
      <c r="AU42" s="283"/>
      <c r="AV42" s="283"/>
      <c r="AW42" s="283"/>
      <c r="AX42" s="283"/>
      <c r="AY42" s="283"/>
      <c r="AZ42" s="368"/>
      <c r="BA42" s="358" t="str">
        <f>'Учебный план (очная)'!CF61</f>
        <v>64-9</v>
      </c>
      <c r="BB42" s="393" t="str">
        <f>'Учебный план (очная)'!CG61</f>
        <v>ОК 1-9; ПК 3.1-3.3</v>
      </c>
    </row>
    <row r="43" spans="1:54" s="246" customFormat="1" ht="25.5" customHeight="1">
      <c r="A43" s="399" t="str">
        <f>'Учебный план (очная)'!A62</f>
        <v>МДК.03.02.</v>
      </c>
      <c r="B43" s="399" t="str">
        <f>'Учебный план (очная)'!B62</f>
        <v>Обеспечение грузовых перевозок (по видам транспорта)</v>
      </c>
      <c r="C43" s="301"/>
      <c r="D43" s="358" t="s">
        <v>501</v>
      </c>
      <c r="E43" s="358"/>
      <c r="F43" s="358"/>
      <c r="G43" s="358" t="s">
        <v>40</v>
      </c>
      <c r="H43" s="482" t="s">
        <v>30</v>
      </c>
      <c r="I43" s="283">
        <f>K43-M43</f>
        <v>0</v>
      </c>
      <c r="J43" s="358">
        <f>L43*$J$1</f>
        <v>61.2</v>
      </c>
      <c r="K43" s="283">
        <f>'Учебный план (очная)'!K62</f>
        <v>306</v>
      </c>
      <c r="L43" s="283">
        <f>'Учебный план (очная)'!L62</f>
        <v>204</v>
      </c>
      <c r="M43" s="359">
        <f>SUM(N43+S43)</f>
        <v>306</v>
      </c>
      <c r="N43" s="359">
        <f>SUM(O43:R43)</f>
        <v>44</v>
      </c>
      <c r="O43" s="359">
        <f t="shared" si="57"/>
        <v>44</v>
      </c>
      <c r="P43" s="359">
        <f t="shared" si="57"/>
        <v>0</v>
      </c>
      <c r="Q43" s="359">
        <f t="shared" si="57"/>
        <v>0</v>
      </c>
      <c r="R43" s="359">
        <f t="shared" si="57"/>
        <v>0</v>
      </c>
      <c r="S43" s="359">
        <f>Y43+AE43+AK43+AQ43+AY43</f>
        <v>262</v>
      </c>
      <c r="T43" s="360">
        <f>SUM(U43:Y43)</f>
        <v>0</v>
      </c>
      <c r="U43" s="283"/>
      <c r="V43" s="283"/>
      <c r="W43" s="283"/>
      <c r="X43" s="283"/>
      <c r="Y43" s="283"/>
      <c r="Z43" s="360">
        <f>SUM(AA43:AE43)</f>
        <v>0</v>
      </c>
      <c r="AA43" s="283"/>
      <c r="AB43" s="283"/>
      <c r="AC43" s="283"/>
      <c r="AD43" s="283"/>
      <c r="AE43" s="283"/>
      <c r="AF43" s="360">
        <f>SUM(AG43:AK43)</f>
        <v>145</v>
      </c>
      <c r="AG43" s="283">
        <v>12</v>
      </c>
      <c r="AH43" s="283"/>
      <c r="AI43" s="283"/>
      <c r="AJ43" s="283"/>
      <c r="AK43" s="283">
        <v>133</v>
      </c>
      <c r="AL43" s="360">
        <f>SUM(AM43:AQ43)</f>
        <v>161</v>
      </c>
      <c r="AM43" s="283">
        <v>32</v>
      </c>
      <c r="AN43" s="283"/>
      <c r="AO43" s="283"/>
      <c r="AP43" s="283"/>
      <c r="AQ43" s="283">
        <v>129</v>
      </c>
      <c r="AR43" s="360">
        <f>SUM(AS43:AY43)</f>
        <v>0</v>
      </c>
      <c r="AS43" s="283"/>
      <c r="AT43" s="283"/>
      <c r="AU43" s="283"/>
      <c r="AV43" s="283"/>
      <c r="AW43" s="283"/>
      <c r="AX43" s="283"/>
      <c r="AY43" s="283"/>
      <c r="AZ43" s="368"/>
      <c r="BA43" s="358" t="str">
        <f>'Учебный план (очная)'!CF62</f>
        <v>64-9</v>
      </c>
      <c r="BB43" s="393" t="str">
        <f>'Учебный план (очная)'!CG62</f>
        <v>ОК 1-9; ПК 3.1-3.3</v>
      </c>
    </row>
    <row r="44" spans="1:54" s="246" customFormat="1" ht="25.5" customHeight="1">
      <c r="A44" s="399" t="str">
        <f>'Учебный план (очная)'!A63</f>
        <v>МДК.03.03.</v>
      </c>
      <c r="B44" s="399" t="str">
        <f>'Учебный план (очная)'!B63</f>
        <v>Перевозка грузов на особых условиях</v>
      </c>
      <c r="C44" s="301"/>
      <c r="D44" s="358"/>
      <c r="E44" s="358" t="s">
        <v>30</v>
      </c>
      <c r="F44" s="358"/>
      <c r="G44" s="358"/>
      <c r="H44" s="482" t="s">
        <v>30</v>
      </c>
      <c r="I44" s="283">
        <f>K44-M44</f>
        <v>0</v>
      </c>
      <c r="J44" s="358">
        <f>L44*$J$1</f>
        <v>24</v>
      </c>
      <c r="K44" s="283">
        <f>'Учебный план (очная)'!K63</f>
        <v>120</v>
      </c>
      <c r="L44" s="283">
        <f>'Учебный план (очная)'!L63</f>
        <v>80</v>
      </c>
      <c r="M44" s="359">
        <f>SUM(N44+S44)</f>
        <v>120</v>
      </c>
      <c r="N44" s="359">
        <f>SUM(O44:R44)</f>
        <v>12</v>
      </c>
      <c r="O44" s="359">
        <f t="shared" si="57"/>
        <v>12</v>
      </c>
      <c r="P44" s="359">
        <f t="shared" si="57"/>
        <v>0</v>
      </c>
      <c r="Q44" s="359">
        <f t="shared" si="57"/>
        <v>0</v>
      </c>
      <c r="R44" s="359">
        <f t="shared" si="57"/>
        <v>0</v>
      </c>
      <c r="S44" s="359">
        <f>Y44+AE44+AK44+AQ44+AY44</f>
        <v>108</v>
      </c>
      <c r="T44" s="360">
        <f>SUM(U44:Y44)</f>
        <v>0</v>
      </c>
      <c r="U44" s="283"/>
      <c r="V44" s="283"/>
      <c r="W44" s="283"/>
      <c r="X44" s="283"/>
      <c r="Y44" s="283"/>
      <c r="Z44" s="360">
        <f>SUM(AA44:AE44)</f>
        <v>0</v>
      </c>
      <c r="AA44" s="283"/>
      <c r="AB44" s="283"/>
      <c r="AC44" s="283"/>
      <c r="AD44" s="283"/>
      <c r="AE44" s="283"/>
      <c r="AF44" s="360">
        <f>SUM(AG44:AK44)</f>
        <v>120</v>
      </c>
      <c r="AG44" s="283">
        <v>12</v>
      </c>
      <c r="AH44" s="283"/>
      <c r="AI44" s="283"/>
      <c r="AJ44" s="283"/>
      <c r="AK44" s="283">
        <v>108</v>
      </c>
      <c r="AL44" s="360">
        <f>SUM(AM44:AQ44)</f>
        <v>0</v>
      </c>
      <c r="AM44" s="283"/>
      <c r="AN44" s="283"/>
      <c r="AO44" s="283"/>
      <c r="AP44" s="283"/>
      <c r="AQ44" s="283"/>
      <c r="AR44" s="360">
        <f>SUM(AS44:AY44)</f>
        <v>0</v>
      </c>
      <c r="AS44" s="283"/>
      <c r="AT44" s="283"/>
      <c r="AU44" s="283"/>
      <c r="AV44" s="283"/>
      <c r="AW44" s="283"/>
      <c r="AX44" s="283"/>
      <c r="AY44" s="283"/>
      <c r="AZ44" s="368"/>
      <c r="BA44" s="358" t="str">
        <f>'Учебный план (очная)'!CF63</f>
        <v>64-9</v>
      </c>
      <c r="BB44" s="393" t="str">
        <f>'Учебный план (очная)'!CG63</f>
        <v>ОК 1-9; ПК 3.1-3.3</v>
      </c>
    </row>
    <row r="45" spans="1:54" s="246" customFormat="1" ht="25.5" customHeight="1">
      <c r="A45" s="455" t="s">
        <v>374</v>
      </c>
      <c r="B45" s="456"/>
      <c r="C45" s="456"/>
      <c r="D45" s="481" t="s">
        <v>40</v>
      </c>
      <c r="E45" s="451"/>
      <c r="F45" s="451"/>
      <c r="G45" s="451"/>
      <c r="H45" s="451"/>
      <c r="I45" s="452"/>
      <c r="J45" s="451"/>
      <c r="K45" s="288">
        <f>'Учебный план (очная)'!K64</f>
        <v>0</v>
      </c>
      <c r="L45" s="288">
        <f>'Учебный план (очная)'!L64</f>
        <v>0</v>
      </c>
      <c r="M45" s="453"/>
      <c r="N45" s="453"/>
      <c r="O45" s="453"/>
      <c r="P45" s="453"/>
      <c r="Q45" s="453"/>
      <c r="R45" s="453"/>
      <c r="S45" s="453"/>
      <c r="T45" s="453"/>
      <c r="U45" s="288"/>
      <c r="V45" s="288"/>
      <c r="W45" s="288"/>
      <c r="X45" s="288"/>
      <c r="Y45" s="288"/>
      <c r="Z45" s="453"/>
      <c r="AA45" s="288"/>
      <c r="AB45" s="288"/>
      <c r="AC45" s="288"/>
      <c r="AD45" s="288"/>
      <c r="AE45" s="288"/>
      <c r="AF45" s="453"/>
      <c r="AG45" s="288"/>
      <c r="AH45" s="288"/>
      <c r="AI45" s="288"/>
      <c r="AJ45" s="288"/>
      <c r="AK45" s="288"/>
      <c r="AL45" s="453"/>
      <c r="AM45" s="288"/>
      <c r="AN45" s="288"/>
      <c r="AO45" s="288"/>
      <c r="AP45" s="288"/>
      <c r="AQ45" s="288"/>
      <c r="AR45" s="453"/>
      <c r="AS45" s="288"/>
      <c r="AT45" s="288"/>
      <c r="AU45" s="288"/>
      <c r="AV45" s="288"/>
      <c r="AW45" s="288"/>
      <c r="AX45" s="288"/>
      <c r="AY45" s="288"/>
      <c r="AZ45" s="288"/>
      <c r="BA45" s="451">
        <f>'Учебный план (очная)'!CF64</f>
        <v>0</v>
      </c>
      <c r="BB45" s="458">
        <f>'Учебный план (очная)'!CG64</f>
        <v>0</v>
      </c>
    </row>
    <row r="46" spans="1:55" s="246" customFormat="1" ht="25.5" customHeight="1">
      <c r="A46" s="395" t="str">
        <f>'Учебный план (очная)'!A65</f>
        <v>ПМ.04</v>
      </c>
      <c r="B46" s="667" t="str">
        <f>'Учебный план (очная)'!B65</f>
        <v>Выполнение работ по одной или нескольким профессиям рабочих, должностям служащих</v>
      </c>
      <c r="C46" s="668"/>
      <c r="D46" s="668"/>
      <c r="E46" s="668"/>
      <c r="F46" s="668"/>
      <c r="G46" s="668"/>
      <c r="H46" s="669"/>
      <c r="I46" s="473"/>
      <c r="J46" s="404"/>
      <c r="K46" s="397">
        <f>'Учебный план (очная)'!K65</f>
        <v>84</v>
      </c>
      <c r="L46" s="397">
        <f>'Учебный план (очная)'!L65</f>
        <v>56</v>
      </c>
      <c r="M46" s="397">
        <f aca="true" t="shared" si="58" ref="M46:AY46">SUM(M47:M47)</f>
        <v>84</v>
      </c>
      <c r="N46" s="397">
        <f t="shared" si="58"/>
        <v>12</v>
      </c>
      <c r="O46" s="397">
        <f t="shared" si="58"/>
        <v>12</v>
      </c>
      <c r="P46" s="397">
        <f t="shared" si="58"/>
        <v>0</v>
      </c>
      <c r="Q46" s="397">
        <f t="shared" si="58"/>
        <v>0</v>
      </c>
      <c r="R46" s="397">
        <f t="shared" si="58"/>
        <v>0</v>
      </c>
      <c r="S46" s="397">
        <f t="shared" si="58"/>
        <v>72</v>
      </c>
      <c r="T46" s="397">
        <f t="shared" si="58"/>
        <v>0</v>
      </c>
      <c r="U46" s="397">
        <f t="shared" si="58"/>
        <v>0</v>
      </c>
      <c r="V46" s="397">
        <f t="shared" si="58"/>
        <v>0</v>
      </c>
      <c r="W46" s="397">
        <f t="shared" si="58"/>
        <v>0</v>
      </c>
      <c r="X46" s="397">
        <f t="shared" si="58"/>
        <v>0</v>
      </c>
      <c r="Y46" s="397">
        <f t="shared" si="58"/>
        <v>0</v>
      </c>
      <c r="Z46" s="397">
        <f t="shared" si="58"/>
        <v>0</v>
      </c>
      <c r="AA46" s="397">
        <f t="shared" si="58"/>
        <v>0</v>
      </c>
      <c r="AB46" s="397">
        <f t="shared" si="58"/>
        <v>0</v>
      </c>
      <c r="AC46" s="397">
        <f t="shared" si="58"/>
        <v>0</v>
      </c>
      <c r="AD46" s="397">
        <f t="shared" si="58"/>
        <v>0</v>
      </c>
      <c r="AE46" s="397">
        <f t="shared" si="58"/>
        <v>0</v>
      </c>
      <c r="AF46" s="397">
        <f t="shared" si="58"/>
        <v>0</v>
      </c>
      <c r="AG46" s="397">
        <f t="shared" si="58"/>
        <v>0</v>
      </c>
      <c r="AH46" s="397">
        <f t="shared" si="58"/>
        <v>0</v>
      </c>
      <c r="AI46" s="397">
        <f t="shared" si="58"/>
        <v>0</v>
      </c>
      <c r="AJ46" s="397">
        <f t="shared" si="58"/>
        <v>0</v>
      </c>
      <c r="AK46" s="397">
        <f t="shared" si="58"/>
        <v>0</v>
      </c>
      <c r="AL46" s="397">
        <f t="shared" si="58"/>
        <v>84</v>
      </c>
      <c r="AM46" s="397">
        <f t="shared" si="58"/>
        <v>12</v>
      </c>
      <c r="AN46" s="397">
        <f t="shared" si="58"/>
        <v>0</v>
      </c>
      <c r="AO46" s="397">
        <f t="shared" si="58"/>
        <v>0</v>
      </c>
      <c r="AP46" s="397">
        <f t="shared" si="58"/>
        <v>0</v>
      </c>
      <c r="AQ46" s="397">
        <f t="shared" si="58"/>
        <v>72</v>
      </c>
      <c r="AR46" s="397">
        <f t="shared" si="58"/>
        <v>0</v>
      </c>
      <c r="AS46" s="397">
        <f t="shared" si="58"/>
        <v>0</v>
      </c>
      <c r="AT46" s="397">
        <f t="shared" si="58"/>
        <v>0</v>
      </c>
      <c r="AU46" s="397">
        <f t="shared" si="58"/>
        <v>0</v>
      </c>
      <c r="AV46" s="397">
        <f t="shared" si="58"/>
        <v>0</v>
      </c>
      <c r="AW46" s="397">
        <f t="shared" si="58"/>
        <v>0</v>
      </c>
      <c r="AX46" s="397">
        <f t="shared" si="58"/>
        <v>0</v>
      </c>
      <c r="AY46" s="397">
        <f t="shared" si="58"/>
        <v>0</v>
      </c>
      <c r="AZ46" s="397"/>
      <c r="BA46" s="404" t="str">
        <f>'Учебный план (очная)'!CF65</f>
        <v>64-9</v>
      </c>
      <c r="BB46" s="404" t="str">
        <f>'Учебный план (очная)'!CG65</f>
        <v>ОК 1-9, ПК 1.1,2.2,3.3</v>
      </c>
      <c r="BC46" s="247"/>
    </row>
    <row r="47" spans="1:54" s="246" customFormat="1" ht="25.5" customHeight="1">
      <c r="A47" s="391" t="str">
        <f>'Учебный план (очная)'!A66</f>
        <v>МДК.04.01</v>
      </c>
      <c r="B47" s="391" t="str">
        <f>'Учебный план (очная)'!B66</f>
        <v>Оператор диспетчерской (производственно-диспетчерской) службы</v>
      </c>
      <c r="C47" s="301"/>
      <c r="D47" s="358"/>
      <c r="E47" s="358" t="s">
        <v>40</v>
      </c>
      <c r="F47" s="358"/>
      <c r="G47" s="358"/>
      <c r="H47" s="482" t="s">
        <v>40</v>
      </c>
      <c r="I47" s="283">
        <f>K47-M47</f>
        <v>0</v>
      </c>
      <c r="J47" s="358">
        <f>L47*$J$1</f>
        <v>16.8</v>
      </c>
      <c r="K47" s="283">
        <f>'Учебный план (очная)'!K66</f>
        <v>84</v>
      </c>
      <c r="L47" s="283">
        <f>'Учебный план (очная)'!L66</f>
        <v>56</v>
      </c>
      <c r="M47" s="359">
        <f>SUM(N47+S47)</f>
        <v>84</v>
      </c>
      <c r="N47" s="359">
        <f>SUM(O47:R47)</f>
        <v>12</v>
      </c>
      <c r="O47" s="359">
        <f>U47+AA47+AG47+AM47+AT47</f>
        <v>12</v>
      </c>
      <c r="P47" s="359">
        <f>V47+AB47+AH47+AN47+AU47</f>
        <v>0</v>
      </c>
      <c r="Q47" s="359">
        <f>W47+AC47+AI47+AO47+AV47</f>
        <v>0</v>
      </c>
      <c r="R47" s="359">
        <f>X47+AD47+AJ47+AP47+AW47</f>
        <v>0</v>
      </c>
      <c r="S47" s="359">
        <f>Y47+AE47+AK47+AQ47+AY47</f>
        <v>72</v>
      </c>
      <c r="T47" s="360">
        <f>SUM(U47:Y47)</f>
        <v>0</v>
      </c>
      <c r="U47" s="283"/>
      <c r="V47" s="283"/>
      <c r="W47" s="283"/>
      <c r="X47" s="283"/>
      <c r="Y47" s="283"/>
      <c r="Z47" s="360">
        <f>SUM(AA47:AE47)</f>
        <v>0</v>
      </c>
      <c r="AA47" s="283"/>
      <c r="AB47" s="283"/>
      <c r="AC47" s="283"/>
      <c r="AD47" s="283"/>
      <c r="AE47" s="283"/>
      <c r="AF47" s="360">
        <f>SUM(AG47:AK47)</f>
        <v>0</v>
      </c>
      <c r="AG47" s="283"/>
      <c r="AH47" s="283"/>
      <c r="AI47" s="283"/>
      <c r="AJ47" s="283"/>
      <c r="AK47" s="283"/>
      <c r="AL47" s="360">
        <f>SUM(AM47:AQ47)</f>
        <v>84</v>
      </c>
      <c r="AM47" s="283">
        <v>12</v>
      </c>
      <c r="AN47" s="283"/>
      <c r="AO47" s="283"/>
      <c r="AP47" s="283"/>
      <c r="AQ47" s="283">
        <v>72</v>
      </c>
      <c r="AR47" s="360">
        <f>SUM(AS47:AY47)</f>
        <v>0</v>
      </c>
      <c r="AS47" s="283"/>
      <c r="AT47" s="283"/>
      <c r="AU47" s="283"/>
      <c r="AV47" s="283"/>
      <c r="AW47" s="283"/>
      <c r="AX47" s="283"/>
      <c r="AY47" s="283"/>
      <c r="AZ47" s="368"/>
      <c r="BA47" s="358" t="str">
        <f>'Учебный план (очная)'!CF66</f>
        <v>64-9</v>
      </c>
      <c r="BB47" s="393" t="str">
        <f>'Учебный план (очная)'!CG66</f>
        <v>ОК 1-9, ПК 1.1,2.2,3.3</v>
      </c>
    </row>
    <row r="48" spans="1:54" s="246" customFormat="1" ht="25.5" customHeight="1">
      <c r="A48" s="455" t="s">
        <v>374</v>
      </c>
      <c r="B48" s="456"/>
      <c r="C48" s="456"/>
      <c r="D48" s="481" t="s">
        <v>40</v>
      </c>
      <c r="E48" s="451"/>
      <c r="F48" s="451"/>
      <c r="G48" s="451"/>
      <c r="H48" s="451"/>
      <c r="I48" s="452"/>
      <c r="J48" s="451"/>
      <c r="K48" s="288">
        <f>'Учебный план (очная)'!K67</f>
        <v>0</v>
      </c>
      <c r="L48" s="288">
        <f>'Учебный план (очная)'!L67</f>
        <v>0</v>
      </c>
      <c r="M48" s="453"/>
      <c r="N48" s="453"/>
      <c r="O48" s="453"/>
      <c r="P48" s="453"/>
      <c r="Q48" s="453"/>
      <c r="R48" s="453"/>
      <c r="S48" s="453"/>
      <c r="T48" s="453"/>
      <c r="U48" s="288"/>
      <c r="V48" s="288"/>
      <c r="W48" s="288"/>
      <c r="X48" s="288"/>
      <c r="Y48" s="288"/>
      <c r="Z48" s="453"/>
      <c r="AA48" s="288"/>
      <c r="AB48" s="288"/>
      <c r="AC48" s="288"/>
      <c r="AD48" s="288"/>
      <c r="AE48" s="288"/>
      <c r="AF48" s="453"/>
      <c r="AG48" s="288"/>
      <c r="AH48" s="288"/>
      <c r="AI48" s="288"/>
      <c r="AJ48" s="288"/>
      <c r="AK48" s="288"/>
      <c r="AL48" s="453"/>
      <c r="AM48" s="288"/>
      <c r="AN48" s="288"/>
      <c r="AO48" s="288"/>
      <c r="AP48" s="288"/>
      <c r="AQ48" s="288"/>
      <c r="AR48" s="453"/>
      <c r="AS48" s="288"/>
      <c r="AT48" s="288"/>
      <c r="AU48" s="288"/>
      <c r="AV48" s="288"/>
      <c r="AW48" s="288"/>
      <c r="AX48" s="288"/>
      <c r="AY48" s="288"/>
      <c r="AZ48" s="288"/>
      <c r="BA48" s="451">
        <f>'Учебный план (очная)'!CF67</f>
        <v>0</v>
      </c>
      <c r="BB48" s="458">
        <f>'Учебный план (очная)'!CG67</f>
        <v>0</v>
      </c>
    </row>
    <row r="49" spans="1:54" s="248" customFormat="1" ht="25.5" customHeight="1">
      <c r="A49" s="459" t="s">
        <v>415</v>
      </c>
      <c r="B49" s="538" t="s">
        <v>416</v>
      </c>
      <c r="C49" s="539"/>
      <c r="D49" s="539"/>
      <c r="E49" s="539"/>
      <c r="F49" s="539"/>
      <c r="G49" s="539"/>
      <c r="H49" s="540"/>
      <c r="I49" s="447"/>
      <c r="J49" s="439"/>
      <c r="K49" s="435">
        <f>'Учебный план (очная)'!K68</f>
        <v>1060</v>
      </c>
      <c r="L49" s="435">
        <f>'Учебный план (очная)'!L68</f>
        <v>707</v>
      </c>
      <c r="M49" s="435">
        <f aca="true" t="shared" si="59" ref="M49:S49">SUM(M50:M59)</f>
        <v>1060</v>
      </c>
      <c r="N49" s="435">
        <f t="shared" si="59"/>
        <v>140</v>
      </c>
      <c r="O49" s="435">
        <f t="shared" si="59"/>
        <v>140</v>
      </c>
      <c r="P49" s="435">
        <f t="shared" si="59"/>
        <v>0</v>
      </c>
      <c r="Q49" s="435">
        <f t="shared" si="59"/>
        <v>0</v>
      </c>
      <c r="R49" s="435">
        <f t="shared" si="59"/>
        <v>0</v>
      </c>
      <c r="S49" s="435">
        <f t="shared" si="59"/>
        <v>920</v>
      </c>
      <c r="T49" s="435">
        <f aca="true" t="shared" si="60" ref="T49:AQ49">SUM(T50:T59)</f>
        <v>48</v>
      </c>
      <c r="U49" s="435">
        <f t="shared" si="60"/>
        <v>8</v>
      </c>
      <c r="V49" s="435">
        <f t="shared" si="60"/>
        <v>0</v>
      </c>
      <c r="W49" s="435">
        <f t="shared" si="60"/>
        <v>0</v>
      </c>
      <c r="X49" s="435">
        <f t="shared" si="60"/>
        <v>0</v>
      </c>
      <c r="Y49" s="435">
        <f t="shared" si="60"/>
        <v>40</v>
      </c>
      <c r="Z49" s="435">
        <f t="shared" si="60"/>
        <v>320</v>
      </c>
      <c r="AA49" s="435">
        <f t="shared" si="60"/>
        <v>40</v>
      </c>
      <c r="AB49" s="435">
        <f t="shared" si="60"/>
        <v>0</v>
      </c>
      <c r="AC49" s="435">
        <f t="shared" si="60"/>
        <v>0</v>
      </c>
      <c r="AD49" s="435">
        <f t="shared" si="60"/>
        <v>0</v>
      </c>
      <c r="AE49" s="435">
        <f t="shared" si="60"/>
        <v>280</v>
      </c>
      <c r="AF49" s="435">
        <f t="shared" si="60"/>
        <v>477</v>
      </c>
      <c r="AG49" s="435">
        <f t="shared" si="60"/>
        <v>60</v>
      </c>
      <c r="AH49" s="435">
        <f t="shared" si="60"/>
        <v>0</v>
      </c>
      <c r="AI49" s="435">
        <f t="shared" si="60"/>
        <v>0</v>
      </c>
      <c r="AJ49" s="435">
        <f t="shared" si="60"/>
        <v>0</v>
      </c>
      <c r="AK49" s="435">
        <f t="shared" si="60"/>
        <v>489</v>
      </c>
      <c r="AL49" s="435">
        <f t="shared" si="60"/>
        <v>143</v>
      </c>
      <c r="AM49" s="435">
        <f t="shared" si="60"/>
        <v>32</v>
      </c>
      <c r="AN49" s="435">
        <f t="shared" si="60"/>
        <v>0</v>
      </c>
      <c r="AO49" s="435">
        <f t="shared" si="60"/>
        <v>0</v>
      </c>
      <c r="AP49" s="435">
        <f t="shared" si="60"/>
        <v>0</v>
      </c>
      <c r="AQ49" s="435">
        <f t="shared" si="60"/>
        <v>111</v>
      </c>
      <c r="AR49" s="435">
        <f aca="true" t="shared" si="61" ref="AR49:AY49">SUM(AR50:AR58)</f>
        <v>0</v>
      </c>
      <c r="AS49" s="435">
        <f t="shared" si="61"/>
        <v>0</v>
      </c>
      <c r="AT49" s="435">
        <f t="shared" si="61"/>
        <v>0</v>
      </c>
      <c r="AU49" s="435">
        <f t="shared" si="61"/>
        <v>0</v>
      </c>
      <c r="AV49" s="435">
        <f t="shared" si="61"/>
        <v>0</v>
      </c>
      <c r="AW49" s="435">
        <f t="shared" si="61"/>
        <v>0</v>
      </c>
      <c r="AX49" s="435">
        <f t="shared" si="61"/>
        <v>0</v>
      </c>
      <c r="AY49" s="435">
        <f t="shared" si="61"/>
        <v>0</v>
      </c>
      <c r="AZ49" s="448"/>
      <c r="BA49" s="457">
        <f>'Учебный план (очная)'!CF68</f>
        <v>0</v>
      </c>
      <c r="BB49" s="449">
        <f>'Учебный план (очная)'!CG68</f>
        <v>0</v>
      </c>
    </row>
    <row r="50" spans="1:54" s="246" customFormat="1" ht="25.5" customHeight="1">
      <c r="A50" s="399" t="str">
        <f>'Учебный план (очная)'!A69</f>
        <v>ВЧ.01</v>
      </c>
      <c r="B50" s="399" t="str">
        <f>'Учебный план (очная)'!B69</f>
        <v>Русский язык и культура речи</v>
      </c>
      <c r="C50" s="301"/>
      <c r="D50" s="358"/>
      <c r="E50" s="358" t="s">
        <v>27</v>
      </c>
      <c r="F50" s="358"/>
      <c r="G50" s="358"/>
      <c r="H50" s="367"/>
      <c r="I50" s="283">
        <f aca="true" t="shared" si="62" ref="I50:I58">K50-M50</f>
        <v>6</v>
      </c>
      <c r="J50" s="358">
        <f aca="true" t="shared" si="63" ref="J50:J58">L50*$J$1</f>
        <v>10.8</v>
      </c>
      <c r="K50" s="283">
        <f>'Учебный план (очная)'!K69</f>
        <v>54</v>
      </c>
      <c r="L50" s="283">
        <f>'Учебный план (очная)'!L69</f>
        <v>36</v>
      </c>
      <c r="M50" s="359">
        <f>SUM(N50+S50)</f>
        <v>48</v>
      </c>
      <c r="N50" s="359">
        <f aca="true" t="shared" si="64" ref="N50:N59">SUM(O50:R50)</f>
        <v>8</v>
      </c>
      <c r="O50" s="359">
        <f aca="true" t="shared" si="65" ref="O50:O60">U50+AA50+AG50+AM50+AT50</f>
        <v>8</v>
      </c>
      <c r="P50" s="359">
        <f aca="true" t="shared" si="66" ref="P50:P60">V50+AB50+AH50+AN50+AU50</f>
        <v>0</v>
      </c>
      <c r="Q50" s="359">
        <f aca="true" t="shared" si="67" ref="Q50:Q60">W50+AC50+AI50+AO50+AV50</f>
        <v>0</v>
      </c>
      <c r="R50" s="359">
        <f aca="true" t="shared" si="68" ref="R50:R60">X50+AD50+AJ50+AP50+AW50</f>
        <v>0</v>
      </c>
      <c r="S50" s="359">
        <f aca="true" t="shared" si="69" ref="S50:S60">Y50+AE50+AK50+AQ50+AY50</f>
        <v>40</v>
      </c>
      <c r="T50" s="360">
        <f>SUM(U50:Y50)</f>
        <v>48</v>
      </c>
      <c r="U50" s="283">
        <v>8</v>
      </c>
      <c r="V50" s="283"/>
      <c r="W50" s="283"/>
      <c r="X50" s="283"/>
      <c r="Y50" s="283">
        <v>40</v>
      </c>
      <c r="Z50" s="360">
        <f>SUM(AA50:AE50)</f>
        <v>0</v>
      </c>
      <c r="AA50" s="283"/>
      <c r="AB50" s="283"/>
      <c r="AC50" s="283"/>
      <c r="AD50" s="283"/>
      <c r="AE50" s="283"/>
      <c r="AF50" s="360">
        <f>SUM(AG50:AK50)</f>
        <v>0</v>
      </c>
      <c r="AG50" s="283"/>
      <c r="AH50" s="283"/>
      <c r="AI50" s="283"/>
      <c r="AJ50" s="283"/>
      <c r="AK50" s="283"/>
      <c r="AL50" s="360">
        <f>SUM(AM50:AQ50)</f>
        <v>0</v>
      </c>
      <c r="AM50" s="283"/>
      <c r="AN50" s="283"/>
      <c r="AO50" s="283"/>
      <c r="AP50" s="283"/>
      <c r="AQ50" s="283"/>
      <c r="AR50" s="360">
        <f>SUM(AS50:AY50)</f>
        <v>0</v>
      </c>
      <c r="AS50" s="283"/>
      <c r="AT50" s="283"/>
      <c r="AU50" s="283"/>
      <c r="AV50" s="283"/>
      <c r="AW50" s="283"/>
      <c r="AX50" s="283"/>
      <c r="AY50" s="283"/>
      <c r="AZ50" s="368"/>
      <c r="BA50" s="358" t="str">
        <f>'Учебный план (очная)'!CF69</f>
        <v>64-1</v>
      </c>
      <c r="BB50" s="351" t="s">
        <v>586</v>
      </c>
    </row>
    <row r="51" spans="1:54" s="246" customFormat="1" ht="25.5" customHeight="1">
      <c r="A51" s="399" t="str">
        <f>'Учебный план (очная)'!A70</f>
        <v>ВЧ.02</v>
      </c>
      <c r="B51" s="399" t="str">
        <f>'Учебный план (очная)'!B70</f>
        <v>Деловой иностранный язык</v>
      </c>
      <c r="C51" s="301"/>
      <c r="D51" s="358"/>
      <c r="E51" s="358" t="s">
        <v>40</v>
      </c>
      <c r="F51" s="358"/>
      <c r="G51" s="358"/>
      <c r="H51" s="367">
        <v>4</v>
      </c>
      <c r="I51" s="283">
        <f t="shared" si="62"/>
        <v>0</v>
      </c>
      <c r="J51" s="358">
        <f t="shared" si="63"/>
        <v>12</v>
      </c>
      <c r="K51" s="283">
        <f>'Учебный план (очная)'!K70</f>
        <v>52</v>
      </c>
      <c r="L51" s="283">
        <f>'Учебный план (очная)'!L70</f>
        <v>40</v>
      </c>
      <c r="M51" s="359">
        <f>SUM(N51+S51)</f>
        <v>52</v>
      </c>
      <c r="N51" s="359">
        <f t="shared" si="64"/>
        <v>8</v>
      </c>
      <c r="O51" s="359">
        <f t="shared" si="65"/>
        <v>8</v>
      </c>
      <c r="P51" s="359">
        <f t="shared" si="66"/>
        <v>0</v>
      </c>
      <c r="Q51" s="359">
        <f t="shared" si="67"/>
        <v>0</v>
      </c>
      <c r="R51" s="359">
        <f t="shared" si="68"/>
        <v>0</v>
      </c>
      <c r="S51" s="359">
        <f t="shared" si="69"/>
        <v>44</v>
      </c>
      <c r="T51" s="360">
        <f>SUM(U51:Y51)</f>
        <v>0</v>
      </c>
      <c r="U51" s="283"/>
      <c r="V51" s="283"/>
      <c r="W51" s="283"/>
      <c r="X51" s="283"/>
      <c r="Y51" s="283"/>
      <c r="Z51" s="360">
        <f>SUM(AA51:AE51)</f>
        <v>0</v>
      </c>
      <c r="AA51" s="283"/>
      <c r="AB51" s="283"/>
      <c r="AC51" s="283"/>
      <c r="AD51" s="283"/>
      <c r="AE51" s="283"/>
      <c r="AF51" s="360">
        <f>SUM(AG51:AK51)</f>
        <v>0</v>
      </c>
      <c r="AG51" s="283"/>
      <c r="AH51" s="283"/>
      <c r="AI51" s="283"/>
      <c r="AJ51" s="283"/>
      <c r="AK51" s="283"/>
      <c r="AL51" s="360">
        <f>SUM(AM51:AQ51)</f>
        <v>52</v>
      </c>
      <c r="AM51" s="283">
        <v>8</v>
      </c>
      <c r="AN51" s="283"/>
      <c r="AO51" s="283"/>
      <c r="AP51" s="283"/>
      <c r="AQ51" s="283">
        <v>44</v>
      </c>
      <c r="AR51" s="360">
        <f>SUM(AS51:AY51)</f>
        <v>0</v>
      </c>
      <c r="AS51" s="283"/>
      <c r="AT51" s="283"/>
      <c r="AU51" s="283"/>
      <c r="AV51" s="283"/>
      <c r="AW51" s="283"/>
      <c r="AX51" s="283"/>
      <c r="AY51" s="283"/>
      <c r="AZ51" s="368"/>
      <c r="BA51" s="358" t="str">
        <f>'Учебный план (очная)'!CF70</f>
        <v>64-1</v>
      </c>
      <c r="BB51" s="482" t="s">
        <v>582</v>
      </c>
    </row>
    <row r="52" spans="1:54" s="277" customFormat="1" ht="25.5" customHeight="1">
      <c r="A52" s="399" t="str">
        <f>'Учебный план (очная)'!A71</f>
        <v>ВЧ.03</v>
      </c>
      <c r="B52" s="399" t="str">
        <f>'Учебный план (очная)'!B71</f>
        <v>Основы делопроизводства</v>
      </c>
      <c r="C52" s="460"/>
      <c r="D52" s="394"/>
      <c r="E52" s="394" t="s">
        <v>31</v>
      </c>
      <c r="F52" s="394"/>
      <c r="G52" s="394"/>
      <c r="H52" s="358"/>
      <c r="I52" s="283">
        <f t="shared" si="62"/>
        <v>0</v>
      </c>
      <c r="J52" s="358">
        <f t="shared" si="63"/>
        <v>14.4</v>
      </c>
      <c r="K52" s="283">
        <f>'Учебный план (очная)'!K71</f>
        <v>72</v>
      </c>
      <c r="L52" s="283">
        <f>'Учебный план (очная)'!L71</f>
        <v>48</v>
      </c>
      <c r="M52" s="359">
        <f aca="true" t="shared" si="70" ref="M52:M59">SUM(N52+S52)</f>
        <v>72</v>
      </c>
      <c r="N52" s="359">
        <f t="shared" si="64"/>
        <v>12</v>
      </c>
      <c r="O52" s="359">
        <f t="shared" si="65"/>
        <v>12</v>
      </c>
      <c r="P52" s="359">
        <f t="shared" si="66"/>
        <v>0</v>
      </c>
      <c r="Q52" s="359">
        <f t="shared" si="67"/>
        <v>0</v>
      </c>
      <c r="R52" s="359">
        <f t="shared" si="68"/>
        <v>0</v>
      </c>
      <c r="S52" s="359">
        <f t="shared" si="69"/>
        <v>60</v>
      </c>
      <c r="T52" s="360">
        <f>SUM(U52:Y52)</f>
        <v>0</v>
      </c>
      <c r="U52" s="283"/>
      <c r="V52" s="283"/>
      <c r="W52" s="283"/>
      <c r="X52" s="283"/>
      <c r="Y52" s="283"/>
      <c r="Z52" s="360">
        <f>SUM(AA52:AE52)</f>
        <v>72</v>
      </c>
      <c r="AA52" s="283">
        <v>12</v>
      </c>
      <c r="AB52" s="283"/>
      <c r="AC52" s="283"/>
      <c r="AD52" s="283"/>
      <c r="AE52" s="283">
        <v>60</v>
      </c>
      <c r="AF52" s="360">
        <f>SUM(AG52:AK52)</f>
        <v>0</v>
      </c>
      <c r="AG52" s="283"/>
      <c r="AH52" s="283"/>
      <c r="AI52" s="283"/>
      <c r="AJ52" s="283"/>
      <c r="AK52" s="283"/>
      <c r="AL52" s="360">
        <f>SUM(AM52:AQ52)</f>
        <v>0</v>
      </c>
      <c r="AM52" s="283"/>
      <c r="AN52" s="283"/>
      <c r="AO52" s="283"/>
      <c r="AP52" s="283"/>
      <c r="AQ52" s="283"/>
      <c r="AR52" s="360">
        <f aca="true" t="shared" si="71" ref="AR52:AR58">SUM(AS52:AY52)</f>
        <v>0</v>
      </c>
      <c r="AS52" s="283"/>
      <c r="AT52" s="283"/>
      <c r="AU52" s="283"/>
      <c r="AV52" s="283"/>
      <c r="AW52" s="283"/>
      <c r="AX52" s="283"/>
      <c r="AY52" s="283"/>
      <c r="AZ52" s="390"/>
      <c r="BA52" s="394" t="str">
        <f>'Учебный план (очная)'!CF71</f>
        <v>64-9</v>
      </c>
      <c r="BB52" s="351" t="s">
        <v>583</v>
      </c>
    </row>
    <row r="53" spans="1:54" s="277" customFormat="1" ht="25.5" customHeight="1">
      <c r="A53" s="399" t="str">
        <f>'Учебный план (очная)'!A72</f>
        <v>ВЧ.04</v>
      </c>
      <c r="B53" s="399" t="str">
        <f>'Учебный план (очная)'!B72</f>
        <v>Внутренние водные пути России</v>
      </c>
      <c r="C53" s="460"/>
      <c r="D53" s="394"/>
      <c r="E53" s="394" t="s">
        <v>31</v>
      </c>
      <c r="F53" s="394"/>
      <c r="G53" s="394"/>
      <c r="H53" s="358"/>
      <c r="I53" s="283">
        <f t="shared" si="62"/>
        <v>0</v>
      </c>
      <c r="J53" s="358">
        <f t="shared" si="63"/>
        <v>20.4</v>
      </c>
      <c r="K53" s="283">
        <f>'Учебный план (очная)'!K72</f>
        <v>106</v>
      </c>
      <c r="L53" s="283">
        <f>'Учебный план (очная)'!L72</f>
        <v>68</v>
      </c>
      <c r="M53" s="359">
        <f t="shared" si="70"/>
        <v>106</v>
      </c>
      <c r="N53" s="359">
        <f t="shared" si="64"/>
        <v>12</v>
      </c>
      <c r="O53" s="359">
        <f t="shared" si="65"/>
        <v>12</v>
      </c>
      <c r="P53" s="359">
        <f t="shared" si="66"/>
        <v>0</v>
      </c>
      <c r="Q53" s="359">
        <f t="shared" si="67"/>
        <v>0</v>
      </c>
      <c r="R53" s="359">
        <f t="shared" si="68"/>
        <v>0</v>
      </c>
      <c r="S53" s="359">
        <f t="shared" si="69"/>
        <v>94</v>
      </c>
      <c r="T53" s="360">
        <f>SUM(U53:Y53)</f>
        <v>0</v>
      </c>
      <c r="U53" s="283"/>
      <c r="V53" s="283"/>
      <c r="W53" s="283"/>
      <c r="X53" s="283"/>
      <c r="Y53" s="283"/>
      <c r="Z53" s="360">
        <f>SUM(AA53:AE53)</f>
        <v>106</v>
      </c>
      <c r="AA53" s="283">
        <v>12</v>
      </c>
      <c r="AB53" s="283"/>
      <c r="AC53" s="283"/>
      <c r="AD53" s="283"/>
      <c r="AE53" s="283">
        <v>94</v>
      </c>
      <c r="AF53" s="360">
        <f>SUM(AG53:AK53)</f>
        <v>0</v>
      </c>
      <c r="AG53" s="283"/>
      <c r="AH53" s="283"/>
      <c r="AI53" s="283"/>
      <c r="AJ53" s="283"/>
      <c r="AK53" s="283"/>
      <c r="AL53" s="360">
        <f>SUM(AM53:AQ53)</f>
        <v>0</v>
      </c>
      <c r="AM53" s="283"/>
      <c r="AN53" s="283"/>
      <c r="AO53" s="283"/>
      <c r="AP53" s="283"/>
      <c r="AQ53" s="283"/>
      <c r="AR53" s="360">
        <f t="shared" si="71"/>
        <v>0</v>
      </c>
      <c r="AS53" s="283"/>
      <c r="AT53" s="283"/>
      <c r="AU53" s="283"/>
      <c r="AV53" s="283"/>
      <c r="AW53" s="283"/>
      <c r="AX53" s="283"/>
      <c r="AY53" s="283"/>
      <c r="AZ53" s="390"/>
      <c r="BA53" s="394" t="str">
        <f>'Учебный план (очная)'!CF72</f>
        <v>64-9</v>
      </c>
      <c r="BB53" s="351" t="s">
        <v>584</v>
      </c>
    </row>
    <row r="54" spans="1:54" s="277" customFormat="1" ht="25.5" customHeight="1">
      <c r="A54" s="399" t="str">
        <f>'Учебный план (очная)'!A73</f>
        <v>ВЧ.05</v>
      </c>
      <c r="B54" s="399" t="str">
        <f>'Учебный план (очная)'!B73</f>
        <v>Организация доступной среды для инвалидов на транспорте</v>
      </c>
      <c r="C54" s="460"/>
      <c r="D54" s="394"/>
      <c r="E54" s="394" t="s">
        <v>30</v>
      </c>
      <c r="F54" s="394"/>
      <c r="G54" s="394"/>
      <c r="H54" s="358"/>
      <c r="I54" s="283">
        <f>K54-M54</f>
        <v>0</v>
      </c>
      <c r="J54" s="358">
        <f>L54*$J$1</f>
        <v>14.4</v>
      </c>
      <c r="K54" s="283">
        <f>'Учебный план (очная)'!K73</f>
        <v>72</v>
      </c>
      <c r="L54" s="283">
        <f>'Учебный план (очная)'!L73</f>
        <v>48</v>
      </c>
      <c r="M54" s="359">
        <f t="shared" si="70"/>
        <v>72</v>
      </c>
      <c r="N54" s="359">
        <f t="shared" si="64"/>
        <v>12</v>
      </c>
      <c r="O54" s="359">
        <f t="shared" si="65"/>
        <v>12</v>
      </c>
      <c r="P54" s="359">
        <f t="shared" si="66"/>
        <v>0</v>
      </c>
      <c r="Q54" s="359">
        <f t="shared" si="67"/>
        <v>0</v>
      </c>
      <c r="R54" s="359">
        <f t="shared" si="68"/>
        <v>0</v>
      </c>
      <c r="S54" s="359">
        <f t="shared" si="69"/>
        <v>60</v>
      </c>
      <c r="T54" s="360"/>
      <c r="U54" s="283"/>
      <c r="V54" s="283"/>
      <c r="W54" s="283"/>
      <c r="X54" s="283"/>
      <c r="Y54" s="283"/>
      <c r="Z54" s="360"/>
      <c r="AA54" s="283"/>
      <c r="AB54" s="283"/>
      <c r="AC54" s="283"/>
      <c r="AD54" s="283"/>
      <c r="AE54" s="283"/>
      <c r="AF54" s="360"/>
      <c r="AG54" s="283">
        <v>12</v>
      </c>
      <c r="AH54" s="283"/>
      <c r="AI54" s="283"/>
      <c r="AJ54" s="283"/>
      <c r="AK54" s="283">
        <v>60</v>
      </c>
      <c r="AL54" s="360"/>
      <c r="AM54" s="283"/>
      <c r="AN54" s="283"/>
      <c r="AO54" s="283"/>
      <c r="AP54" s="283"/>
      <c r="AQ54" s="283"/>
      <c r="AR54" s="360"/>
      <c r="AS54" s="283"/>
      <c r="AT54" s="283"/>
      <c r="AU54" s="283"/>
      <c r="AV54" s="283"/>
      <c r="AW54" s="283"/>
      <c r="AX54" s="283"/>
      <c r="AY54" s="283"/>
      <c r="AZ54" s="390"/>
      <c r="BA54" s="394" t="str">
        <f>'Учебный план (очная)'!CF73</f>
        <v>64-8</v>
      </c>
      <c r="BB54" s="393" t="s">
        <v>500</v>
      </c>
    </row>
    <row r="55" spans="1:54" s="277" customFormat="1" ht="25.5" customHeight="1">
      <c r="A55" s="399" t="str">
        <f>'Учебный план (очная)'!A74</f>
        <v>ВЧ.06</v>
      </c>
      <c r="B55" s="399" t="str">
        <f>'Учебный план (очная)'!B74</f>
        <v>Информационные технологии в профессиональной деятельности</v>
      </c>
      <c r="C55" s="460"/>
      <c r="D55" s="394"/>
      <c r="E55" s="394" t="s">
        <v>30</v>
      </c>
      <c r="F55" s="394"/>
      <c r="G55" s="394"/>
      <c r="H55" s="358"/>
      <c r="I55" s="283">
        <f t="shared" si="62"/>
        <v>0</v>
      </c>
      <c r="J55" s="358">
        <f t="shared" si="63"/>
        <v>20.4</v>
      </c>
      <c r="K55" s="283">
        <f>'Учебный план (очная)'!K74</f>
        <v>106</v>
      </c>
      <c r="L55" s="283">
        <f>'Учебный план (очная)'!L74</f>
        <v>68</v>
      </c>
      <c r="M55" s="359">
        <f t="shared" si="70"/>
        <v>106</v>
      </c>
      <c r="N55" s="359">
        <f t="shared" si="64"/>
        <v>12</v>
      </c>
      <c r="O55" s="359">
        <f t="shared" si="65"/>
        <v>12</v>
      </c>
      <c r="P55" s="359">
        <f t="shared" si="66"/>
        <v>0</v>
      </c>
      <c r="Q55" s="359">
        <f t="shared" si="67"/>
        <v>0</v>
      </c>
      <c r="R55" s="359">
        <f t="shared" si="68"/>
        <v>0</v>
      </c>
      <c r="S55" s="359">
        <f t="shared" si="69"/>
        <v>94</v>
      </c>
      <c r="T55" s="360">
        <f>SUM(U55:Y55)</f>
        <v>0</v>
      </c>
      <c r="U55" s="283"/>
      <c r="V55" s="283"/>
      <c r="W55" s="283"/>
      <c r="X55" s="283"/>
      <c r="Y55" s="283"/>
      <c r="Z55" s="360">
        <f aca="true" t="shared" si="72" ref="Z55:Z60">SUM(AA55:AE55)</f>
        <v>0</v>
      </c>
      <c r="AA55" s="283"/>
      <c r="AB55" s="283"/>
      <c r="AC55" s="283"/>
      <c r="AD55" s="283"/>
      <c r="AE55" s="283"/>
      <c r="AF55" s="360">
        <f>SUM(AG55:AK55)</f>
        <v>106</v>
      </c>
      <c r="AG55" s="283">
        <v>12</v>
      </c>
      <c r="AH55" s="283"/>
      <c r="AI55" s="283"/>
      <c r="AJ55" s="283"/>
      <c r="AK55" s="283">
        <v>94</v>
      </c>
      <c r="AL55" s="360">
        <f>SUM(AM55:AQ55)</f>
        <v>0</v>
      </c>
      <c r="AM55" s="283"/>
      <c r="AN55" s="283"/>
      <c r="AO55" s="283"/>
      <c r="AP55" s="283"/>
      <c r="AQ55" s="283"/>
      <c r="AR55" s="360">
        <f t="shared" si="71"/>
        <v>0</v>
      </c>
      <c r="AS55" s="283"/>
      <c r="AT55" s="283"/>
      <c r="AU55" s="283"/>
      <c r="AV55" s="283"/>
      <c r="AW55" s="283"/>
      <c r="AX55" s="283"/>
      <c r="AY55" s="283"/>
      <c r="AZ55" s="390"/>
      <c r="BA55" s="394" t="str">
        <f>'Учебный план (очная)'!CF74</f>
        <v>64-9</v>
      </c>
      <c r="BB55" s="393" t="s">
        <v>332</v>
      </c>
    </row>
    <row r="56" spans="1:54" s="277" customFormat="1" ht="25.5" customHeight="1">
      <c r="A56" s="399" t="str">
        <f>'Учебный план (очная)'!A75</f>
        <v>ВЧ.07</v>
      </c>
      <c r="B56" s="399" t="str">
        <f>'Учебный план (очная)'!B75</f>
        <v>Коммерческая работа на транспорте</v>
      </c>
      <c r="C56" s="460"/>
      <c r="D56" s="394"/>
      <c r="E56" s="394" t="s">
        <v>30</v>
      </c>
      <c r="F56" s="394"/>
      <c r="G56" s="394"/>
      <c r="H56" s="394"/>
      <c r="I56" s="283">
        <f t="shared" si="62"/>
        <v>0</v>
      </c>
      <c r="J56" s="358">
        <f t="shared" si="63"/>
        <v>14.4</v>
      </c>
      <c r="K56" s="283">
        <f>'Учебный план (очная)'!K75</f>
        <v>72</v>
      </c>
      <c r="L56" s="283">
        <f>'Учебный план (очная)'!L75</f>
        <v>48</v>
      </c>
      <c r="M56" s="359">
        <f t="shared" si="70"/>
        <v>72</v>
      </c>
      <c r="N56" s="359">
        <f t="shared" si="64"/>
        <v>12</v>
      </c>
      <c r="O56" s="359">
        <f t="shared" si="65"/>
        <v>12</v>
      </c>
      <c r="P56" s="359">
        <f t="shared" si="66"/>
        <v>0</v>
      </c>
      <c r="Q56" s="359">
        <f t="shared" si="67"/>
        <v>0</v>
      </c>
      <c r="R56" s="359">
        <f t="shared" si="68"/>
        <v>0</v>
      </c>
      <c r="S56" s="359">
        <f t="shared" si="69"/>
        <v>60</v>
      </c>
      <c r="T56" s="360">
        <f>SUM(U56:Y56)</f>
        <v>0</v>
      </c>
      <c r="U56" s="283"/>
      <c r="V56" s="283"/>
      <c r="W56" s="283"/>
      <c r="X56" s="283"/>
      <c r="Y56" s="283"/>
      <c r="Z56" s="360">
        <f t="shared" si="72"/>
        <v>0</v>
      </c>
      <c r="AA56" s="283"/>
      <c r="AB56" s="283"/>
      <c r="AC56" s="283"/>
      <c r="AD56" s="283"/>
      <c r="AE56" s="283"/>
      <c r="AF56" s="360">
        <f>SUM(AG56:AK56)</f>
        <v>72</v>
      </c>
      <c r="AG56" s="283">
        <v>12</v>
      </c>
      <c r="AH56" s="283"/>
      <c r="AI56" s="283"/>
      <c r="AJ56" s="283"/>
      <c r="AK56" s="283">
        <v>60</v>
      </c>
      <c r="AL56" s="360">
        <f>SUM(AM56:AQ56)</f>
        <v>0</v>
      </c>
      <c r="AM56" s="283"/>
      <c r="AN56" s="283"/>
      <c r="AO56" s="283"/>
      <c r="AP56" s="283"/>
      <c r="AQ56" s="283"/>
      <c r="AR56" s="360">
        <f t="shared" si="71"/>
        <v>0</v>
      </c>
      <c r="AS56" s="283"/>
      <c r="AT56" s="283"/>
      <c r="AU56" s="283"/>
      <c r="AV56" s="283"/>
      <c r="AW56" s="283"/>
      <c r="AX56" s="283"/>
      <c r="AY56" s="283"/>
      <c r="AZ56" s="390"/>
      <c r="BA56" s="394" t="str">
        <f>'Учебный план (очная)'!CF75</f>
        <v>64-9</v>
      </c>
      <c r="BB56" s="393" t="s">
        <v>407</v>
      </c>
    </row>
    <row r="57" spans="1:54" s="277" customFormat="1" ht="25.5" customHeight="1">
      <c r="A57" s="399" t="str">
        <f>'Учебный план (очная)'!A76</f>
        <v>ВЧ.08</v>
      </c>
      <c r="B57" s="399" t="str">
        <f>'Учебный план (очная)'!B76</f>
        <v>Страхование и риски</v>
      </c>
      <c r="C57" s="460"/>
      <c r="D57" s="394"/>
      <c r="E57" s="394" t="s">
        <v>30</v>
      </c>
      <c r="F57" s="394"/>
      <c r="G57" s="394"/>
      <c r="H57" s="483" t="s">
        <v>30</v>
      </c>
      <c r="I57" s="283">
        <f t="shared" si="62"/>
        <v>-6</v>
      </c>
      <c r="J57" s="358">
        <f t="shared" si="63"/>
        <v>39.9</v>
      </c>
      <c r="K57" s="283">
        <f>'Учебный план (очная)'!K76</f>
        <v>201</v>
      </c>
      <c r="L57" s="283">
        <f>'Учебный план (очная)'!L76</f>
        <v>133</v>
      </c>
      <c r="M57" s="359">
        <f t="shared" si="70"/>
        <v>207</v>
      </c>
      <c r="N57" s="359">
        <f t="shared" si="64"/>
        <v>16</v>
      </c>
      <c r="O57" s="359">
        <f t="shared" si="65"/>
        <v>16</v>
      </c>
      <c r="P57" s="359">
        <f t="shared" si="66"/>
        <v>0</v>
      </c>
      <c r="Q57" s="359">
        <f t="shared" si="67"/>
        <v>0</v>
      </c>
      <c r="R57" s="359">
        <f t="shared" si="68"/>
        <v>0</v>
      </c>
      <c r="S57" s="359">
        <f t="shared" si="69"/>
        <v>191</v>
      </c>
      <c r="T57" s="360">
        <f>SUM(U57:Y57)</f>
        <v>0</v>
      </c>
      <c r="U57" s="283"/>
      <c r="V57" s="283"/>
      <c r="W57" s="283"/>
      <c r="X57" s="283"/>
      <c r="Y57" s="283"/>
      <c r="Z57" s="360">
        <f t="shared" si="72"/>
        <v>0</v>
      </c>
      <c r="AA57" s="283"/>
      <c r="AB57" s="283"/>
      <c r="AC57" s="283"/>
      <c r="AD57" s="283"/>
      <c r="AE57" s="283"/>
      <c r="AF57" s="360">
        <f>SUM(AG57:AK57)</f>
        <v>207</v>
      </c>
      <c r="AG57" s="283">
        <v>16</v>
      </c>
      <c r="AH57" s="283"/>
      <c r="AI57" s="283"/>
      <c r="AJ57" s="283"/>
      <c r="AK57" s="283">
        <v>191</v>
      </c>
      <c r="AL57" s="360">
        <f>SUM(AM57:AQ57)</f>
        <v>0</v>
      </c>
      <c r="AM57" s="283"/>
      <c r="AN57" s="283"/>
      <c r="AO57" s="283"/>
      <c r="AP57" s="283"/>
      <c r="AQ57" s="283"/>
      <c r="AR57" s="360">
        <f t="shared" si="71"/>
        <v>0</v>
      </c>
      <c r="AS57" s="283"/>
      <c r="AT57" s="283"/>
      <c r="AU57" s="283"/>
      <c r="AV57" s="283"/>
      <c r="AW57" s="283"/>
      <c r="AX57" s="283"/>
      <c r="AY57" s="283"/>
      <c r="AZ57" s="390"/>
      <c r="BA57" s="394" t="str">
        <f>'Учебный план (очная)'!CF76</f>
        <v>64-9</v>
      </c>
      <c r="BB57" s="393" t="s">
        <v>407</v>
      </c>
    </row>
    <row r="58" spans="1:54" s="277" customFormat="1" ht="25.5" customHeight="1">
      <c r="A58" s="399" t="str">
        <f>'Учебный план (очная)'!A77</f>
        <v>ВЧ.09</v>
      </c>
      <c r="B58" s="399" t="str">
        <f>'Учебный план (очная)'!B77</f>
        <v>Экономика и управление на водном транспорте</v>
      </c>
      <c r="C58" s="460"/>
      <c r="D58" s="394"/>
      <c r="E58" s="394" t="s">
        <v>40</v>
      </c>
      <c r="F58" s="394"/>
      <c r="G58" s="394" t="s">
        <v>40</v>
      </c>
      <c r="H58" s="482" t="s">
        <v>30</v>
      </c>
      <c r="I58" s="283">
        <f t="shared" si="62"/>
        <v>0</v>
      </c>
      <c r="J58" s="358">
        <f t="shared" si="63"/>
        <v>36.9</v>
      </c>
      <c r="K58" s="283">
        <f>'Учебный план (очная)'!K77</f>
        <v>183</v>
      </c>
      <c r="L58" s="283">
        <f>'Учебный план (очная)'!L77</f>
        <v>123</v>
      </c>
      <c r="M58" s="359">
        <f t="shared" si="70"/>
        <v>183</v>
      </c>
      <c r="N58" s="359">
        <f t="shared" si="64"/>
        <v>32</v>
      </c>
      <c r="O58" s="359">
        <f t="shared" si="65"/>
        <v>32</v>
      </c>
      <c r="P58" s="359">
        <f t="shared" si="66"/>
        <v>0</v>
      </c>
      <c r="Q58" s="359">
        <f t="shared" si="67"/>
        <v>0</v>
      </c>
      <c r="R58" s="359">
        <f t="shared" si="68"/>
        <v>0</v>
      </c>
      <c r="S58" s="359">
        <f t="shared" si="69"/>
        <v>151</v>
      </c>
      <c r="T58" s="360">
        <f>SUM(U58:Y58)</f>
        <v>0</v>
      </c>
      <c r="U58" s="283"/>
      <c r="V58" s="283"/>
      <c r="W58" s="283"/>
      <c r="X58" s="283"/>
      <c r="Y58" s="283"/>
      <c r="Z58" s="360">
        <f t="shared" si="72"/>
        <v>0</v>
      </c>
      <c r="AA58" s="283"/>
      <c r="AB58" s="283"/>
      <c r="AC58" s="283"/>
      <c r="AD58" s="283"/>
      <c r="AE58" s="283"/>
      <c r="AF58" s="360">
        <f>SUM(AG58:AK58)</f>
        <v>92</v>
      </c>
      <c r="AG58" s="283">
        <v>8</v>
      </c>
      <c r="AH58" s="283"/>
      <c r="AI58" s="283"/>
      <c r="AJ58" s="283"/>
      <c r="AK58" s="283">
        <v>84</v>
      </c>
      <c r="AL58" s="360">
        <f>SUM(AM58:AQ58)</f>
        <v>91</v>
      </c>
      <c r="AM58" s="368">
        <v>24</v>
      </c>
      <c r="AN58" s="283"/>
      <c r="AO58" s="283"/>
      <c r="AP58" s="283"/>
      <c r="AQ58" s="283">
        <v>67</v>
      </c>
      <c r="AR58" s="360">
        <f t="shared" si="71"/>
        <v>0</v>
      </c>
      <c r="AS58" s="283"/>
      <c r="AT58" s="283"/>
      <c r="AU58" s="283"/>
      <c r="AV58" s="283"/>
      <c r="AW58" s="283"/>
      <c r="AX58" s="283"/>
      <c r="AY58" s="283"/>
      <c r="AZ58" s="390"/>
      <c r="BA58" s="394" t="str">
        <f>'Учебный план (очная)'!CF77</f>
        <v>64-8</v>
      </c>
      <c r="BB58" s="351" t="s">
        <v>581</v>
      </c>
    </row>
    <row r="59" spans="1:54" s="277" customFormat="1" ht="25.5" customHeight="1">
      <c r="A59" s="399" t="str">
        <f>'Учебный план (очная)'!A78</f>
        <v>ВЧ.10</v>
      </c>
      <c r="B59" s="399" t="str">
        <f>'Учебный план (очная)'!B78</f>
        <v>Бортпроводник</v>
      </c>
      <c r="C59" s="460"/>
      <c r="D59" s="394" t="s">
        <v>31</v>
      </c>
      <c r="E59" s="394"/>
      <c r="F59" s="394"/>
      <c r="G59" s="394"/>
      <c r="H59" s="358"/>
      <c r="I59" s="283">
        <f>K59-M59</f>
        <v>0</v>
      </c>
      <c r="J59" s="358">
        <f>L59*$J$1</f>
        <v>28.5</v>
      </c>
      <c r="K59" s="283">
        <f>'Учебный план (очная)'!K78</f>
        <v>142</v>
      </c>
      <c r="L59" s="283">
        <f>'Учебный план (очная)'!L78</f>
        <v>95</v>
      </c>
      <c r="M59" s="359">
        <f t="shared" si="70"/>
        <v>142</v>
      </c>
      <c r="N59" s="359">
        <f t="shared" si="64"/>
        <v>16</v>
      </c>
      <c r="O59" s="359">
        <f t="shared" si="65"/>
        <v>16</v>
      </c>
      <c r="P59" s="359">
        <f t="shared" si="66"/>
        <v>0</v>
      </c>
      <c r="Q59" s="359">
        <f t="shared" si="67"/>
        <v>0</v>
      </c>
      <c r="R59" s="359">
        <f t="shared" si="68"/>
        <v>0</v>
      </c>
      <c r="S59" s="359">
        <f t="shared" si="69"/>
        <v>126</v>
      </c>
      <c r="T59" s="360"/>
      <c r="U59" s="283"/>
      <c r="V59" s="283"/>
      <c r="W59" s="283"/>
      <c r="X59" s="283"/>
      <c r="Y59" s="283"/>
      <c r="Z59" s="360">
        <f t="shared" si="72"/>
        <v>142</v>
      </c>
      <c r="AA59" s="283">
        <v>16</v>
      </c>
      <c r="AB59" s="283"/>
      <c r="AC59" s="283"/>
      <c r="AD59" s="283"/>
      <c r="AE59" s="283">
        <v>126</v>
      </c>
      <c r="AF59" s="360"/>
      <c r="AG59" s="283"/>
      <c r="AH59" s="283"/>
      <c r="AI59" s="283"/>
      <c r="AJ59" s="283"/>
      <c r="AK59" s="283"/>
      <c r="AL59" s="360"/>
      <c r="AM59" s="368"/>
      <c r="AN59" s="283"/>
      <c r="AO59" s="283"/>
      <c r="AP59" s="283"/>
      <c r="AQ59" s="283"/>
      <c r="AR59" s="360"/>
      <c r="AS59" s="283"/>
      <c r="AT59" s="283"/>
      <c r="AU59" s="283"/>
      <c r="AV59" s="283"/>
      <c r="AW59" s="283"/>
      <c r="AX59" s="283"/>
      <c r="AY59" s="283"/>
      <c r="AZ59" s="390"/>
      <c r="BA59" s="394" t="str">
        <f>'Учебный план (очная)'!CF78</f>
        <v>64-9</v>
      </c>
      <c r="BB59" s="351" t="s">
        <v>585</v>
      </c>
    </row>
    <row r="60" spans="1:54" s="245" customFormat="1" ht="25.5" customHeight="1">
      <c r="A60" s="461" t="s">
        <v>552</v>
      </c>
      <c r="B60" s="462" t="s">
        <v>5</v>
      </c>
      <c r="C60" s="462"/>
      <c r="D60" s="457"/>
      <c r="E60" s="457"/>
      <c r="F60" s="457" t="s">
        <v>31</v>
      </c>
      <c r="G60" s="457"/>
      <c r="H60" s="457"/>
      <c r="I60" s="463"/>
      <c r="J60" s="457"/>
      <c r="K60" s="435"/>
      <c r="L60" s="435"/>
      <c r="M60" s="385">
        <f>SUM(N60+S60)</f>
        <v>144</v>
      </c>
      <c r="N60" s="385">
        <f>SUM(O60:R60)</f>
        <v>144</v>
      </c>
      <c r="O60" s="385">
        <f t="shared" si="65"/>
        <v>0</v>
      </c>
      <c r="P60" s="385">
        <f t="shared" si="66"/>
        <v>0</v>
      </c>
      <c r="Q60" s="385">
        <f t="shared" si="67"/>
        <v>0</v>
      </c>
      <c r="R60" s="385">
        <f t="shared" si="68"/>
        <v>144</v>
      </c>
      <c r="S60" s="385">
        <f t="shared" si="69"/>
        <v>0</v>
      </c>
      <c r="T60" s="385">
        <f aca="true" t="shared" si="73" ref="T60:AC60">SUM(T62:T63)</f>
        <v>0</v>
      </c>
      <c r="U60" s="385">
        <f t="shared" si="73"/>
        <v>0</v>
      </c>
      <c r="V60" s="385">
        <f t="shared" si="73"/>
        <v>0</v>
      </c>
      <c r="W60" s="385">
        <f t="shared" si="73"/>
        <v>0</v>
      </c>
      <c r="X60" s="385">
        <f t="shared" si="73"/>
        <v>0</v>
      </c>
      <c r="Y60" s="385">
        <f t="shared" si="73"/>
        <v>0</v>
      </c>
      <c r="Z60" s="385">
        <f t="shared" si="72"/>
        <v>144</v>
      </c>
      <c r="AA60" s="385">
        <f t="shared" si="73"/>
        <v>0</v>
      </c>
      <c r="AB60" s="385">
        <f t="shared" si="73"/>
        <v>0</v>
      </c>
      <c r="AC60" s="385">
        <f t="shared" si="73"/>
        <v>0</v>
      </c>
      <c r="AD60" s="385">
        <v>144</v>
      </c>
      <c r="AE60" s="385"/>
      <c r="AF60" s="385"/>
      <c r="AG60" s="385">
        <f aca="true" t="shared" si="74" ref="AG60:AO60">SUM(AG62:AG63)</f>
        <v>0</v>
      </c>
      <c r="AH60" s="385">
        <f t="shared" si="74"/>
        <v>0</v>
      </c>
      <c r="AI60" s="385">
        <f t="shared" si="74"/>
        <v>0</v>
      </c>
      <c r="AJ60" s="385"/>
      <c r="AK60" s="385"/>
      <c r="AL60" s="385"/>
      <c r="AM60" s="385">
        <f t="shared" si="74"/>
        <v>0</v>
      </c>
      <c r="AN60" s="385">
        <f t="shared" si="74"/>
        <v>0</v>
      </c>
      <c r="AO60" s="385">
        <f t="shared" si="74"/>
        <v>0</v>
      </c>
      <c r="AP60" s="385"/>
      <c r="AQ60" s="385"/>
      <c r="AR60" s="385">
        <f>SUM(AS60:AY60)</f>
        <v>0</v>
      </c>
      <c r="AS60" s="385">
        <f>AS62</f>
        <v>0</v>
      </c>
      <c r="AT60" s="385">
        <f aca="true" t="shared" si="75" ref="AT60:AY61">SUM(AT62:AT63)</f>
        <v>0</v>
      </c>
      <c r="AU60" s="385">
        <f t="shared" si="75"/>
        <v>0</v>
      </c>
      <c r="AV60" s="385">
        <f t="shared" si="75"/>
        <v>0</v>
      </c>
      <c r="AW60" s="385">
        <f t="shared" si="75"/>
        <v>0</v>
      </c>
      <c r="AX60" s="385">
        <f t="shared" si="75"/>
        <v>0</v>
      </c>
      <c r="AY60" s="385">
        <f t="shared" si="75"/>
        <v>0</v>
      </c>
      <c r="AZ60" s="368"/>
      <c r="BA60" s="457" t="str">
        <f>'Учебный план (очная)'!CF78</f>
        <v>64-9</v>
      </c>
      <c r="BB60" s="449" t="str">
        <f>'Учебный план (очная)'!CG78</f>
        <v>ОК 7, ПК 1.1-1.3</v>
      </c>
    </row>
    <row r="61" spans="1:54" s="245" customFormat="1" ht="25.5" customHeight="1">
      <c r="A61" s="461" t="s">
        <v>417</v>
      </c>
      <c r="B61" s="462" t="s">
        <v>113</v>
      </c>
      <c r="C61" s="462"/>
      <c r="D61" s="457"/>
      <c r="E61" s="471" t="s">
        <v>501</v>
      </c>
      <c r="F61" s="457"/>
      <c r="G61" s="457"/>
      <c r="H61" s="457"/>
      <c r="I61" s="463"/>
      <c r="J61" s="457"/>
      <c r="K61" s="435"/>
      <c r="L61" s="435"/>
      <c r="M61" s="385">
        <f aca="true" t="shared" si="76" ref="M61:R61">SUM(M62:M63)</f>
        <v>900</v>
      </c>
      <c r="N61" s="385">
        <f>SUM(N62:N63)</f>
        <v>900</v>
      </c>
      <c r="O61" s="385">
        <f t="shared" si="76"/>
        <v>0</v>
      </c>
      <c r="P61" s="385">
        <f t="shared" si="76"/>
        <v>0</v>
      </c>
      <c r="Q61" s="385">
        <f t="shared" si="76"/>
        <v>0</v>
      </c>
      <c r="R61" s="385">
        <f t="shared" si="76"/>
        <v>900</v>
      </c>
      <c r="S61" s="385">
        <f>SUM(S62:S63)</f>
        <v>0</v>
      </c>
      <c r="T61" s="385">
        <f aca="true" t="shared" si="77" ref="T61:AP61">SUM(T62:T64)</f>
        <v>0</v>
      </c>
      <c r="U61" s="385">
        <f t="shared" si="77"/>
        <v>0</v>
      </c>
      <c r="V61" s="385">
        <f t="shared" si="77"/>
        <v>0</v>
      </c>
      <c r="W61" s="385">
        <f t="shared" si="77"/>
        <v>0</v>
      </c>
      <c r="X61" s="385">
        <f t="shared" si="77"/>
        <v>0</v>
      </c>
      <c r="Y61" s="385">
        <f t="shared" si="77"/>
        <v>0</v>
      </c>
      <c r="Z61" s="385">
        <f t="shared" si="77"/>
        <v>0</v>
      </c>
      <c r="AA61" s="385">
        <f t="shared" si="77"/>
        <v>0</v>
      </c>
      <c r="AB61" s="385">
        <f t="shared" si="77"/>
        <v>0</v>
      </c>
      <c r="AC61" s="385">
        <f t="shared" si="77"/>
        <v>0</v>
      </c>
      <c r="AD61" s="385">
        <f t="shared" si="77"/>
        <v>0</v>
      </c>
      <c r="AE61" s="385">
        <f t="shared" si="77"/>
        <v>0</v>
      </c>
      <c r="AF61" s="385">
        <f t="shared" si="77"/>
        <v>648</v>
      </c>
      <c r="AG61" s="385">
        <f t="shared" si="77"/>
        <v>0</v>
      </c>
      <c r="AH61" s="385">
        <f t="shared" si="77"/>
        <v>0</v>
      </c>
      <c r="AI61" s="385">
        <f t="shared" si="77"/>
        <v>0</v>
      </c>
      <c r="AJ61" s="385">
        <f t="shared" si="77"/>
        <v>648</v>
      </c>
      <c r="AK61" s="385">
        <f t="shared" si="77"/>
        <v>0</v>
      </c>
      <c r="AL61" s="385">
        <f>SUM(AL62:AL63)</f>
        <v>252</v>
      </c>
      <c r="AM61" s="385">
        <f t="shared" si="77"/>
        <v>0</v>
      </c>
      <c r="AN61" s="385">
        <f t="shared" si="77"/>
        <v>0</v>
      </c>
      <c r="AO61" s="385">
        <f t="shared" si="77"/>
        <v>0</v>
      </c>
      <c r="AP61" s="385">
        <f t="shared" si="77"/>
        <v>252</v>
      </c>
      <c r="AQ61" s="385">
        <f>SUM(AQ62:AZ63)</f>
        <v>0</v>
      </c>
      <c r="AR61" s="385">
        <f>SUM(AS61:AY61)</f>
        <v>0</v>
      </c>
      <c r="AS61" s="385">
        <f>AS63</f>
        <v>0</v>
      </c>
      <c r="AT61" s="385">
        <f t="shared" si="75"/>
        <v>0</v>
      </c>
      <c r="AU61" s="385">
        <f t="shared" si="75"/>
        <v>0</v>
      </c>
      <c r="AV61" s="385">
        <f t="shared" si="75"/>
        <v>0</v>
      </c>
      <c r="AW61" s="385">
        <f t="shared" si="75"/>
        <v>0</v>
      </c>
      <c r="AX61" s="385">
        <f t="shared" si="75"/>
        <v>0</v>
      </c>
      <c r="AY61" s="385">
        <f t="shared" si="75"/>
        <v>0</v>
      </c>
      <c r="AZ61" s="368"/>
      <c r="BA61" s="457" t="str">
        <f>'Учебный план (очная)'!CF82</f>
        <v>64-9</v>
      </c>
      <c r="BB61" s="449" t="str">
        <f>'Учебный план (очная)'!CG82</f>
        <v>ОК 1-9, ПК 1.1-1.3,2.1-2.3,  3.1-3.3</v>
      </c>
    </row>
    <row r="62" spans="1:54" ht="25.5" customHeight="1">
      <c r="A62" s="391" t="str">
        <f>'Учебный план (очная)'!A82</f>
        <v>ПП.01</v>
      </c>
      <c r="B62" s="391" t="str">
        <f>'Учебный план (очная)'!B82</f>
        <v>Производственная практика (по профилю специальности)</v>
      </c>
      <c r="C62" s="438"/>
      <c r="D62" s="464"/>
      <c r="E62" s="465">
        <v>3</v>
      </c>
      <c r="F62" s="464"/>
      <c r="G62" s="464"/>
      <c r="H62" s="464"/>
      <c r="I62" s="466"/>
      <c r="J62" s="438"/>
      <c r="K62" s="283"/>
      <c r="L62" s="283"/>
      <c r="M62" s="359">
        <f>SUM(N62+S62)</f>
        <v>756</v>
      </c>
      <c r="N62" s="359">
        <f>SUM(O62:R62)</f>
        <v>756</v>
      </c>
      <c r="O62" s="359">
        <f aca="true" t="shared" si="78" ref="O62:S63">U62+AA62+AG62+AM62</f>
        <v>0</v>
      </c>
      <c r="P62" s="359">
        <f t="shared" si="78"/>
        <v>0</v>
      </c>
      <c r="Q62" s="359">
        <f t="shared" si="78"/>
        <v>0</v>
      </c>
      <c r="R62" s="359">
        <f t="shared" si="78"/>
        <v>756</v>
      </c>
      <c r="S62" s="359">
        <f t="shared" si="78"/>
        <v>0</v>
      </c>
      <c r="T62" s="360">
        <f>SUM(U62:Y62)</f>
        <v>0</v>
      </c>
      <c r="U62" s="438"/>
      <c r="V62" s="438"/>
      <c r="W62" s="438"/>
      <c r="X62" s="438"/>
      <c r="Y62" s="438"/>
      <c r="Z62" s="360">
        <f>SUM(AA62:AE62)</f>
        <v>0</v>
      </c>
      <c r="AA62" s="438"/>
      <c r="AB62" s="438"/>
      <c r="AC62" s="438"/>
      <c r="AD62" s="438"/>
      <c r="AE62" s="438"/>
      <c r="AF62" s="360">
        <f>SUM(AG62:AK62)</f>
        <v>648</v>
      </c>
      <c r="AG62" s="438"/>
      <c r="AH62" s="438"/>
      <c r="AI62" s="438"/>
      <c r="AJ62" s="437">
        <v>648</v>
      </c>
      <c r="AK62" s="437"/>
      <c r="AL62" s="360">
        <f>SUM(AM62:AQ62)</f>
        <v>108</v>
      </c>
      <c r="AM62" s="438"/>
      <c r="AN62" s="438"/>
      <c r="AO62" s="438"/>
      <c r="AP62" s="437">
        <v>108</v>
      </c>
      <c r="AQ62" s="437"/>
      <c r="AR62" s="360">
        <f>SUM(AS62:AY62)</f>
        <v>0</v>
      </c>
      <c r="AS62" s="438"/>
      <c r="AT62" s="438"/>
      <c r="AU62" s="438"/>
      <c r="AV62" s="438"/>
      <c r="AW62" s="438"/>
      <c r="AX62" s="438"/>
      <c r="AY62" s="437"/>
      <c r="AZ62" s="467"/>
      <c r="BA62" s="358" t="str">
        <f>'Учебный план (очная)'!CF82</f>
        <v>64-9</v>
      </c>
      <c r="BB62" s="405" t="str">
        <f>'Учебный план (очная)'!CG82</f>
        <v>ОК 1-9, ПК 1.1-1.3,2.1-2.3,  3.1-3.3</v>
      </c>
    </row>
    <row r="63" spans="1:54" ht="25.5" customHeight="1">
      <c r="A63" s="391" t="str">
        <f>'Учебный план (очная)'!A83</f>
        <v>ПДП.01</v>
      </c>
      <c r="B63" s="391" t="str">
        <f>'Учебный план (очная)'!B83</f>
        <v>Преддипломная практика</v>
      </c>
      <c r="C63" s="438"/>
      <c r="D63" s="464"/>
      <c r="E63" s="465">
        <v>4</v>
      </c>
      <c r="F63" s="464"/>
      <c r="G63" s="464"/>
      <c r="H63" s="464"/>
      <c r="I63" s="466"/>
      <c r="J63" s="438"/>
      <c r="K63" s="283"/>
      <c r="L63" s="283">
        <f>'Учебный план (очная)'!L83</f>
        <v>144</v>
      </c>
      <c r="M63" s="359">
        <f>SUM(N63+S63)</f>
        <v>144</v>
      </c>
      <c r="N63" s="359">
        <f>SUM(O63:R63)</f>
        <v>144</v>
      </c>
      <c r="O63" s="359">
        <f t="shared" si="78"/>
        <v>0</v>
      </c>
      <c r="P63" s="359">
        <f t="shared" si="78"/>
        <v>0</v>
      </c>
      <c r="Q63" s="359">
        <f t="shared" si="78"/>
        <v>0</v>
      </c>
      <c r="R63" s="359">
        <f t="shared" si="78"/>
        <v>144</v>
      </c>
      <c r="S63" s="359">
        <f t="shared" si="78"/>
        <v>0</v>
      </c>
      <c r="T63" s="360">
        <f>SUM(U63:Y63)</f>
        <v>0</v>
      </c>
      <c r="U63" s="438"/>
      <c r="V63" s="438"/>
      <c r="W63" s="438"/>
      <c r="X63" s="438"/>
      <c r="Y63" s="438"/>
      <c r="Z63" s="360">
        <f>SUM(AA63:AE63)</f>
        <v>0</v>
      </c>
      <c r="AA63" s="438"/>
      <c r="AB63" s="438"/>
      <c r="AC63" s="438"/>
      <c r="AD63" s="438"/>
      <c r="AE63" s="438"/>
      <c r="AF63" s="360">
        <f>SUM(AG63:AK63)</f>
        <v>0</v>
      </c>
      <c r="AG63" s="438"/>
      <c r="AH63" s="438"/>
      <c r="AI63" s="438"/>
      <c r="AJ63" s="438"/>
      <c r="AK63" s="438"/>
      <c r="AL63" s="360">
        <f>SUM(AM63:AQ63)</f>
        <v>144</v>
      </c>
      <c r="AM63" s="438"/>
      <c r="AN63" s="438"/>
      <c r="AO63" s="438"/>
      <c r="AP63" s="437">
        <v>144</v>
      </c>
      <c r="AQ63" s="437"/>
      <c r="AR63" s="360">
        <f>SUM(AS63:AY63)</f>
        <v>0</v>
      </c>
      <c r="AS63" s="438"/>
      <c r="AT63" s="438"/>
      <c r="AU63" s="438"/>
      <c r="AV63" s="438"/>
      <c r="AW63" s="438"/>
      <c r="AX63" s="438"/>
      <c r="AY63" s="437"/>
      <c r="AZ63" s="467"/>
      <c r="BA63" s="358" t="str">
        <f>'Учебный план (очная)'!CF83</f>
        <v>64-9</v>
      </c>
      <c r="BB63" s="393" t="str">
        <f>'Учебный план (очная)'!CG83</f>
        <v>ОК 1-9, ПК 1.1-1.3,2.1-2.3,  3.1-3.3</v>
      </c>
    </row>
    <row r="64" spans="1:54" s="248" customFormat="1" ht="25.5" customHeight="1">
      <c r="A64" s="459" t="s">
        <v>165</v>
      </c>
      <c r="B64" s="538" t="s">
        <v>542</v>
      </c>
      <c r="C64" s="539"/>
      <c r="D64" s="539"/>
      <c r="E64" s="539"/>
      <c r="F64" s="539"/>
      <c r="G64" s="539"/>
      <c r="H64" s="540"/>
      <c r="I64" s="447"/>
      <c r="J64" s="439"/>
      <c r="K64" s="435">
        <f>'Учебный план (очная)'!K84</f>
        <v>324</v>
      </c>
      <c r="L64" s="435">
        <f>'Учебный план (очная)'!L84</f>
        <v>0</v>
      </c>
      <c r="M64" s="385">
        <f aca="true" t="shared" si="79" ref="M64:R64">M65+M66</f>
        <v>324</v>
      </c>
      <c r="N64" s="385">
        <f t="shared" si="79"/>
        <v>0</v>
      </c>
      <c r="O64" s="385">
        <f t="shared" si="79"/>
        <v>0</v>
      </c>
      <c r="P64" s="385">
        <f t="shared" si="79"/>
        <v>0</v>
      </c>
      <c r="Q64" s="385">
        <f t="shared" si="79"/>
        <v>0</v>
      </c>
      <c r="R64" s="385">
        <f t="shared" si="79"/>
        <v>0</v>
      </c>
      <c r="S64" s="385">
        <f>S65+S66</f>
        <v>324</v>
      </c>
      <c r="T64" s="448">
        <v>0</v>
      </c>
      <c r="U64" s="448">
        <v>0</v>
      </c>
      <c r="V64" s="448">
        <v>0</v>
      </c>
      <c r="W64" s="448">
        <v>0</v>
      </c>
      <c r="X64" s="448">
        <v>0</v>
      </c>
      <c r="Y64" s="448">
        <v>0</v>
      </c>
      <c r="Z64" s="448">
        <v>0</v>
      </c>
      <c r="AA64" s="448">
        <v>0</v>
      </c>
      <c r="AB64" s="448">
        <v>0</v>
      </c>
      <c r="AC64" s="448">
        <v>0</v>
      </c>
      <c r="AD64" s="448">
        <v>0</v>
      </c>
      <c r="AE64" s="448">
        <v>0</v>
      </c>
      <c r="AF64" s="448">
        <v>0</v>
      </c>
      <c r="AG64" s="448">
        <v>0</v>
      </c>
      <c r="AH64" s="448">
        <v>0</v>
      </c>
      <c r="AI64" s="448">
        <v>0</v>
      </c>
      <c r="AJ64" s="448">
        <v>0</v>
      </c>
      <c r="AK64" s="448">
        <v>0</v>
      </c>
      <c r="AL64" s="385">
        <f>SUM(AL65:AL66)</f>
        <v>324</v>
      </c>
      <c r="AM64" s="448">
        <f>AM66</f>
        <v>0</v>
      </c>
      <c r="AN64" s="448">
        <f>AN66</f>
        <v>0</v>
      </c>
      <c r="AO64" s="448">
        <f>AO66</f>
        <v>0</v>
      </c>
      <c r="AP64" s="448">
        <f>AP66</f>
        <v>0</v>
      </c>
      <c r="AQ64" s="385">
        <f>SUM(AQ65:AQ66)</f>
        <v>324</v>
      </c>
      <c r="AR64" s="448">
        <f>AR66</f>
        <v>0</v>
      </c>
      <c r="AS64" s="448">
        <f aca="true" t="shared" si="80" ref="AS64:AY64">AS66</f>
        <v>0</v>
      </c>
      <c r="AT64" s="448">
        <f t="shared" si="80"/>
        <v>0</v>
      </c>
      <c r="AU64" s="448">
        <f t="shared" si="80"/>
        <v>0</v>
      </c>
      <c r="AV64" s="448">
        <f t="shared" si="80"/>
        <v>0</v>
      </c>
      <c r="AW64" s="448">
        <f t="shared" si="80"/>
        <v>0</v>
      </c>
      <c r="AX64" s="448">
        <f t="shared" si="80"/>
        <v>0</v>
      </c>
      <c r="AY64" s="448">
        <f t="shared" si="80"/>
        <v>0</v>
      </c>
      <c r="AZ64" s="390"/>
      <c r="BA64" s="457">
        <f>'Учебный план (очная)'!CF84</f>
        <v>0</v>
      </c>
      <c r="BB64" s="449">
        <f>'Учебный план (очная)'!CG84</f>
        <v>0</v>
      </c>
    </row>
    <row r="65" spans="1:54" s="289" customFormat="1" ht="25.5" customHeight="1">
      <c r="A65" s="361" t="str">
        <f>'Учебный план (очная)'!A85</f>
        <v>ГИА.01</v>
      </c>
      <c r="B65" s="361" t="str">
        <f>'Учебный план (очная)'!B85</f>
        <v>Подготовка выпускной квалификационной работы</v>
      </c>
      <c r="C65" s="361"/>
      <c r="D65" s="394"/>
      <c r="E65" s="394"/>
      <c r="F65" s="394"/>
      <c r="G65" s="394"/>
      <c r="H65" s="394"/>
      <c r="I65" s="468"/>
      <c r="J65" s="394"/>
      <c r="K65" s="283">
        <v>216</v>
      </c>
      <c r="L65" s="283"/>
      <c r="M65" s="359">
        <f>SUM(N65+S65)</f>
        <v>216</v>
      </c>
      <c r="N65" s="469">
        <f>SUM(O65:R65)</f>
        <v>0</v>
      </c>
      <c r="O65" s="469">
        <f aca="true" t="shared" si="81" ref="O65:R66">U65+AA65+AG65+AM65</f>
        <v>0</v>
      </c>
      <c r="P65" s="469">
        <f t="shared" si="81"/>
        <v>0</v>
      </c>
      <c r="Q65" s="469">
        <f t="shared" si="81"/>
        <v>0</v>
      </c>
      <c r="R65" s="469">
        <f t="shared" si="81"/>
        <v>0</v>
      </c>
      <c r="S65" s="469">
        <f>Y65+AE65+AK65+AQ65+AY65</f>
        <v>216</v>
      </c>
      <c r="T65" s="360">
        <f>SUM(U65:Y65)</f>
        <v>0</v>
      </c>
      <c r="U65" s="438"/>
      <c r="V65" s="438"/>
      <c r="W65" s="438"/>
      <c r="X65" s="438"/>
      <c r="Y65" s="438"/>
      <c r="Z65" s="360">
        <f>SUM(AA65:AE65)</f>
        <v>0</v>
      </c>
      <c r="AA65" s="438"/>
      <c r="AB65" s="438"/>
      <c r="AC65" s="438"/>
      <c r="AD65" s="438"/>
      <c r="AE65" s="438"/>
      <c r="AF65" s="360">
        <f>SUM(AG65:AK65)</f>
        <v>0</v>
      </c>
      <c r="AG65" s="438"/>
      <c r="AH65" s="438"/>
      <c r="AI65" s="438"/>
      <c r="AJ65" s="438"/>
      <c r="AK65" s="438"/>
      <c r="AL65" s="470">
        <f>SUM(AM65:AQ65)</f>
        <v>216</v>
      </c>
      <c r="AM65" s="368"/>
      <c r="AN65" s="368"/>
      <c r="AO65" s="368"/>
      <c r="AP65" s="368"/>
      <c r="AQ65" s="368">
        <v>216</v>
      </c>
      <c r="AR65" s="470"/>
      <c r="AS65" s="368"/>
      <c r="AT65" s="368"/>
      <c r="AU65" s="368"/>
      <c r="AV65" s="368"/>
      <c r="AW65" s="368"/>
      <c r="AX65" s="368"/>
      <c r="AY65" s="368"/>
      <c r="AZ65" s="368"/>
      <c r="BA65" s="394" t="str">
        <f>'Учебный план (очная)'!CF85</f>
        <v>64-9</v>
      </c>
      <c r="BB65" s="394">
        <f>'Учебный план (очная)'!CG85</f>
        <v>0</v>
      </c>
    </row>
    <row r="66" spans="1:54" s="289" customFormat="1" ht="25.5" customHeight="1">
      <c r="A66" s="361" t="str">
        <f>'Учебный план (очная)'!A86</f>
        <v>ГИА.02</v>
      </c>
      <c r="B66" s="361" t="str">
        <f>'Учебный план (очная)'!B86</f>
        <v>Защита выпускной квалификационной работы</v>
      </c>
      <c r="C66" s="361"/>
      <c r="D66" s="394"/>
      <c r="E66" s="394"/>
      <c r="F66" s="394"/>
      <c r="G66" s="394"/>
      <c r="H66" s="394"/>
      <c r="I66" s="468"/>
      <c r="J66" s="394"/>
      <c r="K66" s="283">
        <f>'Учебный план (очная)'!K86</f>
        <v>108</v>
      </c>
      <c r="L66" s="283">
        <f>'Учебный план (очная)'!L86</f>
        <v>0</v>
      </c>
      <c r="M66" s="359">
        <f>SUM(N66+S66)</f>
        <v>108</v>
      </c>
      <c r="N66" s="469">
        <f>SUM(O66:R66)</f>
        <v>0</v>
      </c>
      <c r="O66" s="469">
        <f t="shared" si="81"/>
        <v>0</v>
      </c>
      <c r="P66" s="469">
        <f t="shared" si="81"/>
        <v>0</v>
      </c>
      <c r="Q66" s="469">
        <f t="shared" si="81"/>
        <v>0</v>
      </c>
      <c r="R66" s="469">
        <f t="shared" si="81"/>
        <v>0</v>
      </c>
      <c r="S66" s="469">
        <f>Y66+AE66+AK66+AQ66+AY66</f>
        <v>108</v>
      </c>
      <c r="T66" s="360">
        <f>SUM(U66:Y66)</f>
        <v>0</v>
      </c>
      <c r="U66" s="438"/>
      <c r="V66" s="438"/>
      <c r="W66" s="438"/>
      <c r="X66" s="438"/>
      <c r="Y66" s="438"/>
      <c r="Z66" s="360">
        <f>SUM(AA66:AE66)</f>
        <v>0</v>
      </c>
      <c r="AA66" s="438"/>
      <c r="AB66" s="438"/>
      <c r="AC66" s="438"/>
      <c r="AD66" s="438"/>
      <c r="AE66" s="438"/>
      <c r="AF66" s="360">
        <f>SUM(AG66:AK66)</f>
        <v>0</v>
      </c>
      <c r="AG66" s="438"/>
      <c r="AH66" s="438"/>
      <c r="AI66" s="438"/>
      <c r="AJ66" s="438"/>
      <c r="AK66" s="438"/>
      <c r="AL66" s="470">
        <f>SUM(AM66:AQ66)</f>
        <v>108</v>
      </c>
      <c r="AM66" s="368"/>
      <c r="AN66" s="368"/>
      <c r="AO66" s="368"/>
      <c r="AP66" s="368"/>
      <c r="AQ66" s="368">
        <v>108</v>
      </c>
      <c r="AR66" s="470">
        <f>SUM(AS66:AY66)</f>
        <v>0</v>
      </c>
      <c r="AS66" s="368"/>
      <c r="AT66" s="368"/>
      <c r="AU66" s="368"/>
      <c r="AV66" s="368"/>
      <c r="AW66" s="368"/>
      <c r="AX66" s="368"/>
      <c r="AY66" s="368"/>
      <c r="AZ66" s="368"/>
      <c r="BA66" s="394" t="str">
        <f>'Учебный план (очная)'!CF86</f>
        <v>64-9</v>
      </c>
      <c r="BB66" s="394">
        <f>'Учебный план (очная)'!CG86</f>
        <v>0</v>
      </c>
    </row>
    <row r="67" spans="1:54" s="248" customFormat="1" ht="12.75" hidden="1">
      <c r="A67" s="287"/>
      <c r="B67" s="372" t="s">
        <v>149</v>
      </c>
      <c r="C67" s="372"/>
      <c r="D67" s="250"/>
      <c r="E67" s="250"/>
      <c r="F67" s="250"/>
      <c r="G67" s="250"/>
      <c r="H67" s="250"/>
      <c r="I67" s="345"/>
      <c r="J67" s="284"/>
      <c r="K67" s="285">
        <v>0</v>
      </c>
      <c r="L67" s="285" t="str">
        <f>'[1]Нормы'!E21</f>
        <v>-</v>
      </c>
      <c r="M67" s="285"/>
      <c r="N67" s="285"/>
      <c r="O67" s="285"/>
      <c r="P67" s="285"/>
      <c r="Q67" s="285"/>
      <c r="R67" s="285"/>
      <c r="S67" s="285"/>
      <c r="T67" s="285"/>
      <c r="U67" s="285"/>
      <c r="V67" s="285"/>
      <c r="W67" s="285"/>
      <c r="X67" s="285"/>
      <c r="Y67" s="285"/>
      <c r="Z67" s="285"/>
      <c r="AA67" s="285"/>
      <c r="AB67" s="285"/>
      <c r="AC67" s="285"/>
      <c r="AD67" s="285"/>
      <c r="AE67" s="285"/>
      <c r="AF67" s="285"/>
      <c r="AG67" s="285"/>
      <c r="AH67" s="285"/>
      <c r="AI67" s="285"/>
      <c r="AJ67" s="285"/>
      <c r="AK67" s="285"/>
      <c r="AL67" s="285"/>
      <c r="AM67" s="285"/>
      <c r="AN67" s="285"/>
      <c r="AO67" s="285"/>
      <c r="AP67" s="285"/>
      <c r="AQ67" s="285"/>
      <c r="AR67" s="285"/>
      <c r="AS67" s="285"/>
      <c r="AT67" s="285"/>
      <c r="AU67" s="285"/>
      <c r="AV67" s="285"/>
      <c r="AW67" s="285"/>
      <c r="AX67" s="285"/>
      <c r="AY67" s="285"/>
      <c r="AZ67" s="282"/>
      <c r="BA67" s="250">
        <f>'Учебный план (очная)'!CF87</f>
        <v>0</v>
      </c>
      <c r="BB67" s="250">
        <f>'Учебный план (очная)'!CG87</f>
        <v>0</v>
      </c>
    </row>
    <row r="68" spans="1:52" ht="12.75" hidden="1">
      <c r="A68" s="278"/>
      <c r="B68" s="279"/>
      <c r="C68" s="279"/>
      <c r="D68" s="280"/>
      <c r="E68" s="280"/>
      <c r="F68" s="280"/>
      <c r="G68" s="280"/>
      <c r="H68" s="280"/>
      <c r="I68" s="346"/>
      <c r="J68" s="280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  <c r="V68" s="281"/>
      <c r="W68" s="281"/>
      <c r="X68" s="281"/>
      <c r="Y68" s="281"/>
      <c r="Z68" s="281"/>
      <c r="AA68" s="281"/>
      <c r="AB68" s="281"/>
      <c r="AC68" s="281"/>
      <c r="AD68" s="281"/>
      <c r="AE68" s="281"/>
      <c r="AF68" s="281"/>
      <c r="AG68" s="281"/>
      <c r="AH68" s="281"/>
      <c r="AI68" s="281"/>
      <c r="AJ68" s="281"/>
      <c r="AK68" s="281"/>
      <c r="AL68" s="281"/>
      <c r="AM68" s="281"/>
      <c r="AN68" s="281"/>
      <c r="AO68" s="281"/>
      <c r="AP68" s="281"/>
      <c r="AQ68" s="281"/>
      <c r="AR68" s="281"/>
      <c r="AS68" s="281"/>
      <c r="AT68" s="281"/>
      <c r="AU68" s="281"/>
      <c r="AV68" s="281"/>
      <c r="AW68" s="281"/>
      <c r="AX68" s="281"/>
      <c r="AY68" s="281"/>
      <c r="AZ68" s="251"/>
    </row>
    <row r="69" spans="1:52" ht="12.75" hidden="1">
      <c r="A69" s="607"/>
      <c r="B69" s="608"/>
      <c r="C69" s="608"/>
      <c r="D69" s="71"/>
      <c r="E69" s="252"/>
      <c r="F69" s="71"/>
      <c r="G69" s="71"/>
      <c r="H69" s="71"/>
      <c r="I69" s="310"/>
      <c r="J69" s="71"/>
      <c r="K69" s="72"/>
      <c r="L69" s="72"/>
      <c r="M69" s="71"/>
      <c r="N69" s="71"/>
      <c r="O69" s="71"/>
      <c r="P69" s="71"/>
      <c r="Q69" s="71"/>
      <c r="R69" s="71"/>
      <c r="S69" s="71"/>
      <c r="T69" s="72"/>
      <c r="U69" s="253"/>
      <c r="V69" s="253"/>
      <c r="W69" s="253"/>
      <c r="X69" s="253"/>
      <c r="Y69" s="253"/>
      <c r="Z69" s="72"/>
      <c r="AA69" s="253"/>
      <c r="AB69" s="253"/>
      <c r="AC69" s="253"/>
      <c r="AD69" s="253"/>
      <c r="AE69" s="253"/>
      <c r="AF69" s="72"/>
      <c r="AG69" s="253"/>
      <c r="AH69" s="253"/>
      <c r="AI69" s="253"/>
      <c r="AJ69" s="253"/>
      <c r="AK69" s="253"/>
      <c r="AL69" s="72"/>
      <c r="AM69" s="253"/>
      <c r="AN69" s="253"/>
      <c r="AO69" s="253"/>
      <c r="AP69" s="253"/>
      <c r="AQ69" s="253"/>
      <c r="AR69" s="72"/>
      <c r="AS69" s="253"/>
      <c r="AT69" s="253"/>
      <c r="AU69" s="253"/>
      <c r="AV69" s="253"/>
      <c r="AW69" s="253"/>
      <c r="AX69" s="253"/>
      <c r="AY69" s="253"/>
      <c r="AZ69" s="254"/>
    </row>
    <row r="70" spans="1:52" ht="12.75" hidden="1">
      <c r="A70" s="594"/>
      <c r="B70" s="595"/>
      <c r="C70" s="595"/>
      <c r="D70" s="73"/>
      <c r="E70" s="255"/>
      <c r="F70" s="73"/>
      <c r="G70" s="73"/>
      <c r="H70" s="73"/>
      <c r="I70" s="311"/>
      <c r="J70" s="73"/>
      <c r="K70" s="74"/>
      <c r="L70" s="74"/>
      <c r="M70" s="73"/>
      <c r="N70" s="73"/>
      <c r="O70" s="73"/>
      <c r="P70" s="73"/>
      <c r="Q70" s="73"/>
      <c r="R70" s="73"/>
      <c r="S70" s="73"/>
      <c r="T70" s="74"/>
      <c r="U70" s="256"/>
      <c r="V70" s="256"/>
      <c r="W70" s="256"/>
      <c r="X70" s="256"/>
      <c r="Y70" s="256"/>
      <c r="Z70" s="74"/>
      <c r="AA70" s="256"/>
      <c r="AB70" s="256"/>
      <c r="AC70" s="256"/>
      <c r="AD70" s="256"/>
      <c r="AE70" s="256"/>
      <c r="AF70" s="74"/>
      <c r="AG70" s="256"/>
      <c r="AH70" s="256"/>
      <c r="AI70" s="256"/>
      <c r="AJ70" s="256"/>
      <c r="AK70" s="256"/>
      <c r="AL70" s="74"/>
      <c r="AM70" s="256"/>
      <c r="AN70" s="256"/>
      <c r="AO70" s="256"/>
      <c r="AP70" s="256"/>
      <c r="AQ70" s="256"/>
      <c r="AR70" s="74"/>
      <c r="AS70" s="256"/>
      <c r="AT70" s="256"/>
      <c r="AU70" s="256"/>
      <c r="AV70" s="256"/>
      <c r="AW70" s="256"/>
      <c r="AX70" s="256"/>
      <c r="AY70" s="256"/>
      <c r="AZ70" s="254"/>
    </row>
    <row r="71" spans="1:52" ht="12.75">
      <c r="A71" s="75"/>
      <c r="B71" s="677" t="s">
        <v>549</v>
      </c>
      <c r="C71" s="678"/>
      <c r="D71" s="678"/>
      <c r="E71" s="678"/>
      <c r="F71" s="678"/>
      <c r="G71" s="678"/>
      <c r="H71" s="679"/>
      <c r="I71" s="347"/>
      <c r="J71" s="308"/>
      <c r="K71" s="257">
        <v>4118</v>
      </c>
      <c r="L71" s="257">
        <f>L9+L49</f>
        <v>3024</v>
      </c>
      <c r="M71" s="258">
        <f>M49+M9</f>
        <v>4452</v>
      </c>
      <c r="N71" s="258">
        <f aca="true" t="shared" si="82" ref="N71:S71">N9+N49</f>
        <v>624</v>
      </c>
      <c r="O71" s="258">
        <f t="shared" si="82"/>
        <v>568</v>
      </c>
      <c r="P71" s="258">
        <f t="shared" si="82"/>
        <v>56</v>
      </c>
      <c r="Q71" s="258">
        <f t="shared" si="82"/>
        <v>0</v>
      </c>
      <c r="R71" s="258">
        <f t="shared" si="82"/>
        <v>0</v>
      </c>
      <c r="S71" s="478">
        <f t="shared" si="82"/>
        <v>3828</v>
      </c>
      <c r="T71" s="261">
        <f>SUM(U71:Y71)</f>
        <v>922</v>
      </c>
      <c r="U71" s="259">
        <f>U9+U49</f>
        <v>138</v>
      </c>
      <c r="V71" s="259">
        <f>V9+V49</f>
        <v>22</v>
      </c>
      <c r="W71" s="259">
        <f>W9+W49</f>
        <v>0</v>
      </c>
      <c r="X71" s="259">
        <f>X9+X49</f>
        <v>0</v>
      </c>
      <c r="Y71" s="259">
        <f>Y9+Y49</f>
        <v>762</v>
      </c>
      <c r="Z71" s="261">
        <f>SUM(AA71:AE71)</f>
        <v>1140</v>
      </c>
      <c r="AA71" s="259">
        <f>AA9+AA49</f>
        <v>148</v>
      </c>
      <c r="AB71" s="259">
        <f>AB9+AB49</f>
        <v>12</v>
      </c>
      <c r="AC71" s="259">
        <f>AC9+AC49</f>
        <v>0</v>
      </c>
      <c r="AD71" s="259">
        <f>AD9+AD49</f>
        <v>0</v>
      </c>
      <c r="AE71" s="259">
        <f>AE9+AE49</f>
        <v>980</v>
      </c>
      <c r="AF71" s="262">
        <f>SUM(AG71:AK71)</f>
        <v>1582</v>
      </c>
      <c r="AG71" s="259">
        <f>AG9+AG49</f>
        <v>150</v>
      </c>
      <c r="AH71" s="259">
        <f>AH9+AH49</f>
        <v>10</v>
      </c>
      <c r="AI71" s="259">
        <f>AI9+AI49</f>
        <v>0</v>
      </c>
      <c r="AJ71" s="259">
        <f>AJ9+AJ49</f>
        <v>0</v>
      </c>
      <c r="AK71" s="272">
        <f>AK9+AK49</f>
        <v>1422</v>
      </c>
      <c r="AL71" s="261">
        <f>SUM(AM71:AQ71)</f>
        <v>892</v>
      </c>
      <c r="AM71" s="259">
        <f>AM9+AM49</f>
        <v>148</v>
      </c>
      <c r="AN71" s="259">
        <f>AN9+AN49</f>
        <v>12</v>
      </c>
      <c r="AO71" s="259">
        <f>AO9+AO49</f>
        <v>0</v>
      </c>
      <c r="AP71" s="259">
        <f>AP9+AP49</f>
        <v>0</v>
      </c>
      <c r="AQ71" s="259">
        <f>AQ9+AQ49</f>
        <v>732</v>
      </c>
      <c r="AR71" s="262">
        <f>SUM(AS71:AY71)</f>
        <v>0</v>
      </c>
      <c r="AS71" s="259">
        <f>AS9+AS49+AS18</f>
        <v>0</v>
      </c>
      <c r="AT71" s="259">
        <f>AT9+AT49+AT18</f>
        <v>0</v>
      </c>
      <c r="AU71" s="259">
        <f>AU9+AU49</f>
        <v>0</v>
      </c>
      <c r="AV71" s="259">
        <f>AV9+AV49</f>
        <v>0</v>
      </c>
      <c r="AW71" s="259">
        <f>AW9+AW49</f>
        <v>0</v>
      </c>
      <c r="AX71" s="259">
        <f>AX9+AX49</f>
        <v>0</v>
      </c>
      <c r="AY71" s="259">
        <f>AY9+AY49</f>
        <v>0</v>
      </c>
      <c r="AZ71" s="260"/>
    </row>
    <row r="72" spans="1:52" ht="12.75">
      <c r="A72" s="75"/>
      <c r="B72" s="677" t="s">
        <v>196</v>
      </c>
      <c r="C72" s="678"/>
      <c r="D72" s="678"/>
      <c r="E72" s="678"/>
      <c r="F72" s="678"/>
      <c r="G72" s="678"/>
      <c r="H72" s="679"/>
      <c r="I72" s="347"/>
      <c r="J72" s="308"/>
      <c r="K72" s="257">
        <v>2808</v>
      </c>
      <c r="L72" s="257">
        <v>1872</v>
      </c>
      <c r="M72" s="258">
        <f aca="true" t="shared" si="83" ref="M72:T72">M60</f>
        <v>144</v>
      </c>
      <c r="N72" s="258">
        <f t="shared" si="83"/>
        <v>144</v>
      </c>
      <c r="O72" s="258">
        <f t="shared" si="83"/>
        <v>0</v>
      </c>
      <c r="P72" s="258">
        <f t="shared" si="83"/>
        <v>0</v>
      </c>
      <c r="Q72" s="258">
        <f t="shared" si="83"/>
        <v>0</v>
      </c>
      <c r="R72" s="258">
        <f t="shared" si="83"/>
        <v>144</v>
      </c>
      <c r="S72" s="478">
        <f t="shared" si="83"/>
        <v>0</v>
      </c>
      <c r="T72" s="474">
        <f t="shared" si="83"/>
        <v>0</v>
      </c>
      <c r="U72" s="261">
        <f aca="true" t="shared" si="84" ref="U72:AQ72">U60</f>
        <v>0</v>
      </c>
      <c r="V72" s="261">
        <f t="shared" si="84"/>
        <v>0</v>
      </c>
      <c r="W72" s="261">
        <f t="shared" si="84"/>
        <v>0</v>
      </c>
      <c r="X72" s="261">
        <f t="shared" si="84"/>
        <v>0</v>
      </c>
      <c r="Y72" s="261">
        <f t="shared" si="84"/>
        <v>0</v>
      </c>
      <c r="Z72" s="474">
        <f t="shared" si="84"/>
        <v>144</v>
      </c>
      <c r="AA72" s="261">
        <f t="shared" si="84"/>
        <v>0</v>
      </c>
      <c r="AB72" s="261">
        <f t="shared" si="84"/>
        <v>0</v>
      </c>
      <c r="AC72" s="261">
        <f t="shared" si="84"/>
        <v>0</v>
      </c>
      <c r="AD72" s="261">
        <f t="shared" si="84"/>
        <v>144</v>
      </c>
      <c r="AE72" s="261">
        <f t="shared" si="84"/>
        <v>0</v>
      </c>
      <c r="AF72" s="475">
        <f t="shared" si="84"/>
        <v>0</v>
      </c>
      <c r="AG72" s="261">
        <f t="shared" si="84"/>
        <v>0</v>
      </c>
      <c r="AH72" s="261">
        <f t="shared" si="84"/>
        <v>0</v>
      </c>
      <c r="AI72" s="261">
        <f t="shared" si="84"/>
        <v>0</v>
      </c>
      <c r="AJ72" s="261">
        <f t="shared" si="84"/>
        <v>0</v>
      </c>
      <c r="AK72" s="474">
        <f t="shared" si="84"/>
        <v>0</v>
      </c>
      <c r="AL72" s="474">
        <f t="shared" si="84"/>
        <v>0</v>
      </c>
      <c r="AM72" s="261">
        <f t="shared" si="84"/>
        <v>0</v>
      </c>
      <c r="AN72" s="261">
        <f t="shared" si="84"/>
        <v>0</v>
      </c>
      <c r="AO72" s="261">
        <f t="shared" si="84"/>
        <v>0</v>
      </c>
      <c r="AP72" s="261">
        <f t="shared" si="84"/>
        <v>0</v>
      </c>
      <c r="AQ72" s="261">
        <f t="shared" si="84"/>
        <v>0</v>
      </c>
      <c r="AR72" s="475" t="e">
        <f>AR60+#REF!</f>
        <v>#REF!</v>
      </c>
      <c r="AS72" s="261" t="e">
        <f>AS60+#REF!</f>
        <v>#REF!</v>
      </c>
      <c r="AT72" s="261" t="e">
        <f>AT60+#REF!</f>
        <v>#REF!</v>
      </c>
      <c r="AU72" s="261" t="e">
        <f>AU60+#REF!</f>
        <v>#REF!</v>
      </c>
      <c r="AV72" s="261" t="e">
        <f>AV60+#REF!</f>
        <v>#REF!</v>
      </c>
      <c r="AW72" s="261" t="e">
        <f>AW60+#REF!</f>
        <v>#REF!</v>
      </c>
      <c r="AX72" s="262" t="e">
        <f>AX60+#REF!</f>
        <v>#REF!</v>
      </c>
      <c r="AY72" s="259" t="e">
        <f>AY60+#REF!</f>
        <v>#REF!</v>
      </c>
      <c r="AZ72" s="260"/>
    </row>
    <row r="73" spans="1:52" ht="12.75">
      <c r="A73" s="75"/>
      <c r="B73" s="677" t="s">
        <v>550</v>
      </c>
      <c r="C73" s="678"/>
      <c r="D73" s="678"/>
      <c r="E73" s="678"/>
      <c r="F73" s="678"/>
      <c r="G73" s="678"/>
      <c r="H73" s="679"/>
      <c r="I73" s="347"/>
      <c r="J73" s="308"/>
      <c r="K73" s="257">
        <f aca="true" t="shared" si="85" ref="K73:S73">K64</f>
        <v>324</v>
      </c>
      <c r="L73" s="257">
        <f t="shared" si="85"/>
        <v>0</v>
      </c>
      <c r="M73" s="258">
        <f t="shared" si="85"/>
        <v>324</v>
      </c>
      <c r="N73" s="258">
        <f t="shared" si="85"/>
        <v>0</v>
      </c>
      <c r="O73" s="258">
        <f t="shared" si="85"/>
        <v>0</v>
      </c>
      <c r="P73" s="258">
        <f t="shared" si="85"/>
        <v>0</v>
      </c>
      <c r="Q73" s="258">
        <f t="shared" si="85"/>
        <v>0</v>
      </c>
      <c r="R73" s="258">
        <f t="shared" si="85"/>
        <v>0</v>
      </c>
      <c r="S73" s="479">
        <f t="shared" si="85"/>
        <v>324</v>
      </c>
      <c r="T73" s="261">
        <f aca="true" t="shared" si="86" ref="T73:Y73">T64</f>
        <v>0</v>
      </c>
      <c r="U73" s="259">
        <f t="shared" si="86"/>
        <v>0</v>
      </c>
      <c r="V73" s="259">
        <f t="shared" si="86"/>
        <v>0</v>
      </c>
      <c r="W73" s="259">
        <f t="shared" si="86"/>
        <v>0</v>
      </c>
      <c r="X73" s="259">
        <f t="shared" si="86"/>
        <v>0</v>
      </c>
      <c r="Y73" s="259">
        <f t="shared" si="86"/>
        <v>0</v>
      </c>
      <c r="Z73" s="261">
        <f aca="true" t="shared" si="87" ref="Z73:AE73">Z64</f>
        <v>0</v>
      </c>
      <c r="AA73" s="259">
        <f t="shared" si="87"/>
        <v>0</v>
      </c>
      <c r="AB73" s="259">
        <f t="shared" si="87"/>
        <v>0</v>
      </c>
      <c r="AC73" s="259">
        <f t="shared" si="87"/>
        <v>0</v>
      </c>
      <c r="AD73" s="259">
        <f t="shared" si="87"/>
        <v>0</v>
      </c>
      <c r="AE73" s="259">
        <f t="shared" si="87"/>
        <v>0</v>
      </c>
      <c r="AF73" s="262">
        <f aca="true" t="shared" si="88" ref="AF73:AK73">AF64</f>
        <v>0</v>
      </c>
      <c r="AG73" s="259">
        <f t="shared" si="88"/>
        <v>0</v>
      </c>
      <c r="AH73" s="259">
        <f t="shared" si="88"/>
        <v>0</v>
      </c>
      <c r="AI73" s="259">
        <f t="shared" si="88"/>
        <v>0</v>
      </c>
      <c r="AJ73" s="259">
        <f t="shared" si="88"/>
        <v>0</v>
      </c>
      <c r="AK73" s="272">
        <f t="shared" si="88"/>
        <v>0</v>
      </c>
      <c r="AL73" s="261">
        <f aca="true" t="shared" si="89" ref="AL73:AY73">AL64</f>
        <v>324</v>
      </c>
      <c r="AM73" s="259">
        <f t="shared" si="89"/>
        <v>0</v>
      </c>
      <c r="AN73" s="259">
        <f t="shared" si="89"/>
        <v>0</v>
      </c>
      <c r="AO73" s="259">
        <f t="shared" si="89"/>
        <v>0</v>
      </c>
      <c r="AP73" s="259">
        <f t="shared" si="89"/>
        <v>0</v>
      </c>
      <c r="AQ73" s="259">
        <f t="shared" si="89"/>
        <v>324</v>
      </c>
      <c r="AR73" s="262">
        <f t="shared" si="89"/>
        <v>0</v>
      </c>
      <c r="AS73" s="259">
        <f t="shared" si="89"/>
        <v>0</v>
      </c>
      <c r="AT73" s="259">
        <f t="shared" si="89"/>
        <v>0</v>
      </c>
      <c r="AU73" s="259">
        <f t="shared" si="89"/>
        <v>0</v>
      </c>
      <c r="AV73" s="259">
        <f t="shared" si="89"/>
        <v>0</v>
      </c>
      <c r="AW73" s="259">
        <f t="shared" si="89"/>
        <v>0</v>
      </c>
      <c r="AX73" s="259">
        <f t="shared" si="89"/>
        <v>0</v>
      </c>
      <c r="AY73" s="259">
        <f t="shared" si="89"/>
        <v>0</v>
      </c>
      <c r="AZ73" s="263"/>
    </row>
    <row r="74" spans="1:54" s="244" customFormat="1" ht="12.75" hidden="1">
      <c r="A74" s="76"/>
      <c r="B74" s="680" t="s">
        <v>239</v>
      </c>
      <c r="C74" s="681"/>
      <c r="D74" s="681"/>
      <c r="E74" s="681"/>
      <c r="F74" s="681"/>
      <c r="G74" s="681"/>
      <c r="H74" s="690"/>
      <c r="I74" s="348"/>
      <c r="J74" s="309"/>
      <c r="K74" s="264">
        <f aca="true" t="shared" si="90" ref="K74:X74">K67</f>
        <v>0</v>
      </c>
      <c r="L74" s="264" t="str">
        <f t="shared" si="90"/>
        <v>-</v>
      </c>
      <c r="M74" s="265">
        <f t="shared" si="90"/>
        <v>0</v>
      </c>
      <c r="N74" s="265">
        <f t="shared" si="90"/>
        <v>0</v>
      </c>
      <c r="O74" s="265">
        <f t="shared" si="90"/>
        <v>0</v>
      </c>
      <c r="P74" s="265">
        <f t="shared" si="90"/>
        <v>0</v>
      </c>
      <c r="Q74" s="265">
        <f t="shared" si="90"/>
        <v>0</v>
      </c>
      <c r="R74" s="265">
        <f t="shared" si="90"/>
        <v>0</v>
      </c>
      <c r="S74" s="266">
        <f t="shared" si="90"/>
        <v>0</v>
      </c>
      <c r="T74" s="477">
        <f t="shared" si="90"/>
        <v>0</v>
      </c>
      <c r="U74" s="259">
        <f t="shared" si="90"/>
        <v>0</v>
      </c>
      <c r="V74" s="259">
        <f t="shared" si="90"/>
        <v>0</v>
      </c>
      <c r="W74" s="259">
        <f t="shared" si="90"/>
        <v>0</v>
      </c>
      <c r="X74" s="259">
        <f t="shared" si="90"/>
        <v>0</v>
      </c>
      <c r="Y74" s="265"/>
      <c r="Z74" s="477">
        <f>Z67</f>
        <v>0</v>
      </c>
      <c r="AA74" s="259">
        <f>AA67</f>
        <v>0</v>
      </c>
      <c r="AB74" s="259">
        <f>AB67</f>
        <v>0</v>
      </c>
      <c r="AC74" s="259">
        <f>AC67</f>
        <v>0</v>
      </c>
      <c r="AD74" s="259">
        <f>AD67</f>
        <v>0</v>
      </c>
      <c r="AE74" s="265"/>
      <c r="AF74" s="476">
        <f>AF67</f>
        <v>0</v>
      </c>
      <c r="AG74" s="259">
        <f>AG67</f>
        <v>0</v>
      </c>
      <c r="AH74" s="259">
        <f>AH67</f>
        <v>0</v>
      </c>
      <c r="AI74" s="259">
        <f>AI67</f>
        <v>0</v>
      </c>
      <c r="AJ74" s="259">
        <f>AJ67</f>
        <v>0</v>
      </c>
      <c r="AK74" s="266"/>
      <c r="AL74" s="477">
        <f>AL67</f>
        <v>0</v>
      </c>
      <c r="AM74" s="259">
        <f>AM67</f>
        <v>0</v>
      </c>
      <c r="AN74" s="259">
        <f>AN67</f>
        <v>0</v>
      </c>
      <c r="AO74" s="259">
        <f>AO67</f>
        <v>0</v>
      </c>
      <c r="AP74" s="259">
        <f>AP67</f>
        <v>0</v>
      </c>
      <c r="AQ74" s="265"/>
      <c r="AR74" s="476">
        <f aca="true" t="shared" si="91" ref="AR74:AX74">AR67</f>
        <v>0</v>
      </c>
      <c r="AS74" s="259">
        <f t="shared" si="91"/>
        <v>0</v>
      </c>
      <c r="AT74" s="259">
        <f t="shared" si="91"/>
        <v>0</v>
      </c>
      <c r="AU74" s="259">
        <f t="shared" si="91"/>
        <v>0</v>
      </c>
      <c r="AV74" s="259">
        <f t="shared" si="91"/>
        <v>0</v>
      </c>
      <c r="AW74" s="259">
        <f t="shared" si="91"/>
        <v>0</v>
      </c>
      <c r="AX74" s="259">
        <f t="shared" si="91"/>
        <v>0</v>
      </c>
      <c r="AY74" s="266">
        <f>AY64</f>
        <v>0</v>
      </c>
      <c r="AZ74" s="267"/>
      <c r="BA74" s="268"/>
      <c r="BB74" s="268"/>
    </row>
    <row r="75" spans="1:52" ht="12.75">
      <c r="A75" s="269"/>
      <c r="B75" s="677" t="s">
        <v>180</v>
      </c>
      <c r="C75" s="678"/>
      <c r="D75" s="678"/>
      <c r="E75" s="678"/>
      <c r="F75" s="678"/>
      <c r="G75" s="678"/>
      <c r="H75" s="678"/>
      <c r="I75" s="349"/>
      <c r="J75" s="307"/>
      <c r="K75" s="270">
        <f aca="true" t="shared" si="92" ref="K75:S75">SUM(K71:K73)</f>
        <v>7250</v>
      </c>
      <c r="L75" s="270">
        <f t="shared" si="92"/>
        <v>4896</v>
      </c>
      <c r="M75" s="271">
        <f t="shared" si="92"/>
        <v>4920</v>
      </c>
      <c r="N75" s="271">
        <f t="shared" si="92"/>
        <v>768</v>
      </c>
      <c r="O75" s="271">
        <f t="shared" si="92"/>
        <v>568</v>
      </c>
      <c r="P75" s="271">
        <f t="shared" si="92"/>
        <v>56</v>
      </c>
      <c r="Q75" s="271">
        <f t="shared" si="92"/>
        <v>0</v>
      </c>
      <c r="R75" s="271">
        <f t="shared" si="92"/>
        <v>144</v>
      </c>
      <c r="S75" s="479">
        <f t="shared" si="92"/>
        <v>4152</v>
      </c>
      <c r="T75" s="261">
        <f aca="true" t="shared" si="93" ref="T75:Y75">SUM(T71:T73)</f>
        <v>922</v>
      </c>
      <c r="U75" s="259">
        <f t="shared" si="93"/>
        <v>138</v>
      </c>
      <c r="V75" s="259">
        <f t="shared" si="93"/>
        <v>22</v>
      </c>
      <c r="W75" s="259">
        <f t="shared" si="93"/>
        <v>0</v>
      </c>
      <c r="X75" s="259">
        <f t="shared" si="93"/>
        <v>0</v>
      </c>
      <c r="Y75" s="259">
        <f t="shared" si="93"/>
        <v>762</v>
      </c>
      <c r="Z75" s="261">
        <f aca="true" t="shared" si="94" ref="Z75:AE75">SUM(Z71:Z73)</f>
        <v>1284</v>
      </c>
      <c r="AA75" s="259">
        <f t="shared" si="94"/>
        <v>148</v>
      </c>
      <c r="AB75" s="259">
        <f t="shared" si="94"/>
        <v>12</v>
      </c>
      <c r="AC75" s="259">
        <f t="shared" si="94"/>
        <v>0</v>
      </c>
      <c r="AD75" s="259">
        <f t="shared" si="94"/>
        <v>144</v>
      </c>
      <c r="AE75" s="259">
        <f t="shared" si="94"/>
        <v>980</v>
      </c>
      <c r="AF75" s="262">
        <f aca="true" t="shared" si="95" ref="AF75:AK75">SUM(AF71:AF73)</f>
        <v>1582</v>
      </c>
      <c r="AG75" s="259">
        <f t="shared" si="95"/>
        <v>150</v>
      </c>
      <c r="AH75" s="259">
        <f t="shared" si="95"/>
        <v>10</v>
      </c>
      <c r="AI75" s="259">
        <f t="shared" si="95"/>
        <v>0</v>
      </c>
      <c r="AJ75" s="259">
        <f t="shared" si="95"/>
        <v>0</v>
      </c>
      <c r="AK75" s="272">
        <f t="shared" si="95"/>
        <v>1422</v>
      </c>
      <c r="AL75" s="261">
        <f aca="true" t="shared" si="96" ref="AL75:AQ75">SUM(AL71:AL73)</f>
        <v>1216</v>
      </c>
      <c r="AM75" s="259">
        <f t="shared" si="96"/>
        <v>148</v>
      </c>
      <c r="AN75" s="259">
        <f t="shared" si="96"/>
        <v>12</v>
      </c>
      <c r="AO75" s="259">
        <f t="shared" si="96"/>
        <v>0</v>
      </c>
      <c r="AP75" s="259">
        <f t="shared" si="96"/>
        <v>0</v>
      </c>
      <c r="AQ75" s="259">
        <f t="shared" si="96"/>
        <v>1056</v>
      </c>
      <c r="AR75" s="262" t="e">
        <f aca="true" t="shared" si="97" ref="AR75:AY75">SUM(AR71:AR73)</f>
        <v>#REF!</v>
      </c>
      <c r="AS75" s="259" t="e">
        <f t="shared" si="97"/>
        <v>#REF!</v>
      </c>
      <c r="AT75" s="259" t="e">
        <f t="shared" si="97"/>
        <v>#REF!</v>
      </c>
      <c r="AU75" s="259" t="e">
        <f t="shared" si="97"/>
        <v>#REF!</v>
      </c>
      <c r="AV75" s="259" t="e">
        <f t="shared" si="97"/>
        <v>#REF!</v>
      </c>
      <c r="AW75" s="259" t="e">
        <f t="shared" si="97"/>
        <v>#REF!</v>
      </c>
      <c r="AX75" s="259" t="e">
        <f t="shared" si="97"/>
        <v>#REF!</v>
      </c>
      <c r="AY75" s="272" t="e">
        <f t="shared" si="97"/>
        <v>#REF!</v>
      </c>
      <c r="AZ75" s="260"/>
    </row>
    <row r="76" spans="1:52" ht="12.75">
      <c r="A76" s="269"/>
      <c r="B76" s="680" t="s">
        <v>197</v>
      </c>
      <c r="C76" s="681"/>
      <c r="D76" s="681"/>
      <c r="E76" s="681"/>
      <c r="F76" s="681"/>
      <c r="G76" s="681"/>
      <c r="H76" s="681"/>
      <c r="I76" s="681"/>
      <c r="J76" s="681"/>
      <c r="K76" s="681"/>
      <c r="L76" s="681"/>
      <c r="M76" s="691">
        <f>COUNTIF(M11:M14,"&gt;0")+COUNTIF(M16:M17,"&gt;0")+COUNTIF(M20:M27,"&gt;0")+COUNTIF(M30:M36,"&gt;0")+COUNTIF(M38:M40,"&gt;0")+COUNTIF(M42:M44,"&gt;0")+COUNTIF(M47:M47,"&gt;0")</f>
        <v>26</v>
      </c>
      <c r="N76" s="692"/>
      <c r="O76" s="692"/>
      <c r="P76" s="692"/>
      <c r="Q76" s="692"/>
      <c r="R76" s="692"/>
      <c r="S76" s="692"/>
      <c r="T76" s="693">
        <f>COUNTIF(T11:T14,"&gt;0")+COUNTIF(T16:T17,"&gt;0")+COUNTIF(T20:T27,"&gt;0")+COUNTIF(T30:T36,"&gt;0")+COUNTIF(T42:T44,"&gt;0")+COUNTIF(T38:T39,"&gt;0")+COUNTIF(T47:T47,"&gt;0")+COUNTIF(T50:T58,"&gt;0")</f>
        <v>13</v>
      </c>
      <c r="U76" s="694"/>
      <c r="V76" s="694"/>
      <c r="W76" s="694"/>
      <c r="X76" s="694"/>
      <c r="Y76" s="695"/>
      <c r="Z76" s="693">
        <f>COUNTIF(Z11:Z14,"&gt;0")+COUNTIF(Z16:Z17,"&gt;0")+COUNTIF(Z20:Z27,"&gt;0")+COUNTIF(Z30:Z36,"&gt;0")+COUNTIF(Z42:Z44,"&gt;0")+COUNTIF(Z38:Z39,"&gt;0")+COUNTIF(Z47:Z47,"&gt;0")+COUNTIF(Z50:Z58,"&gt;0")</f>
        <v>10</v>
      </c>
      <c r="AA76" s="694"/>
      <c r="AB76" s="694"/>
      <c r="AC76" s="694"/>
      <c r="AD76" s="694"/>
      <c r="AE76" s="695"/>
      <c r="AF76" s="694">
        <f>COUNTIF(AF11:AF14,"&gt;0")+COUNTIF(AF16:AF17,"&gt;0")+COUNTIF(AF20:AF27,"&gt;0")+COUNTIF(AF30:AF36,"&gt;0")+COUNTIF(AF42:AF44,"&gt;0")+COUNTIF(AF38:AF39,"&gt;0")+COUNTIF(AF47:AF47,"&gt;0")+COUNTIF(AF50:AF58,"&gt;0")</f>
        <v>14</v>
      </c>
      <c r="AG76" s="694"/>
      <c r="AH76" s="694"/>
      <c r="AI76" s="694"/>
      <c r="AJ76" s="694"/>
      <c r="AK76" s="694"/>
      <c r="AL76" s="693">
        <f>COUNTIF(AL11:AL14,"&gt;0")+COUNTIF(AL16:AL17,"&gt;0")+COUNTIF(AL20:AL27,"&gt;0")+COUNTIF(AL30:AL36,"&gt;0")+COUNTIF(AL42:AL44,"&gt;0")+COUNTIF(AL38:AL39,"&gt;0")+COUNTIF(AL47:AL47,"&gt;0")+COUNTIF(AL50:AL58,"&gt;0")</f>
        <v>10</v>
      </c>
      <c r="AM76" s="694"/>
      <c r="AN76" s="694"/>
      <c r="AO76" s="694"/>
      <c r="AP76" s="694"/>
      <c r="AQ76" s="695"/>
      <c r="AR76" s="694">
        <f>COUNTIF(AR11:AR14,"&gt;0")+COUNTIF(AR16:AR17,"&gt;0")+COUNTIF(AR20:AR27,"&gt;0")+COUNTIF(AR30:AR36,"&gt;0")+COUNTIF(AR42:AR44,"&gt;0")+COUNTIF(AR38:AR39,"&gt;0")+COUNTIF(AR47:AR47,"&gt;0")+COUNTIF(AR50:AR58,"&gt;0")</f>
        <v>0</v>
      </c>
      <c r="AS76" s="694"/>
      <c r="AT76" s="694"/>
      <c r="AU76" s="694"/>
      <c r="AV76" s="694"/>
      <c r="AW76" s="694"/>
      <c r="AX76" s="694"/>
      <c r="AY76" s="712"/>
      <c r="AZ76" s="260"/>
    </row>
    <row r="77" spans="1:52" ht="12.75">
      <c r="A77" s="269"/>
      <c r="B77" s="680" t="s">
        <v>85</v>
      </c>
      <c r="C77" s="681"/>
      <c r="D77" s="681"/>
      <c r="E77" s="681"/>
      <c r="F77" s="681"/>
      <c r="G77" s="681"/>
      <c r="H77" s="681"/>
      <c r="I77" s="681"/>
      <c r="J77" s="681"/>
      <c r="K77" s="681"/>
      <c r="L77" s="681"/>
      <c r="M77" s="682">
        <f>COUNTIF(M62:M62,"&gt;0")</f>
        <v>1</v>
      </c>
      <c r="N77" s="683"/>
      <c r="O77" s="683"/>
      <c r="P77" s="683"/>
      <c r="Q77" s="683"/>
      <c r="R77" s="683"/>
      <c r="S77" s="684"/>
      <c r="T77" s="685">
        <f>COUNTIF(T62:T63,"&gt;0")</f>
        <v>0</v>
      </c>
      <c r="U77" s="686"/>
      <c r="V77" s="686"/>
      <c r="W77" s="686"/>
      <c r="X77" s="686"/>
      <c r="Y77" s="687"/>
      <c r="Z77" s="685">
        <f>COUNTIF(Z62:Z63,"&gt;0")</f>
        <v>0</v>
      </c>
      <c r="AA77" s="686"/>
      <c r="AB77" s="686"/>
      <c r="AC77" s="686"/>
      <c r="AD77" s="686"/>
      <c r="AE77" s="687"/>
      <c r="AF77" s="688">
        <f>COUNTIF(AF62:AF63,"&gt;0")</f>
        <v>1</v>
      </c>
      <c r="AG77" s="686"/>
      <c r="AH77" s="686"/>
      <c r="AI77" s="686"/>
      <c r="AJ77" s="686"/>
      <c r="AK77" s="689"/>
      <c r="AL77" s="685">
        <f>COUNTIF(AL62:AL63,"&gt;0")</f>
        <v>2</v>
      </c>
      <c r="AM77" s="686"/>
      <c r="AN77" s="686"/>
      <c r="AO77" s="686"/>
      <c r="AP77" s="686"/>
      <c r="AQ77" s="687"/>
      <c r="AR77" s="688" t="e">
        <f>COUNTIF(#REF!,"&gt;0")+COUNTIF(AR62:AR62,"&gt;0")</f>
        <v>#REF!</v>
      </c>
      <c r="AS77" s="686"/>
      <c r="AT77" s="686"/>
      <c r="AU77" s="686"/>
      <c r="AV77" s="686"/>
      <c r="AW77" s="686"/>
      <c r="AX77" s="686"/>
      <c r="AY77" s="689"/>
      <c r="AZ77" s="260"/>
    </row>
    <row r="78" spans="1:52" ht="12.75">
      <c r="A78" s="273"/>
      <c r="B78" s="680" t="s">
        <v>200</v>
      </c>
      <c r="C78" s="681"/>
      <c r="D78" s="681"/>
      <c r="E78" s="681"/>
      <c r="F78" s="681"/>
      <c r="G78" s="681"/>
      <c r="H78" s="681"/>
      <c r="I78" s="681"/>
      <c r="J78" s="681"/>
      <c r="K78" s="681"/>
      <c r="L78" s="681"/>
      <c r="M78" s="699">
        <f>M75/(W3+AD3+AI3+AO3)</f>
        <v>35.1</v>
      </c>
      <c r="N78" s="700"/>
      <c r="O78" s="700"/>
      <c r="P78" s="700"/>
      <c r="Q78" s="700"/>
      <c r="R78" s="700"/>
      <c r="S78" s="701"/>
      <c r="T78" s="702">
        <f>T75/W3</f>
        <v>30.7</v>
      </c>
      <c r="U78" s="703"/>
      <c r="V78" s="703"/>
      <c r="W78" s="703"/>
      <c r="X78" s="703"/>
      <c r="Y78" s="704"/>
      <c r="Z78" s="702">
        <f>Z75/AD3</f>
        <v>42.8</v>
      </c>
      <c r="AA78" s="703"/>
      <c r="AB78" s="703"/>
      <c r="AC78" s="703"/>
      <c r="AD78" s="703"/>
      <c r="AE78" s="704"/>
      <c r="AF78" s="705">
        <f>AF75/AI3</f>
        <v>39.6</v>
      </c>
      <c r="AG78" s="703"/>
      <c r="AH78" s="703"/>
      <c r="AI78" s="703"/>
      <c r="AJ78" s="703"/>
      <c r="AK78" s="706"/>
      <c r="AL78" s="702">
        <f>AL75/AO3</f>
        <v>30.4</v>
      </c>
      <c r="AM78" s="703"/>
      <c r="AN78" s="703"/>
      <c r="AO78" s="703"/>
      <c r="AP78" s="703"/>
      <c r="AQ78" s="704"/>
      <c r="AR78" s="705" t="e">
        <f>AR75/AV3</f>
        <v>#REF!</v>
      </c>
      <c r="AS78" s="703"/>
      <c r="AT78" s="703"/>
      <c r="AU78" s="703"/>
      <c r="AV78" s="703"/>
      <c r="AW78" s="703"/>
      <c r="AX78" s="703"/>
      <c r="AY78" s="706"/>
      <c r="AZ78" s="260"/>
    </row>
    <row r="79" spans="1:52" ht="12.75">
      <c r="A79" s="274"/>
      <c r="B79" s="680" t="s">
        <v>195</v>
      </c>
      <c r="C79" s="681"/>
      <c r="D79" s="681"/>
      <c r="E79" s="681"/>
      <c r="F79" s="681"/>
      <c r="G79" s="681"/>
      <c r="H79" s="681"/>
      <c r="I79" s="681"/>
      <c r="J79" s="681"/>
      <c r="K79" s="681"/>
      <c r="L79" s="681"/>
      <c r="M79" s="699">
        <f>IF('[1]Титульный лист (заочная)'!BD29=0,0,IF(M71=0,0,M71/(W3+AD3+AI3+AO3)))</f>
        <v>31.8</v>
      </c>
      <c r="N79" s="700"/>
      <c r="O79" s="700"/>
      <c r="P79" s="700"/>
      <c r="Q79" s="700"/>
      <c r="R79" s="700"/>
      <c r="S79" s="701"/>
      <c r="T79" s="710">
        <f>SUM(U71:W71)/W3*6</f>
        <v>32</v>
      </c>
      <c r="U79" s="707"/>
      <c r="V79" s="707"/>
      <c r="W79" s="707"/>
      <c r="X79" s="707"/>
      <c r="Y79" s="711"/>
      <c r="Z79" s="710">
        <f>SUM(AA71:AC71)/AD3*6</f>
        <v>32</v>
      </c>
      <c r="AA79" s="707"/>
      <c r="AB79" s="707"/>
      <c r="AC79" s="707"/>
      <c r="AD79" s="707"/>
      <c r="AE79" s="711"/>
      <c r="AF79" s="707">
        <f>SUM(AG71:AI71)/AI3*6</f>
        <v>24</v>
      </c>
      <c r="AG79" s="707"/>
      <c r="AH79" s="707"/>
      <c r="AI79" s="707"/>
      <c r="AJ79" s="707"/>
      <c r="AK79" s="707"/>
      <c r="AL79" s="710">
        <f>SUM(AM71:AO71)/AO3*6</f>
        <v>24</v>
      </c>
      <c r="AM79" s="707"/>
      <c r="AN79" s="707"/>
      <c r="AO79" s="707"/>
      <c r="AP79" s="707"/>
      <c r="AQ79" s="711"/>
      <c r="AR79" s="707">
        <f>SUM(AT71:AV71)/AV3*7</f>
        <v>0</v>
      </c>
      <c r="AS79" s="707"/>
      <c r="AT79" s="707"/>
      <c r="AU79" s="707"/>
      <c r="AV79" s="707"/>
      <c r="AW79" s="707"/>
      <c r="AX79" s="707"/>
      <c r="AY79" s="705"/>
      <c r="AZ79" s="260"/>
    </row>
    <row r="80" spans="1:52" ht="12.75">
      <c r="A80" s="274"/>
      <c r="B80" s="680" t="s">
        <v>194</v>
      </c>
      <c r="C80" s="681"/>
      <c r="D80" s="681"/>
      <c r="E80" s="681"/>
      <c r="F80" s="681"/>
      <c r="G80" s="681"/>
      <c r="H80" s="681"/>
      <c r="I80" s="681"/>
      <c r="J80" s="681"/>
      <c r="K80" s="681"/>
      <c r="L80" s="681"/>
      <c r="M80" s="691">
        <f>T80+Z80+AF80+AL80</f>
        <v>10</v>
      </c>
      <c r="N80" s="692"/>
      <c r="O80" s="692"/>
      <c r="P80" s="692"/>
      <c r="Q80" s="692"/>
      <c r="R80" s="692"/>
      <c r="S80" s="692"/>
      <c r="T80" s="693">
        <f>COUNTIF($D$9:$D$59,"*1*")</f>
        <v>1</v>
      </c>
      <c r="U80" s="694"/>
      <c r="V80" s="694"/>
      <c r="W80" s="694"/>
      <c r="X80" s="694"/>
      <c r="Y80" s="695"/>
      <c r="Z80" s="693">
        <f>COUNTIF($D$9:$D$59,"*2*")</f>
        <v>2</v>
      </c>
      <c r="AA80" s="694"/>
      <c r="AB80" s="694"/>
      <c r="AC80" s="694"/>
      <c r="AD80" s="694"/>
      <c r="AE80" s="695"/>
      <c r="AF80" s="694">
        <f>COUNTIF($D$9:$D$59,"*3*")</f>
        <v>2</v>
      </c>
      <c r="AG80" s="694"/>
      <c r="AH80" s="694"/>
      <c r="AI80" s="694"/>
      <c r="AJ80" s="694"/>
      <c r="AK80" s="694"/>
      <c r="AL80" s="693">
        <f>COUNTIF($D$9:$D$59,"*4*")</f>
        <v>5</v>
      </c>
      <c r="AM80" s="708"/>
      <c r="AN80" s="708"/>
      <c r="AO80" s="708"/>
      <c r="AP80" s="708"/>
      <c r="AQ80" s="709"/>
      <c r="AR80" s="694">
        <f>COUNTIF($D$9:$D$49,"*5*")</f>
        <v>0</v>
      </c>
      <c r="AS80" s="694"/>
      <c r="AT80" s="694"/>
      <c r="AU80" s="694"/>
      <c r="AV80" s="694"/>
      <c r="AW80" s="694"/>
      <c r="AX80" s="694"/>
      <c r="AY80" s="688"/>
      <c r="AZ80" s="275"/>
    </row>
    <row r="81" spans="1:52" ht="12.75">
      <c r="A81" s="269"/>
      <c r="B81" s="680" t="s">
        <v>193</v>
      </c>
      <c r="C81" s="681"/>
      <c r="D81" s="681"/>
      <c r="E81" s="681"/>
      <c r="F81" s="681"/>
      <c r="G81" s="681"/>
      <c r="H81" s="681"/>
      <c r="I81" s="681"/>
      <c r="J81" s="681"/>
      <c r="K81" s="681"/>
      <c r="L81" s="681"/>
      <c r="M81" s="691">
        <f>T81+Z81+AF81+AL81</f>
        <v>31</v>
      </c>
      <c r="N81" s="692"/>
      <c r="O81" s="692"/>
      <c r="P81" s="692"/>
      <c r="Q81" s="692"/>
      <c r="R81" s="692"/>
      <c r="S81" s="692"/>
      <c r="T81" s="693">
        <f>COUNTIF($E$9:$F$59,"*1*")</f>
        <v>5</v>
      </c>
      <c r="U81" s="694"/>
      <c r="V81" s="694"/>
      <c r="W81" s="694"/>
      <c r="X81" s="694"/>
      <c r="Y81" s="695"/>
      <c r="Z81" s="693">
        <f>COUNTIF($E$9:$F$59,"*2*")</f>
        <v>9</v>
      </c>
      <c r="AA81" s="694"/>
      <c r="AB81" s="694"/>
      <c r="AC81" s="694"/>
      <c r="AD81" s="694"/>
      <c r="AE81" s="695"/>
      <c r="AF81" s="694">
        <f>COUNTIF($E$9:$F$59,"*3*")</f>
        <v>8</v>
      </c>
      <c r="AG81" s="694"/>
      <c r="AH81" s="694"/>
      <c r="AI81" s="694"/>
      <c r="AJ81" s="694"/>
      <c r="AK81" s="694"/>
      <c r="AL81" s="693">
        <f>COUNTIF($E$9:$F$59,"*4*")</f>
        <v>9</v>
      </c>
      <c r="AM81" s="708"/>
      <c r="AN81" s="708"/>
      <c r="AO81" s="708"/>
      <c r="AP81" s="708"/>
      <c r="AQ81" s="709"/>
      <c r="AR81" s="694">
        <f>COUNTIF($E$9:$E$49,"*5*")</f>
        <v>0</v>
      </c>
      <c r="AS81" s="694"/>
      <c r="AT81" s="694"/>
      <c r="AU81" s="694"/>
      <c r="AV81" s="694"/>
      <c r="AW81" s="694"/>
      <c r="AX81" s="694"/>
      <c r="AY81" s="688"/>
      <c r="AZ81" s="275"/>
    </row>
    <row r="82" spans="1:52" ht="12.75">
      <c r="A82" s="269"/>
      <c r="B82" s="713" t="s">
        <v>544</v>
      </c>
      <c r="C82" s="681"/>
      <c r="D82" s="681"/>
      <c r="E82" s="681"/>
      <c r="F82" s="681"/>
      <c r="G82" s="681"/>
      <c r="H82" s="681"/>
      <c r="I82" s="681"/>
      <c r="J82" s="681"/>
      <c r="K82" s="681"/>
      <c r="L82" s="681"/>
      <c r="M82" s="691">
        <f>T82+Z82+AF82+AL82</f>
        <v>3</v>
      </c>
      <c r="N82" s="692"/>
      <c r="O82" s="692"/>
      <c r="P82" s="692"/>
      <c r="Q82" s="692"/>
      <c r="R82" s="692"/>
      <c r="S82" s="692"/>
      <c r="T82" s="576">
        <f>COUNTIF($G$9:$G$59,"*1*")</f>
        <v>0</v>
      </c>
      <c r="U82" s="575"/>
      <c r="V82" s="575"/>
      <c r="W82" s="575"/>
      <c r="X82" s="575"/>
      <c r="Y82" s="577"/>
      <c r="Z82" s="576">
        <f>COUNTIF($G$9:$G$59,"*2*")</f>
        <v>0</v>
      </c>
      <c r="AA82" s="575"/>
      <c r="AB82" s="575"/>
      <c r="AC82" s="575"/>
      <c r="AD82" s="575"/>
      <c r="AE82" s="577"/>
      <c r="AF82" s="575">
        <f>COUNTIF($G$9:$G$59,"*3*")</f>
        <v>0</v>
      </c>
      <c r="AG82" s="575"/>
      <c r="AH82" s="575"/>
      <c r="AI82" s="575"/>
      <c r="AJ82" s="575"/>
      <c r="AK82" s="575"/>
      <c r="AL82" s="576">
        <f>COUNTIF($G$9:$G$59,"*4*")</f>
        <v>3</v>
      </c>
      <c r="AM82" s="575"/>
      <c r="AN82" s="575"/>
      <c r="AO82" s="575"/>
      <c r="AP82" s="575"/>
      <c r="AQ82" s="577"/>
      <c r="AR82" s="575">
        <f>COUNTIF($G$9:$G$49,"*5*")</f>
        <v>0</v>
      </c>
      <c r="AS82" s="575"/>
      <c r="AT82" s="575"/>
      <c r="AU82" s="575"/>
      <c r="AV82" s="575"/>
      <c r="AW82" s="575"/>
      <c r="AX82" s="575"/>
      <c r="AY82" s="580"/>
      <c r="AZ82" s="275"/>
    </row>
    <row r="83" spans="1:52" ht="12.75">
      <c r="A83" s="276"/>
      <c r="B83" s="713" t="s">
        <v>551</v>
      </c>
      <c r="C83" s="681"/>
      <c r="D83" s="681"/>
      <c r="E83" s="681"/>
      <c r="F83" s="681"/>
      <c r="G83" s="681"/>
      <c r="H83" s="681"/>
      <c r="I83" s="681"/>
      <c r="J83" s="681"/>
      <c r="K83" s="681"/>
      <c r="L83" s="681"/>
      <c r="M83" s="691">
        <f>T83+Z83+AF83+AL83</f>
        <v>10</v>
      </c>
      <c r="N83" s="692"/>
      <c r="O83" s="692"/>
      <c r="P83" s="692"/>
      <c r="Q83" s="692"/>
      <c r="R83" s="692"/>
      <c r="S83" s="692"/>
      <c r="T83" s="576">
        <f>COUNTIF($H$9:$H$59,"*1*")</f>
        <v>3</v>
      </c>
      <c r="U83" s="575"/>
      <c r="V83" s="575"/>
      <c r="W83" s="575"/>
      <c r="X83" s="575"/>
      <c r="Y83" s="577"/>
      <c r="Z83" s="576">
        <f>COUNTIF($H$9:$H$59,"*2*")</f>
        <v>1</v>
      </c>
      <c r="AA83" s="575"/>
      <c r="AB83" s="575"/>
      <c r="AC83" s="575"/>
      <c r="AD83" s="575"/>
      <c r="AE83" s="577"/>
      <c r="AF83" s="575">
        <f>COUNTIF($H$9:$H$49,"*3*")</f>
        <v>5</v>
      </c>
      <c r="AG83" s="575"/>
      <c r="AH83" s="575"/>
      <c r="AI83" s="575"/>
      <c r="AJ83" s="575"/>
      <c r="AK83" s="575"/>
      <c r="AL83" s="576">
        <f>COUNTIF($H$9:$H$59,"*4*")</f>
        <v>1</v>
      </c>
      <c r="AM83" s="575"/>
      <c r="AN83" s="575"/>
      <c r="AO83" s="575"/>
      <c r="AP83" s="575"/>
      <c r="AQ83" s="577"/>
      <c r="AR83" s="575">
        <f>COUNTIF($H$9:$H$49,"*5*")</f>
        <v>0</v>
      </c>
      <c r="AS83" s="575"/>
      <c r="AT83" s="575"/>
      <c r="AU83" s="575"/>
      <c r="AV83" s="575"/>
      <c r="AW83" s="575"/>
      <c r="AX83" s="575"/>
      <c r="AY83" s="580"/>
      <c r="AZ83" s="275"/>
    </row>
    <row r="86" spans="1:6" ht="12.75" hidden="1">
      <c r="A86" s="652" t="s">
        <v>221</v>
      </c>
      <c r="B86" s="652"/>
      <c r="C86" s="653" t="s">
        <v>222</v>
      </c>
      <c r="D86" s="653"/>
      <c r="E86" s="653" t="s">
        <v>243</v>
      </c>
      <c r="F86" s="653"/>
    </row>
    <row r="87" spans="1:6" ht="12.75" hidden="1">
      <c r="A87" s="79">
        <v>1</v>
      </c>
      <c r="B87" s="79">
        <v>11</v>
      </c>
      <c r="C87" s="80">
        <v>2</v>
      </c>
      <c r="D87" s="81" t="s">
        <v>41</v>
      </c>
      <c r="E87" s="80">
        <v>2</v>
      </c>
      <c r="F87" s="81" t="s">
        <v>40</v>
      </c>
    </row>
    <row r="88" spans="1:6" ht="51" hidden="1">
      <c r="A88" s="79" t="s">
        <v>201</v>
      </c>
      <c r="B88" s="79" t="s">
        <v>122</v>
      </c>
      <c r="C88" s="79" t="s">
        <v>6</v>
      </c>
      <c r="D88" s="82" t="s">
        <v>224</v>
      </c>
      <c r="E88" s="79" t="s">
        <v>6</v>
      </c>
      <c r="F88" s="82" t="s">
        <v>224</v>
      </c>
    </row>
    <row r="89" spans="1:6" ht="12.75" hidden="1">
      <c r="A89" s="79">
        <v>1</v>
      </c>
      <c r="B89" s="79">
        <v>21</v>
      </c>
      <c r="C89" s="80">
        <v>2</v>
      </c>
      <c r="D89" s="81" t="s">
        <v>41</v>
      </c>
      <c r="E89" s="80">
        <v>2</v>
      </c>
      <c r="F89" s="81" t="s">
        <v>40</v>
      </c>
    </row>
    <row r="90" spans="1:6" ht="51" hidden="1">
      <c r="A90" s="79" t="s">
        <v>201</v>
      </c>
      <c r="B90" s="79" t="s">
        <v>122</v>
      </c>
      <c r="C90" s="79" t="s">
        <v>6</v>
      </c>
      <c r="D90" s="82" t="s">
        <v>225</v>
      </c>
      <c r="E90" s="79" t="s">
        <v>6</v>
      </c>
      <c r="F90" s="82" t="s">
        <v>225</v>
      </c>
    </row>
    <row r="91" spans="1:6" ht="12.75" hidden="1">
      <c r="A91" s="79">
        <v>1</v>
      </c>
      <c r="B91" s="79">
        <v>30</v>
      </c>
      <c r="C91" s="80">
        <v>2</v>
      </c>
      <c r="D91" s="81" t="s">
        <v>41</v>
      </c>
      <c r="E91" s="80">
        <v>2</v>
      </c>
      <c r="F91" s="81" t="s">
        <v>40</v>
      </c>
    </row>
    <row r="92" spans="1:6" ht="51" hidden="1">
      <c r="A92" s="79" t="s">
        <v>201</v>
      </c>
      <c r="B92" s="79" t="s">
        <v>122</v>
      </c>
      <c r="C92" s="79" t="s">
        <v>6</v>
      </c>
      <c r="D92" s="82" t="s">
        <v>226</v>
      </c>
      <c r="E92" s="79" t="s">
        <v>6</v>
      </c>
      <c r="F92" s="82" t="s">
        <v>226</v>
      </c>
    </row>
    <row r="93" spans="1:6" ht="12.75" hidden="1">
      <c r="A93" s="79">
        <v>1</v>
      </c>
      <c r="B93" s="79">
        <v>39</v>
      </c>
      <c r="C93" s="80">
        <v>2</v>
      </c>
      <c r="D93" s="81" t="s">
        <v>41</v>
      </c>
      <c r="E93" s="80">
        <v>2</v>
      </c>
      <c r="F93" s="81" t="s">
        <v>40</v>
      </c>
    </row>
    <row r="94" spans="1:6" ht="51" hidden="1">
      <c r="A94" s="79" t="s">
        <v>201</v>
      </c>
      <c r="B94" s="79" t="s">
        <v>122</v>
      </c>
      <c r="C94" s="79" t="s">
        <v>6</v>
      </c>
      <c r="D94" s="82" t="s">
        <v>227</v>
      </c>
      <c r="E94" s="79" t="s">
        <v>6</v>
      </c>
      <c r="F94" s="82" t="s">
        <v>227</v>
      </c>
    </row>
    <row r="95" spans="1:6" ht="12.75" hidden="1">
      <c r="A95" s="79">
        <v>1</v>
      </c>
      <c r="B95" s="79">
        <v>48</v>
      </c>
      <c r="C95" s="80">
        <v>2</v>
      </c>
      <c r="D95" s="81" t="s">
        <v>41</v>
      </c>
      <c r="E95" s="80">
        <v>2</v>
      </c>
      <c r="F95" s="81" t="s">
        <v>40</v>
      </c>
    </row>
    <row r="96" spans="1:6" ht="51" hidden="1">
      <c r="A96" s="79" t="s">
        <v>201</v>
      </c>
      <c r="B96" s="79" t="s">
        <v>122</v>
      </c>
      <c r="C96" s="79" t="s">
        <v>6</v>
      </c>
      <c r="D96" s="82" t="s">
        <v>228</v>
      </c>
      <c r="E96" s="79" t="s">
        <v>6</v>
      </c>
      <c r="F96" s="82" t="s">
        <v>228</v>
      </c>
    </row>
    <row r="97" spans="1:6" ht="12.75" hidden="1">
      <c r="A97" s="79">
        <v>1</v>
      </c>
      <c r="B97" s="79">
        <v>57</v>
      </c>
      <c r="C97" s="80">
        <v>2</v>
      </c>
      <c r="D97" s="81" t="s">
        <v>41</v>
      </c>
      <c r="E97" s="80">
        <v>2</v>
      </c>
      <c r="F97" s="81" t="s">
        <v>40</v>
      </c>
    </row>
    <row r="98" spans="1:6" ht="51" hidden="1">
      <c r="A98" s="79" t="s">
        <v>201</v>
      </c>
      <c r="B98" s="79" t="s">
        <v>122</v>
      </c>
      <c r="C98" s="79" t="s">
        <v>6</v>
      </c>
      <c r="D98" s="82" t="s">
        <v>229</v>
      </c>
      <c r="E98" s="79" t="s">
        <v>6</v>
      </c>
      <c r="F98" s="82" t="s">
        <v>229</v>
      </c>
    </row>
    <row r="99" spans="1:6" ht="12.75" hidden="1">
      <c r="A99" s="79">
        <v>1</v>
      </c>
      <c r="B99" s="79">
        <v>66</v>
      </c>
      <c r="C99" s="80">
        <v>2</v>
      </c>
      <c r="D99" s="81" t="s">
        <v>41</v>
      </c>
      <c r="E99" s="80">
        <v>2</v>
      </c>
      <c r="F99" s="81" t="s">
        <v>40</v>
      </c>
    </row>
    <row r="100" spans="1:6" ht="51" hidden="1">
      <c r="A100" s="79" t="s">
        <v>201</v>
      </c>
      <c r="B100" s="79" t="s">
        <v>122</v>
      </c>
      <c r="C100" s="79" t="s">
        <v>6</v>
      </c>
      <c r="D100" s="82" t="s">
        <v>230</v>
      </c>
      <c r="E100" s="79" t="s">
        <v>6</v>
      </c>
      <c r="F100" s="82" t="s">
        <v>230</v>
      </c>
    </row>
    <row r="101" spans="1:6" ht="12.75" hidden="1">
      <c r="A101" s="79">
        <v>1</v>
      </c>
      <c r="B101" s="79">
        <v>75</v>
      </c>
      <c r="C101" s="80">
        <v>2</v>
      </c>
      <c r="D101" s="81" t="s">
        <v>41</v>
      </c>
      <c r="E101" s="80">
        <v>2</v>
      </c>
      <c r="F101" s="81" t="s">
        <v>40</v>
      </c>
    </row>
    <row r="102" spans="1:6" ht="51" hidden="1">
      <c r="A102" s="79" t="s">
        <v>201</v>
      </c>
      <c r="B102" s="79" t="s">
        <v>122</v>
      </c>
      <c r="C102" s="79" t="s">
        <v>6</v>
      </c>
      <c r="D102" s="82" t="s">
        <v>231</v>
      </c>
      <c r="E102" s="79" t="s">
        <v>6</v>
      </c>
      <c r="F102" s="82" t="s">
        <v>231</v>
      </c>
    </row>
    <row r="103" spans="1:6" ht="12.75" hidden="1">
      <c r="A103" s="79">
        <v>1</v>
      </c>
      <c r="B103" s="79">
        <v>84</v>
      </c>
      <c r="C103" s="80">
        <v>2</v>
      </c>
      <c r="D103" s="81" t="s">
        <v>41</v>
      </c>
      <c r="E103" s="80">
        <v>2</v>
      </c>
      <c r="F103" s="81" t="s">
        <v>40</v>
      </c>
    </row>
    <row r="104" spans="1:6" ht="51" hidden="1">
      <c r="A104" s="79" t="s">
        <v>201</v>
      </c>
      <c r="B104" s="79" t="s">
        <v>122</v>
      </c>
      <c r="C104" s="79" t="s">
        <v>6</v>
      </c>
      <c r="D104" s="82" t="s">
        <v>232</v>
      </c>
      <c r="E104" s="79" t="s">
        <v>6</v>
      </c>
      <c r="F104" s="82" t="s">
        <v>232</v>
      </c>
    </row>
    <row r="105" spans="1:6" ht="12.75" hidden="1">
      <c r="A105" s="79">
        <v>1</v>
      </c>
      <c r="B105" s="79">
        <v>93</v>
      </c>
      <c r="C105" s="80">
        <v>2</v>
      </c>
      <c r="D105" s="81" t="s">
        <v>41</v>
      </c>
      <c r="E105" s="80">
        <v>2</v>
      </c>
      <c r="F105" s="81" t="s">
        <v>40</v>
      </c>
    </row>
    <row r="106" spans="1:6" ht="51" hidden="1">
      <c r="A106" s="79" t="s">
        <v>201</v>
      </c>
      <c r="B106" s="79" t="s">
        <v>122</v>
      </c>
      <c r="C106" s="79" t="s">
        <v>6</v>
      </c>
      <c r="D106" s="82" t="s">
        <v>233</v>
      </c>
      <c r="E106" s="79" t="s">
        <v>6</v>
      </c>
      <c r="F106" s="82" t="s">
        <v>233</v>
      </c>
    </row>
    <row r="107" spans="1:3" ht="12.75" hidden="1">
      <c r="A107" s="79">
        <v>1</v>
      </c>
      <c r="B107" s="79">
        <v>102</v>
      </c>
      <c r="C107" s="77"/>
    </row>
    <row r="108" spans="1:3" ht="12.75" hidden="1">
      <c r="A108" s="79" t="s">
        <v>201</v>
      </c>
      <c r="B108" s="79" t="s">
        <v>122</v>
      </c>
      <c r="C108" s="77"/>
    </row>
  </sheetData>
  <sheetProtection password="CC6B" sheet="1" selectLockedCells="1" sort="0" autoFilter="0" selectUnlockedCells="1"/>
  <autoFilter ref="A8:BE67"/>
  <mergeCells count="136">
    <mergeCell ref="AR81:AY81"/>
    <mergeCell ref="A86:B86"/>
    <mergeCell ref="C86:D86"/>
    <mergeCell ref="E86:F86"/>
    <mergeCell ref="AR82:AY82"/>
    <mergeCell ref="B83:L83"/>
    <mergeCell ref="M83:S83"/>
    <mergeCell ref="T83:Y83"/>
    <mergeCell ref="Z83:AE83"/>
    <mergeCell ref="AF83:AK83"/>
    <mergeCell ref="AR83:AY83"/>
    <mergeCell ref="B82:L82"/>
    <mergeCell ref="M82:S82"/>
    <mergeCell ref="T82:Y82"/>
    <mergeCell ref="Z82:AE82"/>
    <mergeCell ref="AF82:AK82"/>
    <mergeCell ref="AL82:AQ82"/>
    <mergeCell ref="AL83:AQ83"/>
    <mergeCell ref="M80:S80"/>
    <mergeCell ref="B79:L79"/>
    <mergeCell ref="M79:S79"/>
    <mergeCell ref="T79:Y79"/>
    <mergeCell ref="B81:L81"/>
    <mergeCell ref="M81:S81"/>
    <mergeCell ref="T80:Y80"/>
    <mergeCell ref="AR76:AY76"/>
    <mergeCell ref="AR77:AY77"/>
    <mergeCell ref="AR78:AY78"/>
    <mergeCell ref="AL76:AQ76"/>
    <mergeCell ref="B78:L78"/>
    <mergeCell ref="T81:Y81"/>
    <mergeCell ref="Z81:AE81"/>
    <mergeCell ref="AF81:AK81"/>
    <mergeCell ref="AL81:AQ81"/>
    <mergeCell ref="B80:L80"/>
    <mergeCell ref="Z80:AE80"/>
    <mergeCell ref="AL80:AQ80"/>
    <mergeCell ref="AR80:AY80"/>
    <mergeCell ref="AR79:AY79"/>
    <mergeCell ref="AL77:AQ77"/>
    <mergeCell ref="Z79:AE79"/>
    <mergeCell ref="AF80:AK80"/>
    <mergeCell ref="AL79:AQ79"/>
    <mergeCell ref="M78:S78"/>
    <mergeCell ref="T78:Y78"/>
    <mergeCell ref="Z78:AE78"/>
    <mergeCell ref="AF78:AK78"/>
    <mergeCell ref="AL78:AQ78"/>
    <mergeCell ref="AF79:AK79"/>
    <mergeCell ref="T76:Y76"/>
    <mergeCell ref="Z76:AE76"/>
    <mergeCell ref="AF76:AK76"/>
    <mergeCell ref="G3:G7"/>
    <mergeCell ref="AF5:AG5"/>
    <mergeCell ref="O4:O7"/>
    <mergeCell ref="J1:J7"/>
    <mergeCell ref="B49:H49"/>
    <mergeCell ref="T5:U5"/>
    <mergeCell ref="T6:V6"/>
    <mergeCell ref="B77:L77"/>
    <mergeCell ref="M77:S77"/>
    <mergeCell ref="T77:Y77"/>
    <mergeCell ref="Z77:AE77"/>
    <mergeCell ref="AF77:AK77"/>
    <mergeCell ref="B72:H72"/>
    <mergeCell ref="B73:H73"/>
    <mergeCell ref="B74:H74"/>
    <mergeCell ref="B76:L76"/>
    <mergeCell ref="M76:S76"/>
    <mergeCell ref="B64:H64"/>
    <mergeCell ref="B75:H75"/>
    <mergeCell ref="A69:C69"/>
    <mergeCell ref="D3:D7"/>
    <mergeCell ref="E3:E7"/>
    <mergeCell ref="A70:C70"/>
    <mergeCell ref="B71:H71"/>
    <mergeCell ref="B28:H28"/>
    <mergeCell ref="B29:H29"/>
    <mergeCell ref="B37:H37"/>
    <mergeCell ref="Q4:Q7"/>
    <mergeCell ref="AS5:AT5"/>
    <mergeCell ref="AS6:AW6"/>
    <mergeCell ref="P4:P7"/>
    <mergeCell ref="AO4:AP4"/>
    <mergeCell ref="AI4:AJ4"/>
    <mergeCell ref="T4:U4"/>
    <mergeCell ref="AF6:AH6"/>
    <mergeCell ref="Z5:AA5"/>
    <mergeCell ref="Z6:AB6"/>
    <mergeCell ref="R4:R7"/>
    <mergeCell ref="M1:S1"/>
    <mergeCell ref="AD4:AE4"/>
    <mergeCell ref="AF4:AG4"/>
    <mergeCell ref="AR3:AT3"/>
    <mergeCell ref="AO3:AP3"/>
    <mergeCell ref="AL3:AM3"/>
    <mergeCell ref="Z4:AA4"/>
    <mergeCell ref="AD3:AE3"/>
    <mergeCell ref="N3:N7"/>
    <mergeCell ref="AL5:AM5"/>
    <mergeCell ref="AL6:AN6"/>
    <mergeCell ref="AI3:AJ3"/>
    <mergeCell ref="AL2:AQ2"/>
    <mergeCell ref="AF2:AK2"/>
    <mergeCell ref="BB1:BB7"/>
    <mergeCell ref="AF3:AG3"/>
    <mergeCell ref="AR4:AT4"/>
    <mergeCell ref="AV4:AX4"/>
    <mergeCell ref="U1:AQ1"/>
    <mergeCell ref="AL4:AM4"/>
    <mergeCell ref="BA1:BA7"/>
    <mergeCell ref="O3:R3"/>
    <mergeCell ref="M2:M7"/>
    <mergeCell ref="S3:S7"/>
    <mergeCell ref="AR2:AY2"/>
    <mergeCell ref="Z3:AA3"/>
    <mergeCell ref="AV3:AX3"/>
    <mergeCell ref="T2:Y2"/>
    <mergeCell ref="Z2:AE2"/>
    <mergeCell ref="K1:L6"/>
    <mergeCell ref="B19:H19"/>
    <mergeCell ref="N2:S2"/>
    <mergeCell ref="W3:X3"/>
    <mergeCell ref="B15:H15"/>
    <mergeCell ref="B10:H10"/>
    <mergeCell ref="B9:H9"/>
    <mergeCell ref="B18:H18"/>
    <mergeCell ref="W4:X4"/>
    <mergeCell ref="T3:U3"/>
    <mergeCell ref="B41:H41"/>
    <mergeCell ref="B46:H46"/>
    <mergeCell ref="A1:A7"/>
    <mergeCell ref="B1:B7"/>
    <mergeCell ref="C1:C7"/>
    <mergeCell ref="D1:H2"/>
    <mergeCell ref="H3:H7"/>
  </mergeCells>
  <conditionalFormatting sqref="BA20:BA27 BA30:BA36 BA11:BA14 BA16:BA17 BA41:BA64">
    <cfRule type="expression" priority="1" dxfId="1" stopIfTrue="1">
      <formula>AND(M11&gt;0,BA11=0)</formula>
    </cfRule>
    <cfRule type="expression" priority="2" dxfId="1" stopIfTrue="1">
      <formula>AND(M11=0,BA11&lt;&gt;0)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21" r:id="rId1"/>
  <colBreaks count="1" manualBreakCount="1">
    <brk id="5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8"/>
  <sheetViews>
    <sheetView showZeros="0" view="pageBreakPreview" zoomScale="80" zoomScaleSheetLayoutView="80" zoomScalePageLayoutView="0" workbookViewId="0" topLeftCell="A1">
      <selection activeCell="H6" sqref="H6"/>
    </sheetView>
  </sheetViews>
  <sheetFormatPr defaultColWidth="9.33203125" defaultRowHeight="12.75"/>
  <cols>
    <col min="1" max="1" width="58.16015625" style="200" customWidth="1"/>
    <col min="2" max="2" width="12.66015625" style="200" customWidth="1"/>
    <col min="3" max="3" width="15.83203125" style="200" customWidth="1"/>
    <col min="4" max="4" width="14.66015625" style="200" customWidth="1"/>
    <col min="5" max="5" width="16.16015625" style="200" customWidth="1"/>
    <col min="6" max="6" width="16.33203125" style="200" customWidth="1"/>
    <col min="7" max="7" width="15.5" style="200" customWidth="1"/>
    <col min="8" max="9" width="28.5" style="200" customWidth="1"/>
    <col min="10" max="10" width="14.5" style="200" bestFit="1" customWidth="1"/>
    <col min="11" max="16384" width="9.33203125" style="200" customWidth="1"/>
  </cols>
  <sheetData>
    <row r="1" spans="1:9" s="166" customFormat="1" ht="12.75">
      <c r="A1" s="758" t="s">
        <v>93</v>
      </c>
      <c r="B1" s="758"/>
      <c r="C1" s="758"/>
      <c r="D1" s="758"/>
      <c r="E1" s="758"/>
      <c r="F1" s="758"/>
      <c r="G1" s="758"/>
      <c r="H1" s="758"/>
      <c r="I1" s="758"/>
    </row>
    <row r="2" spans="1:9" s="166" customFormat="1" ht="24.75" customHeight="1">
      <c r="A2" s="762" t="s">
        <v>88</v>
      </c>
      <c r="B2" s="763"/>
      <c r="C2" s="764"/>
      <c r="D2" s="751" t="s">
        <v>92</v>
      </c>
      <c r="E2" s="753"/>
      <c r="F2" s="759" t="s">
        <v>94</v>
      </c>
      <c r="G2" s="759"/>
      <c r="H2" s="760" t="s">
        <v>119</v>
      </c>
      <c r="I2" s="761"/>
    </row>
    <row r="3" spans="1:9" s="166" customFormat="1" ht="76.5">
      <c r="A3" s="765"/>
      <c r="B3" s="766"/>
      <c r="C3" s="767"/>
      <c r="D3" s="167" t="s">
        <v>142</v>
      </c>
      <c r="E3" s="167" t="s">
        <v>199</v>
      </c>
      <c r="F3" s="167" t="s">
        <v>142</v>
      </c>
      <c r="G3" s="167" t="s">
        <v>199</v>
      </c>
      <c r="H3" s="167" t="s">
        <v>142</v>
      </c>
      <c r="I3" s="167" t="s">
        <v>199</v>
      </c>
    </row>
    <row r="4" spans="1:9" s="166" customFormat="1" ht="12.75">
      <c r="A4" s="168" t="str">
        <f>'Титульный лист (очная)'!A11:N11</f>
        <v>Специфика:</v>
      </c>
      <c r="B4" s="169"/>
      <c r="C4" s="169"/>
      <c r="D4" s="169"/>
      <c r="E4" s="169"/>
      <c r="F4" s="169"/>
      <c r="G4" s="169"/>
      <c r="H4" s="169"/>
      <c r="I4" s="170"/>
    </row>
    <row r="5" spans="1:9" s="166" customFormat="1" ht="6.75" customHeight="1">
      <c r="A5" s="171"/>
      <c r="B5" s="172"/>
      <c r="C5" s="172"/>
      <c r="D5" s="172"/>
      <c r="E5" s="172"/>
      <c r="F5" s="172"/>
      <c r="G5" s="172"/>
      <c r="H5" s="173"/>
      <c r="I5" s="174"/>
    </row>
    <row r="6" spans="1:9" s="166" customFormat="1" ht="12.75">
      <c r="A6" s="714" t="s">
        <v>484</v>
      </c>
      <c r="B6" s="715"/>
      <c r="C6" s="716"/>
      <c r="D6" s="175">
        <f>G34*G38</f>
        <v>2106</v>
      </c>
      <c r="E6" s="176">
        <v>1404</v>
      </c>
      <c r="F6" s="177">
        <f>'Учебный план (очная)'!K11</f>
        <v>2106</v>
      </c>
      <c r="G6" s="177">
        <f>'Учебный план (очная)'!L11</f>
        <v>1404</v>
      </c>
      <c r="H6" s="178" t="str">
        <f>IF(OR(D6="",E6=""),"введите данные ФГОС",IF('Учебный план (очная)'!K95=0,"заполняйте учебный план",IF(OR(D6="-",D6=F6),"норма",IF(F6&lt;D6,F6-D6,IF(F6&gt;D6,F6-D6,"норма")))))</f>
        <v>норма</v>
      </c>
      <c r="I6" s="178" t="str">
        <f>IF(OR(D6="",E6=""),"введите данные ФГОС",IF('Учебный план (очная)'!K95=0,"заполняйте учебный план",IF(OR(E6="-",E6=G6),"норма",IF(G6&lt;E6,G6-E6,IF(G6&gt;E6,G6-E6,"норма")))))</f>
        <v>норма</v>
      </c>
    </row>
    <row r="7" spans="1:9" s="166" customFormat="1" ht="12.75">
      <c r="A7" s="714" t="s">
        <v>485</v>
      </c>
      <c r="B7" s="715"/>
      <c r="C7" s="716"/>
      <c r="D7" s="175" t="s">
        <v>21</v>
      </c>
      <c r="E7" s="218" t="s">
        <v>21</v>
      </c>
      <c r="F7" s="177">
        <f>'Учебный план (очная)'!K12</f>
        <v>1380</v>
      </c>
      <c r="G7" s="177">
        <f>'Учебный план (очная)'!L12</f>
        <v>920</v>
      </c>
      <c r="H7" s="178" t="str">
        <f>IF(OR(D7="",E7=""),"введите данные ФГОС",IF('Учебный план (очная)'!K95=0,"заполняйте учебный план",IF(OR(D7="-",D7=F7),"норма",IF(F7&lt;D7,F7-D7,IF(F7&gt;D7,F7-D7,"норма")))))</f>
        <v>норма</v>
      </c>
      <c r="I7" s="178" t="str">
        <f>IF(OR(D7="",E7=""),"введите данные ФГОС",IF('Учебный план (очная)'!K95=0,"заполняйте учебный план",IF(OR(E7="-",E7=G7),"норма",IF(G7&lt;E7,G7-E7,IF(G7&gt;E7,G7-E7,"норма")))))</f>
        <v>норма</v>
      </c>
    </row>
    <row r="8" spans="1:9" s="166" customFormat="1" ht="12.75">
      <c r="A8" s="714" t="s">
        <v>486</v>
      </c>
      <c r="B8" s="715"/>
      <c r="C8" s="716"/>
      <c r="D8" s="175" t="s">
        <v>21</v>
      </c>
      <c r="E8" s="218" t="s">
        <v>21</v>
      </c>
      <c r="F8" s="177">
        <f>'Учебный план (очная)'!K19</f>
        <v>54</v>
      </c>
      <c r="G8" s="177">
        <f>'Учебный план (очная)'!L19</f>
        <v>36</v>
      </c>
      <c r="H8" s="178" t="str">
        <f>IF(OR(D8="",E8=""),"введите данные ФГОС",IF('Учебный план (очная)'!K95=0,"заполняйте учебный план",IF(OR(D8="-",D8=F8),"норма",IF(F8&lt;D8,F8-D8,IF(F8&gt;D8,F8-D8,"норма")))))</f>
        <v>норма</v>
      </c>
      <c r="I8" s="178" t="str">
        <f>IF(OR(D8="",E8=""),"введите данные ФГОС",IF('Учебный план (очная)'!K95=0,"заполняйте учебный план",IF(OR(E8="-",E8=G8),"норма",IF(G8&lt;E8,G8-E8,IF(G8&gt;E8,G8-E8,"норма")))))</f>
        <v>норма</v>
      </c>
    </row>
    <row r="9" spans="1:9" s="166" customFormat="1" ht="12.75">
      <c r="A9" s="714" t="s">
        <v>337</v>
      </c>
      <c r="B9" s="715"/>
      <c r="C9" s="716"/>
      <c r="D9" s="176">
        <v>3178</v>
      </c>
      <c r="E9" s="176">
        <v>2118</v>
      </c>
      <c r="F9" s="177">
        <f>F10+F11+F12</f>
        <v>3476</v>
      </c>
      <c r="G9" s="177">
        <f>G10+G11+G12</f>
        <v>2317</v>
      </c>
      <c r="H9" s="178">
        <f>IF(OR(D9="",E9=""),"введите данные ФГОС",IF('Учебный план (очная)'!K95=0,"заполняйте учебный план",IF(OR(D9="-",D9=F9),"норма",IF(F9&lt;D9,F9-D9,IF(F9&gt;D9,F9-D9,"норма")))))</f>
        <v>298</v>
      </c>
      <c r="I9" s="178">
        <f>IF(OR(D9="",E9=""),"введите данные ФГОС",IF('Учебный план (очная)'!K95=0,"заполняйте учебный план",IF(OR(E9="-",E9=G9),"норма",IF(G9&lt;E9,G9-E9,IF(G9&gt;E9,G9-E9,"норма")))))</f>
        <v>199</v>
      </c>
    </row>
    <row r="10" spans="1:9" s="166" customFormat="1" ht="12.75">
      <c r="A10" s="717" t="s">
        <v>140</v>
      </c>
      <c r="B10" s="715"/>
      <c r="C10" s="716"/>
      <c r="D10" s="176">
        <v>648</v>
      </c>
      <c r="E10" s="176">
        <v>432</v>
      </c>
      <c r="F10" s="177">
        <f>'Учебный план (очная)'!K29</f>
        <v>654</v>
      </c>
      <c r="G10" s="177">
        <f>'Учебный план (очная)'!L29</f>
        <v>436</v>
      </c>
      <c r="H10" s="178">
        <f>IF(OR(D10="",E10=""),"введите данные ФГОС",IF('Учебный план (очная)'!K95=0,"заполняйте учебный план",IF(OR(D10="-",D10=F10),"норма",IF(F10&lt;D10,F10-D10,IF(F10&gt;D10,F10-D10,"норма")))))</f>
        <v>6</v>
      </c>
      <c r="I10" s="178">
        <f>IF(OR(D10="",E10=""),"введите данные ФГОС",IF('Учебный план (очная)'!K95=0,"заполняйте учебный план",IF(OR(E10="-",E10=G10),"норма",IF(G10&lt;E10,G10-E10,IF(G10&gt;E10,G10-E10,"норма")))))</f>
        <v>4</v>
      </c>
    </row>
    <row r="11" spans="1:9" s="166" customFormat="1" ht="12.75">
      <c r="A11" s="717" t="s">
        <v>215</v>
      </c>
      <c r="B11" s="715"/>
      <c r="C11" s="716"/>
      <c r="D11" s="176">
        <v>222</v>
      </c>
      <c r="E11" s="176">
        <v>148</v>
      </c>
      <c r="F11" s="177">
        <f>'Учебный план (очная)'!K34</f>
        <v>240</v>
      </c>
      <c r="G11" s="177">
        <f>'Учебный план (очная)'!L34</f>
        <v>160</v>
      </c>
      <c r="H11" s="178">
        <f>IF(OR(D11="",E11=""),"введите данные ФГОС",IF('Учебный план (очная)'!K95=0,"заполняйте учебный план",IF(OR(D11="-",D11=F11),"норма",IF(F11&lt;D11,F11-D11,IF(F11&gt;D11,F11-D11,"норма")))))</f>
        <v>18</v>
      </c>
      <c r="I11" s="178">
        <f>IF(OR(D11="",E11=""),"введите данные ФГОС",IF('Учебный план (очная)'!K95=0,"заполняйте учебный план",IF(OR(E11="-",E11=G11),"норма",IF(G11&lt;E11,G11-E11,IF(G11&gt;E11,G11-E11,"норма")))))</f>
        <v>12</v>
      </c>
    </row>
    <row r="12" spans="1:9" s="166" customFormat="1" ht="12.75">
      <c r="A12" s="717" t="s">
        <v>73</v>
      </c>
      <c r="B12" s="715"/>
      <c r="C12" s="716"/>
      <c r="D12" s="176">
        <v>2308</v>
      </c>
      <c r="E12" s="176">
        <v>1538</v>
      </c>
      <c r="F12" s="177">
        <f>F13+F14</f>
        <v>2582</v>
      </c>
      <c r="G12" s="177">
        <f>G13+G14</f>
        <v>1721</v>
      </c>
      <c r="H12" s="178">
        <f>IF(OR(D12="",E12=""),"введите данные ФГОС",IF('Учебный план (очная)'!K95=0,"заполняйте учебный план",IF(OR(D12="-",D12=F12),"норма",IF(F12&lt;D12,F12-D12,IF(F12&gt;D12,F12-D12,"норма")))))</f>
        <v>274</v>
      </c>
      <c r="I12" s="178">
        <f>IF(OR(D12="",E12=""),"введите данные ФГОС",IF('Учебный план (очная)'!K95=0,"заполняйте учебный план",IF(OR(E12="-",E12=G12),"норма",IF(G12&lt;E12,G12-E12,IF(G12&gt;E12,G12-E12,"норма")))))</f>
        <v>183</v>
      </c>
    </row>
    <row r="13" spans="1:9" s="166" customFormat="1" ht="12.75">
      <c r="A13" s="717" t="s">
        <v>150</v>
      </c>
      <c r="B13" s="715"/>
      <c r="C13" s="716"/>
      <c r="D13" s="176">
        <v>900</v>
      </c>
      <c r="E13" s="176">
        <v>600</v>
      </c>
      <c r="F13" s="177">
        <f>'Учебный план (очная)'!K38</f>
        <v>978</v>
      </c>
      <c r="G13" s="177">
        <f>'Учебный план (очная)'!L38</f>
        <v>652</v>
      </c>
      <c r="H13" s="178">
        <f>IF(OR(D13="",E13=""),"введите данные ФГОС",IF('Учебный план (очная)'!K95=0,"заполняйте учебный план",IF(OR(D13="-",D13=F13),"норма",IF(F13&lt;D13,F13-D13,IF(F13&gt;D13,F13-D13,"норма")))))</f>
        <v>78</v>
      </c>
      <c r="I13" s="178">
        <f>IF(OR(D13="",E13=""),"введите данные ФГОС",IF('Учебный план (очная)'!K95=0,"заполняйте учебный план",IF(OR(E13="-",E13=G13),"норма",IF(G13&lt;E13,G13-E13,IF(G13&gt;E13,G13-E13,"норма")))))</f>
        <v>52</v>
      </c>
    </row>
    <row r="14" spans="1:9" s="166" customFormat="1" ht="12.75">
      <c r="A14" s="714" t="s">
        <v>148</v>
      </c>
      <c r="B14" s="715"/>
      <c r="C14" s="716"/>
      <c r="D14" s="176">
        <v>1408</v>
      </c>
      <c r="E14" s="176">
        <v>938</v>
      </c>
      <c r="F14" s="177">
        <f>'Учебный план (очная)'!K47</f>
        <v>1604</v>
      </c>
      <c r="G14" s="177">
        <f>'Учебный план (очная)'!L47</f>
        <v>1069</v>
      </c>
      <c r="H14" s="178">
        <f>IF(OR(D14="",E14=""),"введите данные ФГОС",IF('Учебный план (очная)'!K95=0,"заполняйте учебный план",IF(OR(D14="-",D14=F14),"норма",IF(F14&lt;D14,F14-D14,IF(F14&gt;D14,F14-D14,"норма")))))</f>
        <v>196</v>
      </c>
      <c r="I14" s="178">
        <f>IF(OR(D14="",E14=""),"введите данные ФГОС",IF('Учебный план (очная)'!K95=0,"заполняйте учебный план",IF(OR(E14="-",E14=G14),"норма",IF(G14&lt;E14,G14-E14,IF(G14&gt;E14,G14-E14,"норма")))))</f>
        <v>131</v>
      </c>
    </row>
    <row r="15" spans="1:9" s="166" customFormat="1" ht="12.75">
      <c r="A15" s="714" t="s">
        <v>338</v>
      </c>
      <c r="B15" s="715"/>
      <c r="C15" s="716"/>
      <c r="D15" s="176">
        <v>1358</v>
      </c>
      <c r="E15" s="176">
        <v>906</v>
      </c>
      <c r="F15" s="177">
        <f>'Учебный план (очная)'!K68</f>
        <v>1060</v>
      </c>
      <c r="G15" s="177">
        <f>'Учебный план (очная)'!L68</f>
        <v>707</v>
      </c>
      <c r="H15" s="178">
        <f>IF(OR(D15="",E15=""),"введите данные ФГОС",IF('Учебный план (очная)'!K95=0,"заполняйте учебный план",IF(OR(D15="-",D15=F15),"норма",IF(F15&lt;D15,F15-D15,IF(F15&gt;D15,F15-D15,"норма")))))</f>
        <v>-298</v>
      </c>
      <c r="I15" s="178">
        <f>IF(OR(D15="",E15=""),"введите данные ФГОС",IF('Учебный план (очная)'!K95=0,"заполняйте учебный план",IF(OR(E15="-",E15=G15),"норма",IF(G15&lt;E15,G15-E15,IF(G15&gt;E15,G15-E15,"норма")))))</f>
        <v>-199</v>
      </c>
    </row>
    <row r="16" spans="1:9" s="166" customFormat="1" ht="12.75">
      <c r="A16" s="714" t="s">
        <v>339</v>
      </c>
      <c r="B16" s="715"/>
      <c r="C16" s="716"/>
      <c r="D16" s="176">
        <v>4536</v>
      </c>
      <c r="E16" s="176">
        <v>3024</v>
      </c>
      <c r="F16" s="177">
        <f>F9+F15</f>
        <v>4536</v>
      </c>
      <c r="G16" s="177">
        <f>G9+G15</f>
        <v>3024</v>
      </c>
      <c r="H16" s="178" t="str">
        <f>IF(OR(D16="",E16=""),"введите данные ФГОС",IF('Учебный план (очная)'!K95=0,"заполняйте учебный план",IF(OR(D16="-",D16=F16),"норма",IF(F16&lt;D16,F16-D16,IF(F16&gt;D16,F16-D16,"норма")))))</f>
        <v>норма</v>
      </c>
      <c r="I16" s="178" t="str">
        <f>IF(OR(D16="",E16=""),"введите данные ФГОС",IF('Учебный план (очная)'!K95=0,"заполняйте учебный план",IF(OR(E16="-",E16=G16),"норма",IF(G16&lt;E16,G16-E16,IF(G16&gt;E16,G16-E16,"норма")))))</f>
        <v>норма</v>
      </c>
    </row>
    <row r="17" spans="1:9" s="166" customFormat="1" ht="12.75" hidden="1">
      <c r="A17" s="717" t="s">
        <v>214</v>
      </c>
      <c r="B17" s="715"/>
      <c r="C17" s="716"/>
      <c r="D17" s="175">
        <f>G29*G38</f>
        <v>1566</v>
      </c>
      <c r="E17" s="176">
        <v>1044</v>
      </c>
      <c r="F17" s="177">
        <f>'Учебный план (очная)'!K79+'Учебный план (очная)'!K81</f>
        <v>1044</v>
      </c>
      <c r="G17" s="177">
        <f>'Учебный план (очная)'!L79+'Учебный план (очная)'!L81</f>
        <v>1044</v>
      </c>
      <c r="H17" s="178">
        <f>IF(OR(D17="",E17=""),"введите данные ФГОС",IF('Учебный план (очная)'!K95=0,"заполняйте учебный план",IF(OR(D17="-",D17=F17),"норма",IF(F17&lt;D17,F17-D17,IF(F17&gt;D17,F17-D17,"норма")))))</f>
        <v>-522</v>
      </c>
      <c r="I17" s="178" t="str">
        <f>IF(OR(D17="",E17=""),"введите данные ФГОС",IF('Учебный план (очная)'!K95=0,"заполняйте учебный план",IF(OR(E17="-",E17=G17),"норма",IF(G17&lt;E17,G17-E17,IF(G17&gt;E17,G17-E17,"норма")))))</f>
        <v>норма</v>
      </c>
    </row>
    <row r="18" spans="1:9" s="166" customFormat="1" ht="12.75" hidden="1">
      <c r="A18" s="717" t="s">
        <v>5</v>
      </c>
      <c r="B18" s="715"/>
      <c r="C18" s="716"/>
      <c r="D18" s="175">
        <f>'Титульный лист (очная)'!BH29*Нормы!G38</f>
        <v>216</v>
      </c>
      <c r="E18" s="175">
        <f>'Титульный лист (очная)'!BH29*Нормы!G39</f>
        <v>144</v>
      </c>
      <c r="F18" s="177">
        <v>216</v>
      </c>
      <c r="G18" s="177">
        <v>144</v>
      </c>
      <c r="H18" s="178" t="str">
        <f>IF(OR(D18="",E18=""),"введите данные ФГОС",IF('Учебный план (очная)'!K95=0,"заполняйте учебный план",IF(OR(D18="-",D18=F18),"норма",IF(F18&lt;D18,F18-D18,IF(F18&gt;D18,F18-D18,"норма")))))</f>
        <v>норма</v>
      </c>
      <c r="I18" s="178" t="str">
        <f>IF(OR(D18="",E18=""),"введите данные ФГОС",IF('Учебный план (очная)'!K95=0,"заполняйте учебный план",IF(OR(E18="-",E18=G18),"норма",IF(G18&lt;E18,G18-E18,IF(G18&gt;E18,G18-E18,"норма")))))</f>
        <v>норма</v>
      </c>
    </row>
    <row r="19" spans="1:9" s="166" customFormat="1" ht="12.75" hidden="1">
      <c r="A19" s="717" t="s">
        <v>113</v>
      </c>
      <c r="B19" s="715"/>
      <c r="C19" s="716"/>
      <c r="D19" s="175">
        <f>D17-D18</f>
        <v>1350</v>
      </c>
      <c r="E19" s="175">
        <v>756</v>
      </c>
      <c r="F19" s="177">
        <v>1350</v>
      </c>
      <c r="G19" s="177">
        <v>756</v>
      </c>
      <c r="H19" s="178" t="str">
        <f>IF(OR(D19="",E19=""),"введите данные ФГОС",IF('Учебный план (очная)'!K95=0,"заполняйте учебный план",IF(OR(D19="-",D19=F19),"норма",IF(F19&lt;D19,F19-D19,IF(F19&gt;D19,F19-D19,"норма")))))</f>
        <v>норма</v>
      </c>
      <c r="I19" s="178" t="str">
        <f>IF(OR(D19="",E19=""),"введите данные ФГОС",IF('Учебный план (очная)'!K95=0,"заполняйте учебный план",IF(OR(E19="-",E19=G19),"норма",IF(G19&lt;E19,G19-E19,IF(G19&gt;E19,G19-E19,"норма")))))</f>
        <v>норма</v>
      </c>
    </row>
    <row r="20" spans="1:9" s="166" customFormat="1" ht="12.75" hidden="1">
      <c r="A20" s="717" t="s">
        <v>166</v>
      </c>
      <c r="B20" s="715"/>
      <c r="C20" s="716"/>
      <c r="D20" s="175">
        <v>324</v>
      </c>
      <c r="E20" s="175">
        <v>72</v>
      </c>
      <c r="F20" s="177">
        <f>'Учебный план (очная)'!K84</f>
        <v>324</v>
      </c>
      <c r="G20" s="177">
        <f>'Учебный план (очная)'!L84</f>
        <v>0</v>
      </c>
      <c r="H20" s="178" t="str">
        <f>IF(OR(D20="",E20=""),"введите данные ФГОС",IF('Учебный план (очная)'!K95=0,"заполняйте учебный план",IF(OR(D20="-",D20=F20),"норма",IF(F20&lt;D20,F20-D20,IF(F20&gt;D20,F20-D20,"норма")))))</f>
        <v>норма</v>
      </c>
      <c r="I20" s="178">
        <f>IF(OR(D20="",E20=""),"введите данные ФГОС",IF('Учебный план (очная)'!K95=0,"заполняйте учебный план",IF(OR(E20="-",E20=G20),"норма",IF(G20&lt;E20,G20-E20,IF(G20&gt;E20,G20-E20,"норма")))))</f>
        <v>-72</v>
      </c>
    </row>
    <row r="21" spans="1:17" s="166" customFormat="1" ht="12.75" hidden="1">
      <c r="A21" s="717" t="s">
        <v>149</v>
      </c>
      <c r="B21" s="715"/>
      <c r="C21" s="716"/>
      <c r="D21" s="175">
        <f>CEILING((G27+G33)/52,1)*G44</f>
        <v>0</v>
      </c>
      <c r="E21" s="175" t="s">
        <v>21</v>
      </c>
      <c r="F21" s="177">
        <v>0</v>
      </c>
      <c r="G21" s="177">
        <f>'Учебный план (очная)'!L87</f>
        <v>0</v>
      </c>
      <c r="H21" s="178" t="str">
        <f>IF(OR(D21="",E21=""),"введите данные ФГОС",IF('Учебный план (очная)'!K95=0,"заполняйте учебный план",IF(OR(D21="-",D21=F21),"норма",IF(F21&lt;D21,F21-D21,IF(F21&gt;D21,F21-D21,"норма")))))</f>
        <v>норма</v>
      </c>
      <c r="I21" s="178" t="str">
        <f>IF(OR(D21="",E21=""),"введите данные ФГОС",IF('Учебный план (очная)'!K95=0,"заполняйте учебный план",IF(OR(E21="-",E21=G21),"норма",IF(G21&lt;E21,G21-E21,IF(G21&gt;E21,G21-E21,"норма")))))</f>
        <v>норма</v>
      </c>
      <c r="Q21" s="166" t="s">
        <v>25</v>
      </c>
    </row>
    <row r="22" spans="1:9" s="166" customFormat="1" ht="12.75" hidden="1">
      <c r="A22" s="754" t="s">
        <v>86</v>
      </c>
      <c r="B22" s="755"/>
      <c r="C22" s="756"/>
      <c r="D22" s="179">
        <f>D6+D9+D15+D17+D20</f>
        <v>8532</v>
      </c>
      <c r="E22" s="179">
        <f>E6+E9+E15+SUM(E18:E20)</f>
        <v>5400</v>
      </c>
      <c r="F22" s="179">
        <f>F6+F9+F15+F17+F20</f>
        <v>8010</v>
      </c>
      <c r="G22" s="179">
        <f>G6+G9+G15+SUM(G18:G20)</f>
        <v>5328</v>
      </c>
      <c r="H22" s="178">
        <f>IF(OR(D22="",E22=""),"введите данные ФГОС",IF('Учебный план (очная)'!K95=0,"заполняйте учебный план",IF(OR(D22="-",D22=F22),"норма",IF(F22&lt;D22,F22-D22,IF(F22&gt;D22,F22-D22,"норма")))))</f>
        <v>-522</v>
      </c>
      <c r="I22" s="178">
        <f>IF(OR(D22="",E22=""),"введите данные ФГОС",IF('Учебный план (очная)'!K95=0,"заполняйте учебный план",IF(OR(E22="-",E22=G22),"норма",IF(G22&lt;E22,G22-E22,IF(G22&gt;E22,G22-E22,"норма")))))</f>
        <v>-72</v>
      </c>
    </row>
    <row r="23" spans="1:9" s="166" customFormat="1" ht="12.75">
      <c r="A23" s="180"/>
      <c r="B23" s="180"/>
      <c r="C23" s="180"/>
      <c r="D23" s="180"/>
      <c r="E23" s="180"/>
      <c r="F23" s="180"/>
      <c r="G23" s="180"/>
      <c r="H23" s="180"/>
      <c r="I23" s="180"/>
    </row>
    <row r="24" spans="1:13" s="166" customFormat="1" ht="12.75">
      <c r="A24" s="757" t="s">
        <v>87</v>
      </c>
      <c r="B24" s="757"/>
      <c r="C24" s="757"/>
      <c r="D24" s="757"/>
      <c r="E24" s="757"/>
      <c r="F24" s="757"/>
      <c r="G24" s="757"/>
      <c r="H24" s="757"/>
      <c r="I24" s="757"/>
      <c r="M24" s="166" t="s">
        <v>25</v>
      </c>
    </row>
    <row r="25" spans="1:9" s="166" customFormat="1" ht="78" customHeight="1">
      <c r="A25" s="751" t="s">
        <v>101</v>
      </c>
      <c r="B25" s="752"/>
      <c r="C25" s="752"/>
      <c r="D25" s="752"/>
      <c r="E25" s="753"/>
      <c r="F25" s="181" t="s">
        <v>375</v>
      </c>
      <c r="G25" s="182" t="s">
        <v>376</v>
      </c>
      <c r="H25" s="182" t="s">
        <v>102</v>
      </c>
      <c r="I25" s="167" t="s">
        <v>103</v>
      </c>
    </row>
    <row r="26" spans="1:9" s="166" customFormat="1" ht="12.75">
      <c r="A26" s="745"/>
      <c r="B26" s="746"/>
      <c r="C26" s="746"/>
      <c r="D26" s="746"/>
      <c r="E26" s="747"/>
      <c r="F26" s="183"/>
      <c r="G26" s="184"/>
      <c r="H26" s="185"/>
      <c r="I26" s="186"/>
    </row>
    <row r="27" spans="1:9" s="166" customFormat="1" ht="12.75">
      <c r="A27" s="741" t="s">
        <v>340</v>
      </c>
      <c r="B27" s="742"/>
      <c r="C27" s="742"/>
      <c r="D27" s="742"/>
      <c r="E27" s="743"/>
      <c r="F27" s="187">
        <v>147</v>
      </c>
      <c r="G27" s="188">
        <v>147</v>
      </c>
      <c r="H27" s="189">
        <f>IF(G27="","введите данные ФГОС",IF(F27="","введите рекомендации УМУ",IF('Титульный лист (очная)'!BN29=0,"заполняйте титульный лист",SUM('Титульный лист (очная)'!BN25:BN28))))</f>
        <v>147</v>
      </c>
      <c r="I27" s="190" t="str">
        <f aca="true" t="shared" si="0" ref="I27:I36">IF(G27="","введите данные ФГОС",IF(F27="","введите рекомендации УМУ",IF(H27="заполняйте титульный лист","заполняйте титульный лист",IF(AND(H27=G27,H27=F27),"норма","отклонение"))))</f>
        <v>норма</v>
      </c>
    </row>
    <row r="28" spans="1:9" s="166" customFormat="1" ht="12.75">
      <c r="A28" s="744" t="s">
        <v>202</v>
      </c>
      <c r="B28" s="742"/>
      <c r="C28" s="742"/>
      <c r="D28" s="742"/>
      <c r="E28" s="743"/>
      <c r="F28" s="187">
        <v>84</v>
      </c>
      <c r="G28" s="188">
        <v>84</v>
      </c>
      <c r="H28" s="189">
        <f>IF(G28="","введите данные ФГОС",IF(F28="","введите рекомендации УМУ",IF('Титульный лист (очная)'!BN29=0,"заполняйте титульный лист",SUM('Титульный лист (очная)'!BD25:BD28))))</f>
        <v>84</v>
      </c>
      <c r="I28" s="190" t="str">
        <f t="shared" si="0"/>
        <v>норма</v>
      </c>
    </row>
    <row r="29" spans="1:9" s="166" customFormat="1" ht="12.75">
      <c r="A29" s="744" t="s">
        <v>203</v>
      </c>
      <c r="B29" s="742"/>
      <c r="C29" s="742"/>
      <c r="D29" s="742"/>
      <c r="E29" s="743"/>
      <c r="F29" s="187">
        <v>29</v>
      </c>
      <c r="G29" s="188">
        <v>29</v>
      </c>
      <c r="H29" s="189">
        <f>IF(G29="","введите данные ФГОС",IF(F29="","введите рекомендации УМУ",IF('Титульный лист (очная)'!BN29=0,"заполняйте титульный лист",SUM('Титульный лист (очная)'!BH24:BI28))))</f>
        <v>29</v>
      </c>
      <c r="I29" s="190" t="str">
        <f t="shared" si="0"/>
        <v>норма</v>
      </c>
    </row>
    <row r="30" spans="1:9" s="166" customFormat="1" ht="12.75">
      <c r="A30" s="744" t="s">
        <v>204</v>
      </c>
      <c r="B30" s="742"/>
      <c r="C30" s="742"/>
      <c r="D30" s="742"/>
      <c r="E30" s="743"/>
      <c r="F30" s="187">
        <v>5</v>
      </c>
      <c r="G30" s="188">
        <v>5</v>
      </c>
      <c r="H30" s="189">
        <f>IF(G30="","введите данные ФГОС",IF(F30="","введите рекомендации УМУ",IF('Титульный лист (очная)'!BN29=0,"заполняйте титульный лист",SUM('Титульный лист (очная)'!BG25:BG28))))</f>
        <v>5</v>
      </c>
      <c r="I30" s="190" t="str">
        <f t="shared" si="0"/>
        <v>норма</v>
      </c>
    </row>
    <row r="31" spans="1:9" s="166" customFormat="1" ht="12.75">
      <c r="A31" s="741" t="s">
        <v>562</v>
      </c>
      <c r="B31" s="742"/>
      <c r="C31" s="742"/>
      <c r="D31" s="742"/>
      <c r="E31" s="743"/>
      <c r="F31" s="187">
        <v>6</v>
      </c>
      <c r="G31" s="188">
        <v>6</v>
      </c>
      <c r="H31" s="189">
        <f>IF(G31="","введите данные ФГОС",IF(F31="","введите рекомендации УМУ",IF('Титульный лист (очная)'!BN29=0,"заполняйте титульный лист",SUM('Титульный лист (очная)'!BJ24:BL28))))</f>
        <v>6</v>
      </c>
      <c r="I31" s="190" t="str">
        <f t="shared" si="0"/>
        <v>норма</v>
      </c>
    </row>
    <row r="32" spans="1:9" s="166" customFormat="1" ht="12.75">
      <c r="A32" s="744" t="s">
        <v>205</v>
      </c>
      <c r="B32" s="742"/>
      <c r="C32" s="742"/>
      <c r="D32" s="742"/>
      <c r="E32" s="743"/>
      <c r="F32" s="187">
        <v>23</v>
      </c>
      <c r="G32" s="188">
        <v>23</v>
      </c>
      <c r="H32" s="189">
        <f>IF(G32="","введите данные ФГОС",IF(F32="","введите рекомендации УМУ",IF('Титульный лист (очная)'!BN29=0,"заполняйте титульный лист",SUM('Титульный лист (очная)'!BM25:BM28))))</f>
        <v>23</v>
      </c>
      <c r="I32" s="190" t="str">
        <f t="shared" si="0"/>
        <v>норма</v>
      </c>
    </row>
    <row r="33" spans="1:9" s="166" customFormat="1" ht="12.75">
      <c r="A33" s="741" t="s">
        <v>341</v>
      </c>
      <c r="B33" s="742"/>
      <c r="C33" s="742"/>
      <c r="D33" s="742"/>
      <c r="E33" s="743"/>
      <c r="F33" s="187">
        <v>52</v>
      </c>
      <c r="G33" s="188">
        <v>52</v>
      </c>
      <c r="H33" s="189">
        <f>IF(G33="","введите данные ФГОС",IF(F33="","введите рекомендации УМУ",IF('Титульный лист (очная)'!BN29=0,"заполняйте титульный лист",'Титульный лист (очная)'!BN24)))</f>
        <v>52</v>
      </c>
      <c r="I33" s="190" t="str">
        <f t="shared" si="0"/>
        <v>норма</v>
      </c>
    </row>
    <row r="34" spans="1:9" s="166" customFormat="1" ht="12.75">
      <c r="A34" s="741" t="s">
        <v>342</v>
      </c>
      <c r="B34" s="742"/>
      <c r="C34" s="742"/>
      <c r="D34" s="742"/>
      <c r="E34" s="743"/>
      <c r="F34" s="187">
        <v>39</v>
      </c>
      <c r="G34" s="188">
        <v>39</v>
      </c>
      <c r="H34" s="189">
        <f>IF(G34="","введите данные ФГОС",IF(F34="","введите рекомендации УМУ",IF('Титульный лист (очная)'!BN29=0,"заполняйте титульный лист",'Титульный лист (очная)'!BD24)))</f>
        <v>39</v>
      </c>
      <c r="I34" s="190" t="str">
        <f t="shared" si="0"/>
        <v>норма</v>
      </c>
    </row>
    <row r="35" spans="1:9" s="166" customFormat="1" ht="12.75">
      <c r="A35" s="741" t="s">
        <v>343</v>
      </c>
      <c r="B35" s="742"/>
      <c r="C35" s="742"/>
      <c r="D35" s="742"/>
      <c r="E35" s="743"/>
      <c r="F35" s="187">
        <v>2</v>
      </c>
      <c r="G35" s="188">
        <v>2</v>
      </c>
      <c r="H35" s="189">
        <f>IF(G35="","введите данные ФГОС",IF(F35="","введите рекомендации УМУ",IF('Титульный лист (очная)'!BN29=0,"заполняйте титульный лист",'Титульный лист (очная)'!BG24)))</f>
        <v>2</v>
      </c>
      <c r="I35" s="190" t="str">
        <f t="shared" si="0"/>
        <v>норма</v>
      </c>
    </row>
    <row r="36" spans="1:9" s="166" customFormat="1" ht="12.75">
      <c r="A36" s="741" t="s">
        <v>344</v>
      </c>
      <c r="B36" s="742"/>
      <c r="C36" s="742"/>
      <c r="D36" s="742"/>
      <c r="E36" s="743"/>
      <c r="F36" s="187">
        <v>11</v>
      </c>
      <c r="G36" s="188">
        <v>11</v>
      </c>
      <c r="H36" s="189">
        <f>IF(G36="","введите данные ФГОС",IF(F36="","введите рекомендации УМУ",IF('Титульный лист (очная)'!BN29=0,"заполняйте титульный лист",'Титульный лист (очная)'!BM24)))</f>
        <v>11</v>
      </c>
      <c r="I36" s="190" t="str">
        <f t="shared" si="0"/>
        <v>норма</v>
      </c>
    </row>
    <row r="37" spans="1:9" s="166" customFormat="1" ht="12.75">
      <c r="A37" s="745"/>
      <c r="B37" s="746"/>
      <c r="C37" s="746"/>
      <c r="D37" s="746"/>
      <c r="E37" s="747"/>
      <c r="F37" s="183"/>
      <c r="G37" s="184"/>
      <c r="H37" s="185"/>
      <c r="I37" s="186"/>
    </row>
    <row r="38" spans="1:9" s="166" customFormat="1" ht="12.75">
      <c r="A38" s="744" t="s">
        <v>206</v>
      </c>
      <c r="B38" s="742"/>
      <c r="C38" s="742"/>
      <c r="D38" s="742"/>
      <c r="E38" s="743"/>
      <c r="F38" s="191">
        <v>54</v>
      </c>
      <c r="G38" s="192">
        <v>54</v>
      </c>
      <c r="H38" s="193">
        <f>IF(G38="","введите данные ФГОС",IF(F38="","введите рекомендации УМУ",IF('Учебный план (очная)'!K95=0,"заполняйте учебный план",'Учебный план (очная)'!K98)))</f>
        <v>54</v>
      </c>
      <c r="I38" s="190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166" customFormat="1" ht="12.75" customHeight="1">
      <c r="A39" s="744" t="s">
        <v>207</v>
      </c>
      <c r="B39" s="742"/>
      <c r="C39" s="742"/>
      <c r="D39" s="742"/>
      <c r="E39" s="743"/>
      <c r="F39" s="191">
        <v>36</v>
      </c>
      <c r="G39" s="192">
        <v>36</v>
      </c>
      <c r="H39" s="193">
        <f>IF(G39="","введите данные ФГОС",IF(F39="","введите рекомендации УМУ",IF('Учебный план (очная)'!K95=0,"заполняйте учебный план",'Учебный план (очная)'!K99)))</f>
        <v>36</v>
      </c>
      <c r="I39" s="190" t="str">
        <f>IF(G39="","введите данные ФГОС",IF(F39="","введите рекомендации УМУ",IF(H39="заполняйте учебный план","заполняйте учебный план",IF(AND(H39&lt;=G39,H39&lt;=F39),"норма","отклонение"))))</f>
        <v>норма</v>
      </c>
    </row>
    <row r="40" spans="1:9" s="195" customFormat="1" ht="12.75" customHeight="1">
      <c r="A40" s="744" t="s">
        <v>105</v>
      </c>
      <c r="B40" s="742"/>
      <c r="C40" s="742"/>
      <c r="D40" s="742"/>
      <c r="E40" s="743"/>
      <c r="F40" s="187">
        <v>11</v>
      </c>
      <c r="G40" s="188">
        <v>11</v>
      </c>
      <c r="H40" s="189">
        <f>IF(G40="","введите данные ФГОС",IF(F40="","введите рекомендации УМУ",IF('Титульный лист (очная)'!BN29=0,"заполняйте титульный лист",DMAX('Титульный лист (очная)'!BM20:BN28,1,F60:G61))))</f>
        <v>11</v>
      </c>
      <c r="I40" s="194" t="str">
        <f>IF(G40="","введите данные ФГОС",IF(F40="","введите рекомендации УМУ",IF(H40="заполняйте титульный лист","заполняйте титульный лист",IF(AND(H40&lt;=F40,H40&lt;=G40),"норма","отклонение"))))</f>
        <v>норма</v>
      </c>
    </row>
    <row r="41" spans="1:9" s="195" customFormat="1" ht="12.75" customHeight="1">
      <c r="A41" s="744" t="s">
        <v>104</v>
      </c>
      <c r="B41" s="742"/>
      <c r="C41" s="742"/>
      <c r="D41" s="742"/>
      <c r="E41" s="743"/>
      <c r="F41" s="187">
        <v>8</v>
      </c>
      <c r="G41" s="188">
        <v>8</v>
      </c>
      <c r="H41" s="189">
        <f>IF(G41="","введите данные ФГОС",IF(F41="","введите рекомендации УМУ",IF('Титульный лист (очная)'!BN29=0,"заполняйте титульный лист",DMIN('Титульный лист (очная)'!BM20:BN28,1,F62:G63))))</f>
        <v>10</v>
      </c>
      <c r="I41" s="194" t="str">
        <f>IF(G41="","введите данные ФГОС",IF(F41="","введите рекомендации УМУ",IF(H41="заполняйте титульный лист","заполняйте титульный лист",IF(AND(H41&gt;=F41,H41&gt;=G41),"норма","отклонение"))))</f>
        <v>норма</v>
      </c>
    </row>
    <row r="42" spans="1:9" s="195" customFormat="1" ht="12.75" customHeight="1">
      <c r="A42" s="744" t="s">
        <v>208</v>
      </c>
      <c r="B42" s="742"/>
      <c r="C42" s="742"/>
      <c r="D42" s="742"/>
      <c r="E42" s="743"/>
      <c r="F42" s="177">
        <v>2</v>
      </c>
      <c r="G42" s="196">
        <v>2</v>
      </c>
      <c r="H42" s="197">
        <v>2</v>
      </c>
      <c r="I42" s="190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195" customFormat="1" ht="12.75" customHeight="1">
      <c r="A43" s="744" t="s">
        <v>209</v>
      </c>
      <c r="B43" s="742"/>
      <c r="C43" s="742"/>
      <c r="D43" s="742"/>
      <c r="E43" s="743"/>
      <c r="F43" s="177">
        <v>2</v>
      </c>
      <c r="G43" s="196">
        <v>2</v>
      </c>
      <c r="H43" s="197">
        <v>2</v>
      </c>
      <c r="I43" s="190" t="str">
        <f>IF(G43="","введите данные ФГОС",IF(F43="","введите рекомендации УМУ",IF(H43="заполняйте учебный план","заполняйте учебный план",IF(AND(H43=G43,H43=F43),"норма","отклонение"))))</f>
        <v>норма</v>
      </c>
    </row>
    <row r="44" spans="1:9" s="195" customFormat="1" ht="12.75" customHeight="1">
      <c r="A44" s="744" t="s">
        <v>242</v>
      </c>
      <c r="B44" s="742"/>
      <c r="C44" s="742"/>
      <c r="D44" s="742"/>
      <c r="E44" s="743"/>
      <c r="F44" s="177">
        <v>0</v>
      </c>
      <c r="G44" s="196">
        <v>0</v>
      </c>
      <c r="H44" s="197">
        <f>IF(G44="","введите данные ФГОС",IF(F44="","введите рекомендации УМУ",IF('Титульный лист (очная)'!BN29=0,"заполняйте титульный лист",IF('Учебный план (очная)'!K95=0,"заполняйте учебный план",MAX(IF('Титульный лист (очная)'!BN24&gt;0,'Учебный план (очная)'!R87+'Учебный план (очная)'!X87,0),IF('Титульный лист (очная)'!BN25&gt;0,'Учебный план (очная)'!AD87+'Учебный план (очная)'!AJ87,0),IF('Титульный лист (очная)'!BN26&gt;0,'Учебный план (очная)'!AP87+'Учебный план (очная)'!AV87,0),IF('Титульный лист (очная)'!BN27&gt;0,'Учебный план (очная)'!BB87+'Учебный план (очная)'!BH87,0),IF('Титульный лист (очная)'!BN28&gt;0,'Учебный план (очная)'!BO87+'Учебный план (очная)'!BX87,0))))))</f>
        <v>0</v>
      </c>
      <c r="I44" s="190" t="str">
        <f>IF(G44="","введите данные ФГОС",IF(F44="","введите рекомендации УМУ",IF(H44="заполняйте титульный лист","заполняйте титульный лист",IF(H44="заполняйте учебный план","заполняйте учебный план",IF(AND(H44=G44,H44=F44),"норма","отклонение")))))</f>
        <v>норма</v>
      </c>
    </row>
    <row r="45" spans="1:9" s="195" customFormat="1" ht="12.75" customHeight="1">
      <c r="A45" s="744" t="s">
        <v>234</v>
      </c>
      <c r="B45" s="742"/>
      <c r="C45" s="742"/>
      <c r="D45" s="742"/>
      <c r="E45" s="743"/>
      <c r="F45" s="187">
        <v>8</v>
      </c>
      <c r="G45" s="188">
        <v>8</v>
      </c>
      <c r="H45" s="189">
        <f>IF(G45="","введите данные ФГОС",IF(F45="","введите рекомендации УМУ",IF('Учебный план (очная)'!K95=0,"заполняйте учебный план",MAX('Учебный план (очная)'!V100+'Учебный план (очная)'!AB100,'Учебный план (очная)'!AH100+'Учебный план (очная)'!AN100,'Учебный план (очная)'!AT100+'Учебный план (очная)'!AZ100,'Учебный план (очная)'!BF100+'Учебный план (очная)'!BL100,'Учебный план (очная)'!BT100+'Учебный план (очная)'!CC100))))</f>
        <v>5</v>
      </c>
      <c r="I45" s="190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195" customFormat="1" ht="12.75" customHeight="1">
      <c r="A46" s="744" t="s">
        <v>235</v>
      </c>
      <c r="B46" s="742"/>
      <c r="C46" s="742"/>
      <c r="D46" s="742"/>
      <c r="E46" s="743"/>
      <c r="F46" s="187">
        <v>10</v>
      </c>
      <c r="G46" s="188">
        <v>10</v>
      </c>
      <c r="H46" s="189">
        <f>IF(G46="","введите данные ФГОС",IF(F46="","введите рекомендации УМУ",IF('Учебный план (очная)'!K95=0,"заполняйте учебный план",MAX('Учебный план (очная)'!V101+'Учебный план (очная)'!AB101,'Учебный план (очная)'!AH101+'Учебный план (очная)'!AN101,'Учебный план (очная)'!AT101+'Учебный план (очная)'!AZ101,'Учебный план (очная)'!BF101+'Учебный план (очная)'!BL101,'Учебный план (очная)'!BT101+'Учебный план (очная)'!CC101))))</f>
        <v>10</v>
      </c>
      <c r="I46" s="190" t="str">
        <f>IF(G46="","введите данные ФГОС",IF(F46="","введите рекомендации УМУ",IF(H46="заполняйте учебный план","заполняйте учебный план",IF(AND(H46&lt;=G46,H46&lt;=F46),"норма","отклонение"))))</f>
        <v>норма</v>
      </c>
    </row>
    <row r="47" spans="1:9" s="195" customFormat="1" ht="12.75" customHeight="1">
      <c r="A47" s="744" t="s">
        <v>210</v>
      </c>
      <c r="B47" s="742"/>
      <c r="C47" s="742"/>
      <c r="D47" s="742"/>
      <c r="E47" s="743"/>
      <c r="F47" s="187">
        <v>3</v>
      </c>
      <c r="G47" s="188">
        <v>3</v>
      </c>
      <c r="H47" s="189">
        <f>IF(G47="","введите данные ФГОС",IF(F47="","введите рекомендации УМУ",IF('Учебный план (очная)'!K95=0,"заполняйте учебный план",'Учебный план (очная)'!K102)))</f>
        <v>3</v>
      </c>
      <c r="I47" s="198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195" customFormat="1" ht="12.75" customHeight="1">
      <c r="A48" s="744" t="s">
        <v>211</v>
      </c>
      <c r="B48" s="742"/>
      <c r="C48" s="742"/>
      <c r="D48" s="742"/>
      <c r="E48" s="743"/>
      <c r="F48" s="177" t="s">
        <v>123</v>
      </c>
      <c r="G48" s="196" t="s">
        <v>123</v>
      </c>
      <c r="H48" s="199" t="s">
        <v>123</v>
      </c>
      <c r="I48" s="194" t="str">
        <f>IF(G48="","введите данные ФГОС",IF(F48="","введите рекомендации УМУ",IF(H48="заполняйте учебный план","заполняйте учебный план",IF(AND(H48&lt;=F48,H48&lt;=G48),"норма","отклонение"))))</f>
        <v>норма</v>
      </c>
    </row>
    <row r="49" spans="1:9" s="195" customFormat="1" ht="12.75" customHeight="1">
      <c r="A49" s="744" t="s">
        <v>114</v>
      </c>
      <c r="B49" s="742"/>
      <c r="C49" s="742"/>
      <c r="D49" s="742"/>
      <c r="E49" s="743"/>
      <c r="F49" s="177" t="s">
        <v>123</v>
      </c>
      <c r="G49" s="196" t="s">
        <v>123</v>
      </c>
      <c r="H49" s="199" t="s">
        <v>123</v>
      </c>
      <c r="I49" s="194" t="str">
        <f>IF(G49="","введите данные ФГОС",IF(F49="","введите рекомендации УМУ",IF(H49="запоняйте учебный план","заполняйте учебный план",IF(H49="да","норма","отклонение"))))</f>
        <v>норма</v>
      </c>
    </row>
    <row r="50" spans="1:9" s="166" customFormat="1" ht="12.75">
      <c r="A50" s="180"/>
      <c r="B50" s="180"/>
      <c r="C50" s="180"/>
      <c r="D50" s="180"/>
      <c r="E50" s="180"/>
      <c r="F50" s="180"/>
      <c r="G50" s="180"/>
      <c r="H50" s="180"/>
      <c r="I50" s="180"/>
    </row>
    <row r="51" spans="1:9" s="166" customFormat="1" ht="12.75">
      <c r="A51" s="757" t="s">
        <v>89</v>
      </c>
      <c r="B51" s="757"/>
      <c r="C51" s="757"/>
      <c r="D51" s="757"/>
      <c r="E51" s="757"/>
      <c r="F51" s="757"/>
      <c r="G51" s="757"/>
      <c r="H51" s="757"/>
      <c r="I51" s="757"/>
    </row>
    <row r="52" spans="1:9" s="166" customFormat="1" ht="12.75">
      <c r="A52" s="731" t="s">
        <v>212</v>
      </c>
      <c r="B52" s="729"/>
      <c r="C52" s="729"/>
      <c r="D52" s="729"/>
      <c r="E52" s="729"/>
      <c r="F52" s="748" t="s">
        <v>503</v>
      </c>
      <c r="G52" s="749"/>
      <c r="H52" s="749"/>
      <c r="I52" s="750"/>
    </row>
    <row r="53" spans="1:9" s="166" customFormat="1" ht="12.75">
      <c r="A53" s="723"/>
      <c r="B53" s="724"/>
      <c r="C53" s="724"/>
      <c r="D53" s="724"/>
      <c r="E53" s="724"/>
      <c r="F53" s="720" t="s">
        <v>213</v>
      </c>
      <c r="G53" s="720"/>
      <c r="H53" s="720"/>
      <c r="I53" s="720"/>
    </row>
    <row r="54" spans="1:9" s="166" customFormat="1" ht="27" customHeight="1">
      <c r="A54" s="736">
        <f>A5</f>
        <v>0</v>
      </c>
      <c r="B54" s="737"/>
      <c r="C54" s="737"/>
      <c r="D54" s="737"/>
      <c r="E54" s="737"/>
      <c r="F54" s="722" t="s">
        <v>318</v>
      </c>
      <c r="G54" s="722"/>
      <c r="H54" s="722"/>
      <c r="I54" s="722"/>
    </row>
    <row r="55" spans="1:9" s="166" customFormat="1" ht="12.75">
      <c r="A55" s="180"/>
      <c r="B55" s="180"/>
      <c r="C55" s="180"/>
      <c r="D55" s="180"/>
      <c r="E55" s="180"/>
      <c r="F55" s="180"/>
      <c r="G55" s="180"/>
      <c r="H55" s="180"/>
      <c r="I55" s="180"/>
    </row>
    <row r="56" spans="1:9" s="166" customFormat="1" ht="12.75">
      <c r="A56" s="721" t="s">
        <v>90</v>
      </c>
      <c r="B56" s="721"/>
      <c r="C56" s="721"/>
      <c r="D56" s="721"/>
      <c r="E56" s="721"/>
      <c r="F56" s="721"/>
      <c r="G56" s="721"/>
      <c r="H56" s="721"/>
      <c r="I56" s="180"/>
    </row>
    <row r="57" spans="1:9" s="166" customFormat="1" ht="12.75">
      <c r="A57" s="728" t="s">
        <v>563</v>
      </c>
      <c r="B57" s="729"/>
      <c r="C57" s="729"/>
      <c r="D57" s="729"/>
      <c r="E57" s="730"/>
      <c r="F57" s="725" t="str">
        <f>'Титульный лист (очная)'!BC13</f>
        <v>22.04.2014 № 376</v>
      </c>
      <c r="G57" s="726"/>
      <c r="H57" s="727"/>
      <c r="I57" s="180"/>
    </row>
    <row r="58" spans="1:9" s="166" customFormat="1" ht="12.75">
      <c r="A58" s="731" t="s">
        <v>91</v>
      </c>
      <c r="B58" s="729"/>
      <c r="C58" s="729"/>
      <c r="D58" s="729"/>
      <c r="E58" s="730"/>
      <c r="F58" s="738">
        <v>43344</v>
      </c>
      <c r="G58" s="739"/>
      <c r="H58" s="740"/>
      <c r="I58" s="180"/>
    </row>
    <row r="60" spans="1:7" s="202" customFormat="1" ht="11.25" hidden="1">
      <c r="A60" s="201"/>
      <c r="B60" s="201"/>
      <c r="C60" s="201"/>
      <c r="D60" s="201"/>
      <c r="F60" s="203" t="s">
        <v>23</v>
      </c>
      <c r="G60" s="203" t="s">
        <v>4</v>
      </c>
    </row>
    <row r="61" spans="1:9" s="202" customFormat="1" ht="11.25" hidden="1">
      <c r="A61" s="201"/>
      <c r="B61" s="201"/>
      <c r="C61" s="201"/>
      <c r="D61" s="201"/>
      <c r="F61" s="203"/>
      <c r="G61" s="203" t="s">
        <v>122</v>
      </c>
      <c r="I61" s="204"/>
    </row>
    <row r="62" spans="1:7" s="202" customFormat="1" ht="11.25" hidden="1">
      <c r="A62" s="201"/>
      <c r="B62" s="201"/>
      <c r="C62" s="201"/>
      <c r="D62" s="201"/>
      <c r="F62" s="203" t="s">
        <v>23</v>
      </c>
      <c r="G62" s="203" t="s">
        <v>4</v>
      </c>
    </row>
    <row r="63" spans="1:7" s="202" customFormat="1" ht="11.25" hidden="1">
      <c r="A63" s="201"/>
      <c r="B63" s="201"/>
      <c r="C63" s="201"/>
      <c r="D63" s="201"/>
      <c r="F63" s="203" t="s">
        <v>219</v>
      </c>
      <c r="G63" s="203" t="s">
        <v>122</v>
      </c>
    </row>
    <row r="64" spans="1:4" s="202" customFormat="1" ht="11.25" hidden="1">
      <c r="A64" s="201"/>
      <c r="B64" s="201"/>
      <c r="C64" s="201"/>
      <c r="D64" s="201"/>
    </row>
    <row r="65" spans="1:7" s="202" customFormat="1" ht="11.25" hidden="1">
      <c r="A65" s="201"/>
      <c r="B65" s="201"/>
      <c r="C65" s="201"/>
      <c r="D65" s="734" t="s">
        <v>246</v>
      </c>
      <c r="E65" s="735"/>
      <c r="F65" s="732" t="s">
        <v>247</v>
      </c>
      <c r="G65" s="733"/>
    </row>
    <row r="66" spans="1:7" s="202" customFormat="1" ht="11.25" customHeight="1" hidden="1">
      <c r="A66" s="205" t="s">
        <v>121</v>
      </c>
      <c r="D66" s="206" t="s">
        <v>244</v>
      </c>
      <c r="E66" s="206" t="s">
        <v>245</v>
      </c>
      <c r="F66" s="206" t="s">
        <v>244</v>
      </c>
      <c r="G66" s="206" t="s">
        <v>245</v>
      </c>
    </row>
    <row r="67" spans="1:8" s="202" customFormat="1" ht="11.25" hidden="1">
      <c r="A67" s="207" t="str">
        <f>Примечание!B17</f>
        <v>Нижегородское речное училище им. И.П. Кулибина</v>
      </c>
      <c r="D67" s="208">
        <f>MAX(IF('Титульный лист (очная)'!BB24=0,0,DSUM('Учебный план (очная)'!A10:CE77,"23",D68:E69)/'Титульный лист (очная)'!BB24),IF('Титульный лист (очная)'!BC24=0,0,DSUM('Учебный план (очная)'!A10:CE77,"32",D70:E71)/'Титульный лист (очная)'!BC24),IF('Титульный лист (очная)'!BB25=0,0,DSUM('Учебный план (очная)'!A10:CE77,"41",D72:E73)/'Титульный лист (очная)'!BB25),IF('Титульный лист (очная)'!BC25=0,0,DSUM('Учебный план (очная)'!A10:CE77,"50",D74:E75)/'Титульный лист (очная)'!BC25),IF('Титульный лист (очная)'!BB26=0,0,DSUM('Учебный план (очная)'!A10:CE77,"59",D76:E77)/'Титульный лист (очная)'!BB26),IF('Титульный лист (очная)'!BC26=0,0,DSUM('Учебный план (очная)'!A10:CE77,"68",D78:E79)/'Титульный лист (очная)'!BC26),IF('Титульный лист (очная)'!BB27=0,0,DSUM('Учебный план (очная)'!A10:CE77,"77",D80:E81)/'Титульный лист (очная)'!BB27),IF('Титульный лист (очная)'!BC27=0,0,DSUM('Учебный план (очная)'!A10:CE77,"86",D82:E83)/'Титульный лист (очная)'!BC27),IF('Титульный лист (очная)'!BB28=0,0,DSUM('Учебный план (очная)'!A10:CE77,"95",D84:E85)/'Титульный лист (очная)'!BB28),IF('Титульный лист (очная)'!BC28=0,0,DSUM('Учебный план (очная)'!A10:CE77,"104",D86:E87)/'Титульный лист (очная)'!BC28))</f>
        <v>3</v>
      </c>
      <c r="E67" s="208">
        <f>MIN(IF('Титульный лист (очная)'!BB24=0,100,DSUM('Учебный план (очная)'!A10:CE77,"23",D68:E69)/'Титульный лист (очная)'!BB24),IF('Титульный лист (очная)'!BC24=0,100,DSUM('Учебный план (очная)'!A10:CE77,"32",D70:E71)/'Титульный лист (очная)'!BC24),IF('Титульный лист (очная)'!BB25=0,100,DSUM('Учебный план (очная)'!A10:CE77,"41",D72:E73)/'Титульный лист (очная)'!BB25),IF('Титульный лист (очная)'!BC25=0,100,DSUM('Учебный план (очная)'!A10:CE77,"50",D74:E75)/'Титульный лист (очная)'!BC25),IF('Титульный лист (очная)'!BB26=0,100,DSUM('Учебный план (очная)'!A10:CE77,"59",D76:E77)/'Титульный лист (очная)'!BB26),IF('Титульный лист (очная)'!BC26=0,100,DSUM('Учебный план (очная)'!A10:CE77,"68",D78:E79)/'Титульный лист (очная)'!BC26),IF('Титульный лист (очная)'!BB27=0,100,DSUM('Учебный план (очная)'!A10:CE77,"77",D80:E81)/'Титульный лист (очная)'!BB27),IF('Титульный лист (очная)'!BC27=0,100,DSUM('Учебный план (очная)'!A10:CE77,"86",D82:E83)/'Титульный лист (очная)'!BC27),IF('Титульный лист (очная)'!BB28=0,100,DSUM('Учебный план (очная)'!A10:CE77,"95",D84:E85)/'Титульный лист (очная)'!BB28),IF('Титульный лист (очная)'!BC28=0,100,DSUM('Учебный план (очная)'!A10:CE77,"104",D86:E87)/'Титульный лист (очная)'!BC28))</f>
        <v>2</v>
      </c>
      <c r="F67" s="208">
        <f>MAX(IF('Титульный лист (очная)'!BB24=0,0,DSUM('Учебный план (очная)'!A10:CE77,"28",F68:G69)/'Титульный лист (очная)'!BB24),IF('Титульный лист (очная)'!BC24=0,0,DSUM('Учебный план (очная)'!A10:CE77,"37",F70:G71)/'Титульный лист (очная)'!BC24),IF('Титульный лист (очная)'!BB25=0,0,DSUM('Учебный план (очная)'!A10:CE77,"46",F72:G73)/'Титульный лист (очная)'!BB25),IF('Титульный лист (очная)'!BC25=0,0,DSUM('Учебный план (очная)'!A10:CE77,"55",F74:G75)/'Титульный лист (очная)'!BC25),IF('Титульный лист (очная)'!BB26=0,0,DSUM('Учебный план (очная)'!A10:CE77,"64",F76:G77)/'Титульный лист (очная)'!BB26),IF('Титульный лист (очная)'!BC26=0,0,DSUM('Учебный план (очная)'!A10:CE77,"73",F78:G79)/'Титульный лист (очная)'!BC26),IF('Титульный лист (очная)'!BB27=0,0,DSUM('Учебный план (очная)'!A10:CE77,"82",F80:G81)/'Титульный лист (очная)'!BB27),IF('Титульный лист (очная)'!BC27=0,0,DSUM('Учебный план (очная)'!A10:CE77,"91",F82:G83)/'Титульный лист (очная)'!BC27),IF('Титульный лист (очная)'!BB28=0,0,DSUM('Учебный план (очная)'!A10:CE77,"100",F84:G85)/'Титульный лист (очная)'!BB28),IF('Титульный лист (очная)'!BC28=0,0,DSUM('Учебный план (очная)'!A10:CE77,"109",F86:G87)/'Титульный лист (очная)'!BC28))</f>
        <v>2</v>
      </c>
      <c r="G67" s="208">
        <f>MIN(IF('Титульный лист (очная)'!BB24=0,100,DSUM('Учебный план (очная)'!A10:CE77,"28",F68:G69)/'Титульный лист (очная)'!BB24),IF('Титульный лист (очная)'!BC24=0,100,DSUM('Учебный план (очная)'!A10:CE77,"37",F70:G71)/'Титульный лист (очная)'!BC24),IF('Титульный лист (очная)'!BB25=0,100,DSUM('Учебный план (очная)'!A10:CE77,"46",F72:G73)/'Титульный лист (очная)'!BB25),IF('Титульный лист (очная)'!BC25=0,100,DSUM('Учебный план (очная)'!A10:CE77,"55",F74:G75)/'Титульный лист (очная)'!BC25),IF('Титульный лист (очная)'!BB26=0,100,DSUM('Учебный план (очная)'!A10:CE77,"64",F76:G77)/'Титульный лист (очная)'!BB26),IF('Титульный лист (очная)'!BC26=0,100,DSUM('Учебный план (очная)'!A10:CE77,"73",F78:G79)/'Титульный лист (очная)'!BC26),IF('Титульный лист (очная)'!BB27=0,100,DSUM('Учебный план (очная)'!A10:CE77,"82",F80:G81)/'Титульный лист (очная)'!BB27),IF('Титульный лист (очная)'!BC27=0,100,DSUM('Учебный план (очная)'!A10:CE77,"91",F82:G83)/'Титульный лист (очная)'!BC27),IF('Титульный лист (очная)'!BB28=0,100,DSUM('Учебный план (очная)'!A10:CE77,"100",F84:G85)/'Титульный лист (очная)'!BB28),IF('Титульный лист (очная)'!BC28=0,100,DSUM('Учебный план (очная)'!A10:CE77,"109",F86:G87)/'Титульный лист (очная)'!BC28))</f>
        <v>1.5</v>
      </c>
      <c r="H67" s="209"/>
    </row>
    <row r="68" spans="1:7" s="202" customFormat="1" ht="11.25" hidden="1">
      <c r="A68" s="207" t="str">
        <f>Примечание!B18</f>
        <v>Управление конвенционной подготовки и повышения квалификации</v>
      </c>
      <c r="D68" s="210">
        <v>2</v>
      </c>
      <c r="E68" s="210">
        <v>23</v>
      </c>
      <c r="F68" s="210">
        <v>2</v>
      </c>
      <c r="G68" s="210">
        <v>28</v>
      </c>
    </row>
    <row r="69" spans="1:7" s="202" customFormat="1" ht="22.5" hidden="1">
      <c r="A69" s="352" t="s">
        <v>503</v>
      </c>
      <c r="D69" s="210" t="s">
        <v>6</v>
      </c>
      <c r="E69" s="210" t="s">
        <v>122</v>
      </c>
      <c r="F69" s="210" t="s">
        <v>6</v>
      </c>
      <c r="G69" s="210" t="s">
        <v>122</v>
      </c>
    </row>
    <row r="70" spans="1:7" s="202" customFormat="1" ht="11.25" hidden="1">
      <c r="A70" s="207" t="e">
        <f>Примечание!#REF!</f>
        <v>#REF!</v>
      </c>
      <c r="D70" s="210">
        <v>2</v>
      </c>
      <c r="E70" s="210">
        <v>32</v>
      </c>
      <c r="F70" s="210">
        <v>2</v>
      </c>
      <c r="G70" s="210">
        <v>37</v>
      </c>
    </row>
    <row r="71" spans="1:10" s="202" customFormat="1" ht="22.5" hidden="1">
      <c r="A71" s="207" t="e">
        <f>Примечание!#REF!</f>
        <v>#REF!</v>
      </c>
      <c r="D71" s="210" t="s">
        <v>6</v>
      </c>
      <c r="E71" s="210" t="s">
        <v>122</v>
      </c>
      <c r="F71" s="210" t="s">
        <v>6</v>
      </c>
      <c r="G71" s="210" t="s">
        <v>122</v>
      </c>
      <c r="H71" s="209"/>
      <c r="I71" s="209"/>
      <c r="J71" s="209"/>
    </row>
    <row r="72" spans="1:7" s="202" customFormat="1" ht="11.25" hidden="1">
      <c r="A72" s="207" t="e">
        <f>Примечание!#REF!</f>
        <v>#REF!</v>
      </c>
      <c r="D72" s="210">
        <v>2</v>
      </c>
      <c r="E72" s="210">
        <v>41</v>
      </c>
      <c r="F72" s="210">
        <v>2</v>
      </c>
      <c r="G72" s="210">
        <v>46</v>
      </c>
    </row>
    <row r="73" spans="1:7" s="202" customFormat="1" ht="22.5" hidden="1">
      <c r="A73" s="207" t="e">
        <f>Примечание!#REF!</f>
        <v>#REF!</v>
      </c>
      <c r="D73" s="210" t="s">
        <v>6</v>
      </c>
      <c r="E73" s="210" t="s">
        <v>122</v>
      </c>
      <c r="F73" s="210" t="s">
        <v>6</v>
      </c>
      <c r="G73" s="210" t="s">
        <v>122</v>
      </c>
    </row>
    <row r="74" spans="1:7" s="202" customFormat="1" ht="11.25" hidden="1">
      <c r="A74" s="207" t="e">
        <f>Примечание!#REF!</f>
        <v>#REF!</v>
      </c>
      <c r="D74" s="210">
        <v>2</v>
      </c>
      <c r="E74" s="210">
        <v>50</v>
      </c>
      <c r="F74" s="210">
        <v>2</v>
      </c>
      <c r="G74" s="210">
        <v>55</v>
      </c>
    </row>
    <row r="75" spans="1:7" s="202" customFormat="1" ht="22.5" hidden="1">
      <c r="A75" s="207" t="e">
        <f>Примечание!#REF!</f>
        <v>#REF!</v>
      </c>
      <c r="D75" s="210" t="s">
        <v>6</v>
      </c>
      <c r="E75" s="210" t="s">
        <v>122</v>
      </c>
      <c r="F75" s="210" t="s">
        <v>6</v>
      </c>
      <c r="G75" s="210" t="s">
        <v>122</v>
      </c>
    </row>
    <row r="76" spans="1:7" s="202" customFormat="1" ht="11.25" hidden="1">
      <c r="A76" s="207" t="e">
        <f>Примечание!#REF!</f>
        <v>#REF!</v>
      </c>
      <c r="D76" s="210">
        <v>2</v>
      </c>
      <c r="E76" s="210">
        <v>59</v>
      </c>
      <c r="F76" s="210">
        <v>2</v>
      </c>
      <c r="G76" s="210">
        <v>64</v>
      </c>
    </row>
    <row r="77" spans="4:7" s="202" customFormat="1" ht="22.5" hidden="1">
      <c r="D77" s="210" t="s">
        <v>6</v>
      </c>
      <c r="E77" s="210" t="s">
        <v>122</v>
      </c>
      <c r="F77" s="210" t="s">
        <v>6</v>
      </c>
      <c r="G77" s="210" t="s">
        <v>122</v>
      </c>
    </row>
    <row r="78" spans="1:7" s="202" customFormat="1" ht="11.25" hidden="1">
      <c r="A78" s="718" t="s">
        <v>241</v>
      </c>
      <c r="B78" s="719"/>
      <c r="D78" s="210">
        <v>2</v>
      </c>
      <c r="E78" s="210">
        <v>68</v>
      </c>
      <c r="F78" s="210">
        <v>2</v>
      </c>
      <c r="G78" s="210">
        <v>73</v>
      </c>
    </row>
    <row r="79" spans="1:7" s="202" customFormat="1" ht="22.5" hidden="1">
      <c r="A79" s="207" t="str">
        <f>Примечание!B3</f>
        <v>Методическая комиссия общего гуманитарного и социально-экономического цикла</v>
      </c>
      <c r="B79" s="211" t="str">
        <f>Примечание!C3</f>
        <v>64 - 1</v>
      </c>
      <c r="D79" s="210" t="s">
        <v>6</v>
      </c>
      <c r="E79" s="210" t="s">
        <v>122</v>
      </c>
      <c r="F79" s="210" t="s">
        <v>6</v>
      </c>
      <c r="G79" s="210" t="s">
        <v>122</v>
      </c>
    </row>
    <row r="80" spans="1:7" s="202" customFormat="1" ht="22.5" hidden="1">
      <c r="A80" s="207" t="str">
        <f>Примечание!B4</f>
        <v>Методическая комиссия математического и общего естественнонаучного цикла</v>
      </c>
      <c r="B80" s="211" t="str">
        <f>Примечание!C4</f>
        <v>64 - 2</v>
      </c>
      <c r="D80" s="210">
        <v>2</v>
      </c>
      <c r="E80" s="210">
        <v>77</v>
      </c>
      <c r="F80" s="210">
        <v>2</v>
      </c>
      <c r="G80" s="210">
        <v>82</v>
      </c>
    </row>
    <row r="81" spans="1:7" s="202" customFormat="1" ht="22.5" hidden="1">
      <c r="A81" s="207" t="str">
        <f>Примечание!B6</f>
        <v>Методическая комиссия профессионального цикла "Судовождение"</v>
      </c>
      <c r="B81" s="211" t="str">
        <f>Примечание!C6</f>
        <v>64 - 4</v>
      </c>
      <c r="D81" s="210" t="s">
        <v>6</v>
      </c>
      <c r="E81" s="210" t="s">
        <v>122</v>
      </c>
      <c r="F81" s="210" t="s">
        <v>6</v>
      </c>
      <c r="G81" s="210" t="s">
        <v>122</v>
      </c>
    </row>
    <row r="82" spans="1:7" s="202" customFormat="1" ht="22.5" hidden="1">
      <c r="A82" s="207" t="str">
        <f>Примечание!B7</f>
        <v>Методическая комиссия профессионального цикла "Эксплуатация судовых энергетических установок"</v>
      </c>
      <c r="B82" s="211" t="str">
        <f>Примечание!C7</f>
        <v>64 - 5</v>
      </c>
      <c r="D82" s="210">
        <v>2</v>
      </c>
      <c r="E82" s="210">
        <v>86</v>
      </c>
      <c r="F82" s="210">
        <v>2</v>
      </c>
      <c r="G82" s="210">
        <v>91</v>
      </c>
    </row>
    <row r="83" spans="1:7" s="202" customFormat="1" ht="22.5" hidden="1">
      <c r="A83" s="207" t="str">
        <f>Примечание!B8</f>
        <v>Методическая комиссия профессионального цикла "Эксплуатация судового электрооборудования и средств автоматики"</v>
      </c>
      <c r="B83" s="211" t="str">
        <f>Примечание!C8</f>
        <v>64 - 6</v>
      </c>
      <c r="D83" s="210" t="s">
        <v>6</v>
      </c>
      <c r="E83" s="210" t="s">
        <v>122</v>
      </c>
      <c r="F83" s="210" t="s">
        <v>6</v>
      </c>
      <c r="G83" s="210" t="s">
        <v>122</v>
      </c>
    </row>
    <row r="84" spans="1:7" s="202" customFormat="1" ht="22.5" hidden="1">
      <c r="A84" s="207" t="str">
        <f>Примечание!B9</f>
        <v>Методическая комиссия профессионального цикла "Эксплуатация внутренних водных путей"</v>
      </c>
      <c r="B84" s="211" t="str">
        <f>Примечание!C9</f>
        <v>64 - 7</v>
      </c>
      <c r="D84" s="210">
        <v>2</v>
      </c>
      <c r="E84" s="210">
        <v>95</v>
      </c>
      <c r="F84" s="210">
        <v>2</v>
      </c>
      <c r="G84" s="210">
        <v>100</v>
      </c>
    </row>
    <row r="85" spans="1:7" s="202" customFormat="1" ht="22.5" hidden="1">
      <c r="A85" s="207" t="str">
        <f>Примечание!B12</f>
        <v>Кафедра теории конструирования инженерных сооружений</v>
      </c>
      <c r="B85" s="211">
        <f>Примечание!C12</f>
        <v>31</v>
      </c>
      <c r="D85" s="210" t="s">
        <v>6</v>
      </c>
      <c r="E85" s="210" t="s">
        <v>122</v>
      </c>
      <c r="F85" s="210" t="s">
        <v>6</v>
      </c>
      <c r="G85" s="210" t="s">
        <v>122</v>
      </c>
    </row>
    <row r="86" spans="1:7" s="202" customFormat="1" ht="11.25" hidden="1">
      <c r="A86" s="207" t="e">
        <f>Примечание!#REF!</f>
        <v>#REF!</v>
      </c>
      <c r="B86" s="211" t="e">
        <f>Примечание!#REF!</f>
        <v>#REF!</v>
      </c>
      <c r="D86" s="210">
        <v>2</v>
      </c>
      <c r="E86" s="210">
        <v>104</v>
      </c>
      <c r="F86" s="210">
        <v>2</v>
      </c>
      <c r="G86" s="210">
        <v>109</v>
      </c>
    </row>
    <row r="87" spans="1:7" s="202" customFormat="1" ht="22.5" hidden="1">
      <c r="A87" s="207" t="e">
        <f>Примечание!#REF!</f>
        <v>#REF!</v>
      </c>
      <c r="B87" s="211" t="e">
        <f>Примечание!#REF!</f>
        <v>#REF!</v>
      </c>
      <c r="D87" s="210" t="s">
        <v>6</v>
      </c>
      <c r="E87" s="210" t="s">
        <v>122</v>
      </c>
      <c r="F87" s="210" t="s">
        <v>6</v>
      </c>
      <c r="G87" s="210" t="s">
        <v>122</v>
      </c>
    </row>
    <row r="88" spans="1:2" s="202" customFormat="1" ht="11.25" hidden="1">
      <c r="A88" s="207" t="e">
        <f>Примечание!#REF!</f>
        <v>#REF!</v>
      </c>
      <c r="B88" s="211" t="e">
        <f>Примечание!#REF!</f>
        <v>#REF!</v>
      </c>
    </row>
    <row r="89" spans="1:2" s="202" customFormat="1" ht="11.25" hidden="1">
      <c r="A89" s="207" t="e">
        <f>Примечание!#REF!</f>
        <v>#REF!</v>
      </c>
      <c r="B89" s="211" t="e">
        <f>Примечание!#REF!</f>
        <v>#REF!</v>
      </c>
    </row>
    <row r="90" spans="1:2" s="202" customFormat="1" ht="11.25" hidden="1">
      <c r="A90" s="207" t="e">
        <f>Примечание!#REF!</f>
        <v>#REF!</v>
      </c>
      <c r="B90" s="211" t="e">
        <f>Примечание!#REF!</f>
        <v>#REF!</v>
      </c>
    </row>
    <row r="91" spans="1:2" s="202" customFormat="1" ht="11.25" hidden="1">
      <c r="A91" s="207" t="e">
        <f>Примечание!#REF!</f>
        <v>#REF!</v>
      </c>
      <c r="B91" s="211" t="e">
        <f>Примечание!#REF!</f>
        <v>#REF!</v>
      </c>
    </row>
    <row r="92" spans="1:2" s="202" customFormat="1" ht="11.25" hidden="1">
      <c r="A92" s="207" t="e">
        <f>Примечание!#REF!</f>
        <v>#REF!</v>
      </c>
      <c r="B92" s="211" t="e">
        <f>Примечание!#REF!</f>
        <v>#REF!</v>
      </c>
    </row>
    <row r="93" spans="1:2" s="202" customFormat="1" ht="11.25" hidden="1">
      <c r="A93" s="207" t="e">
        <f>Примечание!#REF!</f>
        <v>#REF!</v>
      </c>
      <c r="B93" s="211" t="e">
        <f>Примечание!#REF!</f>
        <v>#REF!</v>
      </c>
    </row>
    <row r="94" spans="1:2" s="202" customFormat="1" ht="11.25" hidden="1">
      <c r="A94" s="207" t="e">
        <f>Примечание!#REF!</f>
        <v>#REF!</v>
      </c>
      <c r="B94" s="211" t="e">
        <f>Примечание!#REF!</f>
        <v>#REF!</v>
      </c>
    </row>
    <row r="95" spans="1:2" s="202" customFormat="1" ht="11.25" hidden="1">
      <c r="A95" s="207" t="e">
        <f>Примечание!#REF!</f>
        <v>#REF!</v>
      </c>
      <c r="B95" s="211" t="e">
        <f>Примечание!#REF!</f>
        <v>#REF!</v>
      </c>
    </row>
    <row r="96" spans="1:7" s="202" customFormat="1" ht="12.75" hidden="1">
      <c r="A96" s="207" t="e">
        <f>Примечание!#REF!</f>
        <v>#REF!</v>
      </c>
      <c r="B96" s="211" t="e">
        <f>Примечание!#REF!</f>
        <v>#REF!</v>
      </c>
      <c r="D96" s="200"/>
      <c r="E96" s="200"/>
      <c r="F96" s="200"/>
      <c r="G96" s="200"/>
    </row>
    <row r="97" spans="1:7" s="202" customFormat="1" ht="12.75" hidden="1">
      <c r="A97" s="207" t="e">
        <f>Примечание!#REF!</f>
        <v>#REF!</v>
      </c>
      <c r="B97" s="211" t="e">
        <f>Примечание!#REF!</f>
        <v>#REF!</v>
      </c>
      <c r="D97" s="200"/>
      <c r="E97" s="200"/>
      <c r="F97" s="200"/>
      <c r="G97" s="200"/>
    </row>
    <row r="98" spans="1:7" s="202" customFormat="1" ht="12.75" hidden="1">
      <c r="A98" s="207" t="e">
        <f>Примечание!#REF!</f>
        <v>#REF!</v>
      </c>
      <c r="B98" s="211" t="e">
        <f>Примечание!#REF!</f>
        <v>#REF!</v>
      </c>
      <c r="D98" s="200"/>
      <c r="E98" s="200"/>
      <c r="F98" s="200"/>
      <c r="G98" s="200"/>
    </row>
    <row r="99" ht="12.75" hidden="1"/>
  </sheetData>
  <sheetProtection selectLockedCells="1" selectUnlockedCells="1"/>
  <mergeCells count="63">
    <mergeCell ref="A51:I51"/>
    <mergeCell ref="A30:E30"/>
    <mergeCell ref="A32:E32"/>
    <mergeCell ref="A49:E49"/>
    <mergeCell ref="A38:E38"/>
    <mergeCell ref="A33:E33"/>
    <mergeCell ref="A48:E48"/>
    <mergeCell ref="A42:E42"/>
    <mergeCell ref="A31:E31"/>
    <mergeCell ref="A41:E41"/>
    <mergeCell ref="A47:E47"/>
    <mergeCell ref="A35:E35"/>
    <mergeCell ref="A27:E27"/>
    <mergeCell ref="A46:E46"/>
    <mergeCell ref="A45:E45"/>
    <mergeCell ref="A43:E43"/>
    <mergeCell ref="A28:E28"/>
    <mergeCell ref="A17:C17"/>
    <mergeCell ref="A18:C18"/>
    <mergeCell ref="A1:I1"/>
    <mergeCell ref="F2:G2"/>
    <mergeCell ref="D2:E2"/>
    <mergeCell ref="H2:I2"/>
    <mergeCell ref="A2:C3"/>
    <mergeCell ref="A6:C6"/>
    <mergeCell ref="A7:C7"/>
    <mergeCell ref="A9:C9"/>
    <mergeCell ref="A21:C21"/>
    <mergeCell ref="A29:E29"/>
    <mergeCell ref="A25:E25"/>
    <mergeCell ref="A22:C22"/>
    <mergeCell ref="A26:E26"/>
    <mergeCell ref="A19:C19"/>
    <mergeCell ref="A24:I24"/>
    <mergeCell ref="A20:C20"/>
    <mergeCell ref="A54:E54"/>
    <mergeCell ref="F58:H58"/>
    <mergeCell ref="A34:E34"/>
    <mergeCell ref="A36:E36"/>
    <mergeCell ref="A40:E40"/>
    <mergeCell ref="A37:E37"/>
    <mergeCell ref="A52:E52"/>
    <mergeCell ref="A39:E39"/>
    <mergeCell ref="F52:I52"/>
    <mergeCell ref="A44:E44"/>
    <mergeCell ref="A78:B78"/>
    <mergeCell ref="F53:I53"/>
    <mergeCell ref="A56:H56"/>
    <mergeCell ref="F54:I54"/>
    <mergeCell ref="A53:E53"/>
    <mergeCell ref="F57:H57"/>
    <mergeCell ref="A57:E57"/>
    <mergeCell ref="A58:E58"/>
    <mergeCell ref="F65:G65"/>
    <mergeCell ref="D65:E65"/>
    <mergeCell ref="A8:C8"/>
    <mergeCell ref="A10:C10"/>
    <mergeCell ref="A11:C11"/>
    <mergeCell ref="A16:C16"/>
    <mergeCell ref="A15:C15"/>
    <mergeCell ref="A13:C13"/>
    <mergeCell ref="A14:C14"/>
    <mergeCell ref="A12:C12"/>
  </mergeCells>
  <conditionalFormatting sqref="H6:I22 I26:I49">
    <cfRule type="cellIs" priority="1" dxfId="0" operator="equal" stopIfTrue="1">
      <formula>"норма"</formula>
    </cfRule>
  </conditionalFormatting>
  <dataValidations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scale="94" r:id="rId1"/>
  <headerFooter alignWithMargins="0">
    <oddFooter>&amp;L&amp;F&amp;C&amp;A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zoomScalePageLayoutView="0" workbookViewId="0" topLeftCell="A13">
      <selection activeCell="D13" sqref="D13"/>
    </sheetView>
  </sheetViews>
  <sheetFormatPr defaultColWidth="36" defaultRowHeight="12.75"/>
  <cols>
    <col min="1" max="1" width="4.5" style="92" customWidth="1"/>
    <col min="2" max="2" width="94.66015625" style="92" customWidth="1"/>
    <col min="3" max="3" width="51.5" style="92" customWidth="1"/>
    <col min="4" max="16384" width="36" style="92" customWidth="1"/>
  </cols>
  <sheetData>
    <row r="1" spans="1:3" ht="12.75">
      <c r="A1" s="771" t="s">
        <v>127</v>
      </c>
      <c r="B1" s="771"/>
      <c r="C1" s="771"/>
    </row>
    <row r="2" spans="1:3" ht="12.75">
      <c r="A2" s="212" t="s">
        <v>35</v>
      </c>
      <c r="B2" s="212" t="s">
        <v>128</v>
      </c>
      <c r="C2" s="212" t="s">
        <v>36</v>
      </c>
    </row>
    <row r="3" spans="1:3" ht="12.75">
      <c r="A3" s="221">
        <v>1</v>
      </c>
      <c r="B3" s="213" t="s">
        <v>446</v>
      </c>
      <c r="C3" s="302" t="s">
        <v>450</v>
      </c>
    </row>
    <row r="4" spans="1:3" ht="12.75">
      <c r="A4" s="221">
        <v>2</v>
      </c>
      <c r="B4" s="213" t="s">
        <v>447</v>
      </c>
      <c r="C4" s="302" t="s">
        <v>451</v>
      </c>
    </row>
    <row r="5" spans="1:3" ht="12.75">
      <c r="A5" s="221">
        <v>3</v>
      </c>
      <c r="B5" s="213" t="s">
        <v>448</v>
      </c>
      <c r="C5" s="302" t="s">
        <v>452</v>
      </c>
    </row>
    <row r="6" spans="1:4" ht="12.75">
      <c r="A6" s="221">
        <v>4</v>
      </c>
      <c r="B6" s="213" t="s">
        <v>449</v>
      </c>
      <c r="C6" s="302" t="s">
        <v>453</v>
      </c>
      <c r="D6" s="227"/>
    </row>
    <row r="7" spans="1:3" ht="25.5">
      <c r="A7" s="221">
        <v>5</v>
      </c>
      <c r="B7" s="213" t="s">
        <v>461</v>
      </c>
      <c r="C7" s="302" t="s">
        <v>454</v>
      </c>
    </row>
    <row r="8" spans="1:3" ht="25.5">
      <c r="A8" s="221">
        <v>6</v>
      </c>
      <c r="B8" s="213" t="s">
        <v>462</v>
      </c>
      <c r="C8" s="302" t="s">
        <v>455</v>
      </c>
    </row>
    <row r="9" spans="1:3" ht="12.75">
      <c r="A9" s="221">
        <v>7</v>
      </c>
      <c r="B9" s="213" t="s">
        <v>463</v>
      </c>
      <c r="C9" s="302" t="s">
        <v>456</v>
      </c>
    </row>
    <row r="10" spans="1:3" ht="12.75">
      <c r="A10" s="221">
        <v>8</v>
      </c>
      <c r="B10" s="213" t="s">
        <v>464</v>
      </c>
      <c r="C10" s="302" t="s">
        <v>457</v>
      </c>
    </row>
    <row r="11" spans="1:3" ht="25.5">
      <c r="A11" s="221">
        <v>9</v>
      </c>
      <c r="B11" s="213" t="s">
        <v>465</v>
      </c>
      <c r="C11" s="302" t="s">
        <v>458</v>
      </c>
    </row>
    <row r="12" spans="1:3" ht="12.75">
      <c r="A12" s="221">
        <v>10</v>
      </c>
      <c r="B12" s="305" t="s">
        <v>459</v>
      </c>
      <c r="C12" s="303">
        <v>31</v>
      </c>
    </row>
    <row r="13" spans="1:3" ht="12.75">
      <c r="A13" s="221">
        <v>11</v>
      </c>
      <c r="B13" s="306" t="s">
        <v>460</v>
      </c>
      <c r="C13" s="304">
        <v>33</v>
      </c>
    </row>
    <row r="15" spans="1:3" ht="12.75">
      <c r="A15" s="771" t="s">
        <v>120</v>
      </c>
      <c r="B15" s="771"/>
      <c r="C15" s="771"/>
    </row>
    <row r="16" spans="1:3" ht="12.75">
      <c r="A16" s="212" t="s">
        <v>35</v>
      </c>
      <c r="B16" s="212" t="s">
        <v>129</v>
      </c>
      <c r="C16" s="212" t="s">
        <v>36</v>
      </c>
    </row>
    <row r="17" spans="1:3" ht="12.75">
      <c r="A17" s="221">
        <v>1</v>
      </c>
      <c r="B17" s="213" t="s">
        <v>444</v>
      </c>
      <c r="C17" s="214">
        <v>64</v>
      </c>
    </row>
    <row r="18" spans="1:3" ht="12.75">
      <c r="A18" s="221">
        <v>2</v>
      </c>
      <c r="B18" s="213" t="s">
        <v>445</v>
      </c>
      <c r="C18" s="214">
        <v>5</v>
      </c>
    </row>
    <row r="20" spans="1:3" ht="12.75">
      <c r="A20" s="771" t="s">
        <v>95</v>
      </c>
      <c r="B20" s="771"/>
      <c r="C20" s="771"/>
    </row>
    <row r="21" spans="1:3" ht="12.75">
      <c r="A21" s="212" t="s">
        <v>35</v>
      </c>
      <c r="B21" s="212" t="s">
        <v>8</v>
      </c>
      <c r="C21" s="212" t="s">
        <v>96</v>
      </c>
    </row>
    <row r="22" spans="1:3" ht="12.75">
      <c r="A22" s="221">
        <v>1</v>
      </c>
      <c r="B22" s="220" t="s">
        <v>178</v>
      </c>
      <c r="C22" s="219" t="s">
        <v>177</v>
      </c>
    </row>
    <row r="24" spans="1:3" ht="12.75" customHeight="1" hidden="1">
      <c r="A24" s="770" t="s">
        <v>311</v>
      </c>
      <c r="B24" s="770"/>
      <c r="C24" s="770"/>
    </row>
    <row r="25" spans="1:3" ht="12.75" hidden="1">
      <c r="A25" s="216" t="s">
        <v>35</v>
      </c>
      <c r="B25" s="216" t="s">
        <v>312</v>
      </c>
      <c r="C25" s="216" t="s">
        <v>313</v>
      </c>
    </row>
    <row r="26" spans="1:3" ht="12.75" hidden="1">
      <c r="A26" s="216">
        <v>1</v>
      </c>
      <c r="B26" s="215" t="s">
        <v>255</v>
      </c>
      <c r="C26" s="214" t="s">
        <v>154</v>
      </c>
    </row>
    <row r="27" spans="1:3" ht="12.75" hidden="1">
      <c r="A27" s="216">
        <v>2</v>
      </c>
      <c r="B27" s="215" t="s">
        <v>260</v>
      </c>
      <c r="C27" s="214" t="s">
        <v>155</v>
      </c>
    </row>
    <row r="28" spans="1:3" ht="12.75" hidden="1">
      <c r="A28" s="216">
        <v>3</v>
      </c>
      <c r="B28" s="215" t="s">
        <v>262</v>
      </c>
      <c r="C28" s="214" t="s">
        <v>156</v>
      </c>
    </row>
    <row r="29" spans="1:3" ht="12.75" hidden="1">
      <c r="A29" s="216">
        <v>4</v>
      </c>
      <c r="B29" s="215" t="s">
        <v>264</v>
      </c>
      <c r="C29" s="214" t="s">
        <v>157</v>
      </c>
    </row>
    <row r="30" ht="12.75" hidden="1"/>
    <row r="31" spans="1:3" ht="12.75" customHeight="1">
      <c r="A31" s="770" t="s">
        <v>314</v>
      </c>
      <c r="B31" s="770"/>
      <c r="C31" s="770"/>
    </row>
    <row r="32" spans="1:3" ht="12.75">
      <c r="A32" s="216" t="s">
        <v>35</v>
      </c>
      <c r="B32" s="216" t="s">
        <v>315</v>
      </c>
      <c r="C32" s="216" t="s">
        <v>313</v>
      </c>
    </row>
    <row r="33" spans="1:3" ht="12.75">
      <c r="A33" s="216">
        <v>1</v>
      </c>
      <c r="B33" s="215" t="s">
        <v>316</v>
      </c>
      <c r="C33" s="214" t="s">
        <v>157</v>
      </c>
    </row>
    <row r="34" spans="1:3" ht="12.75">
      <c r="A34" s="216">
        <v>2</v>
      </c>
      <c r="B34" s="213" t="s">
        <v>488</v>
      </c>
      <c r="C34" s="351" t="s">
        <v>489</v>
      </c>
    </row>
    <row r="35" spans="1:3" ht="12.75">
      <c r="A35" s="216">
        <v>3</v>
      </c>
      <c r="B35" s="213" t="s">
        <v>490</v>
      </c>
      <c r="C35" s="351" t="s">
        <v>156</v>
      </c>
    </row>
    <row r="36" spans="1:3" ht="12.75">
      <c r="A36" s="216">
        <v>4</v>
      </c>
      <c r="B36" s="213" t="s">
        <v>491</v>
      </c>
      <c r="C36" s="351" t="s">
        <v>493</v>
      </c>
    </row>
    <row r="38" spans="1:3" ht="12.75" customHeight="1">
      <c r="A38" s="770" t="s">
        <v>350</v>
      </c>
      <c r="B38" s="770"/>
      <c r="C38" s="770"/>
    </row>
    <row r="39" spans="1:3" ht="12.75">
      <c r="A39" s="216" t="s">
        <v>35</v>
      </c>
      <c r="B39" s="216" t="s">
        <v>312</v>
      </c>
      <c r="C39" s="217" t="s">
        <v>377</v>
      </c>
    </row>
    <row r="40" spans="1:3" ht="12.75">
      <c r="A40" s="216">
        <v>1</v>
      </c>
      <c r="B40" s="106" t="s">
        <v>466</v>
      </c>
      <c r="C40" s="107" t="s">
        <v>397</v>
      </c>
    </row>
    <row r="41" spans="1:3" ht="12.75">
      <c r="A41" s="216">
        <v>2</v>
      </c>
      <c r="B41" s="107" t="s">
        <v>467</v>
      </c>
      <c r="C41" s="213" t="s">
        <v>398</v>
      </c>
    </row>
    <row r="42" spans="1:3" ht="12.75">
      <c r="A42" s="216">
        <v>3</v>
      </c>
      <c r="B42" s="107" t="s">
        <v>468</v>
      </c>
      <c r="C42" s="213" t="s">
        <v>399</v>
      </c>
    </row>
    <row r="43" spans="1:3" ht="12.75">
      <c r="A43" s="216">
        <v>4</v>
      </c>
      <c r="B43" s="107" t="s">
        <v>478</v>
      </c>
      <c r="C43" s="107" t="s">
        <v>477</v>
      </c>
    </row>
    <row r="44" spans="1:3" ht="12.75">
      <c r="A44" s="216"/>
      <c r="B44" s="107" t="s">
        <v>502</v>
      </c>
      <c r="C44" s="107" t="s">
        <v>477</v>
      </c>
    </row>
    <row r="45" spans="1:3" ht="12.75">
      <c r="A45" s="216">
        <v>5</v>
      </c>
      <c r="B45" s="107" t="s">
        <v>479</v>
      </c>
      <c r="C45" s="213" t="s">
        <v>480</v>
      </c>
    </row>
    <row r="46" spans="1:3" ht="12.75">
      <c r="A46" s="216">
        <v>7</v>
      </c>
      <c r="B46" s="107" t="s">
        <v>494</v>
      </c>
      <c r="C46" s="213" t="s">
        <v>482</v>
      </c>
    </row>
    <row r="47" spans="1:3" ht="12.75">
      <c r="A47" s="216"/>
      <c r="B47" s="107" t="s">
        <v>495</v>
      </c>
      <c r="C47" s="213" t="s">
        <v>481</v>
      </c>
    </row>
    <row r="48" spans="1:3" ht="12.75">
      <c r="A48" s="216">
        <v>8</v>
      </c>
      <c r="B48" s="107" t="s">
        <v>496</v>
      </c>
      <c r="C48" s="213" t="s">
        <v>483</v>
      </c>
    </row>
    <row r="50" spans="2:3" ht="54" customHeight="1">
      <c r="B50" s="769" t="s">
        <v>400</v>
      </c>
      <c r="C50" s="769"/>
    </row>
    <row r="52" spans="2:3" ht="31.5" customHeight="1">
      <c r="B52" s="768" t="s">
        <v>345</v>
      </c>
      <c r="C52" s="768"/>
    </row>
  </sheetData>
  <sheetProtection formatCells="0" formatColumns="0" formatRows="0" insertColumns="0" insertRows="0" insertHyperlinks="0" deleteColumns="0" deleteRows="0" sort="0" autoFilter="0" pivotTables="0"/>
  <mergeCells count="8">
    <mergeCell ref="B52:C52"/>
    <mergeCell ref="B50:C50"/>
    <mergeCell ref="A38:C38"/>
    <mergeCell ref="A31:C31"/>
    <mergeCell ref="A1:C1"/>
    <mergeCell ref="A20:C20"/>
    <mergeCell ref="A15:C15"/>
    <mergeCell ref="A24:C24"/>
  </mergeCells>
  <printOptions horizontalCentered="1"/>
  <pageMargins left="0" right="0" top="0.5905511811023623" bottom="0.3937007874015748" header="0.11811023622047245" footer="0.11811023622047245"/>
  <pageSetup fitToHeight="10" fitToWidth="1" horizontalDpi="600" verticalDpi="600" orientation="landscape" paperSize="8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="80" zoomScaleNormal="80" zoomScalePageLayoutView="0" workbookViewId="0" topLeftCell="A1">
      <selection activeCell="B11" sqref="B11"/>
    </sheetView>
  </sheetViews>
  <sheetFormatPr defaultColWidth="9.33203125" defaultRowHeight="12.75"/>
  <cols>
    <col min="1" max="1" width="9.33203125" style="92" customWidth="1"/>
    <col min="2" max="2" width="100.83203125" style="92" customWidth="1"/>
    <col min="3" max="4" width="9.33203125" style="92" customWidth="1"/>
    <col min="5" max="5" width="100.83203125" style="92" customWidth="1"/>
    <col min="6" max="16384" width="9.33203125" style="92" customWidth="1"/>
  </cols>
  <sheetData>
    <row r="1" spans="1:5" ht="12.75">
      <c r="A1" s="772" t="s">
        <v>124</v>
      </c>
      <c r="B1" s="772"/>
      <c r="D1" s="772" t="s">
        <v>0</v>
      </c>
      <c r="E1" s="772"/>
    </row>
    <row r="2" spans="1:5" ht="25.5">
      <c r="A2" s="93" t="s">
        <v>355</v>
      </c>
      <c r="B2" s="94" t="s">
        <v>274</v>
      </c>
      <c r="D2" s="103" t="s">
        <v>364</v>
      </c>
      <c r="E2" s="95" t="s">
        <v>276</v>
      </c>
    </row>
    <row r="3" spans="1:5" ht="25.5">
      <c r="A3" s="93" t="s">
        <v>356</v>
      </c>
      <c r="B3" s="94" t="s">
        <v>267</v>
      </c>
      <c r="D3" s="103" t="s">
        <v>365</v>
      </c>
      <c r="E3" s="95" t="s">
        <v>277</v>
      </c>
    </row>
    <row r="4" spans="1:5" ht="12.75">
      <c r="A4" s="93" t="s">
        <v>357</v>
      </c>
      <c r="B4" s="94" t="s">
        <v>268</v>
      </c>
      <c r="D4" s="103" t="s">
        <v>366</v>
      </c>
      <c r="E4" s="95" t="s">
        <v>278</v>
      </c>
    </row>
    <row r="5" spans="1:5" ht="25.5">
      <c r="A5" s="93" t="s">
        <v>358</v>
      </c>
      <c r="B5" s="96" t="s">
        <v>269</v>
      </c>
      <c r="D5" s="103" t="s">
        <v>367</v>
      </c>
      <c r="E5" s="95" t="s">
        <v>279</v>
      </c>
    </row>
    <row r="6" spans="1:5" ht="25.5">
      <c r="A6" s="93" t="s">
        <v>359</v>
      </c>
      <c r="B6" s="94" t="s">
        <v>275</v>
      </c>
      <c r="D6" s="103" t="s">
        <v>368</v>
      </c>
      <c r="E6" s="95" t="s">
        <v>280</v>
      </c>
    </row>
    <row r="7" spans="1:5" ht="12.75">
      <c r="A7" s="93" t="s">
        <v>360</v>
      </c>
      <c r="B7" s="95" t="s">
        <v>270</v>
      </c>
      <c r="D7" s="103" t="s">
        <v>369</v>
      </c>
      <c r="E7" s="95" t="s">
        <v>281</v>
      </c>
    </row>
    <row r="8" spans="1:5" ht="25.5">
      <c r="A8" s="93" t="s">
        <v>361</v>
      </c>
      <c r="B8" s="95" t="s">
        <v>271</v>
      </c>
      <c r="D8" s="103" t="s">
        <v>370</v>
      </c>
      <c r="E8" s="97" t="s">
        <v>282</v>
      </c>
    </row>
    <row r="9" spans="1:5" ht="25.5">
      <c r="A9" s="93" t="s">
        <v>362</v>
      </c>
      <c r="B9" s="95" t="s">
        <v>272</v>
      </c>
      <c r="D9" s="103" t="s">
        <v>371</v>
      </c>
      <c r="E9" s="95" t="s">
        <v>283</v>
      </c>
    </row>
    <row r="10" spans="1:5" ht="25.5">
      <c r="A10" s="93" t="s">
        <v>363</v>
      </c>
      <c r="B10" s="95" t="s">
        <v>273</v>
      </c>
      <c r="D10" s="103" t="s">
        <v>372</v>
      </c>
      <c r="E10" s="95" t="s">
        <v>284</v>
      </c>
    </row>
    <row r="11" spans="1:2" ht="25.5" customHeight="1">
      <c r="A11" s="98"/>
      <c r="B11" s="99"/>
    </row>
    <row r="12" spans="1:2" ht="12.75">
      <c r="A12" s="98"/>
      <c r="B12" s="99"/>
    </row>
    <row r="13" spans="1:2" ht="12.75">
      <c r="A13" s="98"/>
      <c r="B13" s="99"/>
    </row>
    <row r="14" spans="1:2" ht="13.5">
      <c r="A14" s="100"/>
      <c r="B14" s="101"/>
    </row>
    <row r="15" spans="1:2" ht="12.75">
      <c r="A15" s="98"/>
      <c r="B15" s="101"/>
    </row>
    <row r="16" spans="1:2" ht="12.75">
      <c r="A16" s="98"/>
      <c r="B16" s="101"/>
    </row>
    <row r="17" spans="1:2" ht="12.75">
      <c r="A17" s="98"/>
      <c r="B17" s="101"/>
    </row>
    <row r="18" spans="1:2" ht="12.75">
      <c r="A18" s="98"/>
      <c r="B18" s="101"/>
    </row>
    <row r="19" spans="1:2" ht="12.75">
      <c r="A19" s="98"/>
      <c r="B19" s="101"/>
    </row>
    <row r="20" spans="1:2" ht="13.5">
      <c r="A20" s="100"/>
      <c r="B20" s="101"/>
    </row>
    <row r="21" spans="1:2" ht="12.75">
      <c r="A21" s="98"/>
      <c r="B21" s="101"/>
    </row>
    <row r="22" spans="1:2" ht="12.75">
      <c r="A22" s="98"/>
      <c r="B22" s="101"/>
    </row>
    <row r="23" spans="1:2" ht="12.75">
      <c r="A23" s="98"/>
      <c r="B23" s="101"/>
    </row>
    <row r="24" spans="1:2" ht="12.75">
      <c r="A24" s="98"/>
      <c r="B24" s="101"/>
    </row>
    <row r="25" spans="1:2" ht="12.75">
      <c r="A25" s="99"/>
      <c r="B25" s="101"/>
    </row>
    <row r="26" spans="1:2" ht="12.75">
      <c r="A26" s="98"/>
      <c r="B26" s="101"/>
    </row>
    <row r="27" spans="1:2" ht="12.75">
      <c r="A27" s="98"/>
      <c r="B27" s="101"/>
    </row>
    <row r="28" ht="12.75">
      <c r="B28" s="101"/>
    </row>
    <row r="29" ht="12.75">
      <c r="B29" s="101"/>
    </row>
    <row r="30" ht="12.75">
      <c r="B30" s="101"/>
    </row>
    <row r="31" ht="12.75">
      <c r="B31" s="101"/>
    </row>
    <row r="32" ht="12.75">
      <c r="B32" s="101"/>
    </row>
    <row r="33" ht="12.75">
      <c r="B33" s="101"/>
    </row>
    <row r="34" ht="12.75">
      <c r="B34" s="101"/>
    </row>
    <row r="35" ht="12.75">
      <c r="B35" s="101"/>
    </row>
    <row r="36" ht="12.75">
      <c r="B36" s="101"/>
    </row>
    <row r="37" ht="12.75">
      <c r="B37" s="102"/>
    </row>
  </sheetData>
  <sheetProtection password="CF70" sheet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rintOptions horizontalCentered="1"/>
  <pageMargins left="0" right="0" top="0.5905511811023623" bottom="0.3937007874015748" header="0.11811023622047245" footer="0.11811023622047245"/>
  <pageSetup fitToHeight="1" fitToWidth="1" horizontalDpi="600" verticalDpi="600" orientation="landscape" paperSize="8" scale="70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zoomScalePageLayoutView="0" workbookViewId="0" topLeftCell="A4">
      <selection activeCell="C15" sqref="C15"/>
    </sheetView>
  </sheetViews>
  <sheetFormatPr defaultColWidth="36" defaultRowHeight="12.75"/>
  <cols>
    <col min="1" max="1" width="4.5" style="84" customWidth="1"/>
    <col min="2" max="2" width="32.16015625" style="84" customWidth="1"/>
    <col min="3" max="3" width="92.33203125" style="84" customWidth="1"/>
    <col min="4" max="16384" width="36" style="84" customWidth="1"/>
  </cols>
  <sheetData>
    <row r="1" spans="1:3" ht="12.75">
      <c r="A1" s="773" t="s">
        <v>125</v>
      </c>
      <c r="B1" s="773"/>
      <c r="C1" s="773"/>
    </row>
    <row r="2" spans="1:3" ht="12.75">
      <c r="A2" s="87" t="s">
        <v>35</v>
      </c>
      <c r="B2" s="87" t="s">
        <v>126</v>
      </c>
      <c r="C2" s="88" t="s">
        <v>8</v>
      </c>
    </row>
    <row r="3" spans="1:3" ht="12.75">
      <c r="A3" s="356">
        <v>1</v>
      </c>
      <c r="B3" s="353" t="s">
        <v>181</v>
      </c>
      <c r="C3" s="354" t="s">
        <v>505</v>
      </c>
    </row>
    <row r="4" spans="1:3" ht="12.75">
      <c r="A4" s="357">
        <v>2</v>
      </c>
      <c r="B4" s="85" t="s">
        <v>181</v>
      </c>
      <c r="C4" s="355" t="s">
        <v>182</v>
      </c>
    </row>
    <row r="5" spans="1:3" ht="12.75">
      <c r="A5" s="356">
        <v>3</v>
      </c>
      <c r="B5" s="85" t="s">
        <v>181</v>
      </c>
      <c r="C5" s="355" t="s">
        <v>293</v>
      </c>
    </row>
    <row r="6" spans="1:3" ht="12.75">
      <c r="A6" s="357">
        <v>4</v>
      </c>
      <c r="B6" s="85" t="s">
        <v>181</v>
      </c>
      <c r="C6" s="355" t="s">
        <v>183</v>
      </c>
    </row>
    <row r="7" spans="1:3" ht="12.75">
      <c r="A7" s="356">
        <v>5</v>
      </c>
      <c r="B7" s="85" t="s">
        <v>181</v>
      </c>
      <c r="C7" s="355" t="s">
        <v>286</v>
      </c>
    </row>
    <row r="8" spans="1:3" ht="12.75">
      <c r="A8" s="357">
        <v>6</v>
      </c>
      <c r="B8" s="85" t="s">
        <v>181</v>
      </c>
      <c r="C8" s="355" t="s">
        <v>184</v>
      </c>
    </row>
    <row r="9" spans="1:3" ht="12.75">
      <c r="A9" s="356">
        <v>7</v>
      </c>
      <c r="B9" s="85" t="s">
        <v>181</v>
      </c>
      <c r="C9" s="355" t="s">
        <v>297</v>
      </c>
    </row>
    <row r="10" spans="1:3" ht="12.75">
      <c r="A10" s="357">
        <v>8</v>
      </c>
      <c r="B10" s="85" t="s">
        <v>181</v>
      </c>
      <c r="C10" s="355" t="s">
        <v>285</v>
      </c>
    </row>
    <row r="11" spans="1:3" ht="12.75">
      <c r="A11" s="356">
        <v>9</v>
      </c>
      <c r="B11" s="85" t="s">
        <v>181</v>
      </c>
      <c r="C11" s="355" t="s">
        <v>289</v>
      </c>
    </row>
    <row r="12" spans="1:3" ht="12.75">
      <c r="A12" s="357">
        <v>10</v>
      </c>
      <c r="B12" s="85" t="s">
        <v>181</v>
      </c>
      <c r="C12" s="355" t="s">
        <v>298</v>
      </c>
    </row>
    <row r="13" spans="1:3" ht="12.75">
      <c r="A13" s="356">
        <v>11</v>
      </c>
      <c r="B13" s="85" t="s">
        <v>181</v>
      </c>
      <c r="C13" s="355" t="s">
        <v>299</v>
      </c>
    </row>
    <row r="14" spans="1:3" ht="12.75">
      <c r="A14" s="357">
        <v>12</v>
      </c>
      <c r="B14" s="85" t="s">
        <v>181</v>
      </c>
      <c r="C14" s="355" t="s">
        <v>290</v>
      </c>
    </row>
    <row r="15" spans="1:3" ht="12.75">
      <c r="A15" s="356">
        <v>13</v>
      </c>
      <c r="B15" s="85" t="s">
        <v>181</v>
      </c>
      <c r="C15" s="355" t="s">
        <v>291</v>
      </c>
    </row>
    <row r="16" spans="1:3" ht="12.75">
      <c r="A16" s="357">
        <v>14</v>
      </c>
      <c r="B16" s="85" t="s">
        <v>181</v>
      </c>
      <c r="C16" s="355" t="s">
        <v>292</v>
      </c>
    </row>
    <row r="17" spans="1:3" ht="12.75">
      <c r="A17" s="356">
        <v>15</v>
      </c>
      <c r="B17" s="85" t="s">
        <v>181</v>
      </c>
      <c r="C17" s="355" t="s">
        <v>300</v>
      </c>
    </row>
    <row r="18" spans="1:3" ht="12.75">
      <c r="A18" s="357">
        <v>16</v>
      </c>
      <c r="B18" s="85" t="s">
        <v>181</v>
      </c>
      <c r="C18" s="355" t="s">
        <v>301</v>
      </c>
    </row>
    <row r="19" spans="1:3" ht="12.75">
      <c r="A19" s="356">
        <v>17</v>
      </c>
      <c r="B19" s="85" t="s">
        <v>181</v>
      </c>
      <c r="C19" s="355" t="s">
        <v>302</v>
      </c>
    </row>
    <row r="20" spans="1:3" ht="12.75">
      <c r="A20" s="357">
        <v>18</v>
      </c>
      <c r="B20" s="85" t="s">
        <v>181</v>
      </c>
      <c r="C20" s="355" t="s">
        <v>287</v>
      </c>
    </row>
    <row r="21" spans="1:3" ht="12.75">
      <c r="A21" s="356">
        <v>19</v>
      </c>
      <c r="B21" s="85" t="s">
        <v>185</v>
      </c>
      <c r="C21" s="355" t="s">
        <v>504</v>
      </c>
    </row>
    <row r="22" spans="1:3" ht="12.75">
      <c r="A22" s="357">
        <v>20</v>
      </c>
      <c r="B22" s="85" t="s">
        <v>185</v>
      </c>
      <c r="C22" s="355" t="s">
        <v>288</v>
      </c>
    </row>
    <row r="23" spans="1:3" ht="12.75">
      <c r="A23" s="356">
        <v>21</v>
      </c>
      <c r="B23" s="85" t="s">
        <v>185</v>
      </c>
      <c r="C23" s="355" t="s">
        <v>294</v>
      </c>
    </row>
    <row r="24" spans="1:3" ht="12.75">
      <c r="A24" s="357">
        <v>22</v>
      </c>
      <c r="B24" s="86" t="s">
        <v>186</v>
      </c>
      <c r="C24" s="355" t="s">
        <v>189</v>
      </c>
    </row>
    <row r="25" spans="1:3" ht="12.75">
      <c r="A25" s="356">
        <v>23</v>
      </c>
      <c r="B25" s="86" t="s">
        <v>186</v>
      </c>
      <c r="C25" s="355" t="s">
        <v>190</v>
      </c>
    </row>
    <row r="26" spans="1:3" ht="12.75">
      <c r="A26" s="357">
        <v>24</v>
      </c>
      <c r="B26" s="86" t="s">
        <v>186</v>
      </c>
      <c r="C26" s="355" t="s">
        <v>191</v>
      </c>
    </row>
    <row r="27" spans="1:3" ht="12.75">
      <c r="A27" s="356">
        <v>25</v>
      </c>
      <c r="B27" s="83" t="s">
        <v>187</v>
      </c>
      <c r="C27" s="355" t="s">
        <v>192</v>
      </c>
    </row>
    <row r="28" spans="1:3" ht="12.75">
      <c r="A28" s="357">
        <v>26</v>
      </c>
      <c r="B28" s="83" t="s">
        <v>187</v>
      </c>
      <c r="C28" s="355" t="s">
        <v>188</v>
      </c>
    </row>
    <row r="31" ht="12.75">
      <c r="C31" s="89"/>
    </row>
    <row r="32" ht="12.75">
      <c r="C32" s="89"/>
    </row>
    <row r="33" ht="12.75">
      <c r="C33" s="89"/>
    </row>
    <row r="34" ht="12.75">
      <c r="C34" s="89"/>
    </row>
    <row r="35" ht="12.75">
      <c r="C35" s="89"/>
    </row>
    <row r="36" ht="12.75">
      <c r="C36" s="89"/>
    </row>
    <row r="37" spans="3:4" ht="12.75">
      <c r="C37" s="89"/>
      <c r="D37" s="84" t="s">
        <v>25</v>
      </c>
    </row>
    <row r="38" ht="12.75">
      <c r="C38" s="89"/>
    </row>
    <row r="39" ht="12.75">
      <c r="C39" s="89"/>
    </row>
    <row r="40" ht="12.75">
      <c r="C40" s="89"/>
    </row>
    <row r="41" ht="12.75">
      <c r="C41" s="89"/>
    </row>
    <row r="42" ht="12.75">
      <c r="C42" s="89"/>
    </row>
    <row r="43" ht="12.75">
      <c r="C43" s="89"/>
    </row>
    <row r="44" ht="12.75">
      <c r="C44" s="89"/>
    </row>
    <row r="45" ht="12.75">
      <c r="C45" s="89"/>
    </row>
    <row r="46" ht="12.75">
      <c r="C46" s="89"/>
    </row>
    <row r="47" ht="12.75">
      <c r="C47" s="89"/>
    </row>
    <row r="48" ht="12.75">
      <c r="C48" s="89"/>
    </row>
    <row r="49" ht="12.75">
      <c r="C49" s="89"/>
    </row>
    <row r="50" ht="12.75">
      <c r="C50" s="89"/>
    </row>
    <row r="51" ht="12.75">
      <c r="C51" s="89"/>
    </row>
    <row r="52" ht="12.75">
      <c r="C52" s="89"/>
    </row>
    <row r="53" ht="12.75">
      <c r="C53" s="89"/>
    </row>
    <row r="54" ht="12.75">
      <c r="C54" s="89"/>
    </row>
    <row r="55" ht="12.75">
      <c r="C55" s="89"/>
    </row>
    <row r="56" ht="12.75">
      <c r="C56" s="89"/>
    </row>
    <row r="57" ht="12.75">
      <c r="C57" s="89"/>
    </row>
    <row r="58" ht="12.75">
      <c r="C58" s="90"/>
    </row>
  </sheetData>
  <sheetProtection formatCells="0" formatColumns="0" formatRows="0" insertColumns="0" insertRows="0" insertHyperlinks="0" deleteColumns="0" deleteRows="0" sort="0" autoFilter="0" pivotTables="0"/>
  <mergeCells count="1">
    <mergeCell ref="A1:C1"/>
  </mergeCells>
  <printOptions horizontalCentered="1"/>
  <pageMargins left="0" right="0" top="0.5905511811023623" bottom="0.3937007874015748" header="0.11811023622047245" footer="0.11811023622047245"/>
  <pageSetup fitToHeight="100" fitToWidth="1" horizontalDpi="600" verticalDpi="600" orientation="landscape" paperSize="8" scale="98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73"/>
  <sheetViews>
    <sheetView showZeros="0" zoomScale="85" zoomScaleNormal="85" zoomScalePageLayoutView="0" workbookViewId="0" topLeftCell="A1">
      <selection activeCell="B71" sqref="B71"/>
    </sheetView>
  </sheetViews>
  <sheetFormatPr defaultColWidth="9.33203125" defaultRowHeight="12.75"/>
  <cols>
    <col min="1" max="1" width="14.16015625" style="0" customWidth="1"/>
    <col min="2" max="2" width="33.33203125" style="0" customWidth="1"/>
    <col min="3" max="3" width="0.1640625" style="0" customWidth="1"/>
    <col min="4" max="4" width="8" style="0" customWidth="1"/>
    <col min="5" max="5" width="9.83203125" style="0" customWidth="1"/>
    <col min="6" max="7" width="7.66015625" style="0" customWidth="1"/>
    <col min="8" max="8" width="6.66015625" style="0" customWidth="1"/>
    <col min="10" max="10" width="2.83203125" style="0" customWidth="1"/>
    <col min="17" max="17" width="53.33203125" style="0" customWidth="1"/>
  </cols>
  <sheetData>
    <row r="1" spans="1:17" ht="12.75" customHeight="1">
      <c r="A1" s="785" t="s">
        <v>137</v>
      </c>
      <c r="B1" s="788" t="s">
        <v>71</v>
      </c>
      <c r="C1" s="788" t="s">
        <v>72</v>
      </c>
      <c r="D1" s="791" t="s">
        <v>403</v>
      </c>
      <c r="E1" s="792"/>
      <c r="F1" s="792"/>
      <c r="G1" s="792"/>
      <c r="H1" s="792"/>
      <c r="I1" s="777" t="s">
        <v>1</v>
      </c>
      <c r="K1" s="781" t="s">
        <v>403</v>
      </c>
      <c r="L1" s="782"/>
      <c r="M1" s="782"/>
      <c r="N1" s="782"/>
      <c r="O1" s="782"/>
      <c r="P1" s="774" t="s">
        <v>1</v>
      </c>
      <c r="Q1" s="330"/>
    </row>
    <row r="2" spans="1:17" ht="12.75" customHeight="1">
      <c r="A2" s="786"/>
      <c r="B2" s="789"/>
      <c r="C2" s="789"/>
      <c r="D2" s="617"/>
      <c r="E2" s="611"/>
      <c r="F2" s="611"/>
      <c r="G2" s="611"/>
      <c r="H2" s="611"/>
      <c r="I2" s="778"/>
      <c r="K2" s="783"/>
      <c r="L2" s="784"/>
      <c r="M2" s="784"/>
      <c r="N2" s="784"/>
      <c r="O2" s="784"/>
      <c r="P2" s="775"/>
      <c r="Q2" s="331"/>
    </row>
    <row r="3" spans="1:17" ht="12.75" customHeight="1">
      <c r="A3" s="786"/>
      <c r="B3" s="789"/>
      <c r="C3" s="789"/>
      <c r="D3" s="793" t="s">
        <v>63</v>
      </c>
      <c r="E3" s="793" t="s">
        <v>64</v>
      </c>
      <c r="F3" s="793" t="s">
        <v>65</v>
      </c>
      <c r="G3" s="793" t="s">
        <v>66</v>
      </c>
      <c r="H3" s="796" t="s">
        <v>404</v>
      </c>
      <c r="I3" s="778"/>
      <c r="K3" s="780" t="s">
        <v>63</v>
      </c>
      <c r="L3" s="776" t="s">
        <v>64</v>
      </c>
      <c r="M3" s="776" t="s">
        <v>65</v>
      </c>
      <c r="N3" s="776" t="s">
        <v>66</v>
      </c>
      <c r="O3" s="776" t="s">
        <v>404</v>
      </c>
      <c r="P3" s="775"/>
      <c r="Q3" s="331"/>
    </row>
    <row r="4" spans="1:17" ht="12.75" customHeight="1">
      <c r="A4" s="786"/>
      <c r="B4" s="789"/>
      <c r="C4" s="789"/>
      <c r="D4" s="794"/>
      <c r="E4" s="794"/>
      <c r="F4" s="794"/>
      <c r="G4" s="794"/>
      <c r="H4" s="797"/>
      <c r="I4" s="778"/>
      <c r="K4" s="780"/>
      <c r="L4" s="776"/>
      <c r="M4" s="776"/>
      <c r="N4" s="776"/>
      <c r="O4" s="776"/>
      <c r="P4" s="775"/>
      <c r="Q4" s="331"/>
    </row>
    <row r="5" spans="1:17" ht="12.75">
      <c r="A5" s="786"/>
      <c r="B5" s="789"/>
      <c r="C5" s="789"/>
      <c r="D5" s="794"/>
      <c r="E5" s="794"/>
      <c r="F5" s="794"/>
      <c r="G5" s="794"/>
      <c r="H5" s="797"/>
      <c r="I5" s="778"/>
      <c r="K5" s="780"/>
      <c r="L5" s="776"/>
      <c r="M5" s="776"/>
      <c r="N5" s="776"/>
      <c r="O5" s="776"/>
      <c r="P5" s="775"/>
      <c r="Q5" s="331"/>
    </row>
    <row r="6" spans="1:17" ht="12.75">
      <c r="A6" s="786"/>
      <c r="B6" s="789"/>
      <c r="C6" s="789"/>
      <c r="D6" s="794"/>
      <c r="E6" s="794"/>
      <c r="F6" s="794"/>
      <c r="G6" s="794"/>
      <c r="H6" s="797"/>
      <c r="I6" s="778"/>
      <c r="K6" s="780"/>
      <c r="L6" s="776"/>
      <c r="M6" s="776"/>
      <c r="N6" s="776"/>
      <c r="O6" s="776"/>
      <c r="P6" s="775"/>
      <c r="Q6" s="331"/>
    </row>
    <row r="7" spans="1:17" ht="13.5" thickBot="1">
      <c r="A7" s="787"/>
      <c r="B7" s="790"/>
      <c r="C7" s="790"/>
      <c r="D7" s="795"/>
      <c r="E7" s="795"/>
      <c r="F7" s="795"/>
      <c r="G7" s="795"/>
      <c r="H7" s="798"/>
      <c r="I7" s="779"/>
      <c r="K7" s="780"/>
      <c r="L7" s="776"/>
      <c r="M7" s="776"/>
      <c r="N7" s="776"/>
      <c r="O7" s="776"/>
      <c r="P7" s="775"/>
      <c r="Q7" s="331"/>
    </row>
    <row r="8" spans="1:17" ht="12.75">
      <c r="A8" s="318">
        <f>'Учебный план (очная)'!A28</f>
        <v>0</v>
      </c>
      <c r="B8" s="319" t="str">
        <f>'Учебный план (очная)'!B28</f>
        <v>Обязательная часть циклов ППССЗ</v>
      </c>
      <c r="C8" s="319">
        <f>'Учебный план (очная)'!C28</f>
        <v>0</v>
      </c>
      <c r="D8" s="319">
        <f>'Учебный план (очная)'!D28</f>
        <v>0</v>
      </c>
      <c r="E8" s="319">
        <f>'Учебный план (очная)'!E28</f>
        <v>0</v>
      </c>
      <c r="F8" s="319">
        <f>'Учебный план (очная)'!F28</f>
        <v>0</v>
      </c>
      <c r="G8" s="319">
        <f>'Учебный план (очная)'!G28</f>
        <v>0</v>
      </c>
      <c r="H8" s="319">
        <f>'Учебный план (очная)'!H28</f>
        <v>0</v>
      </c>
      <c r="I8" s="320">
        <f>'Учебный план (очная)'!K28</f>
        <v>3476</v>
      </c>
      <c r="J8" s="314"/>
      <c r="K8" s="332">
        <f>'Учебный план З_О'!D18</f>
        <v>0</v>
      </c>
      <c r="L8" s="328">
        <f>'Учебный план З_О'!E18</f>
        <v>0</v>
      </c>
      <c r="M8" s="328">
        <f>'Учебный план З_О'!F18</f>
        <v>0</v>
      </c>
      <c r="N8" s="328">
        <f>'Учебный план З_О'!G18</f>
        <v>0</v>
      </c>
      <c r="O8" s="328">
        <f>'Учебный план З_О'!H18</f>
        <v>0</v>
      </c>
      <c r="P8" s="316">
        <f>'Учебный план З_О'!M9</f>
        <v>3392</v>
      </c>
      <c r="Q8" s="331"/>
    </row>
    <row r="9" spans="1:17" ht="12.75">
      <c r="A9" s="321" t="str">
        <f>'Учебный план (очная)'!A29</f>
        <v>ОГСЭ.00</v>
      </c>
      <c r="B9" s="249" t="str">
        <f>'Учебный план (очная)'!B29</f>
        <v>Общий гуманитарный и социально-экономический цикл</v>
      </c>
      <c r="C9" s="249">
        <f>'Учебный план (очная)'!C29</f>
        <v>0</v>
      </c>
      <c r="D9" s="249">
        <f>'Учебный план (очная)'!D29</f>
        <v>0</v>
      </c>
      <c r="E9" s="249">
        <f>'Учебный план (очная)'!E29</f>
        <v>0</v>
      </c>
      <c r="F9" s="249">
        <f>'Учебный план (очная)'!F29</f>
        <v>0</v>
      </c>
      <c r="G9" s="249">
        <f>'Учебный план (очная)'!G29</f>
        <v>0</v>
      </c>
      <c r="H9" s="249">
        <f>'Учебный план (очная)'!H29</f>
        <v>0</v>
      </c>
      <c r="I9" s="322">
        <f>'Учебный план (очная)'!K29</f>
        <v>654</v>
      </c>
      <c r="K9" s="333">
        <f>'Учебный план З_О'!D19</f>
        <v>0</v>
      </c>
      <c r="L9" s="329">
        <f>'Учебный план З_О'!E19</f>
        <v>0</v>
      </c>
      <c r="M9" s="329">
        <f>'Учебный план З_О'!F19</f>
        <v>0</v>
      </c>
      <c r="N9" s="329">
        <f>'Учебный план З_О'!G19</f>
        <v>0</v>
      </c>
      <c r="O9" s="329">
        <f>'Учебный план З_О'!H19</f>
        <v>0</v>
      </c>
      <c r="P9" s="317">
        <f>'Учебный план З_О'!M10</f>
        <v>654</v>
      </c>
      <c r="Q9" s="331"/>
    </row>
    <row r="10" spans="1:17" ht="12.75">
      <c r="A10" s="321" t="str">
        <f>'Учебный план (очная)'!A30</f>
        <v>ОГСЭ.01.</v>
      </c>
      <c r="B10" s="249" t="str">
        <f>'Учебный план (очная)'!B30</f>
        <v>Основы философии</v>
      </c>
      <c r="C10" s="249">
        <f>'Учебный план (очная)'!C30</f>
        <v>0</v>
      </c>
      <c r="D10" s="249">
        <f>'Учебный план (очная)'!D30</f>
        <v>0</v>
      </c>
      <c r="E10" s="249" t="str">
        <f>'Учебный план (очная)'!E30</f>
        <v>5</v>
      </c>
      <c r="F10" s="249">
        <f>'Учебный план (очная)'!F30</f>
        <v>0</v>
      </c>
      <c r="G10" s="249">
        <f>'Учебный план (очная)'!G30</f>
        <v>0</v>
      </c>
      <c r="H10" s="249">
        <f>'Учебный план (очная)'!H30</f>
        <v>0</v>
      </c>
      <c r="I10" s="322">
        <f>'Учебный план (очная)'!K30</f>
        <v>60</v>
      </c>
      <c r="K10" s="333">
        <f>'Учебный план З_О'!D20</f>
        <v>0</v>
      </c>
      <c r="L10" s="329" t="str">
        <f>'Учебный план З_О'!E20</f>
        <v>2</v>
      </c>
      <c r="M10" s="329">
        <f>'Учебный план З_О'!F20</f>
        <v>0</v>
      </c>
      <c r="N10" s="329">
        <f>'Учебный план З_О'!G20</f>
        <v>0</v>
      </c>
      <c r="O10" s="329">
        <f>'Учебный план З_О'!H20</f>
        <v>0</v>
      </c>
      <c r="P10" s="317">
        <f>'Учебный план З_О'!M11</f>
        <v>60</v>
      </c>
      <c r="Q10" s="334" t="str">
        <f>'Учебный план З_О'!B11</f>
        <v>Основы философии</v>
      </c>
    </row>
    <row r="11" spans="1:17" ht="12.75">
      <c r="A11" s="321" t="str">
        <f>'Учебный план (очная)'!A31</f>
        <v>ОГСЭ.02.</v>
      </c>
      <c r="B11" s="249" t="str">
        <f>'Учебный план (очная)'!B31</f>
        <v>История</v>
      </c>
      <c r="C11" s="249">
        <f>'Учебный план (очная)'!C31</f>
        <v>0</v>
      </c>
      <c r="D11" s="249" t="str">
        <f>'Учебный план (очная)'!D31</f>
        <v>3</v>
      </c>
      <c r="E11" s="249">
        <f>'Учебный план (очная)'!E31</f>
        <v>0</v>
      </c>
      <c r="F11" s="249">
        <f>'Учебный план (очная)'!F31</f>
        <v>0</v>
      </c>
      <c r="G11" s="249">
        <f>'Учебный план (очная)'!G31</f>
        <v>0</v>
      </c>
      <c r="H11" s="249">
        <f>'Учебный план (очная)'!H31</f>
        <v>0</v>
      </c>
      <c r="I11" s="322">
        <f>'Учебный план (очная)'!K31</f>
        <v>66</v>
      </c>
      <c r="K11" s="333">
        <f>'Учебный план З_О'!D21</f>
        <v>0</v>
      </c>
      <c r="L11" s="329" t="str">
        <f>'Учебный план З_О'!E21</f>
        <v>2</v>
      </c>
      <c r="M11" s="329">
        <f>'Учебный план З_О'!F21</f>
        <v>0</v>
      </c>
      <c r="N11" s="329">
        <f>'Учебный план З_О'!G21</f>
        <v>0</v>
      </c>
      <c r="O11" s="329" t="str">
        <f>'Учебный план З_О'!H21</f>
        <v>1</v>
      </c>
      <c r="P11" s="317">
        <f>'Учебный план З_О'!M12</f>
        <v>66</v>
      </c>
      <c r="Q11" s="334" t="str">
        <f>'Учебный план З_О'!B12</f>
        <v>История</v>
      </c>
    </row>
    <row r="12" spans="1:17" ht="12.75">
      <c r="A12" s="321" t="str">
        <f>'Учебный план (очная)'!A32</f>
        <v>ОГСЭ.03.</v>
      </c>
      <c r="B12" s="249" t="str">
        <f>'Учебный план (очная)'!B32</f>
        <v>Иностранный язык</v>
      </c>
      <c r="C12" s="249">
        <f>'Учебный план (очная)'!C32</f>
        <v>0</v>
      </c>
      <c r="D12" s="249">
        <f>'Учебный план (очная)'!D32</f>
        <v>0</v>
      </c>
      <c r="E12" s="249" t="str">
        <f>'Учебный план (очная)'!E32</f>
        <v>6,8</v>
      </c>
      <c r="F12" s="249">
        <f>'Учебный план (очная)'!F32</f>
        <v>0</v>
      </c>
      <c r="G12" s="249">
        <f>'Учебный план (очная)'!G32</f>
        <v>0</v>
      </c>
      <c r="H12" s="249">
        <f>'Учебный план (очная)'!H32</f>
        <v>0</v>
      </c>
      <c r="I12" s="322">
        <f>'Учебный план (очная)'!K32</f>
        <v>192</v>
      </c>
      <c r="K12" s="333">
        <f>'Учебный план З_О'!D22</f>
        <v>0</v>
      </c>
      <c r="L12" s="329" t="str">
        <f>'Учебный план З_О'!E22</f>
        <v>1</v>
      </c>
      <c r="M12" s="329">
        <f>'Учебный план З_О'!F22</f>
        <v>0</v>
      </c>
      <c r="N12" s="329">
        <f>'Учебный план З_О'!G22</f>
        <v>0</v>
      </c>
      <c r="O12" s="329">
        <f>'Учебный план З_О'!H22</f>
        <v>0</v>
      </c>
      <c r="P12" s="317">
        <f>'Учебный план З_О'!M13</f>
        <v>192</v>
      </c>
      <c r="Q12" s="334" t="str">
        <f>'Учебный план З_О'!B13</f>
        <v>Иностранный язык</v>
      </c>
    </row>
    <row r="13" spans="1:17" ht="12.75">
      <c r="A13" s="321" t="str">
        <f>'Учебный план (очная)'!A33</f>
        <v>ОГСЭ.04.</v>
      </c>
      <c r="B13" s="249" t="str">
        <f>'Учебный план (очная)'!B33</f>
        <v>Физическая культура</v>
      </c>
      <c r="C13" s="249">
        <f>'Учебный план (очная)'!C33</f>
        <v>0</v>
      </c>
      <c r="D13" s="249">
        <f>'Учебный план (очная)'!D33</f>
        <v>0</v>
      </c>
      <c r="E13" s="340">
        <f>'Учебный план (очная)'!E33</f>
        <v>0</v>
      </c>
      <c r="F13" s="249" t="str">
        <f>'Учебный план (очная)'!F33</f>
        <v>3,4,5,6,7,8</v>
      </c>
      <c r="G13" s="249">
        <f>'Учебный план (очная)'!G33</f>
        <v>0</v>
      </c>
      <c r="H13" s="249">
        <f>'Учебный план (очная)'!H33</f>
        <v>0</v>
      </c>
      <c r="I13" s="322">
        <f>'Учебный план (очная)'!K33</f>
        <v>336</v>
      </c>
      <c r="K13" s="333">
        <f>'Учебный план З_О'!D23</f>
        <v>0</v>
      </c>
      <c r="L13" s="329" t="str">
        <f>'Учебный план З_О'!E23</f>
        <v>2</v>
      </c>
      <c r="M13" s="329">
        <f>'Учебный план З_О'!F23</f>
        <v>0</v>
      </c>
      <c r="N13" s="329">
        <f>'Учебный план З_О'!G23</f>
        <v>0</v>
      </c>
      <c r="O13" s="329" t="str">
        <f>'Учебный план З_О'!H23</f>
        <v>1</v>
      </c>
      <c r="P13" s="317">
        <f>'Учебный план З_О'!M14</f>
        <v>336</v>
      </c>
      <c r="Q13" s="334" t="str">
        <f>'Учебный план З_О'!B14</f>
        <v>Физическая культура</v>
      </c>
    </row>
    <row r="14" spans="1:17" ht="12.75">
      <c r="A14" s="321" t="str">
        <f>'Учебный план (очная)'!A34</f>
        <v>ЕН.00</v>
      </c>
      <c r="B14" s="249" t="str">
        <f>'Учебный план (очная)'!B34</f>
        <v>Математический и общий естественнонаучный цикл</v>
      </c>
      <c r="C14" s="249">
        <f>'Учебный план (очная)'!C34</f>
        <v>0</v>
      </c>
      <c r="D14" s="249">
        <f>'Учебный план (очная)'!D34</f>
        <v>0</v>
      </c>
      <c r="E14" s="249">
        <f>'Учебный план (очная)'!E34</f>
        <v>0</v>
      </c>
      <c r="F14" s="249">
        <f>'Учебный план (очная)'!F34</f>
        <v>0</v>
      </c>
      <c r="G14" s="249">
        <f>'Учебный план (очная)'!G34</f>
        <v>0</v>
      </c>
      <c r="H14" s="249">
        <f>'Учебный план (очная)'!H34</f>
        <v>0</v>
      </c>
      <c r="I14" s="322">
        <f>'Учебный план (очная)'!K34</f>
        <v>240</v>
      </c>
      <c r="K14" s="333">
        <f>'Учебный план З_О'!D24</f>
        <v>0</v>
      </c>
      <c r="L14" s="329" t="str">
        <f>'Учебный план З_О'!E24</f>
        <v>2</v>
      </c>
      <c r="M14" s="329">
        <f>'Учебный план З_О'!F24</f>
        <v>0</v>
      </c>
      <c r="N14" s="329">
        <f>'Учебный план З_О'!G24</f>
        <v>0</v>
      </c>
      <c r="O14" s="329" t="str">
        <f>'Учебный план З_О'!H24</f>
        <v>2</v>
      </c>
      <c r="P14" s="317">
        <f>'Учебный план З_О'!M15</f>
        <v>240</v>
      </c>
      <c r="Q14" s="334" t="str">
        <f>'Учебный план З_О'!B15</f>
        <v>Математический и общий естественнонаучный цикл</v>
      </c>
    </row>
    <row r="15" spans="1:17" ht="12.75">
      <c r="A15" s="321" t="str">
        <f>'Учебный план (очная)'!A35</f>
        <v>ЕН.01.</v>
      </c>
      <c r="B15" s="249" t="str">
        <f>'Учебный план (очная)'!B35</f>
        <v>Математика</v>
      </c>
      <c r="C15" s="249">
        <f>'Учебный план (очная)'!C35</f>
        <v>0</v>
      </c>
      <c r="D15" s="249" t="str">
        <f>'Учебный план (очная)'!D35</f>
        <v>3</v>
      </c>
      <c r="E15" s="249">
        <f>'Учебный план (очная)'!E35</f>
        <v>0</v>
      </c>
      <c r="F15" s="249">
        <f>'Учебный план (очная)'!F35</f>
        <v>0</v>
      </c>
      <c r="G15" s="249">
        <f>'Учебный план (очная)'!G35</f>
        <v>0</v>
      </c>
      <c r="H15" s="249">
        <f>'Учебный план (очная)'!H35</f>
        <v>0</v>
      </c>
      <c r="I15" s="322">
        <f>'Учебный план (очная)'!K35</f>
        <v>144</v>
      </c>
      <c r="K15" s="333">
        <f>'Учебный план З_О'!D25</f>
        <v>0</v>
      </c>
      <c r="L15" s="329" t="str">
        <f>'Учебный план З_О'!E25</f>
        <v>1</v>
      </c>
      <c r="M15" s="329">
        <f>'Учебный план З_О'!F25</f>
        <v>0</v>
      </c>
      <c r="N15" s="329">
        <f>'Учебный план З_О'!G25</f>
        <v>0</v>
      </c>
      <c r="O15" s="329">
        <f>'Учебный план З_О'!H25</f>
        <v>0</v>
      </c>
      <c r="P15" s="317">
        <f>'Учебный план З_О'!M16</f>
        <v>144</v>
      </c>
      <c r="Q15" s="334" t="str">
        <f>'Учебный план З_О'!B16</f>
        <v>Математика</v>
      </c>
    </row>
    <row r="16" spans="1:17" ht="12.75">
      <c r="A16" s="321" t="str">
        <f>'Учебный план (очная)'!A36</f>
        <v>ЕН.02.</v>
      </c>
      <c r="B16" s="249" t="str">
        <f>'Учебный план (очная)'!B36</f>
        <v>Информатика</v>
      </c>
      <c r="C16" s="249">
        <f>'Учебный план (очная)'!C36</f>
        <v>0</v>
      </c>
      <c r="D16" s="249">
        <f>'Учебный план (очная)'!D36</f>
        <v>0</v>
      </c>
      <c r="E16" s="249" t="str">
        <f>'Учебный план (очная)'!E36</f>
        <v>3</v>
      </c>
      <c r="F16" s="249">
        <f>'Учебный план (очная)'!F36</f>
        <v>0</v>
      </c>
      <c r="G16" s="249">
        <f>'Учебный план (очная)'!G36</f>
        <v>0</v>
      </c>
      <c r="H16" s="249">
        <f>'Учебный план (очная)'!H36</f>
        <v>0</v>
      </c>
      <c r="I16" s="322">
        <f>'Учебный план (очная)'!K36</f>
        <v>96</v>
      </c>
      <c r="K16" s="333">
        <f>'Учебный план З_О'!D26</f>
        <v>0</v>
      </c>
      <c r="L16" s="329" t="str">
        <f>'Учебный план З_О'!E26</f>
        <v>2</v>
      </c>
      <c r="M16" s="329">
        <f>'Учебный план З_О'!F26</f>
        <v>0</v>
      </c>
      <c r="N16" s="329">
        <f>'Учебный план З_О'!G26</f>
        <v>0</v>
      </c>
      <c r="O16" s="329">
        <f>'Учебный план З_О'!H26</f>
        <v>0</v>
      </c>
      <c r="P16" s="317">
        <f>'Учебный план З_О'!M17</f>
        <v>96</v>
      </c>
      <c r="Q16" s="334" t="str">
        <f>'Учебный план З_О'!B17</f>
        <v>Информатика</v>
      </c>
    </row>
    <row r="17" spans="1:17" ht="12.75">
      <c r="A17" s="321" t="str">
        <f>'Учебный план (очная)'!A37</f>
        <v>П.00</v>
      </c>
      <c r="B17" s="249" t="str">
        <f>'Учебный план (очная)'!B37</f>
        <v>Профессиональный цикл</v>
      </c>
      <c r="C17" s="249">
        <f>'Учебный план (очная)'!C37</f>
        <v>0</v>
      </c>
      <c r="D17" s="249">
        <f>'Учебный план (очная)'!D37</f>
        <v>0</v>
      </c>
      <c r="E17" s="249">
        <f>'Учебный план (очная)'!E37</f>
        <v>0</v>
      </c>
      <c r="F17" s="249">
        <f>'Учебный план (очная)'!F37</f>
        <v>0</v>
      </c>
      <c r="G17" s="249">
        <f>'Учебный план (очная)'!G37</f>
        <v>0</v>
      </c>
      <c r="H17" s="249">
        <f>'Учебный план (очная)'!H37</f>
        <v>0</v>
      </c>
      <c r="I17" s="322">
        <f>'Учебный план (очная)'!K37</f>
        <v>2582</v>
      </c>
      <c r="K17" s="333">
        <f>'Учебный план З_О'!D27</f>
        <v>0</v>
      </c>
      <c r="L17" s="329" t="str">
        <f>'Учебный план З_О'!E27</f>
        <v>2</v>
      </c>
      <c r="M17" s="329">
        <f>'Учебный план З_О'!F27</f>
        <v>0</v>
      </c>
      <c r="N17" s="329">
        <f>'Учебный план З_О'!G27</f>
        <v>0</v>
      </c>
      <c r="O17" s="329" t="str">
        <f>'Учебный план З_О'!H27</f>
        <v>1</v>
      </c>
      <c r="P17" s="317">
        <f>'Учебный план З_О'!M18</f>
        <v>2498</v>
      </c>
      <c r="Q17" s="334" t="str">
        <f>'Учебный план З_О'!B18</f>
        <v>Профессиональный цикл</v>
      </c>
    </row>
    <row r="18" spans="1:17" ht="12.75">
      <c r="A18" s="321" t="str">
        <f>'Учебный план (очная)'!A38</f>
        <v>ОП.00</v>
      </c>
      <c r="B18" s="249" t="str">
        <f>'Учебный план (очная)'!B38</f>
        <v>Общепрофессиональные дисциплины</v>
      </c>
      <c r="C18" s="249">
        <f>'Учебный план (очная)'!C38</f>
        <v>0</v>
      </c>
      <c r="D18" s="249">
        <f>'Учебный план (очная)'!D38</f>
        <v>0</v>
      </c>
      <c r="E18" s="249">
        <f>'Учебный план (очная)'!E38</f>
        <v>0</v>
      </c>
      <c r="F18" s="249">
        <f>'Учебный план (очная)'!F38</f>
        <v>0</v>
      </c>
      <c r="G18" s="249">
        <f>'Учебный план (очная)'!G38</f>
        <v>0</v>
      </c>
      <c r="H18" s="249">
        <f>'Учебный план (очная)'!H38</f>
        <v>0</v>
      </c>
      <c r="I18" s="322">
        <f>'Учебный план (очная)'!K38</f>
        <v>978</v>
      </c>
      <c r="K18" s="333">
        <f>'Учебный план З_О'!D28</f>
        <v>0</v>
      </c>
      <c r="L18" s="329">
        <f>'Учебный план З_О'!E28</f>
        <v>0</v>
      </c>
      <c r="M18" s="329">
        <f>'Учебный план З_О'!F28</f>
        <v>0</v>
      </c>
      <c r="N18" s="329">
        <f>'Учебный план З_О'!G28</f>
        <v>0</v>
      </c>
      <c r="O18" s="329">
        <f>'Учебный план З_О'!H28</f>
        <v>0</v>
      </c>
      <c r="P18" s="317">
        <f>'Учебный план З_О'!M19</f>
        <v>978</v>
      </c>
      <c r="Q18" s="334" t="str">
        <f>'Учебный план З_О'!B19</f>
        <v>Общепрофессиональные дисциплины</v>
      </c>
    </row>
    <row r="19" spans="1:17" ht="12.75">
      <c r="A19" s="321" t="str">
        <f>'Учебный план (очная)'!A39</f>
        <v>ОП.01.</v>
      </c>
      <c r="B19" s="249" t="str">
        <f>'Учебный план (очная)'!B39</f>
        <v>Инженерная графика</v>
      </c>
      <c r="C19" s="249">
        <f>'Учебный план (очная)'!C39</f>
        <v>0</v>
      </c>
      <c r="D19" s="249">
        <f>'Учебный план (очная)'!D39</f>
        <v>0</v>
      </c>
      <c r="E19" s="249" t="str">
        <f>'Учебный план (очная)'!E39</f>
        <v>3</v>
      </c>
      <c r="F19" s="249">
        <f>'Учебный план (очная)'!F39</f>
        <v>0</v>
      </c>
      <c r="G19" s="249">
        <f>'Учебный план (очная)'!G39</f>
        <v>0</v>
      </c>
      <c r="H19" s="249">
        <f>'Учебный план (очная)'!H39</f>
        <v>0</v>
      </c>
      <c r="I19" s="322">
        <f>'Учебный план (очная)'!K39</f>
        <v>96</v>
      </c>
      <c r="K19" s="333">
        <f>'Учебный план З_О'!D29</f>
        <v>0</v>
      </c>
      <c r="L19" s="329">
        <f>'Учебный план З_О'!E29</f>
        <v>0</v>
      </c>
      <c r="M19" s="329">
        <f>'Учебный план З_О'!F29</f>
        <v>0</v>
      </c>
      <c r="N19" s="329">
        <f>'Учебный план З_О'!G29</f>
        <v>0</v>
      </c>
      <c r="O19" s="329">
        <f>'Учебный план З_О'!H29</f>
        <v>0</v>
      </c>
      <c r="P19" s="317">
        <f>'Учебный план З_О'!M20</f>
        <v>96</v>
      </c>
      <c r="Q19" s="334" t="str">
        <f>'Учебный план З_О'!B20</f>
        <v>Инженерная графика</v>
      </c>
    </row>
    <row r="20" spans="1:17" ht="12.75">
      <c r="A20" s="321" t="str">
        <f>'Учебный план (очная)'!A40</f>
        <v>ОП.02.</v>
      </c>
      <c r="B20" s="249" t="str">
        <f>'Учебный план (очная)'!B40</f>
        <v>Электротехника и электроника</v>
      </c>
      <c r="C20" s="249">
        <f>'Учебный план (очная)'!C40</f>
        <v>0</v>
      </c>
      <c r="D20" s="249">
        <f>'Учебный план (очная)'!D40</f>
        <v>0</v>
      </c>
      <c r="E20" s="249" t="str">
        <f>'Учебный план (очная)'!E40</f>
        <v>4</v>
      </c>
      <c r="F20" s="249">
        <f>'Учебный план (очная)'!F40</f>
        <v>0</v>
      </c>
      <c r="G20" s="249">
        <f>'Учебный план (очная)'!G40</f>
        <v>0</v>
      </c>
      <c r="H20" s="249" t="str">
        <f>'Учебный план (очная)'!H40</f>
        <v>3</v>
      </c>
      <c r="I20" s="322">
        <f>'Учебный план (очная)'!K40</f>
        <v>133</v>
      </c>
      <c r="K20" s="333">
        <f>'Учебный план З_О'!D30</f>
        <v>0</v>
      </c>
      <c r="L20" s="329" t="str">
        <f>'Учебный план З_О'!E30</f>
        <v>4</v>
      </c>
      <c r="M20" s="329">
        <f>'Учебный план З_О'!F30</f>
        <v>0</v>
      </c>
      <c r="N20" s="329" t="str">
        <f>'Учебный план З_О'!G30</f>
        <v>4</v>
      </c>
      <c r="O20" s="329" t="str">
        <f>'Учебный план З_О'!H30</f>
        <v>3</v>
      </c>
      <c r="P20" s="317">
        <f>'Учебный план З_О'!M21</f>
        <v>133</v>
      </c>
      <c r="Q20" s="334" t="str">
        <f>'Учебный план З_О'!B21</f>
        <v>Электротехника и электроника</v>
      </c>
    </row>
    <row r="21" spans="1:17" ht="12.75">
      <c r="A21" s="321" t="str">
        <f>'Учебный план (очная)'!A41</f>
        <v>ОП.03.</v>
      </c>
      <c r="B21" s="249" t="str">
        <f>'Учебный план (очная)'!B41</f>
        <v>Метрология, стандартизация и сертификация</v>
      </c>
      <c r="C21" s="249">
        <f>'Учебный план (очная)'!C41</f>
        <v>0</v>
      </c>
      <c r="D21" s="249">
        <f>'Учебный план (очная)'!D41</f>
        <v>0</v>
      </c>
      <c r="E21" s="249" t="str">
        <f>'Учебный план (очная)'!E41</f>
        <v>4</v>
      </c>
      <c r="F21" s="249">
        <f>'Учебный план (очная)'!F41</f>
        <v>0</v>
      </c>
      <c r="G21" s="249">
        <f>'Учебный план (очная)'!G41</f>
        <v>0</v>
      </c>
      <c r="H21" s="249">
        <f>'Учебный план (очная)'!H41</f>
        <v>0</v>
      </c>
      <c r="I21" s="322">
        <f>'Учебный план (очная)'!K41</f>
        <v>85</v>
      </c>
      <c r="K21" s="333">
        <f>'Учебный план З_О'!D31</f>
        <v>0</v>
      </c>
      <c r="L21" s="329" t="str">
        <f>'Учебный план З_О'!E31</f>
        <v>3</v>
      </c>
      <c r="M21" s="329">
        <f>'Учебный план З_О'!F31</f>
        <v>0</v>
      </c>
      <c r="N21" s="329">
        <f>'Учебный план З_О'!G31</f>
        <v>0</v>
      </c>
      <c r="O21" s="329">
        <f>'Учебный план З_О'!H31</f>
        <v>0</v>
      </c>
      <c r="P21" s="317">
        <f>'Учебный план З_О'!M22</f>
        <v>85</v>
      </c>
      <c r="Q21" s="334" t="str">
        <f>'Учебный план З_О'!B22</f>
        <v>Метрология, стандартизация и сертификация</v>
      </c>
    </row>
    <row r="22" spans="1:17" ht="12.75">
      <c r="A22" s="321" t="str">
        <f>'Учебный план (очная)'!A42</f>
        <v>ОП.04.</v>
      </c>
      <c r="B22" s="249" t="str">
        <f>'Учебный план (очная)'!B42</f>
        <v>Транспортная система России</v>
      </c>
      <c r="C22" s="249">
        <f>'Учебный план (очная)'!C42</f>
        <v>0</v>
      </c>
      <c r="D22" s="249">
        <f>'Учебный план (очная)'!D42</f>
        <v>0</v>
      </c>
      <c r="E22" s="249" t="str">
        <f>'Учебный план (очная)'!E42</f>
        <v>4</v>
      </c>
      <c r="F22" s="249">
        <f>'Учебный план (очная)'!F42</f>
        <v>0</v>
      </c>
      <c r="G22" s="249">
        <f>'Учебный план (очная)'!G42</f>
        <v>0</v>
      </c>
      <c r="H22" s="249" t="str">
        <f>'Учебный план (очная)'!H42</f>
        <v>3</v>
      </c>
      <c r="I22" s="322">
        <f>'Учебный план (очная)'!K42</f>
        <v>133</v>
      </c>
      <c r="K22" s="333">
        <f>'Учебный план З_О'!D32</f>
        <v>0</v>
      </c>
      <c r="L22" s="329" t="str">
        <f>'Учебный план З_О'!E32</f>
        <v>3</v>
      </c>
      <c r="M22" s="329">
        <f>'Учебный план З_О'!F32</f>
        <v>0</v>
      </c>
      <c r="N22" s="329">
        <f>'Учебный план З_О'!G32</f>
        <v>0</v>
      </c>
      <c r="O22" s="329">
        <f>'Учебный план З_О'!H32</f>
        <v>0</v>
      </c>
      <c r="P22" s="317">
        <f>'Учебный план З_О'!M23</f>
        <v>133</v>
      </c>
      <c r="Q22" s="334" t="str">
        <f>'Учебный план З_О'!B23</f>
        <v>Транспортная система России</v>
      </c>
    </row>
    <row r="23" spans="1:17" ht="12.75">
      <c r="A23" s="321" t="str">
        <f>'Учебный план (очная)'!A43</f>
        <v>ОП.05.</v>
      </c>
      <c r="B23" s="249" t="str">
        <f>'Учебный план (очная)'!B43</f>
        <v>Технические средства (по видам транспорта)</v>
      </c>
      <c r="C23" s="249">
        <f>'Учебный план (очная)'!C43</f>
        <v>0</v>
      </c>
      <c r="D23" s="249">
        <f>'Учебный план (очная)'!D43</f>
        <v>0</v>
      </c>
      <c r="E23" s="249" t="str">
        <f>'Учебный план (очная)'!E43</f>
        <v>5</v>
      </c>
      <c r="F23" s="249">
        <f>'Учебный план (очная)'!F43</f>
        <v>0</v>
      </c>
      <c r="G23" s="249">
        <f>'Учебный план (очная)'!G43</f>
        <v>0</v>
      </c>
      <c r="H23" s="249" t="str">
        <f>'Учебный план (очная)'!H43</f>
        <v>4</v>
      </c>
      <c r="I23" s="322">
        <f>'Учебный план (очная)'!K43</f>
        <v>296</v>
      </c>
      <c r="K23" s="333">
        <f>'Учебный план З_О'!D33</f>
        <v>0</v>
      </c>
      <c r="L23" s="329" t="str">
        <f>'Учебный план З_О'!E33</f>
        <v>4</v>
      </c>
      <c r="M23" s="329">
        <f>'Учебный план З_О'!F33</f>
        <v>0</v>
      </c>
      <c r="N23" s="329">
        <f>'Учебный план З_О'!G33</f>
        <v>0</v>
      </c>
      <c r="O23" s="329">
        <f>'Учебный план З_О'!H33</f>
        <v>0</v>
      </c>
      <c r="P23" s="317">
        <f>'Учебный план З_О'!M24</f>
        <v>296</v>
      </c>
      <c r="Q23" s="334" t="str">
        <f>'Учебный план З_О'!B24</f>
        <v>Технические средства (по видам транспорта)</v>
      </c>
    </row>
    <row r="24" spans="1:17" ht="12.75">
      <c r="A24" s="321" t="str">
        <f>'Учебный план (очная)'!A44</f>
        <v>ОП.06.</v>
      </c>
      <c r="B24" s="249" t="str">
        <f>'Учебный план (очная)'!B44</f>
        <v>Правовое обеспечение профессиональной деятельности</v>
      </c>
      <c r="C24" s="249">
        <f>'Учебный план (очная)'!C44</f>
        <v>0</v>
      </c>
      <c r="D24" s="249">
        <f>'Учебный план (очная)'!D44</f>
        <v>0</v>
      </c>
      <c r="E24" s="249" t="str">
        <f>'Учебный план (очная)'!E44</f>
        <v>6</v>
      </c>
      <c r="F24" s="249">
        <f>'Учебный план (очная)'!F44</f>
        <v>0</v>
      </c>
      <c r="G24" s="249">
        <f>'Учебный план (очная)'!G44</f>
        <v>0</v>
      </c>
      <c r="H24" s="249">
        <f>'Учебный план (очная)'!H44</f>
        <v>0</v>
      </c>
      <c r="I24" s="322">
        <f>'Учебный план (очная)'!K44</f>
        <v>72</v>
      </c>
      <c r="K24" s="333">
        <f>'Учебный план З_О'!D34</f>
        <v>0</v>
      </c>
      <c r="L24" s="329" t="str">
        <f>'Учебный план З_О'!E34</f>
        <v>3</v>
      </c>
      <c r="M24" s="329">
        <f>'Учебный план З_О'!F34</f>
        <v>0</v>
      </c>
      <c r="N24" s="329">
        <f>'Учебный план З_О'!G34</f>
        <v>0</v>
      </c>
      <c r="O24" s="329" t="str">
        <f>'Учебный план З_О'!H34</f>
        <v>3</v>
      </c>
      <c r="P24" s="317">
        <f>'Учебный план З_О'!M25</f>
        <v>72</v>
      </c>
      <c r="Q24" s="334" t="str">
        <f>'Учебный план З_О'!B25</f>
        <v>Правовое обеспечение профессиональной деятельности</v>
      </c>
    </row>
    <row r="25" spans="1:17" ht="12.75">
      <c r="A25" s="321" t="str">
        <f>'Учебный план (очная)'!A45</f>
        <v>ОП.07.</v>
      </c>
      <c r="B25" s="249" t="str">
        <f>'Учебный план (очная)'!B45</f>
        <v>Охрана труда</v>
      </c>
      <c r="C25" s="249">
        <f>'Учебный план (очная)'!C45</f>
        <v>0</v>
      </c>
      <c r="D25" s="249">
        <f>'Учебный план (очная)'!D45</f>
        <v>0</v>
      </c>
      <c r="E25" s="249" t="str">
        <f>'Учебный план (очная)'!E45</f>
        <v>4</v>
      </c>
      <c r="F25" s="249">
        <f>'Учебный план (очная)'!F45</f>
        <v>0</v>
      </c>
      <c r="G25" s="249">
        <f>'Учебный план (очная)'!G45</f>
        <v>0</v>
      </c>
      <c r="H25" s="249">
        <f>'Учебный план (очная)'!H45</f>
        <v>0</v>
      </c>
      <c r="I25" s="322">
        <f>'Учебный план (очная)'!K45</f>
        <v>57</v>
      </c>
      <c r="K25" s="333">
        <f>'Учебный план З_О'!D35</f>
        <v>0</v>
      </c>
      <c r="L25" s="329" t="str">
        <f>'Учебный план З_О'!E35</f>
        <v>4</v>
      </c>
      <c r="M25" s="329">
        <f>'Учебный план З_О'!F35</f>
        <v>0</v>
      </c>
      <c r="N25" s="329">
        <f>'Учебный план З_О'!G35</f>
        <v>0</v>
      </c>
      <c r="O25" s="329">
        <f>'Учебный план З_О'!H35</f>
        <v>0</v>
      </c>
      <c r="P25" s="317">
        <f>'Учебный план З_О'!M26</f>
        <v>57</v>
      </c>
      <c r="Q25" s="334" t="str">
        <f>'Учебный план З_О'!B26</f>
        <v>Охрана труда</v>
      </c>
    </row>
    <row r="26" spans="1:17" ht="12.75">
      <c r="A26" s="321" t="str">
        <f>'Учебный план (очная)'!A46</f>
        <v>ОП.08.</v>
      </c>
      <c r="B26" s="249" t="str">
        <f>'Учебный план (очная)'!B46</f>
        <v>Безопасность жизнедеятельности</v>
      </c>
      <c r="C26" s="249">
        <f>'Учебный план (очная)'!C46</f>
        <v>0</v>
      </c>
      <c r="D26" s="249">
        <f>'Учебный план (очная)'!D46</f>
        <v>0</v>
      </c>
      <c r="E26" s="249" t="str">
        <f>'Учебный план (очная)'!E46</f>
        <v>5</v>
      </c>
      <c r="F26" s="249">
        <f>'Учебный план (очная)'!F46</f>
        <v>0</v>
      </c>
      <c r="G26" s="249">
        <f>'Учебный план (очная)'!G46</f>
        <v>0</v>
      </c>
      <c r="H26" s="249" t="str">
        <f>'Учебный план (очная)'!H46</f>
        <v>4</v>
      </c>
      <c r="I26" s="322">
        <f>'Учебный план (очная)'!K46</f>
        <v>106</v>
      </c>
      <c r="K26" s="333" t="str">
        <f>'Учебный план З_О'!D36</f>
        <v>4</v>
      </c>
      <c r="L26" s="329">
        <f>'Учебный план З_О'!E36</f>
        <v>0</v>
      </c>
      <c r="M26" s="329">
        <f>'Учебный план З_О'!F36</f>
        <v>0</v>
      </c>
      <c r="N26" s="329">
        <f>'Учебный план З_О'!G36</f>
        <v>0</v>
      </c>
      <c r="O26" s="329">
        <f>'Учебный план З_О'!H36</f>
        <v>0</v>
      </c>
      <c r="P26" s="317">
        <f>'Учебный план З_О'!M27</f>
        <v>106</v>
      </c>
      <c r="Q26" s="334" t="str">
        <f>'Учебный план З_О'!B27</f>
        <v>Безопасность жизнедеятельности</v>
      </c>
    </row>
    <row r="27" spans="1:17" ht="12.75">
      <c r="A27" s="323" t="str">
        <f>'Учебный план (очная)'!A47</f>
        <v>ПМ.00</v>
      </c>
      <c r="B27" s="315" t="str">
        <f>'Учебный план (очная)'!B47</f>
        <v>Профессиональные модули</v>
      </c>
      <c r="C27" s="315">
        <f>'Учебный план (очная)'!C47</f>
        <v>0</v>
      </c>
      <c r="D27" s="315">
        <f>'Учебный план (очная)'!D47</f>
        <v>0</v>
      </c>
      <c r="E27" s="315">
        <f>'Учебный план (очная)'!E47</f>
        <v>0</v>
      </c>
      <c r="F27" s="315">
        <f>'Учебный план (очная)'!F47</f>
        <v>0</v>
      </c>
      <c r="G27" s="315">
        <f>'Учебный план (очная)'!G47</f>
        <v>0</v>
      </c>
      <c r="H27" s="315">
        <f>'Учебный план (очная)'!H47</f>
        <v>0</v>
      </c>
      <c r="I27" s="324">
        <f>'Учебный план (очная)'!K47</f>
        <v>1604</v>
      </c>
      <c r="J27" s="314"/>
      <c r="K27" s="332">
        <f>'Учебный план З_О'!D37</f>
        <v>0</v>
      </c>
      <c r="L27" s="328">
        <f>'Учебный план З_О'!E37</f>
        <v>0</v>
      </c>
      <c r="M27" s="328">
        <f>'Учебный план З_О'!F37</f>
        <v>0</v>
      </c>
      <c r="N27" s="328">
        <f>'Учебный план З_О'!G37</f>
        <v>0</v>
      </c>
      <c r="O27" s="328">
        <f>'Учебный план З_О'!H37</f>
        <v>0</v>
      </c>
      <c r="P27" s="316">
        <f>'Учебный план З_О'!M28</f>
        <v>1520</v>
      </c>
      <c r="Q27" s="335" t="str">
        <f>'Учебный план З_О'!B28</f>
        <v>Профессиональные модули</v>
      </c>
    </row>
    <row r="28" spans="1:17" ht="12.75">
      <c r="A28" s="323" t="str">
        <f>'Учебный план (очная)'!A48</f>
        <v>ПМ.01</v>
      </c>
      <c r="B28" s="315" t="str">
        <f>'Учебный план (очная)'!B48</f>
        <v>Организация перевозочного процесса (по видам транспорта)</v>
      </c>
      <c r="C28" s="315">
        <f>'Учебный план (очная)'!C48</f>
        <v>0</v>
      </c>
      <c r="D28" s="315">
        <f>'Учебный план (очная)'!D48</f>
        <v>0</v>
      </c>
      <c r="E28" s="315">
        <f>'Учебный план (очная)'!E48</f>
        <v>0</v>
      </c>
      <c r="F28" s="315">
        <f>'Учебный план (очная)'!F48</f>
        <v>0</v>
      </c>
      <c r="G28" s="315">
        <f>'Учебный план (очная)'!G48</f>
        <v>0</v>
      </c>
      <c r="H28" s="315">
        <f>'Учебный план (очная)'!H48</f>
        <v>0</v>
      </c>
      <c r="I28" s="324">
        <f>'Учебный план (очная)'!K48</f>
        <v>776</v>
      </c>
      <c r="J28" s="314"/>
      <c r="K28" s="332">
        <f>'Учебный план З_О'!D38</f>
        <v>0</v>
      </c>
      <c r="L28" s="328" t="str">
        <f>'Учебный план З_О'!E38</f>
        <v>2</v>
      </c>
      <c r="M28" s="328">
        <f>'Учебный план З_О'!F38</f>
        <v>0</v>
      </c>
      <c r="N28" s="328">
        <f>'Учебный план З_О'!G38</f>
        <v>0</v>
      </c>
      <c r="O28" s="328">
        <f>'Учебный план З_О'!H38</f>
        <v>0</v>
      </c>
      <c r="P28" s="316">
        <f>'Учебный план З_О'!M29</f>
        <v>776</v>
      </c>
      <c r="Q28" s="335" t="str">
        <f>'Учебный план З_О'!B29</f>
        <v>Организация перевозочного процесса (по видам транспорта)</v>
      </c>
    </row>
    <row r="29" spans="1:17" ht="12.75">
      <c r="A29" s="321" t="str">
        <f>'Учебный план (очная)'!A49</f>
        <v>МДК.01.01.</v>
      </c>
      <c r="B29" s="249" t="str">
        <f>'Учебный план (очная)'!B49</f>
        <v>Технология перевозочного процесса (по видам транспорта)</v>
      </c>
      <c r="C29" s="249">
        <f>'Учебный план (очная)'!C49</f>
        <v>0</v>
      </c>
      <c r="D29" s="249">
        <f>'Учебный план (очная)'!D49</f>
        <v>0</v>
      </c>
      <c r="E29" s="249" t="str">
        <f>'Учебный план (очная)'!E49</f>
        <v>8</v>
      </c>
      <c r="F29" s="249">
        <f>'Учебный план (очная)'!F49</f>
        <v>0</v>
      </c>
      <c r="G29" s="249" t="str">
        <f>'Учебный план (очная)'!G49</f>
        <v>8</v>
      </c>
      <c r="H29" s="249" t="str">
        <f>'Учебный план (очная)'!H49</f>
        <v>5,6,7</v>
      </c>
      <c r="I29" s="322">
        <f>'Учебный план (очная)'!K49</f>
        <v>332</v>
      </c>
      <c r="K29" s="333">
        <f>'Учебный план З_О'!D39</f>
        <v>0</v>
      </c>
      <c r="L29" s="329" t="str">
        <f>'Учебный план З_О'!E39</f>
        <v>4</v>
      </c>
      <c r="M29" s="329">
        <f>'Учебный план З_О'!F39</f>
        <v>0</v>
      </c>
      <c r="N29" s="329">
        <f>'Учебный план З_О'!G39</f>
        <v>0</v>
      </c>
      <c r="O29" s="329" t="str">
        <f>'Учебный план З_О'!H39</f>
        <v>3</v>
      </c>
      <c r="P29" s="317">
        <f>'Учебный план З_О'!M30</f>
        <v>332</v>
      </c>
      <c r="Q29" s="334" t="str">
        <f>'Учебный план З_О'!B30</f>
        <v>Технология перевозочного процесса (по видам транспорта)</v>
      </c>
    </row>
    <row r="30" spans="1:17" ht="12.75">
      <c r="A30" s="321" t="str">
        <f>'Учебный план (очная)'!A50</f>
        <v>МДК.01.02.</v>
      </c>
      <c r="B30" s="249" t="str">
        <f>'Учебный план (очная)'!B50</f>
        <v>Информационное обеспечение перевозочного процесса (по видам транспорта)</v>
      </c>
      <c r="C30" s="249">
        <f>'Учебный план (очная)'!C50</f>
        <v>0</v>
      </c>
      <c r="D30" s="249">
        <f>'Учебный план (очная)'!D50</f>
        <v>0</v>
      </c>
      <c r="E30" s="249" t="str">
        <f>'Учебный план (очная)'!E50</f>
        <v>6</v>
      </c>
      <c r="F30" s="249">
        <f>'Учебный план (очная)'!F50</f>
        <v>0</v>
      </c>
      <c r="G30" s="249">
        <f>'Учебный план (очная)'!G50</f>
        <v>0</v>
      </c>
      <c r="H30" s="249">
        <f>'Учебный план (очная)'!H50</f>
        <v>0</v>
      </c>
      <c r="I30" s="322">
        <f>'Учебный план (очная)'!K50</f>
        <v>108</v>
      </c>
      <c r="K30" s="333" t="str">
        <f>'Учебный план З_О'!D40</f>
        <v>4</v>
      </c>
      <c r="L30" s="329">
        <f>'Учебный план З_О'!E40</f>
        <v>0</v>
      </c>
      <c r="M30" s="329">
        <f>'Учебный план З_О'!F40</f>
        <v>0</v>
      </c>
      <c r="N30" s="329">
        <f>'Учебный план З_О'!G40</f>
        <v>0</v>
      </c>
      <c r="O30" s="329">
        <f>'Учебный план З_О'!H40</f>
        <v>0</v>
      </c>
      <c r="P30" s="317">
        <f>'Учебный план З_О'!M31</f>
        <v>108</v>
      </c>
      <c r="Q30" s="334" t="str">
        <f>'Учебный план З_О'!B31</f>
        <v>Информационное обеспечение перевозочного процесса (по видам транспорта)</v>
      </c>
    </row>
    <row r="31" spans="1:17" ht="12.75">
      <c r="A31" s="321" t="str">
        <f>'Учебный план (очная)'!A51</f>
        <v>МДК.01.03.</v>
      </c>
      <c r="B31" s="249" t="str">
        <f>'Учебный план (очная)'!B51</f>
        <v>Автоматизированные системы управления на транспорте (по видам транспорта)</v>
      </c>
      <c r="C31" s="249">
        <f>'Учебный план (очная)'!C51</f>
        <v>0</v>
      </c>
      <c r="D31" s="249">
        <f>'Учебный план (очная)'!D51</f>
        <v>0</v>
      </c>
      <c r="E31" s="249" t="str">
        <f>'Учебный план (очная)'!E51</f>
        <v>7</v>
      </c>
      <c r="F31" s="249">
        <f>'Учебный план (очная)'!F51</f>
        <v>0</v>
      </c>
      <c r="G31" s="249">
        <f>'Учебный план (очная)'!G51</f>
        <v>0</v>
      </c>
      <c r="H31" s="249">
        <f>'Учебный план (очная)'!H51</f>
        <v>0</v>
      </c>
      <c r="I31" s="322">
        <f>'Учебный план (очная)'!K51</f>
        <v>96</v>
      </c>
      <c r="K31" s="333">
        <f>'Учебный план З_О'!D41</f>
        <v>0</v>
      </c>
      <c r="L31" s="329">
        <f>'Учебный план З_О'!E41</f>
        <v>0</v>
      </c>
      <c r="M31" s="329">
        <f>'Учебный план З_О'!F41</f>
        <v>0</v>
      </c>
      <c r="N31" s="329">
        <f>'Учебный план З_О'!G41</f>
        <v>0</v>
      </c>
      <c r="O31" s="329">
        <f>'Учебный план З_О'!H41</f>
        <v>0</v>
      </c>
      <c r="P31" s="317">
        <f>'Учебный план З_О'!M32</f>
        <v>96</v>
      </c>
      <c r="Q31" s="334" t="str">
        <f>'Учебный план З_О'!B32</f>
        <v>Автоматизированные системы управления на транспорте (по видам транспорта)</v>
      </c>
    </row>
    <row r="32" spans="1:17" ht="12.75">
      <c r="A32" s="321">
        <f>'Учебный план (очная)'!A52</f>
        <v>0</v>
      </c>
      <c r="B32" s="249" t="str">
        <f>'Учебный план (очная)'!B52</f>
        <v>Организация и управление безопасностью на водном транспорте</v>
      </c>
      <c r="C32" s="249">
        <f>'Учебный план (очная)'!C52</f>
        <v>0</v>
      </c>
      <c r="D32" s="249">
        <f>'Учебный план (очная)'!D52</f>
        <v>0</v>
      </c>
      <c r="E32" s="249" t="str">
        <f>'Учебный план (очная)'!E52</f>
        <v>8</v>
      </c>
      <c r="F32" s="249">
        <f>'Учебный план (очная)'!F52</f>
        <v>0</v>
      </c>
      <c r="G32" s="249">
        <f>'Учебный план (очная)'!G52</f>
        <v>0</v>
      </c>
      <c r="H32" s="249">
        <f>'Учебный план (очная)'!H52</f>
        <v>0</v>
      </c>
      <c r="I32" s="322">
        <f>'Учебный план (очная)'!K52</f>
        <v>72</v>
      </c>
      <c r="K32" s="333" t="str">
        <f>'Учебный план З_О'!D42</f>
        <v>3</v>
      </c>
      <c r="L32" s="329">
        <f>'Учебный план З_О'!E42</f>
        <v>0</v>
      </c>
      <c r="M32" s="329">
        <f>'Учебный план З_О'!F42</f>
        <v>0</v>
      </c>
      <c r="N32" s="329">
        <f>'Учебный план З_О'!G42</f>
        <v>0</v>
      </c>
      <c r="O32" s="329">
        <f>'Учебный план З_О'!H42</f>
        <v>0</v>
      </c>
      <c r="P32" s="317">
        <f>'Учебный план З_О'!M33</f>
        <v>72</v>
      </c>
      <c r="Q32" s="334" t="str">
        <f>'Учебный план З_О'!B33</f>
        <v>Организация и управление безопасностью на водном транспорте</v>
      </c>
    </row>
    <row r="33" spans="1:17" ht="12.75">
      <c r="A33" s="321">
        <f>'Учебный план (очная)'!A53</f>
        <v>0</v>
      </c>
      <c r="B33" s="249" t="str">
        <f>'Учебный план (очная)'!B53</f>
        <v>Бронирование и продажа перевозок и услуг</v>
      </c>
      <c r="C33" s="249">
        <f>'Учебный план (очная)'!C53</f>
        <v>0</v>
      </c>
      <c r="D33" s="249">
        <f>'Учебный план (очная)'!D53</f>
        <v>0</v>
      </c>
      <c r="E33" s="249" t="str">
        <f>'Учебный план (очная)'!E53</f>
        <v>8</v>
      </c>
      <c r="F33" s="249">
        <f>'Учебный план (очная)'!F53</f>
        <v>0</v>
      </c>
      <c r="G33" s="249">
        <f>'Учебный план (очная)'!G53</f>
        <v>0</v>
      </c>
      <c r="H33" s="249" t="str">
        <f>'Учебный план (очная)'!H53</f>
        <v>7</v>
      </c>
      <c r="I33" s="322">
        <f>'Учебный план (очная)'!K53</f>
        <v>96</v>
      </c>
      <c r="K33" s="333" t="str">
        <f>'Учебный план З_О'!D43</f>
        <v>3,4</v>
      </c>
      <c r="L33" s="329">
        <f>'Учебный план З_О'!E43</f>
        <v>0</v>
      </c>
      <c r="M33" s="329">
        <f>'Учебный план З_О'!F43</f>
        <v>0</v>
      </c>
      <c r="N33" s="329" t="str">
        <f>'Учебный план З_О'!G43</f>
        <v>4</v>
      </c>
      <c r="O33" s="329" t="str">
        <f>'Учебный план З_О'!H43</f>
        <v>3</v>
      </c>
      <c r="P33" s="317">
        <f>'Учебный план З_О'!M34</f>
        <v>96</v>
      </c>
      <c r="Q33" s="334" t="str">
        <f>'Учебный план З_О'!B34</f>
        <v>Бронирование и продажа перевозок и услуг</v>
      </c>
    </row>
    <row r="34" spans="1:17" ht="12.75">
      <c r="A34" s="321">
        <f>'Учебный план (очная)'!A54</f>
        <v>0</v>
      </c>
      <c r="B34" s="249" t="str">
        <f>'Учебный план (очная)'!B54</f>
        <v>Перевозка опасных грузов</v>
      </c>
      <c r="C34" s="249">
        <f>'Учебный план (очная)'!C54</f>
        <v>0</v>
      </c>
      <c r="D34" s="249">
        <f>'Учебный план (очная)'!D54</f>
        <v>0</v>
      </c>
      <c r="E34" s="249" t="str">
        <f>'Учебный план (очная)'!E54</f>
        <v>8</v>
      </c>
      <c r="F34" s="249">
        <f>'Учебный план (очная)'!F54</f>
        <v>0</v>
      </c>
      <c r="G34" s="249">
        <f>'Учебный план (очная)'!G54</f>
        <v>0</v>
      </c>
      <c r="H34" s="249">
        <f>'Учебный план (очная)'!H54</f>
        <v>0</v>
      </c>
      <c r="I34" s="322">
        <f>'Учебный план (очная)'!K54</f>
        <v>72</v>
      </c>
      <c r="K34" s="333">
        <f>'Учебный план З_О'!D44</f>
        <v>0</v>
      </c>
      <c r="L34" s="329" t="str">
        <f>'Учебный план З_О'!E44</f>
        <v>3</v>
      </c>
      <c r="M34" s="329">
        <f>'Учебный план З_О'!F44</f>
        <v>0</v>
      </c>
      <c r="N34" s="329">
        <f>'Учебный план З_О'!G44</f>
        <v>0</v>
      </c>
      <c r="O34" s="329" t="str">
        <f>'Учебный план З_О'!H44</f>
        <v>3</v>
      </c>
      <c r="P34" s="317">
        <f>'Учебный план З_О'!M35</f>
        <v>72</v>
      </c>
      <c r="Q34" s="334" t="str">
        <f>'Учебный план З_О'!B35</f>
        <v>Перевозка опасных грузов</v>
      </c>
    </row>
    <row r="35" spans="1:17" ht="12.75">
      <c r="A35" s="321" t="str">
        <f>'Учебный план (очная)'!A55</f>
        <v>Экзамен квалификационный</v>
      </c>
      <c r="B35" s="249">
        <f>'Учебный план (очная)'!B55</f>
        <v>0</v>
      </c>
      <c r="C35" s="249">
        <f>'Учебный план (очная)'!C55</f>
        <v>0</v>
      </c>
      <c r="D35" s="249" t="str">
        <f>'Учебный план (очная)'!D55</f>
        <v>8</v>
      </c>
      <c r="E35" s="249">
        <f>'Учебный план (очная)'!E55</f>
        <v>0</v>
      </c>
      <c r="F35" s="249">
        <f>'Учебный план (очная)'!F55</f>
        <v>0</v>
      </c>
      <c r="G35" s="249">
        <f>'Учебный план (очная)'!G55</f>
        <v>0</v>
      </c>
      <c r="H35" s="249">
        <f>'Учебный план (очная)'!H55</f>
        <v>0</v>
      </c>
      <c r="I35" s="322">
        <f>'Учебный план (очная)'!K55</f>
        <v>0</v>
      </c>
      <c r="K35" s="333" t="str">
        <f>'Учебный план З_О'!D45</f>
        <v>4</v>
      </c>
      <c r="L35" s="329">
        <f>'Учебный план З_О'!E45</f>
        <v>0</v>
      </c>
      <c r="M35" s="329">
        <f>'Учебный план З_О'!F45</f>
        <v>0</v>
      </c>
      <c r="N35" s="329">
        <f>'Учебный план З_О'!G45</f>
        <v>0</v>
      </c>
      <c r="O35" s="329">
        <f>'Учебный план З_О'!H45</f>
        <v>0</v>
      </c>
      <c r="P35" s="317">
        <f>'Учебный план З_О'!M36</f>
        <v>0</v>
      </c>
      <c r="Q35" s="334">
        <f>'Учебный план З_О'!B36</f>
        <v>0</v>
      </c>
    </row>
    <row r="36" spans="1:17" ht="12.75">
      <c r="A36" s="323" t="str">
        <f>'Учебный план (очная)'!A56</f>
        <v>ПМ.02</v>
      </c>
      <c r="B36" s="315" t="str">
        <f>'Учебный план (очная)'!B56</f>
        <v>Организация сервисного обслуживания на транспорте (по видам транспорта)</v>
      </c>
      <c r="C36" s="315">
        <f>'Учебный план (очная)'!C56</f>
        <v>0</v>
      </c>
      <c r="D36" s="315">
        <f>'Учебный план (очная)'!D56</f>
        <v>0</v>
      </c>
      <c r="E36" s="315">
        <f>'Учебный план (очная)'!E56</f>
        <v>0</v>
      </c>
      <c r="F36" s="315">
        <f>'Учебный план (очная)'!F56</f>
        <v>0</v>
      </c>
      <c r="G36" s="315">
        <f>'Учебный план (очная)'!G56</f>
        <v>0</v>
      </c>
      <c r="H36" s="315">
        <f>'Учебный план (очная)'!H56</f>
        <v>0</v>
      </c>
      <c r="I36" s="324">
        <f>'Учебный план (очная)'!K56</f>
        <v>204</v>
      </c>
      <c r="J36" s="314"/>
      <c r="K36" s="332">
        <f>'Учебный план З_О'!D46</f>
        <v>0</v>
      </c>
      <c r="L36" s="328">
        <f>'Учебный план З_О'!E46</f>
        <v>0</v>
      </c>
      <c r="M36" s="328">
        <f>'Учебный план З_О'!F46</f>
        <v>0</v>
      </c>
      <c r="N36" s="328">
        <f>'Учебный план З_О'!G46</f>
        <v>0</v>
      </c>
      <c r="O36" s="328">
        <f>'Учебный план З_О'!H46</f>
        <v>0</v>
      </c>
      <c r="P36" s="316">
        <f>'Учебный план З_О'!M37</f>
        <v>120</v>
      </c>
      <c r="Q36" s="335" t="str">
        <f>'Учебный план З_О'!B37</f>
        <v>Организация сервисного обслуживания на транспорте (по видам транспорта)</v>
      </c>
    </row>
    <row r="37" spans="1:17" ht="12.75">
      <c r="A37" s="321" t="str">
        <f>'Учебный план (очная)'!A57</f>
        <v>МДК.02.01.</v>
      </c>
      <c r="B37" s="249" t="str">
        <f>'Учебный план (очная)'!B57</f>
        <v>Организация движения (по видам транспорта)</v>
      </c>
      <c r="C37" s="249">
        <f>'Учебный план (очная)'!C57</f>
        <v>0</v>
      </c>
      <c r="D37" s="249">
        <f>'Учебный план (очная)'!D57</f>
        <v>0</v>
      </c>
      <c r="E37" s="249" t="str">
        <f>'Учебный план (очная)'!E57</f>
        <v>4</v>
      </c>
      <c r="F37" s="249">
        <f>'Учебный план (очная)'!F57</f>
        <v>0</v>
      </c>
      <c r="G37" s="249">
        <f>'Учебный план (очная)'!G57</f>
        <v>0</v>
      </c>
      <c r="H37" s="249">
        <f>'Учебный план (очная)'!H57</f>
        <v>0</v>
      </c>
      <c r="I37" s="322">
        <f>'Учебный план (очная)'!K57</f>
        <v>84</v>
      </c>
      <c r="K37" s="333">
        <f>'Учебный план З_О'!D47</f>
        <v>0</v>
      </c>
      <c r="L37" s="329" t="str">
        <f>'Учебный план З_О'!E47</f>
        <v>4</v>
      </c>
      <c r="M37" s="329">
        <f>'Учебный план З_О'!F47</f>
        <v>0</v>
      </c>
      <c r="N37" s="329">
        <f>'Учебный план З_О'!G47</f>
        <v>0</v>
      </c>
      <c r="O37" s="329" t="str">
        <f>'Учебный план З_О'!H47</f>
        <v>4</v>
      </c>
      <c r="P37" s="317">
        <f>'Учебный план З_О'!M38</f>
        <v>84</v>
      </c>
      <c r="Q37" s="334" t="str">
        <f>'Учебный план З_О'!B38</f>
        <v>Организация движения (по видам транспорта)</v>
      </c>
    </row>
    <row r="38" spans="1:17" ht="12.75">
      <c r="A38" s="321" t="str">
        <f>'Учебный план (очная)'!A58</f>
        <v>МДК.02.02.</v>
      </c>
      <c r="B38" s="249" t="str">
        <f>'Учебный план (очная)'!B58</f>
        <v>Организация пассажирских перевозок и обслуживание пассажиров (по видам транспорта)</v>
      </c>
      <c r="C38" s="249">
        <f>'Учебный план (очная)'!C58</f>
        <v>0</v>
      </c>
      <c r="D38" s="249">
        <f>'Учебный план (очная)'!D58</f>
        <v>0</v>
      </c>
      <c r="E38" s="249" t="str">
        <f>'Учебный план (очная)'!E58</f>
        <v>8</v>
      </c>
      <c r="F38" s="249">
        <f>'Учебный план (очная)'!F58</f>
        <v>0</v>
      </c>
      <c r="G38" s="249">
        <f>'Учебный план (очная)'!G58</f>
        <v>0</v>
      </c>
      <c r="H38" s="249" t="str">
        <f>'Учебный план (очная)'!H58</f>
        <v>7</v>
      </c>
      <c r="I38" s="322">
        <f>'Учебный план (очная)'!K58</f>
        <v>120</v>
      </c>
      <c r="K38" s="333" t="e">
        <f>'Учебный план З_О'!#REF!</f>
        <v>#REF!</v>
      </c>
      <c r="L38" s="329" t="e">
        <f>'Учебный план З_О'!#REF!</f>
        <v>#REF!</v>
      </c>
      <c r="M38" s="329" t="e">
        <f>'Учебный план З_О'!#REF!</f>
        <v>#REF!</v>
      </c>
      <c r="N38" s="329" t="e">
        <f>'Учебный план З_О'!#REF!</f>
        <v>#REF!</v>
      </c>
      <c r="O38" s="329" t="e">
        <f>'Учебный план З_О'!#REF!</f>
        <v>#REF!</v>
      </c>
      <c r="P38" s="317">
        <f>'Учебный план З_О'!M39</f>
        <v>120</v>
      </c>
      <c r="Q38" s="334" t="str">
        <f>'Учебный план З_О'!B39</f>
        <v>Организация пассажирских перевозок и обслуживание пассажиров (по видам транспорта)</v>
      </c>
    </row>
    <row r="39" spans="1:17" ht="12.75">
      <c r="A39" s="321" t="str">
        <f>'Учебный план (очная)'!A59</f>
        <v>Экзамен квалификационный</v>
      </c>
      <c r="B39" s="249">
        <f>'Учебный план (очная)'!B59</f>
        <v>0</v>
      </c>
      <c r="C39" s="249">
        <f>'Учебный план (очная)'!C59</f>
        <v>0</v>
      </c>
      <c r="D39" s="249" t="str">
        <f>'Учебный план (очная)'!D59</f>
        <v>8</v>
      </c>
      <c r="E39" s="249">
        <f>'Учебный план (очная)'!E59</f>
        <v>0</v>
      </c>
      <c r="F39" s="249">
        <f>'Учебный план (очная)'!F59</f>
        <v>0</v>
      </c>
      <c r="G39" s="249">
        <f>'Учебный план (очная)'!G59</f>
        <v>0</v>
      </c>
      <c r="H39" s="249">
        <f>'Учебный план (очная)'!H59</f>
        <v>0</v>
      </c>
      <c r="I39" s="322">
        <f>'Учебный план (очная)'!K59</f>
        <v>0</v>
      </c>
      <c r="K39" s="333" t="str">
        <f>'Учебный план З_О'!D48</f>
        <v>4</v>
      </c>
      <c r="L39" s="329">
        <f>'Учебный план З_О'!E48</f>
        <v>0</v>
      </c>
      <c r="M39" s="329">
        <f>'Учебный план З_О'!F48</f>
        <v>0</v>
      </c>
      <c r="N39" s="329">
        <f>'Учебный план З_О'!G48</f>
        <v>0</v>
      </c>
      <c r="O39" s="329">
        <f>'Учебный план З_О'!H48</f>
        <v>0</v>
      </c>
      <c r="P39" s="317">
        <f>'Учебный план З_О'!M40</f>
        <v>0</v>
      </c>
      <c r="Q39" s="334">
        <f>'Учебный план З_О'!B40</f>
        <v>0</v>
      </c>
    </row>
    <row r="40" spans="1:17" ht="12.75">
      <c r="A40" s="323" t="str">
        <f>'Учебный план (очная)'!A60</f>
        <v>ПМ.03</v>
      </c>
      <c r="B40" s="315" t="str">
        <f>'Учебный план (очная)'!B60</f>
        <v>Организация транспортно-логистической деятельности (по видам транспорта)</v>
      </c>
      <c r="C40" s="315">
        <f>'Учебный план (очная)'!C60</f>
        <v>0</v>
      </c>
      <c r="D40" s="315">
        <f>'Учебный план (очная)'!D60</f>
        <v>0</v>
      </c>
      <c r="E40" s="315">
        <f>'Учебный план (очная)'!E60</f>
        <v>0</v>
      </c>
      <c r="F40" s="315">
        <f>'Учебный план (очная)'!F60</f>
        <v>0</v>
      </c>
      <c r="G40" s="315">
        <f>'Учебный план (очная)'!G60</f>
        <v>0</v>
      </c>
      <c r="H40" s="315">
        <f>'Учебный план (очная)'!H60</f>
        <v>0</v>
      </c>
      <c r="I40" s="324">
        <f>'Учебный план (очная)'!K60</f>
        <v>540</v>
      </c>
      <c r="J40" s="314"/>
      <c r="K40" s="332">
        <f>'Учебный план З_О'!D49</f>
        <v>0</v>
      </c>
      <c r="L40" s="328">
        <f>'Учебный план З_О'!E49</f>
        <v>0</v>
      </c>
      <c r="M40" s="328">
        <f>'Учебный план З_О'!F49</f>
        <v>0</v>
      </c>
      <c r="N40" s="328">
        <f>'Учебный план З_О'!G49</f>
        <v>0</v>
      </c>
      <c r="O40" s="328">
        <f>'Учебный план З_О'!H49</f>
        <v>0</v>
      </c>
      <c r="P40" s="316">
        <f>'Учебный план З_О'!M41</f>
        <v>540</v>
      </c>
      <c r="Q40" s="335" t="str">
        <f>'Учебный план З_О'!B41</f>
        <v>Организация транспортно-логистической деятельности (по видам транспорта)</v>
      </c>
    </row>
    <row r="41" spans="1:17" ht="12.75">
      <c r="A41" s="321" t="str">
        <f>'Учебный план (очная)'!A61</f>
        <v>МДК.03.01.</v>
      </c>
      <c r="B41" s="249" t="str">
        <f>'Учебный план (очная)'!B61</f>
        <v>Транспортно-экспедиционная деятельность (по видам транспорта)</v>
      </c>
      <c r="C41" s="249">
        <f>'Учебный план (очная)'!C61</f>
        <v>0</v>
      </c>
      <c r="D41" s="249" t="str">
        <f>'Учебный план (очная)'!D61</f>
        <v>4</v>
      </c>
      <c r="E41" s="249">
        <f>'Учебный план (очная)'!E61</f>
        <v>0</v>
      </c>
      <c r="F41" s="249">
        <f>'Учебный план (очная)'!F61</f>
        <v>0</v>
      </c>
      <c r="G41" s="249">
        <f>'Учебный план (очная)'!G61</f>
        <v>0</v>
      </c>
      <c r="H41" s="249">
        <f>'Учебный план (очная)'!H61</f>
        <v>0</v>
      </c>
      <c r="I41" s="322">
        <f>'Учебный план (очная)'!K61</f>
        <v>114</v>
      </c>
      <c r="K41" s="333">
        <f>'Учебный план З_О'!D50</f>
        <v>0</v>
      </c>
      <c r="L41" s="329" t="str">
        <f>'Учебный план З_О'!E50</f>
        <v>1</v>
      </c>
      <c r="M41" s="329">
        <f>'Учебный план З_О'!F50</f>
        <v>0</v>
      </c>
      <c r="N41" s="329">
        <f>'Учебный план З_О'!G50</f>
        <v>0</v>
      </c>
      <c r="O41" s="329">
        <f>'Учебный план З_О'!H50</f>
        <v>0</v>
      </c>
      <c r="P41" s="317">
        <f>'Учебный план З_О'!M42</f>
        <v>114</v>
      </c>
      <c r="Q41" s="334" t="str">
        <f>'Учебный план З_О'!B42</f>
        <v>Транспортно-экспедиционная деятельность (по видам транспорта)</v>
      </c>
    </row>
    <row r="42" spans="1:17" ht="12.75">
      <c r="A42" s="321" t="str">
        <f>'Учебный план (очная)'!A62</f>
        <v>МДК.03.02.</v>
      </c>
      <c r="B42" s="249" t="str">
        <f>'Учебный план (очная)'!B62</f>
        <v>Обеспечение грузовых перевозок (по видам транспорта)</v>
      </c>
      <c r="C42" s="249">
        <f>'Учебный план (очная)'!C62</f>
        <v>0</v>
      </c>
      <c r="D42" s="249" t="str">
        <f>'Учебный план (очная)'!D62</f>
        <v>6,8</v>
      </c>
      <c r="E42" s="249">
        <f>'Учебный план (очная)'!E62</f>
        <v>0</v>
      </c>
      <c r="F42" s="249">
        <f>'Учебный план (очная)'!F62</f>
        <v>0</v>
      </c>
      <c r="G42" s="249" t="str">
        <f>'Учебный план (очная)'!G62</f>
        <v>8</v>
      </c>
      <c r="H42" s="249" t="str">
        <f>'Учебный план (очная)'!H62</f>
        <v>5,7</v>
      </c>
      <c r="I42" s="322">
        <f>'Учебный план (очная)'!K62</f>
        <v>306</v>
      </c>
      <c r="K42" s="333">
        <f>'Учебный план З_О'!D51</f>
        <v>0</v>
      </c>
      <c r="L42" s="329" t="str">
        <f>'Учебный план З_О'!E51</f>
        <v>4</v>
      </c>
      <c r="M42" s="329">
        <f>'Учебный план З_О'!F51</f>
        <v>0</v>
      </c>
      <c r="N42" s="329">
        <f>'Учебный план З_О'!G51</f>
        <v>0</v>
      </c>
      <c r="O42" s="329">
        <f>'Учебный план З_О'!H51</f>
        <v>4</v>
      </c>
      <c r="P42" s="317">
        <f>'Учебный план З_О'!M43</f>
        <v>306</v>
      </c>
      <c r="Q42" s="334" t="str">
        <f>'Учебный план З_О'!B43</f>
        <v>Обеспечение грузовых перевозок (по видам транспорта)</v>
      </c>
    </row>
    <row r="43" spans="1:17" ht="12.75">
      <c r="A43" s="321" t="str">
        <f>'Учебный план (очная)'!A63</f>
        <v>МДК.03.03.</v>
      </c>
      <c r="B43" s="249" t="str">
        <f>'Учебный план (очная)'!B63</f>
        <v>Перевозка грузов на особых условиях</v>
      </c>
      <c r="C43" s="249">
        <f>'Учебный план (очная)'!C63</f>
        <v>0</v>
      </c>
      <c r="D43" s="249">
        <f>'Учебный план (очная)'!D63</f>
        <v>0</v>
      </c>
      <c r="E43" s="249" t="str">
        <f>'Учебный план (очная)'!E63</f>
        <v>8</v>
      </c>
      <c r="F43" s="249">
        <f>'Учебный план (очная)'!F63</f>
        <v>0</v>
      </c>
      <c r="G43" s="249">
        <f>'Учебный план (очная)'!G63</f>
        <v>0</v>
      </c>
      <c r="H43" s="249" t="str">
        <f>'Учебный план (очная)'!H63</f>
        <v>7</v>
      </c>
      <c r="I43" s="322">
        <f>'Учебный план (очная)'!K63</f>
        <v>120</v>
      </c>
      <c r="K43" s="333">
        <f>'Учебный план З_О'!D52</f>
        <v>0</v>
      </c>
      <c r="L43" s="329" t="str">
        <f>'Учебный план З_О'!E52</f>
        <v>2</v>
      </c>
      <c r="M43" s="329">
        <f>'Учебный план З_О'!F52</f>
        <v>0</v>
      </c>
      <c r="N43" s="329">
        <f>'Учебный план З_О'!G52</f>
        <v>0</v>
      </c>
      <c r="O43" s="329">
        <f>'Учебный план З_О'!H52</f>
        <v>0</v>
      </c>
      <c r="P43" s="317">
        <f>'Учебный план З_О'!M44</f>
        <v>120</v>
      </c>
      <c r="Q43" s="334" t="str">
        <f>'Учебный план З_О'!B44</f>
        <v>Перевозка грузов на особых условиях</v>
      </c>
    </row>
    <row r="44" spans="1:17" ht="12.75">
      <c r="A44" s="321" t="str">
        <f>'Учебный план (очная)'!A64</f>
        <v>Экзамен квалификационный</v>
      </c>
      <c r="B44" s="249">
        <f>'Учебный план (очная)'!B64</f>
        <v>0</v>
      </c>
      <c r="C44" s="249">
        <f>'Учебный план (очная)'!C64</f>
        <v>0</v>
      </c>
      <c r="D44" s="249" t="str">
        <f>'Учебный план (очная)'!D64</f>
        <v>8</v>
      </c>
      <c r="E44" s="249">
        <f>'Учебный план (очная)'!E64</f>
        <v>0</v>
      </c>
      <c r="F44" s="249">
        <f>'Учебный план (очная)'!F64</f>
        <v>0</v>
      </c>
      <c r="G44" s="249">
        <f>'Учебный план (очная)'!G64</f>
        <v>0</v>
      </c>
      <c r="H44" s="249">
        <f>'Учебный план (очная)'!H64</f>
        <v>0</v>
      </c>
      <c r="I44" s="322">
        <f>'Учебный план (очная)'!K64</f>
        <v>0</v>
      </c>
      <c r="K44" s="333">
        <f>'Учебный план З_О'!D53</f>
        <v>0</v>
      </c>
      <c r="L44" s="329" t="str">
        <f>'Учебный план З_О'!E53</f>
        <v>2</v>
      </c>
      <c r="M44" s="329">
        <f>'Учебный план З_О'!F53</f>
        <v>0</v>
      </c>
      <c r="N44" s="329">
        <f>'Учебный план З_О'!G53</f>
        <v>0</v>
      </c>
      <c r="O44" s="329">
        <f>'Учебный план З_О'!H53</f>
        <v>0</v>
      </c>
      <c r="P44" s="317">
        <f>'Учебный план З_О'!M45</f>
        <v>0</v>
      </c>
      <c r="Q44" s="334">
        <f>'Учебный план З_О'!B45</f>
        <v>0</v>
      </c>
    </row>
    <row r="45" spans="1:17" ht="12.75">
      <c r="A45" s="323" t="str">
        <f>'Учебный план (очная)'!A65</f>
        <v>ПМ.04</v>
      </c>
      <c r="B45" s="315" t="str">
        <f>'Учебный план (очная)'!B65</f>
        <v>Выполнение работ по одной или нескольким профессиям рабочих, должностям служащих</v>
      </c>
      <c r="C45" s="315">
        <f>'Учебный план (очная)'!C65</f>
        <v>0</v>
      </c>
      <c r="D45" s="315">
        <f>'Учебный план (очная)'!D65</f>
        <v>0</v>
      </c>
      <c r="E45" s="315">
        <f>'Учебный план (очная)'!E65</f>
        <v>0</v>
      </c>
      <c r="F45" s="315">
        <f>'Учебный план (очная)'!F65</f>
        <v>0</v>
      </c>
      <c r="G45" s="315">
        <f>'Учебный план (очная)'!G65</f>
        <v>0</v>
      </c>
      <c r="H45" s="315">
        <f>'Учебный план (очная)'!H65</f>
        <v>0</v>
      </c>
      <c r="I45" s="324">
        <f>'Учебный план (очная)'!K65</f>
        <v>84</v>
      </c>
      <c r="J45" s="314"/>
      <c r="K45" s="332">
        <f>'Учебный план З_О'!D55</f>
        <v>0</v>
      </c>
      <c r="L45" s="328" t="str">
        <f>'Учебный план З_О'!E55</f>
        <v>3</v>
      </c>
      <c r="M45" s="328">
        <f>'Учебный план З_О'!F55</f>
        <v>0</v>
      </c>
      <c r="N45" s="328">
        <f>'Учебный план З_О'!G55</f>
        <v>0</v>
      </c>
      <c r="O45" s="328">
        <f>'Учебный план З_О'!H55</f>
        <v>0</v>
      </c>
      <c r="P45" s="316">
        <f>'Учебный план З_О'!M46</f>
        <v>84</v>
      </c>
      <c r="Q45" s="335" t="str">
        <f>'Учебный план З_О'!B46</f>
        <v>Выполнение работ по одной или нескольким профессиям рабочих, должностям служащих</v>
      </c>
    </row>
    <row r="46" spans="1:17" ht="12.75">
      <c r="A46" s="321" t="str">
        <f>'Учебный план (очная)'!A66</f>
        <v>МДК.04.01</v>
      </c>
      <c r="B46" s="249" t="str">
        <f>'Учебный план (очная)'!B66</f>
        <v>Оператор диспетчерской (производственно-диспетчерской) службы</v>
      </c>
      <c r="C46" s="249">
        <f>'Учебный план (очная)'!C66</f>
        <v>0</v>
      </c>
      <c r="D46" s="249">
        <f>'Учебный план (очная)'!D66</f>
        <v>0</v>
      </c>
      <c r="E46" s="249" t="str">
        <f>'Учебный план (очная)'!E66</f>
        <v>8</v>
      </c>
      <c r="F46" s="249">
        <f>'Учебный план (очная)'!F66</f>
        <v>0</v>
      </c>
      <c r="G46" s="249">
        <f>'Учебный план (очная)'!G66</f>
        <v>0</v>
      </c>
      <c r="H46" s="249" t="str">
        <f>'Учебный план (очная)'!H66</f>
        <v>7</v>
      </c>
      <c r="I46" s="322">
        <f>'Учебный план (очная)'!K66</f>
        <v>84</v>
      </c>
      <c r="K46" s="333">
        <f>'Учебный план З_О'!D56</f>
        <v>0</v>
      </c>
      <c r="L46" s="329" t="str">
        <f>'Учебный план З_О'!E56</f>
        <v>3</v>
      </c>
      <c r="M46" s="329">
        <f>'Учебный план З_О'!F56</f>
        <v>0</v>
      </c>
      <c r="N46" s="329">
        <f>'Учебный план З_О'!G56</f>
        <v>0</v>
      </c>
      <c r="O46" s="329">
        <f>'Учебный план З_О'!H56</f>
        <v>0</v>
      </c>
      <c r="P46" s="317">
        <f>'Учебный план З_О'!M47</f>
        <v>84</v>
      </c>
      <c r="Q46" s="334" t="str">
        <f>'Учебный план З_О'!B47</f>
        <v>Оператор диспетчерской (производственно-диспетчерской) службы</v>
      </c>
    </row>
    <row r="47" spans="1:17" ht="12.75">
      <c r="A47" s="321" t="e">
        <f>'Учебный план (очная)'!#REF!</f>
        <v>#REF!</v>
      </c>
      <c r="B47" s="249" t="e">
        <f>'Учебный план (очная)'!#REF!</f>
        <v>#REF!</v>
      </c>
      <c r="C47" s="249" t="e">
        <f>'Учебный план (очная)'!#REF!</f>
        <v>#REF!</v>
      </c>
      <c r="D47" s="249" t="e">
        <f>'Учебный план (очная)'!#REF!</f>
        <v>#REF!</v>
      </c>
      <c r="E47" s="249" t="e">
        <f>'Учебный план (очная)'!#REF!</f>
        <v>#REF!</v>
      </c>
      <c r="F47" s="249" t="e">
        <f>'Учебный план (очная)'!#REF!</f>
        <v>#REF!</v>
      </c>
      <c r="G47" s="249" t="e">
        <f>'Учебный план (очная)'!#REF!</f>
        <v>#REF!</v>
      </c>
      <c r="H47" s="249" t="e">
        <f>'Учебный план (очная)'!#REF!</f>
        <v>#REF!</v>
      </c>
      <c r="I47" s="322" t="e">
        <f>'Учебный план (очная)'!#REF!</f>
        <v>#REF!</v>
      </c>
      <c r="K47" s="333">
        <f>'Учебный план З_О'!D57</f>
        <v>0</v>
      </c>
      <c r="L47" s="329" t="str">
        <f>'Учебный план З_О'!E57</f>
        <v>3</v>
      </c>
      <c r="M47" s="329">
        <f>'Учебный план З_О'!F57</f>
        <v>0</v>
      </c>
      <c r="N47" s="329">
        <f>'Учебный план З_О'!G57</f>
        <v>0</v>
      </c>
      <c r="O47" s="329" t="str">
        <f>'Учебный план З_О'!H57</f>
        <v>3</v>
      </c>
      <c r="P47" s="317" t="e">
        <f>'Учебный план З_О'!#REF!</f>
        <v>#REF!</v>
      </c>
      <c r="Q47" s="334" t="e">
        <f>'Учебный план З_О'!#REF!</f>
        <v>#REF!</v>
      </c>
    </row>
    <row r="48" spans="1:17" ht="12.75">
      <c r="A48" s="321" t="str">
        <f>'Учебный план (очная)'!A67</f>
        <v>Экзамен квалификационный</v>
      </c>
      <c r="B48" s="249">
        <f>'Учебный план (очная)'!B67</f>
        <v>0</v>
      </c>
      <c r="C48" s="249">
        <f>'Учебный план (очная)'!C67</f>
        <v>0</v>
      </c>
      <c r="D48" s="249" t="str">
        <f>'Учебный план (очная)'!D67</f>
        <v>8</v>
      </c>
      <c r="E48" s="249">
        <f>'Учебный план (очная)'!E67</f>
        <v>0</v>
      </c>
      <c r="F48" s="249">
        <f>'Учебный план (очная)'!F67</f>
        <v>0</v>
      </c>
      <c r="G48" s="249">
        <f>'Учебный план (очная)'!G67</f>
        <v>0</v>
      </c>
      <c r="H48" s="249">
        <f>'Учебный план (очная)'!H67</f>
        <v>0</v>
      </c>
      <c r="I48" s="322">
        <f>'Учебный план (очная)'!K67</f>
        <v>0</v>
      </c>
      <c r="K48" s="333">
        <f>'Учебный план З_О'!D58</f>
        <v>0</v>
      </c>
      <c r="L48" s="329" t="str">
        <f>'Учебный план З_О'!E58</f>
        <v>4</v>
      </c>
      <c r="M48" s="329">
        <f>'Учебный план З_О'!F58</f>
        <v>0</v>
      </c>
      <c r="N48" s="329" t="str">
        <f>'Учебный план З_О'!G58</f>
        <v>4</v>
      </c>
      <c r="O48" s="329" t="str">
        <f>'Учебный план З_О'!H58</f>
        <v>3</v>
      </c>
      <c r="P48" s="317">
        <f>'Учебный план З_О'!M48</f>
        <v>0</v>
      </c>
      <c r="Q48" s="334">
        <f>'Учебный план З_О'!B48</f>
        <v>0</v>
      </c>
    </row>
    <row r="49" spans="1:17" ht="12.75">
      <c r="A49" s="323" t="str">
        <f>'Учебный план (очная)'!A68</f>
        <v>ВЧ.00</v>
      </c>
      <c r="B49" s="315" t="str">
        <f>'Учебный план (очная)'!B68</f>
        <v>Вариативная часть циклов ППССЗ</v>
      </c>
      <c r="C49" s="315">
        <f>'Учебный план (очная)'!C68</f>
        <v>0</v>
      </c>
      <c r="D49" s="315">
        <f>'Учебный план (очная)'!D68</f>
        <v>0</v>
      </c>
      <c r="E49" s="315">
        <f>'Учебный план (очная)'!E68</f>
        <v>0</v>
      </c>
      <c r="F49" s="315">
        <f>'Учебный план (очная)'!F68</f>
        <v>0</v>
      </c>
      <c r="G49" s="315">
        <f>'Учебный план (очная)'!G68</f>
        <v>0</v>
      </c>
      <c r="H49" s="315">
        <f>'Учебный план (очная)'!H68</f>
        <v>0</v>
      </c>
      <c r="I49" s="324">
        <f>'Учебный план (очная)'!K68</f>
        <v>1060</v>
      </c>
      <c r="J49" s="314"/>
      <c r="K49" s="332" t="e">
        <f>'Учебный план З_О'!#REF!</f>
        <v>#REF!</v>
      </c>
      <c r="L49" s="328" t="e">
        <f>'Учебный план З_О'!#REF!</f>
        <v>#REF!</v>
      </c>
      <c r="M49" s="328" t="e">
        <f>'Учебный план З_О'!#REF!</f>
        <v>#REF!</v>
      </c>
      <c r="N49" s="328" t="e">
        <f>'Учебный план З_О'!#REF!</f>
        <v>#REF!</v>
      </c>
      <c r="O49" s="328" t="e">
        <f>'Учебный план З_О'!#REF!</f>
        <v>#REF!</v>
      </c>
      <c r="P49" s="316">
        <f>'Учебный план З_О'!M49</f>
        <v>1060</v>
      </c>
      <c r="Q49" s="335" t="str">
        <f>'Учебный план З_О'!B49</f>
        <v>Вариативная часть чиклов ППССЗ</v>
      </c>
    </row>
    <row r="50" spans="1:17" ht="12.75">
      <c r="A50" s="321" t="str">
        <f>'Учебный план (очная)'!A69</f>
        <v>ВЧ.01</v>
      </c>
      <c r="B50" s="249" t="str">
        <f>'Учебный план (очная)'!B69</f>
        <v>Русский язык и культура речи</v>
      </c>
      <c r="C50" s="249">
        <f>'Учебный план (очная)'!C69</f>
        <v>0</v>
      </c>
      <c r="D50" s="249">
        <f>'Учебный план (очная)'!D69</f>
        <v>0</v>
      </c>
      <c r="E50" s="249" t="str">
        <f>'Учебный план (очная)'!E69</f>
        <v>3</v>
      </c>
      <c r="F50" s="249">
        <f>'Учебный план (очная)'!F69</f>
        <v>0</v>
      </c>
      <c r="G50" s="249">
        <f>'Учебный план (очная)'!G69</f>
        <v>0</v>
      </c>
      <c r="H50" s="249">
        <f>'Учебный план (очная)'!H69</f>
        <v>0</v>
      </c>
      <c r="I50" s="322">
        <f>'Учебный план (очная)'!K69</f>
        <v>54</v>
      </c>
      <c r="K50" s="333" t="e">
        <f>'Учебный план З_О'!#REF!</f>
        <v>#REF!</v>
      </c>
      <c r="L50" s="329" t="e">
        <f>'Учебный план З_О'!#REF!</f>
        <v>#REF!</v>
      </c>
      <c r="M50" s="329" t="e">
        <f>'Учебный план З_О'!#REF!</f>
        <v>#REF!</v>
      </c>
      <c r="N50" s="329" t="e">
        <f>'Учебный план З_О'!#REF!</f>
        <v>#REF!</v>
      </c>
      <c r="O50" s="329" t="e">
        <f>'Учебный план З_О'!#REF!</f>
        <v>#REF!</v>
      </c>
      <c r="P50" s="317">
        <f>'Учебный план З_О'!M50</f>
        <v>48</v>
      </c>
      <c r="Q50" s="334" t="str">
        <f>'Учебный план З_О'!B50</f>
        <v>Русский язык и культура речи</v>
      </c>
    </row>
    <row r="51" spans="1:17" ht="12.75">
      <c r="A51" s="321" t="str">
        <f>'Учебный план (очная)'!A70</f>
        <v>ВЧ.02</v>
      </c>
      <c r="B51" s="249" t="str">
        <f>'Учебный план (очная)'!B70</f>
        <v>Деловой иностранный язык</v>
      </c>
      <c r="C51" s="249">
        <f>'Учебный план (очная)'!C70</f>
        <v>0</v>
      </c>
      <c r="D51" s="249">
        <f>'Учебный план (очная)'!D70</f>
        <v>0</v>
      </c>
      <c r="E51" s="249" t="str">
        <f>'Учебный план (очная)'!E70</f>
        <v>8</v>
      </c>
      <c r="F51" s="249">
        <f>'Учебный план (очная)'!F70</f>
        <v>0</v>
      </c>
      <c r="G51" s="249">
        <f>'Учебный план (очная)'!G70</f>
        <v>0</v>
      </c>
      <c r="H51" s="249">
        <f>'Учебный план (очная)'!H70</f>
        <v>7</v>
      </c>
      <c r="I51" s="322">
        <f>'Учебный план (очная)'!K70</f>
        <v>52</v>
      </c>
      <c r="K51" s="333">
        <f>'Учебный план З_О'!D60</f>
        <v>0</v>
      </c>
      <c r="L51" s="329">
        <f>'Учебный план З_О'!E60</f>
        <v>0</v>
      </c>
      <c r="M51" s="329" t="str">
        <f>'Учебный план З_О'!F60</f>
        <v>2</v>
      </c>
      <c r="N51" s="329">
        <f>'Учебный план З_О'!G60</f>
        <v>0</v>
      </c>
      <c r="O51" s="329">
        <f>'Учебный план З_О'!H60</f>
        <v>0</v>
      </c>
      <c r="P51" s="317">
        <f>'Учебный план З_О'!M51</f>
        <v>52</v>
      </c>
      <c r="Q51" s="334" t="str">
        <f>'Учебный план З_О'!B51</f>
        <v>Деловой иностранный язык</v>
      </c>
    </row>
    <row r="52" spans="1:17" ht="12.75">
      <c r="A52" s="321" t="str">
        <f>'Учебный план (очная)'!A71</f>
        <v>ВЧ.03</v>
      </c>
      <c r="B52" s="249" t="str">
        <f>'Учебный план (очная)'!B71</f>
        <v>Основы делопроизводства</v>
      </c>
      <c r="C52" s="249">
        <f>'Учебный план (очная)'!C71</f>
        <v>0</v>
      </c>
      <c r="D52" s="249">
        <f>'Учебный план (очная)'!D71</f>
        <v>0</v>
      </c>
      <c r="E52" s="249" t="str">
        <f>'Учебный план (очная)'!E71</f>
        <v>3</v>
      </c>
      <c r="F52" s="249">
        <f>'Учебный план (очная)'!F71</f>
        <v>0</v>
      </c>
      <c r="G52" s="249">
        <f>'Учебный план (очная)'!G71</f>
        <v>0</v>
      </c>
      <c r="H52" s="249">
        <f>'Учебный план (очная)'!H71</f>
        <v>0</v>
      </c>
      <c r="I52" s="322">
        <f>'Учебный план (очная)'!K71</f>
        <v>72</v>
      </c>
      <c r="K52" s="333">
        <f>'Учебный план З_О'!D62</f>
        <v>0</v>
      </c>
      <c r="L52" s="329">
        <f>'Учебный план З_О'!E62</f>
        <v>3</v>
      </c>
      <c r="M52" s="329">
        <f>'Учебный план З_О'!F62</f>
        <v>0</v>
      </c>
      <c r="N52" s="329">
        <f>'Учебный план З_О'!G62</f>
        <v>0</v>
      </c>
      <c r="O52" s="329">
        <f>'Учебный план З_О'!H62</f>
        <v>0</v>
      </c>
      <c r="P52" s="317">
        <f>'Учебный план З_О'!M52</f>
        <v>72</v>
      </c>
      <c r="Q52" s="334" t="str">
        <f>'Учебный план З_О'!B52</f>
        <v>Основы делопроизводства</v>
      </c>
    </row>
    <row r="53" spans="1:17" ht="12.75">
      <c r="A53" s="321" t="str">
        <f>'Учебный план (очная)'!A72</f>
        <v>ВЧ.04</v>
      </c>
      <c r="B53" s="249" t="str">
        <f>'Учебный план (очная)'!B72</f>
        <v>Внутренние водные пути России</v>
      </c>
      <c r="C53" s="249">
        <f>'Учебный план (очная)'!C72</f>
        <v>0</v>
      </c>
      <c r="D53" s="249">
        <f>'Учебный план (очная)'!D72</f>
        <v>0</v>
      </c>
      <c r="E53" s="249" t="str">
        <f>'Учебный план (очная)'!E72</f>
        <v>5</v>
      </c>
      <c r="F53" s="249">
        <f>'Учебный план (очная)'!F72</f>
        <v>0</v>
      </c>
      <c r="G53" s="249">
        <f>'Учебный план (очная)'!G72</f>
        <v>0</v>
      </c>
      <c r="H53" s="249">
        <f>'Учебный план (очная)'!H72</f>
        <v>0</v>
      </c>
      <c r="I53" s="322">
        <f>'Учебный план (очная)'!K72</f>
        <v>106</v>
      </c>
      <c r="K53" s="333">
        <f>'Учебный план З_О'!D63</f>
        <v>0</v>
      </c>
      <c r="L53" s="329">
        <f>'Учебный план З_О'!E63</f>
        <v>4</v>
      </c>
      <c r="M53" s="329">
        <f>'Учебный план З_О'!F63</f>
        <v>0</v>
      </c>
      <c r="N53" s="329">
        <f>'Учебный план З_О'!G63</f>
        <v>0</v>
      </c>
      <c r="O53" s="329">
        <f>'Учебный план З_О'!H63</f>
        <v>0</v>
      </c>
      <c r="P53" s="317">
        <f>'Учебный план З_О'!M53</f>
        <v>106</v>
      </c>
      <c r="Q53" s="334" t="str">
        <f>'Учебный план З_О'!B53</f>
        <v>Внутренние водные пути России</v>
      </c>
    </row>
    <row r="54" spans="1:17" ht="12.75">
      <c r="A54" s="321" t="str">
        <f>'Учебный план (очная)'!A74</f>
        <v>ВЧ.06</v>
      </c>
      <c r="B54" s="249" t="str">
        <f>'Учебный план (очная)'!B74</f>
        <v>Информационные технологии в профессиональной деятельности</v>
      </c>
      <c r="C54" s="249">
        <f>'Учебный план (очная)'!C74</f>
        <v>0</v>
      </c>
      <c r="D54" s="249">
        <f>'Учебный план (очная)'!D74</f>
        <v>0</v>
      </c>
      <c r="E54" s="249" t="str">
        <f>'Учебный план (очная)'!E74</f>
        <v>5</v>
      </c>
      <c r="F54" s="249">
        <f>'Учебный план (очная)'!F74</f>
        <v>0</v>
      </c>
      <c r="G54" s="249">
        <f>'Учебный план (очная)'!G74</f>
        <v>0</v>
      </c>
      <c r="H54" s="249">
        <f>'Учебный план (очная)'!H74</f>
        <v>0</v>
      </c>
      <c r="I54" s="322">
        <f>'Учебный план (очная)'!K74</f>
        <v>106</v>
      </c>
      <c r="K54" s="333">
        <f>'Учебный план З_О'!D64</f>
        <v>0</v>
      </c>
      <c r="L54" s="329">
        <f>'Учебный план З_О'!E64</f>
        <v>0</v>
      </c>
      <c r="M54" s="329">
        <f>'Учебный план З_О'!F64</f>
        <v>0</v>
      </c>
      <c r="N54" s="329">
        <f>'Учебный план З_О'!G64</f>
        <v>0</v>
      </c>
      <c r="O54" s="329">
        <f>'Учебный план З_О'!H64</f>
        <v>0</v>
      </c>
      <c r="P54" s="317">
        <f>'Учебный план З_О'!M55</f>
        <v>106</v>
      </c>
      <c r="Q54" s="334" t="str">
        <f>'Учебный план З_О'!B55</f>
        <v>Информационные технологии в профессиональной деятельности</v>
      </c>
    </row>
    <row r="55" spans="1:17" ht="12.75">
      <c r="A55" s="321" t="str">
        <f>'Учебный план (очная)'!A75</f>
        <v>ВЧ.07</v>
      </c>
      <c r="B55" s="249" t="str">
        <f>'Учебный план (очная)'!B75</f>
        <v>Коммерческая работа на транспорте</v>
      </c>
      <c r="C55" s="249">
        <f>'Учебный план (очная)'!C75</f>
        <v>0</v>
      </c>
      <c r="D55" s="249">
        <f>'Учебный план (очная)'!D75</f>
        <v>0</v>
      </c>
      <c r="E55" s="249" t="str">
        <f>'Учебный план (очная)'!E75</f>
        <v>3</v>
      </c>
      <c r="F55" s="249">
        <f>'Учебный план (очная)'!F75</f>
        <v>0</v>
      </c>
      <c r="G55" s="249">
        <f>'Учебный план (очная)'!G75</f>
        <v>0</v>
      </c>
      <c r="H55" s="249">
        <f>'Учебный план (очная)'!H75</f>
        <v>0</v>
      </c>
      <c r="I55" s="322">
        <f>'Учебный план (очная)'!K75</f>
        <v>72</v>
      </c>
      <c r="K55" s="333">
        <f>'Учебный план З_О'!D66</f>
        <v>0</v>
      </c>
      <c r="L55" s="329">
        <f>'Учебный план З_О'!E66</f>
        <v>0</v>
      </c>
      <c r="M55" s="329">
        <f>'Учебный план З_О'!F66</f>
        <v>0</v>
      </c>
      <c r="N55" s="329">
        <f>'Учебный план З_О'!G66</f>
        <v>0</v>
      </c>
      <c r="O55" s="329">
        <f>'Учебный план З_О'!H66</f>
        <v>0</v>
      </c>
      <c r="P55" s="317">
        <f>'Учебный план З_О'!M56</f>
        <v>72</v>
      </c>
      <c r="Q55" s="334" t="str">
        <f>'Учебный план З_О'!B56</f>
        <v>Коммерческая работа на транспорте</v>
      </c>
    </row>
    <row r="56" spans="1:17" ht="12.75">
      <c r="A56" s="321" t="str">
        <f>'Учебный план (очная)'!A76</f>
        <v>ВЧ.08</v>
      </c>
      <c r="B56" s="249" t="str">
        <f>'Учебный план (очная)'!B76</f>
        <v>Страхование и риски</v>
      </c>
      <c r="C56" s="249">
        <f>'Учебный план (очная)'!C76</f>
        <v>0</v>
      </c>
      <c r="D56" s="249">
        <f>'Учебный план (очная)'!D76</f>
        <v>0</v>
      </c>
      <c r="E56" s="249" t="str">
        <f>'Учебный план (очная)'!E76</f>
        <v>5</v>
      </c>
      <c r="F56" s="249">
        <f>'Учебный план (очная)'!F76</f>
        <v>0</v>
      </c>
      <c r="G56" s="249">
        <f>'Учебный план (очная)'!G76</f>
        <v>0</v>
      </c>
      <c r="H56" s="249" t="str">
        <f>'Учебный план (очная)'!H76</f>
        <v>4</v>
      </c>
      <c r="I56" s="322">
        <f>'Учебный план (очная)'!K76</f>
        <v>201</v>
      </c>
      <c r="K56" s="333">
        <f>'Учебный план З_О'!D67</f>
        <v>0</v>
      </c>
      <c r="L56" s="329">
        <f>'Учебный план З_О'!E67</f>
        <v>0</v>
      </c>
      <c r="M56" s="329">
        <f>'Учебный план З_О'!F67</f>
        <v>0</v>
      </c>
      <c r="N56" s="329">
        <f>'Учебный план З_О'!G67</f>
        <v>0</v>
      </c>
      <c r="O56" s="329">
        <f>'Учебный план З_О'!H67</f>
        <v>0</v>
      </c>
      <c r="P56" s="317">
        <f>'Учебный план З_О'!M57</f>
        <v>207</v>
      </c>
      <c r="Q56" s="334" t="str">
        <f>'Учебный план З_О'!B57</f>
        <v>Страхование и риски</v>
      </c>
    </row>
    <row r="57" spans="1:17" ht="12.75">
      <c r="A57" s="321" t="str">
        <f>'Учебный план (очная)'!A77</f>
        <v>ВЧ.09</v>
      </c>
      <c r="B57" s="249" t="str">
        <f>'Учебный план (очная)'!B77</f>
        <v>Экономика и управление на водном транспорте</v>
      </c>
      <c r="C57" s="249">
        <f>'Учебный план (очная)'!C77</f>
        <v>0</v>
      </c>
      <c r="D57" s="249" t="str">
        <f>'Учебный план (очная)'!D77</f>
        <v>6</v>
      </c>
      <c r="E57" s="249">
        <f>'Учебный план (очная)'!E77</f>
        <v>0</v>
      </c>
      <c r="F57" s="249">
        <f>'Учебный план (очная)'!F77</f>
        <v>0</v>
      </c>
      <c r="G57" s="249" t="str">
        <f>'Учебный план (очная)'!G77</f>
        <v>6</v>
      </c>
      <c r="H57" s="249" t="str">
        <f>'Учебный план (очная)'!H77</f>
        <v>5</v>
      </c>
      <c r="I57" s="322">
        <f>'Учебный план (очная)'!K77</f>
        <v>183</v>
      </c>
      <c r="K57" s="333">
        <f>'Учебный план З_О'!D68</f>
        <v>0</v>
      </c>
      <c r="L57" s="329">
        <f>'Учебный план З_О'!E68</f>
        <v>0</v>
      </c>
      <c r="M57" s="329">
        <f>'Учебный план З_О'!F68</f>
        <v>0</v>
      </c>
      <c r="N57" s="329">
        <f>'Учебный план З_О'!G68</f>
        <v>0</v>
      </c>
      <c r="O57" s="329">
        <f>'Учебный план З_О'!H68</f>
        <v>0</v>
      </c>
      <c r="P57" s="317">
        <f>'Учебный план З_О'!M58</f>
        <v>183</v>
      </c>
      <c r="Q57" s="334" t="str">
        <f>'Учебный план З_О'!B58</f>
        <v>Экономика и управление на водном транспорте</v>
      </c>
    </row>
    <row r="58" spans="1:17" ht="12.75">
      <c r="A58" s="321" t="str">
        <f>'Учебный план (очная)'!A79</f>
        <v>УП.00</v>
      </c>
      <c r="B58" s="249" t="str">
        <f>'Учебный план (очная)'!B79</f>
        <v>Учебная практика</v>
      </c>
      <c r="C58" s="249">
        <f>'Учебный план (очная)'!C79</f>
        <v>0</v>
      </c>
      <c r="D58" s="249">
        <f>'Учебный план (очная)'!D79</f>
        <v>0</v>
      </c>
      <c r="E58" s="249" t="str">
        <f>'Учебный план (очная)'!E79</f>
        <v>4</v>
      </c>
      <c r="F58" s="249">
        <f>'Учебный план (очная)'!F79</f>
        <v>0</v>
      </c>
      <c r="G58" s="249">
        <f>'Учебный план (очная)'!G79</f>
        <v>0</v>
      </c>
      <c r="H58" s="249">
        <f>'Учебный план (очная)'!H79</f>
        <v>0</v>
      </c>
      <c r="I58" s="322">
        <f>'Учебный план (очная)'!K79</f>
        <v>144</v>
      </c>
      <c r="K58" s="333">
        <f>'Учебный план З_О'!D69</f>
        <v>0</v>
      </c>
      <c r="L58" s="329">
        <f>'Учебный план З_О'!E69</f>
        <v>0</v>
      </c>
      <c r="M58" s="329">
        <f>'Учебный план З_О'!F69</f>
        <v>0</v>
      </c>
      <c r="N58" s="329">
        <f>'Учебный план З_О'!G69</f>
        <v>0</v>
      </c>
      <c r="O58" s="329">
        <f>'Учебный план З_О'!H69</f>
        <v>0</v>
      </c>
      <c r="P58" s="317" t="e">
        <f>'Учебный план З_О'!#REF!</f>
        <v>#REF!</v>
      </c>
      <c r="Q58" s="334" t="e">
        <f>'Учебный план З_О'!#REF!</f>
        <v>#REF!</v>
      </c>
    </row>
    <row r="59" spans="1:17" ht="12.75">
      <c r="A59" s="321" t="str">
        <f>'Учебный план (очная)'!A80</f>
        <v>УП.01</v>
      </c>
      <c r="B59" s="249" t="str">
        <f>'Учебный план (очная)'!B80</f>
        <v>Учебная практика</v>
      </c>
      <c r="C59" s="249">
        <f>'Учебный план (очная)'!C80</f>
        <v>0</v>
      </c>
      <c r="D59" s="249">
        <f>'Учебный план (очная)'!D80</f>
        <v>0</v>
      </c>
      <c r="E59" s="249" t="str">
        <f>'Учебный план (очная)'!E80</f>
        <v>4</v>
      </c>
      <c r="F59" s="249">
        <f>'Учебный план (очная)'!F80</f>
        <v>0</v>
      </c>
      <c r="G59" s="249">
        <f>'Учебный план (очная)'!G80</f>
        <v>0</v>
      </c>
      <c r="H59" s="249">
        <f>'Учебный план (очная)'!H80</f>
        <v>0</v>
      </c>
      <c r="I59" s="322">
        <f>'Учебный план (очная)'!K80</f>
        <v>144</v>
      </c>
      <c r="K59" s="333">
        <f>'Учебный план З_О'!D70</f>
        <v>0</v>
      </c>
      <c r="L59" s="329">
        <f>'Учебный план З_О'!E70</f>
        <v>0</v>
      </c>
      <c r="M59" s="329">
        <f>'Учебный план З_О'!F70</f>
        <v>0</v>
      </c>
      <c r="N59" s="329">
        <f>'Учебный план З_О'!G70</f>
        <v>0</v>
      </c>
      <c r="O59" s="329">
        <f>'Учебный план З_О'!H70</f>
        <v>0</v>
      </c>
      <c r="P59" s="317" t="e">
        <f>'Учебный план З_О'!#REF!</f>
        <v>#REF!</v>
      </c>
      <c r="Q59" s="334" t="e">
        <f>'Учебный план З_О'!#REF!</f>
        <v>#REF!</v>
      </c>
    </row>
    <row r="60" spans="1:17" ht="12.75">
      <c r="A60" s="321" t="str">
        <f>'Учебный план (очная)'!A81</f>
        <v>ПП.00</v>
      </c>
      <c r="B60" s="249" t="str">
        <f>'Учебный план (очная)'!B81</f>
        <v>Производственная практика</v>
      </c>
      <c r="C60" s="249">
        <f>'Учебный план (очная)'!C81</f>
        <v>0</v>
      </c>
      <c r="D60" s="249">
        <f>'Учебный план (очная)'!D81</f>
        <v>0</v>
      </c>
      <c r="E60" s="249">
        <f>'Учебный план (очная)'!E81</f>
        <v>0</v>
      </c>
      <c r="F60" s="249">
        <f>'Учебный план (очная)'!F81</f>
        <v>0</v>
      </c>
      <c r="G60" s="249">
        <f>'Учебный план (очная)'!G81</f>
        <v>0</v>
      </c>
      <c r="H60" s="249">
        <f>'Учебный план (очная)'!H81</f>
        <v>0</v>
      </c>
      <c r="I60" s="322">
        <f>'Учебный план (очная)'!K81</f>
        <v>900</v>
      </c>
      <c r="K60" s="333">
        <f>'Учебный план З_О'!D71</f>
        <v>0</v>
      </c>
      <c r="L60" s="329">
        <f>'Учебный план З_О'!E71</f>
        <v>0</v>
      </c>
      <c r="M60" s="329">
        <f>'Учебный план З_О'!F71</f>
        <v>0</v>
      </c>
      <c r="N60" s="329">
        <f>'Учебный план З_О'!G71</f>
        <v>0</v>
      </c>
      <c r="O60" s="329">
        <f>'Учебный план З_О'!H71</f>
        <v>0</v>
      </c>
      <c r="P60" s="317">
        <f>'Учебный план З_О'!M60</f>
        <v>144</v>
      </c>
      <c r="Q60" s="334" t="str">
        <f>'Учебный план З_О'!B60</f>
        <v>Учебная практика</v>
      </c>
    </row>
    <row r="61" spans="1:17" ht="12.75">
      <c r="A61" s="321" t="str">
        <f>'Учебный план (очная)'!A82</f>
        <v>ПП.01</v>
      </c>
      <c r="B61" s="249" t="str">
        <f>'Учебный план (очная)'!B82</f>
        <v>Производственная практика (по профилю специальности)</v>
      </c>
      <c r="C61" s="249">
        <f>'Учебный план (очная)'!C82</f>
        <v>0</v>
      </c>
      <c r="D61" s="249">
        <f>'Учебный план (очная)'!D82</f>
        <v>0</v>
      </c>
      <c r="E61" s="249" t="str">
        <f>'Учебный план (очная)'!E82</f>
        <v>7</v>
      </c>
      <c r="F61" s="249">
        <f>'Учебный план (очная)'!F82</f>
        <v>0</v>
      </c>
      <c r="G61" s="249">
        <f>'Учебный план (очная)'!G82</f>
        <v>0</v>
      </c>
      <c r="H61" s="249">
        <f>'Учебный план (очная)'!H82</f>
        <v>0</v>
      </c>
      <c r="I61" s="322">
        <f>'Учебный план (очная)'!K82</f>
        <v>756</v>
      </c>
      <c r="K61" s="333">
        <f>'Учебный план З_О'!D72</f>
        <v>0</v>
      </c>
      <c r="L61" s="329">
        <f>'Учебный план З_О'!E72</f>
        <v>0</v>
      </c>
      <c r="M61" s="329">
        <f>'Учебный план З_О'!F72</f>
        <v>0</v>
      </c>
      <c r="N61" s="329">
        <f>'Учебный план З_О'!G72</f>
        <v>0</v>
      </c>
      <c r="O61" s="329">
        <f>'Учебный план З_О'!H72</f>
        <v>0</v>
      </c>
      <c r="P61" s="317">
        <f>'Учебный план З_О'!M62</f>
        <v>756</v>
      </c>
      <c r="Q61" s="334" t="str">
        <f>'Учебный план З_О'!B62</f>
        <v>Производственная практика (по профилю специальности)</v>
      </c>
    </row>
    <row r="62" spans="1:17" ht="12.75">
      <c r="A62" s="321" t="str">
        <f>'Учебный план (очная)'!A83</f>
        <v>ПДП.01</v>
      </c>
      <c r="B62" s="249" t="str">
        <f>'Учебный план (очная)'!B83</f>
        <v>Преддипломная практика</v>
      </c>
      <c r="C62" s="249">
        <f>'Учебный план (очная)'!C83</f>
        <v>0</v>
      </c>
      <c r="D62" s="249">
        <f>'Учебный план (очная)'!D83</f>
        <v>0</v>
      </c>
      <c r="E62" s="249" t="str">
        <f>'Учебный план (очная)'!E83</f>
        <v>8</v>
      </c>
      <c r="F62" s="249">
        <f>'Учебный план (очная)'!F83</f>
        <v>0</v>
      </c>
      <c r="G62" s="249">
        <f>'Учебный план (очная)'!G83</f>
        <v>0</v>
      </c>
      <c r="H62" s="249">
        <f>'Учебный план (очная)'!H83</f>
        <v>0</v>
      </c>
      <c r="I62" s="322">
        <f>'Учебный план (очная)'!K83</f>
        <v>144</v>
      </c>
      <c r="K62" s="333">
        <f>'Учебный план З_О'!D73</f>
        <v>0</v>
      </c>
      <c r="L62" s="329">
        <f>'Учебный план З_О'!E73</f>
        <v>0</v>
      </c>
      <c r="M62" s="329">
        <f>'Учебный план З_О'!F73</f>
        <v>0</v>
      </c>
      <c r="N62" s="329">
        <f>'Учебный план З_О'!G73</f>
        <v>0</v>
      </c>
      <c r="O62" s="329">
        <f>'Учебный план З_О'!H73</f>
        <v>0</v>
      </c>
      <c r="P62" s="317">
        <f>'Учебный план З_О'!M63</f>
        <v>144</v>
      </c>
      <c r="Q62" s="334" t="str">
        <f>'Учебный план З_О'!B63</f>
        <v>Преддипломная практика</v>
      </c>
    </row>
    <row r="63" spans="1:17" ht="12.75">
      <c r="A63" s="321" t="str">
        <f>'Учебный план (очная)'!A84</f>
        <v>ГИА.00</v>
      </c>
      <c r="B63" s="249" t="str">
        <f>'Учебный план (очная)'!B84</f>
        <v>Государственная итоговая аттестация</v>
      </c>
      <c r="C63" s="249">
        <f>'Учебный план (очная)'!C84</f>
        <v>0</v>
      </c>
      <c r="D63" s="249">
        <f>'Учебный план (очная)'!D84</f>
        <v>0</v>
      </c>
      <c r="E63" s="249">
        <f>'Учебный план (очная)'!E84</f>
        <v>0</v>
      </c>
      <c r="F63" s="249">
        <f>'Учебный план (очная)'!F84</f>
        <v>0</v>
      </c>
      <c r="G63" s="249">
        <f>'Учебный план (очная)'!G84</f>
        <v>0</v>
      </c>
      <c r="H63" s="249">
        <f>'Учебный план (очная)'!H84</f>
        <v>0</v>
      </c>
      <c r="I63" s="322">
        <f>'Учебный план (очная)'!K84</f>
        <v>324</v>
      </c>
      <c r="K63" s="333">
        <f>'Учебный план З_О'!D74</f>
        <v>0</v>
      </c>
      <c r="L63" s="329">
        <f>'Учебный план З_О'!E74</f>
        <v>0</v>
      </c>
      <c r="M63" s="329">
        <f>'Учебный план З_О'!F74</f>
        <v>0</v>
      </c>
      <c r="N63" s="329">
        <f>'Учебный план З_О'!G74</f>
        <v>0</v>
      </c>
      <c r="O63" s="329">
        <f>'Учебный план З_О'!H74</f>
        <v>0</v>
      </c>
      <c r="P63" s="317">
        <f>'Учебный план З_О'!M64</f>
        <v>324</v>
      </c>
      <c r="Q63" s="334" t="str">
        <f>'Учебный план З_О'!B64</f>
        <v>Государственная итоговая аттестация</v>
      </c>
    </row>
    <row r="64" spans="1:17" ht="13.5" thickBot="1">
      <c r="A64" s="325" t="str">
        <f>'Учебный план (очная)'!A86</f>
        <v>ГИА.02</v>
      </c>
      <c r="B64" s="326" t="str">
        <f>'Учебный план (очная)'!B86</f>
        <v>Защита выпускной квалификационной работы</v>
      </c>
      <c r="C64" s="326">
        <f>'Учебный план (очная)'!C86</f>
        <v>0</v>
      </c>
      <c r="D64" s="326">
        <f>'Учебный план (очная)'!D86</f>
        <v>0</v>
      </c>
      <c r="E64" s="326">
        <f>'Учебный план (очная)'!E86</f>
        <v>0</v>
      </c>
      <c r="F64" s="326">
        <f>'Учебный план (очная)'!F86</f>
        <v>0</v>
      </c>
      <c r="G64" s="326">
        <f>'Учебный план (очная)'!G86</f>
        <v>0</v>
      </c>
      <c r="H64" s="326">
        <f>'Учебный план (очная)'!H86</f>
        <v>0</v>
      </c>
      <c r="I64" s="327">
        <f>'Учебный план (очная)'!K86</f>
        <v>108</v>
      </c>
      <c r="K64" s="336">
        <f>'Учебный план З_О'!D75</f>
        <v>0</v>
      </c>
      <c r="L64" s="337">
        <f>'Учебный план З_О'!E75</f>
        <v>0</v>
      </c>
      <c r="M64" s="337">
        <f>'Учебный план З_О'!F75</f>
        <v>0</v>
      </c>
      <c r="N64" s="337">
        <f>'Учебный план З_О'!G75</f>
        <v>0</v>
      </c>
      <c r="O64" s="337">
        <f>'Учебный план З_О'!H75</f>
        <v>0</v>
      </c>
      <c r="P64" s="338">
        <f>'Учебный план З_О'!M66</f>
        <v>108</v>
      </c>
      <c r="Q64" s="339" t="str">
        <f>'Учебный план З_О'!B66</f>
        <v>Защита выпускной квалификационной работы</v>
      </c>
    </row>
    <row r="65" spans="1:17" ht="12.75">
      <c r="A65">
        <f>'Учебный план (очная)'!A87</f>
        <v>0</v>
      </c>
      <c r="B65" t="str">
        <f>'Учебный план (очная)'!B87</f>
        <v>Консультации</v>
      </c>
      <c r="C65">
        <f>'Учебный план (очная)'!C87</f>
        <v>0</v>
      </c>
      <c r="D65">
        <f>'Учебный план (очная)'!D87</f>
        <v>0</v>
      </c>
      <c r="E65">
        <f>'Учебный план (очная)'!E87</f>
        <v>0</v>
      </c>
      <c r="F65">
        <f>'Учебный план (очная)'!F87</f>
        <v>0</v>
      </c>
      <c r="G65">
        <f>'Учебный план (очная)'!G87</f>
        <v>0</v>
      </c>
      <c r="H65">
        <f>'Учебный план (очная)'!H87</f>
        <v>0</v>
      </c>
      <c r="I65" s="312">
        <f>'Учебный план (очная)'!K87</f>
        <v>0</v>
      </c>
      <c r="K65" s="313">
        <f>'Учебный план З_О'!D76</f>
        <v>0</v>
      </c>
      <c r="L65" s="313">
        <f>'Учебный план З_О'!E76</f>
        <v>0</v>
      </c>
      <c r="M65" s="313">
        <f>'Учебный план З_О'!F76</f>
        <v>0</v>
      </c>
      <c r="N65" s="313">
        <f>'Учебный план З_О'!G76</f>
        <v>0</v>
      </c>
      <c r="O65" s="313">
        <f>'Учебный план З_О'!H76</f>
        <v>0</v>
      </c>
      <c r="P65" s="312">
        <f>'Учебный план З_О'!M67</f>
        <v>0</v>
      </c>
      <c r="Q65" s="313" t="str">
        <f>'Учебный план З_О'!B67</f>
        <v>Консультации</v>
      </c>
    </row>
    <row r="66" spans="1:17" ht="12.75" hidden="1">
      <c r="A66">
        <f>'Учебный план (очная)'!A88</f>
        <v>0</v>
      </c>
      <c r="B66">
        <f>'Учебный план (очная)'!B88</f>
        <v>0</v>
      </c>
      <c r="C66">
        <f>'Учебный план (очная)'!C88</f>
        <v>0</v>
      </c>
      <c r="D66">
        <f>'Учебный план (очная)'!D88</f>
        <v>0</v>
      </c>
      <c r="E66">
        <f>'Учебный план (очная)'!E88</f>
        <v>0</v>
      </c>
      <c r="F66">
        <f>'Учебный план (очная)'!F88</f>
        <v>0</v>
      </c>
      <c r="G66">
        <f>'Учебный план (очная)'!G88</f>
        <v>0</v>
      </c>
      <c r="H66">
        <f>'Учебный план (очная)'!H88</f>
        <v>0</v>
      </c>
      <c r="I66" s="312">
        <f>'Учебный план (очная)'!K88</f>
        <v>0</v>
      </c>
      <c r="K66" s="313">
        <f>'Учебный план З_О'!D77</f>
        <v>0</v>
      </c>
      <c r="L66" s="313">
        <f>'Учебный план З_О'!E77</f>
        <v>0</v>
      </c>
      <c r="M66" s="313">
        <f>'Учебный план З_О'!F77</f>
        <v>0</v>
      </c>
      <c r="N66" s="313">
        <f>'Учебный план З_О'!G77</f>
        <v>0</v>
      </c>
      <c r="O66" s="313">
        <f>'Учебный план З_О'!H77</f>
        <v>0</v>
      </c>
      <c r="P66" s="312">
        <f>'Учебный план З_О'!M68</f>
        <v>0</v>
      </c>
      <c r="Q66" s="313">
        <f>'Учебный план З_О'!B68</f>
        <v>0</v>
      </c>
    </row>
    <row r="67" spans="1:17" ht="12.75" hidden="1">
      <c r="A67" t="str">
        <f>'Учебный план (очная)'!A89</f>
        <v>Специфика:</v>
      </c>
      <c r="B67">
        <f>'Учебный план (очная)'!B89</f>
        <v>0</v>
      </c>
      <c r="C67">
        <f>'Учебный план (очная)'!C89</f>
        <v>0</v>
      </c>
      <c r="D67">
        <f>'Учебный план (очная)'!D89</f>
        <v>0</v>
      </c>
      <c r="E67">
        <f>'Учебный план (очная)'!E89</f>
        <v>0</v>
      </c>
      <c r="F67">
        <f>'Учебный план (очная)'!F89</f>
        <v>0</v>
      </c>
      <c r="G67">
        <f>'Учебный план (очная)'!G89</f>
        <v>0</v>
      </c>
      <c r="H67">
        <f>'Учебный план (очная)'!H89</f>
        <v>0</v>
      </c>
      <c r="I67" s="312">
        <f>'Учебный план (очная)'!K89</f>
        <v>0</v>
      </c>
      <c r="K67" s="313">
        <f>'Учебный план З_О'!D78</f>
        <v>0</v>
      </c>
      <c r="L67" s="313">
        <f>'Учебный план З_О'!E78</f>
        <v>0</v>
      </c>
      <c r="M67" s="313">
        <f>'Учебный план З_О'!F78</f>
        <v>0</v>
      </c>
      <c r="N67" s="313">
        <f>'Учебный план З_О'!G78</f>
        <v>0</v>
      </c>
      <c r="O67" s="313">
        <f>'Учебный план З_О'!H78</f>
        <v>0</v>
      </c>
      <c r="P67" s="312">
        <f>'Учебный план З_О'!M69</f>
        <v>0</v>
      </c>
      <c r="Q67" s="313">
        <f>'Учебный план З_О'!B69</f>
        <v>0</v>
      </c>
    </row>
    <row r="68" spans="1:17" ht="12.75" hidden="1">
      <c r="A68">
        <f>'Учебный план (очная)'!A90</f>
        <v>0</v>
      </c>
      <c r="B68">
        <f>'Учебный план (очная)'!B90</f>
        <v>0</v>
      </c>
      <c r="C68">
        <f>'Учебный план (очная)'!C90</f>
        <v>0</v>
      </c>
      <c r="D68">
        <f>'Учебный план (очная)'!D90</f>
        <v>0</v>
      </c>
      <c r="E68">
        <f>'Учебный план (очная)'!E90</f>
        <v>0</v>
      </c>
      <c r="F68">
        <f>'Учебный план (очная)'!F90</f>
        <v>0</v>
      </c>
      <c r="G68">
        <f>'Учебный план (очная)'!G90</f>
        <v>0</v>
      </c>
      <c r="H68">
        <f>'Учебный план (очная)'!H90</f>
        <v>0</v>
      </c>
      <c r="I68" s="312">
        <f>'Учебный план (очная)'!K90</f>
        <v>0</v>
      </c>
      <c r="K68" s="313">
        <f>'Учебный план З_О'!D79</f>
        <v>0</v>
      </c>
      <c r="L68" s="313">
        <f>'Учебный план З_О'!E79</f>
        <v>0</v>
      </c>
      <c r="M68" s="313">
        <f>'Учебный план З_О'!F79</f>
        <v>0</v>
      </c>
      <c r="N68" s="313">
        <f>'Учебный план З_О'!G79</f>
        <v>0</v>
      </c>
      <c r="O68" s="313">
        <f>'Учебный план З_О'!H79</f>
        <v>0</v>
      </c>
      <c r="P68" s="312">
        <f>'Учебный план З_О'!M70</f>
        <v>0</v>
      </c>
      <c r="Q68" s="313">
        <f>'Учебный план З_О'!B70</f>
        <v>0</v>
      </c>
    </row>
    <row r="69" spans="1:17" ht="12.75">
      <c r="A69">
        <f>'Учебный план (очная)'!A91</f>
        <v>0</v>
      </c>
      <c r="B69" t="str">
        <f>'Учебный план (очная)'!B91</f>
        <v>Всего часов обучения по циклам</v>
      </c>
      <c r="C69">
        <f>'Учебный план (очная)'!C91</f>
        <v>0</v>
      </c>
      <c r="D69">
        <f>'Учебный план (очная)'!D91</f>
        <v>0</v>
      </c>
      <c r="E69">
        <f>'Учебный план (очная)'!E91</f>
        <v>0</v>
      </c>
      <c r="F69">
        <f>'Учебный план (очная)'!F91</f>
        <v>0</v>
      </c>
      <c r="G69">
        <f>'Учебный план (очная)'!G91</f>
        <v>0</v>
      </c>
      <c r="H69">
        <f>'Учебный план (очная)'!H91</f>
        <v>0</v>
      </c>
      <c r="I69" s="312">
        <f>'Учебный план (очная)'!K91</f>
        <v>6642</v>
      </c>
      <c r="K69" s="313">
        <f>'Учебный план З_О'!D80</f>
        <v>0</v>
      </c>
      <c r="L69" s="313">
        <f>'Учебный план З_О'!E80</f>
        <v>0</v>
      </c>
      <c r="M69" s="313">
        <f>'Учебный план З_О'!F80</f>
        <v>0</v>
      </c>
      <c r="N69" s="313">
        <f>'Учебный план З_О'!G80</f>
        <v>0</v>
      </c>
      <c r="O69" s="313">
        <f>'Учебный план З_О'!H80</f>
        <v>0</v>
      </c>
      <c r="P69" s="312">
        <f>'Учебный план З_О'!M71</f>
        <v>4452</v>
      </c>
      <c r="Q69" s="313" t="str">
        <f>'Учебный план З_О'!B71</f>
        <v>Всего часов обучения по циклам</v>
      </c>
    </row>
    <row r="70" spans="1:17" ht="12.75">
      <c r="A70">
        <f>'Учебный план (очная)'!A92</f>
        <v>0</v>
      </c>
      <c r="B70" t="str">
        <f>'Учебный план (очная)'!B92</f>
        <v>Всего часов обучения по практикам</v>
      </c>
      <c r="C70">
        <f>'Учебный план (очная)'!C92</f>
        <v>0</v>
      </c>
      <c r="D70">
        <f>'Учебный план (очная)'!D92</f>
        <v>0</v>
      </c>
      <c r="E70">
        <f>'Учебный план (очная)'!E92</f>
        <v>0</v>
      </c>
      <c r="F70">
        <f>'Учебный план (очная)'!F92</f>
        <v>0</v>
      </c>
      <c r="G70">
        <f>'Учебный план (очная)'!G92</f>
        <v>0</v>
      </c>
      <c r="H70">
        <f>'Учебный план (очная)'!H92</f>
        <v>0</v>
      </c>
      <c r="I70" s="312">
        <f>'Учебный план (очная)'!K92</f>
        <v>1044</v>
      </c>
      <c r="K70" s="313">
        <f>'Учебный план З_О'!D81</f>
        <v>0</v>
      </c>
      <c r="L70" s="313">
        <f>'Учебный план З_О'!E81</f>
        <v>0</v>
      </c>
      <c r="M70" s="313">
        <f>'Учебный план З_О'!F81</f>
        <v>0</v>
      </c>
      <c r="N70" s="313">
        <f>'Учебный план З_О'!G81</f>
        <v>0</v>
      </c>
      <c r="O70" s="313">
        <f>'Учебный план З_О'!H81</f>
        <v>0</v>
      </c>
      <c r="P70" s="312">
        <f>'Учебный план З_О'!M72</f>
        <v>144</v>
      </c>
      <c r="Q70" s="313" t="str">
        <f>'Учебный план З_О'!B72</f>
        <v>Всего часов обучения по практикам</v>
      </c>
    </row>
    <row r="71" spans="1:17" ht="12.75">
      <c r="A71">
        <f>'Учебный план (очная)'!A93</f>
        <v>0</v>
      </c>
      <c r="B71" t="str">
        <f>'Учебный план (очная)'!B93</f>
        <v>Всего часов на государственную итоговую аттестацию</v>
      </c>
      <c r="C71">
        <f>'Учебный план (очная)'!C93</f>
        <v>0</v>
      </c>
      <c r="D71">
        <f>'Учебный план (очная)'!D93</f>
        <v>0</v>
      </c>
      <c r="E71">
        <f>'Учебный план (очная)'!E93</f>
        <v>0</v>
      </c>
      <c r="F71">
        <f>'Учебный план (очная)'!F93</f>
        <v>0</v>
      </c>
      <c r="G71">
        <f>'Учебный план (очная)'!G93</f>
        <v>0</v>
      </c>
      <c r="H71">
        <f>'Учебный план (очная)'!H93</f>
        <v>0</v>
      </c>
      <c r="I71" s="312">
        <f>'Учебный план (очная)'!K93</f>
        <v>324</v>
      </c>
      <c r="K71" s="313" t="e">
        <f>'Учебный план З_О'!#REF!</f>
        <v>#REF!</v>
      </c>
      <c r="L71" s="313" t="e">
        <f>'Учебный план З_О'!#REF!</f>
        <v>#REF!</v>
      </c>
      <c r="M71" s="313" t="e">
        <f>'Учебный план З_О'!#REF!</f>
        <v>#REF!</v>
      </c>
      <c r="N71" s="313" t="e">
        <f>'Учебный план З_О'!#REF!</f>
        <v>#REF!</v>
      </c>
      <c r="O71" s="313" t="e">
        <f>'Учебный план З_О'!#REF!</f>
        <v>#REF!</v>
      </c>
      <c r="P71" s="312">
        <f>'Учебный план З_О'!M73</f>
        <v>324</v>
      </c>
      <c r="Q71" s="313" t="str">
        <f>'Учебный план З_О'!B73</f>
        <v>Всего часов на государственную итоговую аттестацию</v>
      </c>
    </row>
    <row r="72" spans="1:17" ht="12.75">
      <c r="A72">
        <f>'Учебный план (очная)'!A94</f>
        <v>0</v>
      </c>
      <c r="B72" t="str">
        <f>'Учебный план (очная)'!B94</f>
        <v>Из всего часов на консультации</v>
      </c>
      <c r="C72">
        <f>'Учебный план (очная)'!C94</f>
        <v>0</v>
      </c>
      <c r="D72">
        <f>'Учебный план (очная)'!D94</f>
        <v>0</v>
      </c>
      <c r="E72">
        <f>'Учебный план (очная)'!E94</f>
        <v>0</v>
      </c>
      <c r="F72">
        <f>'Учебный план (очная)'!F94</f>
        <v>0</v>
      </c>
      <c r="G72">
        <f>'Учебный план (очная)'!G94</f>
        <v>0</v>
      </c>
      <c r="H72">
        <f>'Учебный план (очная)'!H94</f>
        <v>0</v>
      </c>
      <c r="I72" s="312">
        <f>'Учебный план (очная)'!K94</f>
        <v>0</v>
      </c>
      <c r="K72" s="313">
        <f>'Учебный план З_О'!D82</f>
        <v>0</v>
      </c>
      <c r="L72" s="313">
        <f>'Учебный план З_О'!E82</f>
        <v>0</v>
      </c>
      <c r="M72" s="313">
        <f>'Учебный план З_О'!F82</f>
        <v>0</v>
      </c>
      <c r="N72" s="313">
        <f>'Учебный план З_О'!G82</f>
        <v>0</v>
      </c>
      <c r="O72" s="313">
        <f>'Учебный план З_О'!H82</f>
        <v>0</v>
      </c>
      <c r="P72" s="312">
        <f>'Учебный план З_О'!M74</f>
        <v>0</v>
      </c>
      <c r="Q72" s="313" t="str">
        <f>'Учебный план З_О'!B74</f>
        <v>Из всего часов на консультации</v>
      </c>
    </row>
    <row r="73" spans="1:17" ht="12.75">
      <c r="A73">
        <f>'Учебный план (очная)'!A95</f>
        <v>0</v>
      </c>
      <c r="B73" t="str">
        <f>'Учебный план (очная)'!B95</f>
        <v>ИТОГО часов</v>
      </c>
      <c r="C73">
        <f>'Учебный план (очная)'!C95</f>
        <v>0</v>
      </c>
      <c r="D73">
        <f>'Учебный план (очная)'!D95</f>
        <v>0</v>
      </c>
      <c r="E73">
        <f>'Учебный план (очная)'!E95</f>
        <v>0</v>
      </c>
      <c r="F73">
        <f>'Учебный план (очная)'!F95</f>
        <v>0</v>
      </c>
      <c r="G73">
        <f>'Учебный план (очная)'!G95</f>
        <v>0</v>
      </c>
      <c r="H73">
        <f>'Учебный план (очная)'!H95</f>
        <v>0</v>
      </c>
      <c r="I73" s="312">
        <f>'Учебный план (очная)'!K95</f>
        <v>8010</v>
      </c>
      <c r="K73" s="313">
        <f>'Учебный план З_О'!D83</f>
        <v>0</v>
      </c>
      <c r="L73" s="313">
        <f>'Учебный план З_О'!E83</f>
        <v>0</v>
      </c>
      <c r="M73" s="313">
        <f>'Учебный план З_О'!F83</f>
        <v>0</v>
      </c>
      <c r="N73" s="313">
        <f>'Учебный план З_О'!G83</f>
        <v>0</v>
      </c>
      <c r="O73" s="313">
        <f>'Учебный план З_О'!H83</f>
        <v>0</v>
      </c>
      <c r="P73" s="312">
        <f>'Учебный план З_О'!M75</f>
        <v>4920</v>
      </c>
      <c r="Q73" s="313" t="str">
        <f>'Учебный план З_О'!B75</f>
        <v>ИТОГО часов</v>
      </c>
    </row>
  </sheetData>
  <sheetProtection password="CC6B" sheet="1" objects="1" scenarios="1" selectLockedCells="1" selectUnlockedCells="1"/>
  <mergeCells count="17">
    <mergeCell ref="A1:A7"/>
    <mergeCell ref="B1:B7"/>
    <mergeCell ref="C1:C7"/>
    <mergeCell ref="D1:H2"/>
    <mergeCell ref="D3:D7"/>
    <mergeCell ref="E3:E7"/>
    <mergeCell ref="F3:F7"/>
    <mergeCell ref="G3:G7"/>
    <mergeCell ref="H3:H7"/>
    <mergeCell ref="P1:P7"/>
    <mergeCell ref="O3:O7"/>
    <mergeCell ref="I1:I7"/>
    <mergeCell ref="K3:K7"/>
    <mergeCell ref="L3:L7"/>
    <mergeCell ref="M3:M7"/>
    <mergeCell ref="N3:N7"/>
    <mergeCell ref="K1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ВГАВТ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Короткова</dc:creator>
  <cp:keywords/>
  <dc:description/>
  <cp:lastModifiedBy>2</cp:lastModifiedBy>
  <cp:lastPrinted>2017-09-07T12:13:51Z</cp:lastPrinted>
  <dcterms:created xsi:type="dcterms:W3CDTF">2001-03-30T05:31:47Z</dcterms:created>
  <dcterms:modified xsi:type="dcterms:W3CDTF">2018-12-05T11:03:03Z</dcterms:modified>
  <cp:category/>
  <cp:version/>
  <cp:contentType/>
  <cp:contentStatus/>
</cp:coreProperties>
</file>