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20385" yWindow="75" windowWidth="19320" windowHeight="7800" tabRatio="593" activeTab="2"/>
  </bookViews>
  <sheets>
    <sheet name="Титульный лист" sheetId="13" r:id="rId1"/>
    <sheet name="Учебный план" sheetId="1" r:id="rId2"/>
    <sheet name="Титул заочное обучение" sheetId="27" r:id="rId3"/>
    <sheet name="УП заочное обучение" sheetId="28" r:id="rId4"/>
    <sheet name="ПРОВЕРКА" sheetId="29" state="hidden" r:id="rId5"/>
    <sheet name="Нормы" sheetId="24" r:id="rId6"/>
    <sheet name="Компетенции" sheetId="21" r:id="rId7"/>
    <sheet name="Материально-техническая база" sheetId="25" r:id="rId8"/>
    <sheet name="Примечание" sheetId="26" state="hidden" r:id="rId9"/>
  </sheets>
  <externalReferences>
    <externalReference r:id="rId10"/>
  </externalReferences>
  <definedNames>
    <definedName name="_FilterDatabase" localSheetId="1" hidden="1">'Учебный план'!$A$10:$CA$121</definedName>
    <definedName name="_xlnm._FilterDatabase" localSheetId="3" hidden="1">'УП заочное обучение'!$A$8:$BL$86</definedName>
    <definedName name="_xlnm._FilterDatabase" localSheetId="1" hidden="1">'Учебный план'!$A$10:$CA$105</definedName>
    <definedName name="Print_Area" localSheetId="1">'Учебный план'!$A$3:$CA$121</definedName>
    <definedName name="Print_Titles" localSheetId="1">'Учебный план'!$3:$9</definedName>
  </definedNames>
  <calcPr calcId="145621" fullPrecision="0"/>
</workbook>
</file>

<file path=xl/calcChain.xml><?xml version="1.0" encoding="utf-8"?>
<calcChain xmlns="http://schemas.openxmlformats.org/spreadsheetml/2006/main">
  <c r="BT94" i="1" l="1"/>
  <c r="BT92" i="1" s="1"/>
  <c r="AP93" i="1"/>
  <c r="BT87" i="1"/>
  <c r="BT86" i="1" s="1"/>
  <c r="BN87" i="1"/>
  <c r="BH87" i="1"/>
  <c r="BH86" i="1" s="1"/>
  <c r="BB87" i="1"/>
  <c r="AV87" i="1"/>
  <c r="AV86" i="1" s="1"/>
  <c r="AP87" i="1"/>
  <c r="BH84" i="1"/>
  <c r="BB84" i="1"/>
  <c r="AV84" i="1"/>
  <c r="AP84" i="1"/>
  <c r="BT83" i="1"/>
  <c r="BN83" i="1"/>
  <c r="BH83" i="1"/>
  <c r="BH82" i="1" s="1"/>
  <c r="BH81" i="1" s="1"/>
  <c r="BB83" i="1"/>
  <c r="AV83" i="1"/>
  <c r="AV82" i="1" s="1"/>
  <c r="AV81" i="1" s="1"/>
  <c r="AP83" i="1"/>
  <c r="BT79" i="1"/>
  <c r="BN79" i="1"/>
  <c r="BH79" i="1"/>
  <c r="BB79" i="1"/>
  <c r="AV79" i="1"/>
  <c r="AP79" i="1"/>
  <c r="BT78" i="1"/>
  <c r="BN78" i="1"/>
  <c r="BH78" i="1"/>
  <c r="BB78" i="1"/>
  <c r="BT77" i="1"/>
  <c r="BT76" i="1" s="1"/>
  <c r="BT75" i="1" s="1"/>
  <c r="BN77" i="1"/>
  <c r="BH77" i="1"/>
  <c r="BB77" i="1"/>
  <c r="AV77" i="1"/>
  <c r="AP77" i="1"/>
  <c r="BT73" i="1"/>
  <c r="BN73" i="1"/>
  <c r="BH73" i="1"/>
  <c r="BB73" i="1"/>
  <c r="AV73" i="1"/>
  <c r="AP73" i="1"/>
  <c r="BT72" i="1"/>
  <c r="BN72" i="1"/>
  <c r="BH72" i="1"/>
  <c r="BB72" i="1"/>
  <c r="AV72" i="1"/>
  <c r="AP72" i="1"/>
  <c r="BT71" i="1"/>
  <c r="BT70" i="1" s="1"/>
  <c r="BN71" i="1"/>
  <c r="BH71" i="1"/>
  <c r="BH70" i="1" s="1"/>
  <c r="BB71" i="1"/>
  <c r="AV71" i="1"/>
  <c r="AV70" i="1" s="1"/>
  <c r="AP71" i="1"/>
  <c r="BT69" i="1"/>
  <c r="BN69" i="1"/>
  <c r="BH69" i="1"/>
  <c r="BB69" i="1"/>
  <c r="AV69" i="1"/>
  <c r="AP69" i="1"/>
  <c r="BT68" i="1"/>
  <c r="BN68" i="1"/>
  <c r="BH68" i="1"/>
  <c r="BB68" i="1"/>
  <c r="AV68" i="1"/>
  <c r="AP68" i="1"/>
  <c r="BT67" i="1"/>
  <c r="BN67" i="1"/>
  <c r="BH67" i="1"/>
  <c r="BB67" i="1"/>
  <c r="AV67" i="1"/>
  <c r="AP67" i="1"/>
  <c r="BT66" i="1"/>
  <c r="BN66" i="1"/>
  <c r="BH66" i="1"/>
  <c r="BB66" i="1"/>
  <c r="AV66" i="1"/>
  <c r="AP66" i="1"/>
  <c r="BT65" i="1"/>
  <c r="BN65" i="1"/>
  <c r="BH65" i="1"/>
  <c r="BB65" i="1"/>
  <c r="AV65" i="1"/>
  <c r="AP65" i="1"/>
  <c r="BT64" i="1"/>
  <c r="BT63" i="1" s="1"/>
  <c r="BN64" i="1"/>
  <c r="BH64" i="1"/>
  <c r="BH63" i="1" s="1"/>
  <c r="BB64" i="1"/>
  <c r="AV64" i="1"/>
  <c r="AV63" i="1" s="1"/>
  <c r="AP64" i="1"/>
  <c r="BT62" i="1"/>
  <c r="BN62" i="1"/>
  <c r="BH62" i="1"/>
  <c r="BB62" i="1"/>
  <c r="AV62" i="1"/>
  <c r="AP62" i="1"/>
  <c r="BT61" i="1"/>
  <c r="BN61" i="1"/>
  <c r="BH61" i="1"/>
  <c r="BB61" i="1"/>
  <c r="AV61" i="1"/>
  <c r="AP61" i="1"/>
  <c r="BT60" i="1"/>
  <c r="BT56" i="1" s="1"/>
  <c r="BN60" i="1"/>
  <c r="BH60" i="1"/>
  <c r="BH56" i="1" s="1"/>
  <c r="BB60" i="1"/>
  <c r="AV60" i="1"/>
  <c r="AV56" i="1" s="1"/>
  <c r="AP60" i="1"/>
  <c r="BN59" i="1"/>
  <c r="BH59" i="1"/>
  <c r="BB59" i="1"/>
  <c r="AV59" i="1"/>
  <c r="AP59" i="1"/>
  <c r="BH58" i="1"/>
  <c r="BB58" i="1"/>
  <c r="AV58" i="1"/>
  <c r="AP58" i="1"/>
  <c r="BH57" i="1"/>
  <c r="BB57" i="1"/>
  <c r="AV57" i="1"/>
  <c r="AP57" i="1"/>
  <c r="BB55" i="1"/>
  <c r="AV55" i="1"/>
  <c r="AV50" i="1" s="1"/>
  <c r="BT54" i="1"/>
  <c r="BN54" i="1"/>
  <c r="BH54" i="1"/>
  <c r="BB54" i="1"/>
  <c r="AV54" i="1"/>
  <c r="AP54" i="1"/>
  <c r="BH53" i="1"/>
  <c r="BB53" i="1"/>
  <c r="AV53" i="1"/>
  <c r="AP53" i="1"/>
  <c r="BB52" i="1"/>
  <c r="AP52" i="1"/>
  <c r="BT51" i="1"/>
  <c r="BN51" i="1"/>
  <c r="BH51" i="1"/>
  <c r="BB51" i="1"/>
  <c r="AV51" i="1"/>
  <c r="AP51" i="1"/>
  <c r="BT47" i="1"/>
  <c r="BN47" i="1"/>
  <c r="BH47" i="1"/>
  <c r="BB47" i="1"/>
  <c r="AV47" i="1"/>
  <c r="AP47" i="1"/>
  <c r="BT46" i="1"/>
  <c r="BN46" i="1"/>
  <c r="BH46" i="1"/>
  <c r="BB46" i="1"/>
  <c r="AV46" i="1"/>
  <c r="AP46" i="1"/>
  <c r="BT45" i="1"/>
  <c r="BN45" i="1"/>
  <c r="BH45" i="1"/>
  <c r="BB45" i="1"/>
  <c r="AV45" i="1"/>
  <c r="AP45" i="1"/>
  <c r="BT44" i="1"/>
  <c r="BN44" i="1"/>
  <c r="BH44" i="1"/>
  <c r="BB44" i="1"/>
  <c r="AV44" i="1"/>
  <c r="AP44" i="1"/>
  <c r="BT43" i="1"/>
  <c r="BN43" i="1"/>
  <c r="BH43" i="1"/>
  <c r="BB43" i="1"/>
  <c r="AV43" i="1"/>
  <c r="AP43" i="1"/>
  <c r="BT42" i="1"/>
  <c r="BN42" i="1"/>
  <c r="BH42" i="1"/>
  <c r="BB42" i="1"/>
  <c r="AV42" i="1"/>
  <c r="AP42" i="1"/>
  <c r="BT41" i="1"/>
  <c r="BN41" i="1"/>
  <c r="BH41" i="1"/>
  <c r="BB41" i="1"/>
  <c r="AV41" i="1"/>
  <c r="AP41" i="1"/>
  <c r="BT38" i="1"/>
  <c r="BN38" i="1"/>
  <c r="BH38" i="1"/>
  <c r="BB38" i="1"/>
  <c r="AV38" i="1"/>
  <c r="AP38" i="1"/>
  <c r="BT37" i="1"/>
  <c r="BN37" i="1"/>
  <c r="BH37" i="1"/>
  <c r="BB37" i="1"/>
  <c r="AV37" i="1"/>
  <c r="AP37" i="1"/>
  <c r="BT36" i="1"/>
  <c r="BN36" i="1"/>
  <c r="BH36" i="1"/>
  <c r="BB36" i="1"/>
  <c r="AV36" i="1"/>
  <c r="AP36" i="1"/>
  <c r="BT34" i="1"/>
  <c r="BN34" i="1"/>
  <c r="BH34" i="1"/>
  <c r="BB34" i="1"/>
  <c r="AV34" i="1"/>
  <c r="AP34" i="1"/>
  <c r="BT33" i="1"/>
  <c r="BN33" i="1"/>
  <c r="BH33" i="1"/>
  <c r="BB33" i="1"/>
  <c r="AV33" i="1"/>
  <c r="AP33" i="1"/>
  <c r="AP32" i="1"/>
  <c r="BT31" i="1"/>
  <c r="BN31" i="1"/>
  <c r="BH31" i="1"/>
  <c r="BB31" i="1"/>
  <c r="AV31" i="1"/>
  <c r="AP31" i="1"/>
  <c r="BT30" i="1"/>
  <c r="BN30" i="1"/>
  <c r="BH30" i="1"/>
  <c r="BB30" i="1"/>
  <c r="AV30" i="1"/>
  <c r="AP30" i="1"/>
  <c r="AQ35" i="1"/>
  <c r="AR35" i="1"/>
  <c r="AS35" i="1"/>
  <c r="AT35" i="1"/>
  <c r="AU35" i="1"/>
  <c r="AW35" i="1"/>
  <c r="AX35" i="1"/>
  <c r="AY35" i="1"/>
  <c r="AZ35" i="1"/>
  <c r="BA35" i="1"/>
  <c r="BC35" i="1"/>
  <c r="BD35" i="1"/>
  <c r="BE35" i="1"/>
  <c r="BF35" i="1"/>
  <c r="BG35" i="1"/>
  <c r="BI35" i="1"/>
  <c r="BJ35" i="1"/>
  <c r="BK35" i="1"/>
  <c r="BL35" i="1"/>
  <c r="BM35" i="1"/>
  <c r="BO35" i="1"/>
  <c r="BP35" i="1"/>
  <c r="BQ35" i="1"/>
  <c r="BR35" i="1"/>
  <c r="BS35" i="1"/>
  <c r="BU35" i="1"/>
  <c r="BV35" i="1"/>
  <c r="BW35" i="1"/>
  <c r="BX35" i="1"/>
  <c r="BY35" i="1"/>
  <c r="AP35" i="1"/>
  <c r="AV35" i="1"/>
  <c r="BB35" i="1"/>
  <c r="BH35" i="1"/>
  <c r="BN35" i="1"/>
  <c r="BT35" i="1"/>
  <c r="AQ40" i="1"/>
  <c r="AR40" i="1"/>
  <c r="AS40" i="1"/>
  <c r="AT40" i="1"/>
  <c r="AU40" i="1"/>
  <c r="AW40" i="1"/>
  <c r="AX40" i="1"/>
  <c r="AY40" i="1"/>
  <c r="AZ40" i="1"/>
  <c r="BA40" i="1"/>
  <c r="BC40" i="1"/>
  <c r="BD40" i="1"/>
  <c r="BE40" i="1"/>
  <c r="BF40" i="1"/>
  <c r="BG40" i="1"/>
  <c r="BI40" i="1"/>
  <c r="BJ40" i="1"/>
  <c r="BK40" i="1"/>
  <c r="BL40" i="1"/>
  <c r="BM40" i="1"/>
  <c r="BO40" i="1"/>
  <c r="BP40" i="1"/>
  <c r="BQ40" i="1"/>
  <c r="BR40" i="1"/>
  <c r="BS40" i="1"/>
  <c r="BU40" i="1"/>
  <c r="BV40" i="1"/>
  <c r="BW40" i="1"/>
  <c r="BX40" i="1"/>
  <c r="BY40" i="1"/>
  <c r="AP40" i="1"/>
  <c r="AV40" i="1"/>
  <c r="BB40" i="1"/>
  <c r="BH40" i="1"/>
  <c r="BN40" i="1"/>
  <c r="BT40" i="1"/>
  <c r="AQ50" i="1"/>
  <c r="AR50" i="1"/>
  <c r="AS50" i="1"/>
  <c r="AT50" i="1"/>
  <c r="AU50" i="1"/>
  <c r="AW50" i="1"/>
  <c r="AX50" i="1"/>
  <c r="AY50" i="1"/>
  <c r="AZ50" i="1"/>
  <c r="BA50" i="1"/>
  <c r="BC50" i="1"/>
  <c r="BD50" i="1"/>
  <c r="BE50" i="1"/>
  <c r="BF50" i="1"/>
  <c r="BG50" i="1"/>
  <c r="BI50" i="1"/>
  <c r="BJ50" i="1"/>
  <c r="BK50" i="1"/>
  <c r="BL50" i="1"/>
  <c r="BM50" i="1"/>
  <c r="BO50" i="1"/>
  <c r="BP50" i="1"/>
  <c r="BQ50" i="1"/>
  <c r="BR50" i="1"/>
  <c r="BS50" i="1"/>
  <c r="BU50" i="1"/>
  <c r="BV50" i="1"/>
  <c r="BW50" i="1"/>
  <c r="BX50" i="1"/>
  <c r="BY50" i="1"/>
  <c r="AP50" i="1"/>
  <c r="BB50" i="1"/>
  <c r="BH50" i="1"/>
  <c r="BN50" i="1"/>
  <c r="BT50" i="1"/>
  <c r="AQ56" i="1"/>
  <c r="AR56" i="1"/>
  <c r="AS56" i="1"/>
  <c r="AT56" i="1"/>
  <c r="AU56" i="1"/>
  <c r="AW56" i="1"/>
  <c r="AX56" i="1"/>
  <c r="AY56" i="1"/>
  <c r="AZ56" i="1"/>
  <c r="BA56" i="1"/>
  <c r="BC56" i="1"/>
  <c r="BD56" i="1"/>
  <c r="BE56" i="1"/>
  <c r="BF56" i="1"/>
  <c r="BG56" i="1"/>
  <c r="BI56" i="1"/>
  <c r="BJ56" i="1"/>
  <c r="BK56" i="1"/>
  <c r="BL56" i="1"/>
  <c r="BM56" i="1"/>
  <c r="BO56" i="1"/>
  <c r="BP56" i="1"/>
  <c r="BQ56" i="1"/>
  <c r="BR56" i="1"/>
  <c r="BS56" i="1"/>
  <c r="BU56" i="1"/>
  <c r="BV56" i="1"/>
  <c r="BW56" i="1"/>
  <c r="BX56" i="1"/>
  <c r="BY56" i="1"/>
  <c r="AP56" i="1"/>
  <c r="BB56" i="1"/>
  <c r="BN56" i="1"/>
  <c r="AQ63" i="1"/>
  <c r="AR63" i="1"/>
  <c r="AS63" i="1"/>
  <c r="AT63" i="1"/>
  <c r="AU63" i="1"/>
  <c r="AW63" i="1"/>
  <c r="AX63" i="1"/>
  <c r="AY63" i="1"/>
  <c r="AZ63" i="1"/>
  <c r="BA63" i="1"/>
  <c r="BC63" i="1"/>
  <c r="BD63" i="1"/>
  <c r="BE63" i="1"/>
  <c r="BF63" i="1"/>
  <c r="BG63" i="1"/>
  <c r="BI63" i="1"/>
  <c r="BJ63" i="1"/>
  <c r="BK63" i="1"/>
  <c r="BL63" i="1"/>
  <c r="BM63" i="1"/>
  <c r="BO63" i="1"/>
  <c r="BP63" i="1"/>
  <c r="BQ63" i="1"/>
  <c r="BR63" i="1"/>
  <c r="BS63" i="1"/>
  <c r="BU63" i="1"/>
  <c r="BV63" i="1"/>
  <c r="BW63" i="1"/>
  <c r="BX63" i="1"/>
  <c r="BY63" i="1"/>
  <c r="AP63" i="1"/>
  <c r="BB63" i="1"/>
  <c r="BN63" i="1"/>
  <c r="AQ70" i="1"/>
  <c r="AR70" i="1"/>
  <c r="AS70" i="1"/>
  <c r="AT70" i="1"/>
  <c r="AU70" i="1"/>
  <c r="AW70" i="1"/>
  <c r="AX70" i="1"/>
  <c r="AY70" i="1"/>
  <c r="AZ70" i="1"/>
  <c r="BA70" i="1"/>
  <c r="BC70" i="1"/>
  <c r="BD70" i="1"/>
  <c r="BE70" i="1"/>
  <c r="BF70" i="1"/>
  <c r="BG70" i="1"/>
  <c r="BI70" i="1"/>
  <c r="BJ70" i="1"/>
  <c r="BK70" i="1"/>
  <c r="BL70" i="1"/>
  <c r="BM70" i="1"/>
  <c r="BO70" i="1"/>
  <c r="BP70" i="1"/>
  <c r="BQ70" i="1"/>
  <c r="BR70" i="1"/>
  <c r="BS70" i="1"/>
  <c r="BU70" i="1"/>
  <c r="BV70" i="1"/>
  <c r="BW70" i="1"/>
  <c r="BX70" i="1"/>
  <c r="BY70" i="1"/>
  <c r="AP70" i="1"/>
  <c r="BB70" i="1"/>
  <c r="BN70" i="1"/>
  <c r="AQ76" i="1"/>
  <c r="AQ75" i="1" s="1"/>
  <c r="AR76" i="1"/>
  <c r="AR75" i="1" s="1"/>
  <c r="AS76" i="1"/>
  <c r="AS75" i="1" s="1"/>
  <c r="AT76" i="1"/>
  <c r="AT75" i="1" s="1"/>
  <c r="AU76" i="1"/>
  <c r="AU75" i="1" s="1"/>
  <c r="AW76" i="1"/>
  <c r="AW75" i="1" s="1"/>
  <c r="AX76" i="1"/>
  <c r="AX75" i="1" s="1"/>
  <c r="AY76" i="1"/>
  <c r="AY75" i="1" s="1"/>
  <c r="AZ76" i="1"/>
  <c r="AZ75" i="1" s="1"/>
  <c r="BA76" i="1"/>
  <c r="BA75" i="1" s="1"/>
  <c r="BC76" i="1"/>
  <c r="BC75" i="1" s="1"/>
  <c r="BD76" i="1"/>
  <c r="BD75" i="1" s="1"/>
  <c r="BE76" i="1"/>
  <c r="BE75" i="1" s="1"/>
  <c r="BF76" i="1"/>
  <c r="BF75" i="1" s="1"/>
  <c r="BG76" i="1"/>
  <c r="BG75" i="1" s="1"/>
  <c r="BI76" i="1"/>
  <c r="BI75" i="1" s="1"/>
  <c r="BJ76" i="1"/>
  <c r="BJ75" i="1" s="1"/>
  <c r="BK76" i="1"/>
  <c r="BK75" i="1" s="1"/>
  <c r="BL76" i="1"/>
  <c r="BL75" i="1" s="1"/>
  <c r="BM76" i="1"/>
  <c r="BM75" i="1" s="1"/>
  <c r="BO76" i="1"/>
  <c r="BO75" i="1" s="1"/>
  <c r="BP76" i="1"/>
  <c r="BP75" i="1" s="1"/>
  <c r="BQ76" i="1"/>
  <c r="BQ75" i="1" s="1"/>
  <c r="BR76" i="1"/>
  <c r="BR75" i="1" s="1"/>
  <c r="BS76" i="1"/>
  <c r="BS75" i="1" s="1"/>
  <c r="BU76" i="1"/>
  <c r="BU75" i="1" s="1"/>
  <c r="BV76" i="1"/>
  <c r="BV75" i="1" s="1"/>
  <c r="BW76" i="1"/>
  <c r="BW75" i="1" s="1"/>
  <c r="BX76" i="1"/>
  <c r="BX75" i="1" s="1"/>
  <c r="BY76" i="1"/>
  <c r="BY75" i="1" s="1"/>
  <c r="AP76" i="1"/>
  <c r="AP75" i="1" s="1"/>
  <c r="AV76" i="1"/>
  <c r="AV75" i="1" s="1"/>
  <c r="BB76" i="1"/>
  <c r="BB75" i="1" s="1"/>
  <c r="BH76" i="1"/>
  <c r="BH75" i="1" s="1"/>
  <c r="BN76" i="1"/>
  <c r="BN75" i="1" s="1"/>
  <c r="BO81" i="1"/>
  <c r="BP81" i="1"/>
  <c r="BQ81" i="1"/>
  <c r="BR81" i="1"/>
  <c r="BS81" i="1"/>
  <c r="BU81" i="1"/>
  <c r="BV81" i="1"/>
  <c r="BW81" i="1"/>
  <c r="BX81" i="1"/>
  <c r="BY81" i="1"/>
  <c r="AQ82" i="1"/>
  <c r="AQ81" i="1" s="1"/>
  <c r="AR82" i="1"/>
  <c r="AR81" i="1" s="1"/>
  <c r="AS82" i="1"/>
  <c r="AS81" i="1" s="1"/>
  <c r="AT82" i="1"/>
  <c r="AT81" i="1" s="1"/>
  <c r="AU82" i="1"/>
  <c r="AU81" i="1" s="1"/>
  <c r="AW82" i="1"/>
  <c r="AW81" i="1" s="1"/>
  <c r="AX82" i="1"/>
  <c r="AX81" i="1" s="1"/>
  <c r="AY82" i="1"/>
  <c r="AY81" i="1" s="1"/>
  <c r="AZ82" i="1"/>
  <c r="AZ81" i="1" s="1"/>
  <c r="BA82" i="1"/>
  <c r="BA81" i="1" s="1"/>
  <c r="BC82" i="1"/>
  <c r="BC81" i="1" s="1"/>
  <c r="BD82" i="1"/>
  <c r="BD81" i="1" s="1"/>
  <c r="BE82" i="1"/>
  <c r="BE81" i="1" s="1"/>
  <c r="BF82" i="1"/>
  <c r="BF81" i="1" s="1"/>
  <c r="BG82" i="1"/>
  <c r="BG81" i="1" s="1"/>
  <c r="BI82" i="1"/>
  <c r="BI81" i="1" s="1"/>
  <c r="BJ82" i="1"/>
  <c r="BJ81" i="1" s="1"/>
  <c r="BK82" i="1"/>
  <c r="BK81" i="1" s="1"/>
  <c r="BL82" i="1"/>
  <c r="BL81" i="1" s="1"/>
  <c r="BM82" i="1"/>
  <c r="BM81" i="1" s="1"/>
  <c r="AP82" i="1"/>
  <c r="AP81" i="1" s="1"/>
  <c r="BB82" i="1"/>
  <c r="BB81" i="1" s="1"/>
  <c r="AQ86" i="1"/>
  <c r="AR86" i="1"/>
  <c r="AS86" i="1"/>
  <c r="AT86" i="1"/>
  <c r="AU86" i="1"/>
  <c r="AW86" i="1"/>
  <c r="AX86" i="1"/>
  <c r="AY86" i="1"/>
  <c r="AZ86" i="1"/>
  <c r="BA86" i="1"/>
  <c r="BC86" i="1"/>
  <c r="BD86" i="1"/>
  <c r="BE86" i="1"/>
  <c r="BF86" i="1"/>
  <c r="BG86" i="1"/>
  <c r="BI86" i="1"/>
  <c r="BJ86" i="1"/>
  <c r="BK86" i="1"/>
  <c r="BL86" i="1"/>
  <c r="BM86" i="1"/>
  <c r="BO86" i="1"/>
  <c r="BP86" i="1"/>
  <c r="BQ86" i="1"/>
  <c r="BR86" i="1"/>
  <c r="BS86" i="1"/>
  <c r="BU86" i="1"/>
  <c r="BV86" i="1"/>
  <c r="BW86" i="1"/>
  <c r="BX86" i="1"/>
  <c r="BY86" i="1"/>
  <c r="AP86" i="1"/>
  <c r="BB86" i="1"/>
  <c r="BN86" i="1"/>
  <c r="AQ89" i="1"/>
  <c r="AR89" i="1"/>
  <c r="AS89" i="1"/>
  <c r="AT89" i="1"/>
  <c r="AU89" i="1"/>
  <c r="AW89" i="1"/>
  <c r="AX89" i="1"/>
  <c r="AY89" i="1"/>
  <c r="AZ89" i="1"/>
  <c r="BA89" i="1"/>
  <c r="BC89" i="1"/>
  <c r="BD89" i="1"/>
  <c r="BE89" i="1"/>
  <c r="BF89" i="1"/>
  <c r="BG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AP90" i="1"/>
  <c r="AP89" i="1" s="1"/>
  <c r="AV90" i="1"/>
  <c r="AV89" i="1" s="1"/>
  <c r="BB90" i="1"/>
  <c r="BB89" i="1" s="1"/>
  <c r="BH90" i="1"/>
  <c r="BH89" i="1" s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U92" i="1"/>
  <c r="BV92" i="1"/>
  <c r="BW92" i="1"/>
  <c r="BX92" i="1"/>
  <c r="BY92" i="1"/>
  <c r="AP92" i="1"/>
  <c r="AQ95" i="1"/>
  <c r="AR95" i="1"/>
  <c r="AS95" i="1"/>
  <c r="AT95" i="1"/>
  <c r="AU95" i="1"/>
  <c r="AW95" i="1"/>
  <c r="AX95" i="1"/>
  <c r="AY95" i="1"/>
  <c r="AZ95" i="1"/>
  <c r="BA95" i="1"/>
  <c r="BC95" i="1"/>
  <c r="BD95" i="1"/>
  <c r="BE95" i="1"/>
  <c r="BF95" i="1"/>
  <c r="BG95" i="1"/>
  <c r="BI95" i="1"/>
  <c r="BJ95" i="1"/>
  <c r="BK95" i="1"/>
  <c r="BL95" i="1"/>
  <c r="BM95" i="1"/>
  <c r="BO95" i="1"/>
  <c r="BP95" i="1"/>
  <c r="BQ95" i="1"/>
  <c r="BR95" i="1"/>
  <c r="BS95" i="1"/>
  <c r="BU95" i="1"/>
  <c r="BV95" i="1"/>
  <c r="BW95" i="1"/>
  <c r="BX95" i="1"/>
  <c r="BY95" i="1"/>
  <c r="AP96" i="1"/>
  <c r="AV96" i="1"/>
  <c r="BB96" i="1"/>
  <c r="BH96" i="1"/>
  <c r="BH95" i="1" s="1"/>
  <c r="BN96" i="1"/>
  <c r="BN95" i="1" s="1"/>
  <c r="BT96" i="1"/>
  <c r="BT95" i="1" s="1"/>
  <c r="AL89" i="1"/>
  <c r="AM89" i="1"/>
  <c r="AN89" i="1"/>
  <c r="AO89" i="1"/>
  <c r="AK89" i="1"/>
  <c r="AV82" i="28"/>
  <c r="BN81" i="1" l="1"/>
  <c r="BT81" i="1"/>
  <c r="BX49" i="1"/>
  <c r="BV49" i="1"/>
  <c r="BS49" i="1"/>
  <c r="BQ49" i="1"/>
  <c r="BO49" i="1"/>
  <c r="BL49" i="1"/>
  <c r="BJ49" i="1"/>
  <c r="BG49" i="1"/>
  <c r="BE49" i="1"/>
  <c r="BC49" i="1"/>
  <c r="AZ49" i="1"/>
  <c r="AX49" i="1"/>
  <c r="AU49" i="1"/>
  <c r="AS49" i="1"/>
  <c r="AQ49" i="1"/>
  <c r="BY49" i="1"/>
  <c r="BW49" i="1"/>
  <c r="BU49" i="1"/>
  <c r="BR49" i="1"/>
  <c r="BP49" i="1"/>
  <c r="BM49" i="1"/>
  <c r="BK49" i="1"/>
  <c r="BI49" i="1"/>
  <c r="BF49" i="1"/>
  <c r="BD49" i="1"/>
  <c r="BA49" i="1"/>
  <c r="AY49" i="1"/>
  <c r="AW49" i="1"/>
  <c r="AT49" i="1"/>
  <c r="AR49" i="1"/>
  <c r="BT49" i="1"/>
  <c r="BH49" i="1"/>
  <c r="BH48" i="1" s="1"/>
  <c r="BH39" i="1" s="1"/>
  <c r="AV49" i="1"/>
  <c r="AV48" i="1" s="1"/>
  <c r="AV39" i="1" s="1"/>
  <c r="BY48" i="1"/>
  <c r="BY39" i="1" s="1"/>
  <c r="BW48" i="1"/>
  <c r="BU48" i="1"/>
  <c r="BU39" i="1" s="1"/>
  <c r="BR48" i="1"/>
  <c r="BR39" i="1" s="1"/>
  <c r="BP48" i="1"/>
  <c r="BP39" i="1" s="1"/>
  <c r="BM48" i="1"/>
  <c r="BK48" i="1"/>
  <c r="BK39" i="1" s="1"/>
  <c r="BI48" i="1"/>
  <c r="BI39" i="1" s="1"/>
  <c r="BF48" i="1"/>
  <c r="BF39" i="1" s="1"/>
  <c r="BD48" i="1"/>
  <c r="BA48" i="1"/>
  <c r="BA39" i="1" s="1"/>
  <c r="AY48" i="1"/>
  <c r="AY39" i="1" s="1"/>
  <c r="AW48" i="1"/>
  <c r="AW39" i="1" s="1"/>
  <c r="AT48" i="1"/>
  <c r="AR48" i="1"/>
  <c r="AR39" i="1" s="1"/>
  <c r="BW39" i="1"/>
  <c r="BM39" i="1"/>
  <c r="BD39" i="1"/>
  <c r="AT39" i="1"/>
  <c r="BN49" i="1"/>
  <c r="BN48" i="1" s="1"/>
  <c r="BB49" i="1"/>
  <c r="BB48" i="1" s="1"/>
  <c r="AP49" i="1"/>
  <c r="AP48" i="1" s="1"/>
  <c r="BX48" i="1"/>
  <c r="BV48" i="1"/>
  <c r="BS48" i="1"/>
  <c r="BQ48" i="1"/>
  <c r="BO48" i="1"/>
  <c r="BL48" i="1"/>
  <c r="BJ48" i="1"/>
  <c r="BG48" i="1"/>
  <c r="BE48" i="1"/>
  <c r="BC48" i="1"/>
  <c r="AZ48" i="1"/>
  <c r="AX48" i="1"/>
  <c r="AU48" i="1"/>
  <c r="AS48" i="1"/>
  <c r="AQ48" i="1"/>
  <c r="BN39" i="1"/>
  <c r="BB39" i="1"/>
  <c r="AP39" i="1"/>
  <c r="BX39" i="1"/>
  <c r="BV39" i="1"/>
  <c r="BS39" i="1"/>
  <c r="BQ39" i="1"/>
  <c r="BO39" i="1"/>
  <c r="BL39" i="1"/>
  <c r="BJ39" i="1"/>
  <c r="BG39" i="1"/>
  <c r="BE39" i="1"/>
  <c r="BC39" i="1"/>
  <c r="AZ39" i="1"/>
  <c r="AX39" i="1"/>
  <c r="AU39" i="1"/>
  <c r="AS39" i="1"/>
  <c r="AQ39" i="1"/>
  <c r="AD119" i="1"/>
  <c r="AH119" i="1"/>
  <c r="AJ119" i="1"/>
  <c r="AN119" i="1"/>
  <c r="AP119" i="1"/>
  <c r="AT119" i="1"/>
  <c r="AV119" i="1"/>
  <c r="AZ119" i="1"/>
  <c r="BB119" i="1"/>
  <c r="BF119" i="1"/>
  <c r="BL119" i="1"/>
  <c r="BH119" i="1"/>
  <c r="BT119" i="1"/>
  <c r="BN119" i="1"/>
  <c r="BR119" i="1"/>
  <c r="BX119" i="1"/>
  <c r="BT48" i="1" l="1"/>
  <c r="BT39" i="1" s="1"/>
  <c r="AD67" i="1"/>
  <c r="AB56" i="28" l="1"/>
  <c r="AC56" i="28"/>
  <c r="AD56" i="28"/>
  <c r="AE56" i="28"/>
  <c r="AA56" i="28"/>
  <c r="Z60" i="28"/>
  <c r="U21" i="28"/>
  <c r="BH42" i="28"/>
  <c r="BI42" i="28"/>
  <c r="AR42" i="28"/>
  <c r="AL42" i="28"/>
  <c r="O42" i="28"/>
  <c r="P42" i="28"/>
  <c r="Q42" i="28"/>
  <c r="R42" i="28"/>
  <c r="S42" i="28"/>
  <c r="T42" i="28"/>
  <c r="Z42" i="28"/>
  <c r="AF42" i="28"/>
  <c r="O43" i="28"/>
  <c r="P43" i="28"/>
  <c r="Q43" i="28"/>
  <c r="R43" i="28"/>
  <c r="S43" i="28"/>
  <c r="T43" i="28"/>
  <c r="Z43" i="28"/>
  <c r="AF43" i="28"/>
  <c r="A42" i="28"/>
  <c r="B42" i="28"/>
  <c r="C42" i="28"/>
  <c r="BH51" i="28"/>
  <c r="C11" i="28"/>
  <c r="C12" i="28"/>
  <c r="C13" i="28"/>
  <c r="C14" i="28"/>
  <c r="C15" i="28"/>
  <c r="C17" i="28"/>
  <c r="C18" i="28"/>
  <c r="C19" i="28"/>
  <c r="C22" i="28"/>
  <c r="C23" i="28"/>
  <c r="C24" i="28"/>
  <c r="C25" i="28"/>
  <c r="C26" i="28"/>
  <c r="C27" i="28"/>
  <c r="C28" i="28"/>
  <c r="C32" i="28"/>
  <c r="C33" i="28"/>
  <c r="C34" i="28"/>
  <c r="C35" i="28"/>
  <c r="C36" i="28"/>
  <c r="C38" i="28"/>
  <c r="C39" i="28"/>
  <c r="C40" i="28"/>
  <c r="C41" i="28"/>
  <c r="C43" i="28"/>
  <c r="C52" i="28"/>
  <c r="C53" i="28"/>
  <c r="C54" i="28"/>
  <c r="C45" i="28"/>
  <c r="C46" i="28"/>
  <c r="C47" i="28"/>
  <c r="C48" i="28"/>
  <c r="C49" i="28"/>
  <c r="C50" i="28"/>
  <c r="C64" i="28"/>
  <c r="C65" i="28"/>
  <c r="C68" i="28"/>
  <c r="C71" i="28"/>
  <c r="C74" i="28"/>
  <c r="A61" i="28"/>
  <c r="A66" i="28"/>
  <c r="A69" i="28"/>
  <c r="BH81" i="28"/>
  <c r="A82" i="28"/>
  <c r="B83" i="28"/>
  <c r="B82" i="28"/>
  <c r="X6" i="28"/>
  <c r="AD6" i="28"/>
  <c r="AJ6" i="28"/>
  <c r="AP6" i="28"/>
  <c r="M72" i="28"/>
  <c r="M69" i="28"/>
  <c r="M66" i="28"/>
  <c r="M61" i="28"/>
  <c r="M55" i="28"/>
  <c r="N43" i="28" l="1"/>
  <c r="N42" i="28"/>
  <c r="M43" i="28"/>
  <c r="M42" i="28"/>
  <c r="BY27" i="1"/>
  <c r="BY26" i="1"/>
  <c r="BY25" i="1"/>
  <c r="BY24" i="1"/>
  <c r="BX24" i="1"/>
  <c r="BW24" i="1"/>
  <c r="BV24" i="1"/>
  <c r="BU24" i="1"/>
  <c r="BT24" i="1"/>
  <c r="BY23" i="1"/>
  <c r="BY22" i="1"/>
  <c r="BY21" i="1"/>
  <c r="BY20" i="1"/>
  <c r="BY18" i="1"/>
  <c r="BY17" i="1"/>
  <c r="BY16" i="1"/>
  <c r="BY15" i="1"/>
  <c r="BY13" i="1"/>
  <c r="BS27" i="1"/>
  <c r="BS26" i="1"/>
  <c r="BS25" i="1"/>
  <c r="BS24" i="1"/>
  <c r="BR24" i="1"/>
  <c r="BQ24" i="1"/>
  <c r="BP24" i="1"/>
  <c r="BO24" i="1"/>
  <c r="BN24" i="1"/>
  <c r="BS23" i="1"/>
  <c r="BS22" i="1"/>
  <c r="BS21" i="1"/>
  <c r="BS20" i="1"/>
  <c r="BS18" i="1"/>
  <c r="BS17" i="1"/>
  <c r="BS16" i="1"/>
  <c r="BS15" i="1"/>
  <c r="BS13" i="1"/>
  <c r="BS12" i="1" s="1"/>
  <c r="BS11" i="1" s="1"/>
  <c r="BM27" i="1"/>
  <c r="BM26" i="1"/>
  <c r="BM25" i="1"/>
  <c r="BL24" i="1"/>
  <c r="BK24" i="1"/>
  <c r="BJ24" i="1"/>
  <c r="BI24" i="1"/>
  <c r="BH24" i="1"/>
  <c r="BM23" i="1"/>
  <c r="BM22" i="1"/>
  <c r="BM21" i="1"/>
  <c r="BM20" i="1"/>
  <c r="BM18" i="1"/>
  <c r="BM17" i="1"/>
  <c r="BM16" i="1"/>
  <c r="BM15" i="1"/>
  <c r="BM13" i="1"/>
  <c r="BG27" i="1"/>
  <c r="BA27" i="1"/>
  <c r="AU27" i="1"/>
  <c r="AO27" i="1"/>
  <c r="AJ27" i="1" s="1"/>
  <c r="AD27" i="1"/>
  <c r="X27" i="1"/>
  <c r="R27" i="1"/>
  <c r="Q27" i="1"/>
  <c r="P27" i="1"/>
  <c r="O27" i="1"/>
  <c r="N27" i="1"/>
  <c r="M27" i="1"/>
  <c r="BG26" i="1"/>
  <c r="BA26" i="1"/>
  <c r="BA24" i="1" s="1"/>
  <c r="AU26" i="1"/>
  <c r="AU24" i="1" s="1"/>
  <c r="AO26" i="1"/>
  <c r="AJ26" i="1" s="1"/>
  <c r="AJ24" i="1" s="1"/>
  <c r="AD26" i="1"/>
  <c r="AD24" i="1" s="1"/>
  <c r="X26" i="1"/>
  <c r="R26" i="1"/>
  <c r="Q26" i="1"/>
  <c r="P26" i="1"/>
  <c r="O26" i="1"/>
  <c r="N26" i="1"/>
  <c r="M26" i="1"/>
  <c r="BG25" i="1"/>
  <c r="BA25" i="1"/>
  <c r="AU25" i="1"/>
  <c r="AO25" i="1"/>
  <c r="AJ25" i="1" s="1"/>
  <c r="AD25" i="1"/>
  <c r="X25" i="1"/>
  <c r="R25" i="1"/>
  <c r="R24" i="1" s="1"/>
  <c r="Q25" i="1"/>
  <c r="P25" i="1"/>
  <c r="P24" i="1" s="1"/>
  <c r="O25" i="1"/>
  <c r="N25" i="1"/>
  <c r="N24" i="1" s="1"/>
  <c r="M25" i="1"/>
  <c r="CE24" i="1"/>
  <c r="CD24" i="1"/>
  <c r="CC24" i="1"/>
  <c r="CB24" i="1"/>
  <c r="BZ24" i="1"/>
  <c r="BF24" i="1"/>
  <c r="BE24" i="1"/>
  <c r="BD24" i="1"/>
  <c r="BC24" i="1"/>
  <c r="BB24" i="1"/>
  <c r="AZ24" i="1"/>
  <c r="AY24" i="1"/>
  <c r="AX24" i="1"/>
  <c r="AW24" i="1"/>
  <c r="AV24" i="1"/>
  <c r="AT24" i="1"/>
  <c r="AS24" i="1"/>
  <c r="AR24" i="1"/>
  <c r="AQ24" i="1"/>
  <c r="AP24" i="1"/>
  <c r="AN24" i="1"/>
  <c r="AM24" i="1"/>
  <c r="AL24" i="1"/>
  <c r="AK24" i="1"/>
  <c r="AI24" i="1"/>
  <c r="AH24" i="1"/>
  <c r="AG24" i="1"/>
  <c r="AF24" i="1"/>
  <c r="AE24" i="1"/>
  <c r="AC24" i="1"/>
  <c r="AB24" i="1"/>
  <c r="AA24" i="1"/>
  <c r="Z24" i="1"/>
  <c r="Y24" i="1"/>
  <c r="X24" i="1"/>
  <c r="W24" i="1"/>
  <c r="V24" i="1"/>
  <c r="U24" i="1"/>
  <c r="T24" i="1"/>
  <c r="S24" i="1"/>
  <c r="Q24" i="1"/>
  <c r="O24" i="1"/>
  <c r="M24" i="1"/>
  <c r="J24" i="1"/>
  <c r="BG23" i="1"/>
  <c r="BA23" i="1"/>
  <c r="AU23" i="1"/>
  <c r="AO23" i="1"/>
  <c r="AJ23" i="1" s="1"/>
  <c r="AD23" i="1"/>
  <c r="X23" i="1"/>
  <c r="R23" i="1"/>
  <c r="Q23" i="1"/>
  <c r="P23" i="1"/>
  <c r="O23" i="1"/>
  <c r="N23" i="1"/>
  <c r="M23" i="1"/>
  <c r="BG22" i="1"/>
  <c r="BA22" i="1"/>
  <c r="AU22" i="1"/>
  <c r="AO22" i="1"/>
  <c r="AJ22" i="1" s="1"/>
  <c r="AD22" i="1"/>
  <c r="X22" i="1"/>
  <c r="R22" i="1"/>
  <c r="Q22" i="1"/>
  <c r="P22" i="1"/>
  <c r="O22" i="1"/>
  <c r="N22" i="1"/>
  <c r="M22" i="1"/>
  <c r="BG21" i="1"/>
  <c r="BA21" i="1"/>
  <c r="AU21" i="1"/>
  <c r="AO21" i="1"/>
  <c r="AJ21" i="1" s="1"/>
  <c r="AD21" i="1"/>
  <c r="X21" i="1"/>
  <c r="R21" i="1"/>
  <c r="Q21" i="1"/>
  <c r="P21" i="1"/>
  <c r="O21" i="1"/>
  <c r="N21" i="1"/>
  <c r="M21" i="1"/>
  <c r="BG20" i="1"/>
  <c r="BA20" i="1"/>
  <c r="AU20" i="1"/>
  <c r="AO20" i="1"/>
  <c r="AJ20" i="1" s="1"/>
  <c r="AD20" i="1"/>
  <c r="X20" i="1"/>
  <c r="R20" i="1"/>
  <c r="Q20" i="1"/>
  <c r="P20" i="1"/>
  <c r="O20" i="1"/>
  <c r="N20" i="1"/>
  <c r="M20" i="1"/>
  <c r="X19" i="1"/>
  <c r="R19" i="1"/>
  <c r="Q19" i="1"/>
  <c r="P19" i="1"/>
  <c r="O19" i="1"/>
  <c r="N19" i="1"/>
  <c r="M19" i="1"/>
  <c r="BG18" i="1"/>
  <c r="BA18" i="1"/>
  <c r="AU18" i="1"/>
  <c r="AO18" i="1"/>
  <c r="AJ18" i="1" s="1"/>
  <c r="AD18" i="1"/>
  <c r="X18" i="1"/>
  <c r="R18" i="1"/>
  <c r="Q18" i="1"/>
  <c r="P18" i="1"/>
  <c r="O18" i="1"/>
  <c r="N18" i="1"/>
  <c r="M18" i="1"/>
  <c r="BG17" i="1"/>
  <c r="BA17" i="1"/>
  <c r="AU17" i="1"/>
  <c r="AO17" i="1"/>
  <c r="AJ17" i="1" s="1"/>
  <c r="AD17" i="1"/>
  <c r="X17" i="1"/>
  <c r="R17" i="1"/>
  <c r="Q17" i="1"/>
  <c r="P17" i="1"/>
  <c r="O17" i="1"/>
  <c r="N17" i="1"/>
  <c r="M17" i="1"/>
  <c r="BG16" i="1"/>
  <c r="BA16" i="1"/>
  <c r="AU16" i="1"/>
  <c r="AO16" i="1"/>
  <c r="AJ16" i="1" s="1"/>
  <c r="AD16" i="1"/>
  <c r="X16" i="1"/>
  <c r="R16" i="1"/>
  <c r="Q16" i="1"/>
  <c r="P16" i="1"/>
  <c r="O16" i="1"/>
  <c r="N16" i="1"/>
  <c r="M16" i="1"/>
  <c r="BG15" i="1"/>
  <c r="BA15" i="1"/>
  <c r="AU15" i="1"/>
  <c r="AO15" i="1"/>
  <c r="AJ15" i="1" s="1"/>
  <c r="AD15" i="1"/>
  <c r="X15" i="1"/>
  <c r="R15" i="1"/>
  <c r="Q15" i="1"/>
  <c r="P15" i="1"/>
  <c r="O15" i="1"/>
  <c r="N15" i="1"/>
  <c r="M15" i="1"/>
  <c r="X14" i="1"/>
  <c r="R14" i="1"/>
  <c r="Q14" i="1"/>
  <c r="P14" i="1"/>
  <c r="O14" i="1"/>
  <c r="N14" i="1"/>
  <c r="M14" i="1"/>
  <c r="L14" i="1" s="1"/>
  <c r="K14" i="1" s="1"/>
  <c r="BX12" i="1"/>
  <c r="BX11" i="1" s="1"/>
  <c r="BG13" i="1"/>
  <c r="BA13" i="1"/>
  <c r="BA12" i="1" s="1"/>
  <c r="BA11" i="1" s="1"/>
  <c r="AU13" i="1"/>
  <c r="AO13" i="1"/>
  <c r="AJ13" i="1" s="1"/>
  <c r="AD13" i="1"/>
  <c r="X13" i="1"/>
  <c r="X12" i="1" s="1"/>
  <c r="X11" i="1" s="1"/>
  <c r="R13" i="1"/>
  <c r="Q13" i="1"/>
  <c r="P13" i="1"/>
  <c r="O13" i="1"/>
  <c r="N13" i="1"/>
  <c r="M13" i="1"/>
  <c r="CE12" i="1"/>
  <c r="CE11" i="1" s="1"/>
  <c r="CD12" i="1"/>
  <c r="CC12" i="1"/>
  <c r="CC11" i="1" s="1"/>
  <c r="CB12" i="1"/>
  <c r="CA12" i="1"/>
  <c r="CA11" i="1" s="1"/>
  <c r="BZ12" i="1"/>
  <c r="BY12" i="1"/>
  <c r="BY11" i="1" s="1"/>
  <c r="BW12" i="1"/>
  <c r="BV12" i="1"/>
  <c r="BU12" i="1"/>
  <c r="BT12" i="1"/>
  <c r="BT11" i="1" s="1"/>
  <c r="BR12" i="1"/>
  <c r="BQ12" i="1"/>
  <c r="BP12" i="1"/>
  <c r="BP11" i="1" s="1"/>
  <c r="BO12" i="1"/>
  <c r="BN12" i="1"/>
  <c r="BL12" i="1"/>
  <c r="BL11" i="1" s="1"/>
  <c r="BK12" i="1"/>
  <c r="BK11" i="1" s="1"/>
  <c r="BJ12" i="1"/>
  <c r="BI12" i="1"/>
  <c r="BI11" i="1" s="1"/>
  <c r="BH12" i="1"/>
  <c r="BF12" i="1"/>
  <c r="BF11" i="1" s="1"/>
  <c r="BE12" i="1"/>
  <c r="BD12" i="1"/>
  <c r="BC12" i="1"/>
  <c r="BB12" i="1"/>
  <c r="BB11" i="1" s="1"/>
  <c r="AZ12" i="1"/>
  <c r="AY12" i="1"/>
  <c r="AY11" i="1" s="1"/>
  <c r="AX12" i="1"/>
  <c r="AX11" i="1" s="1"/>
  <c r="AW12" i="1"/>
  <c r="AW11" i="1" s="1"/>
  <c r="AV12" i="1"/>
  <c r="AT12" i="1"/>
  <c r="AT11" i="1" s="1"/>
  <c r="AS12" i="1"/>
  <c r="AS11" i="1" s="1"/>
  <c r="AR12" i="1"/>
  <c r="AQ12" i="1"/>
  <c r="AQ11" i="1" s="1"/>
  <c r="AP12" i="1"/>
  <c r="AP11" i="1" s="1"/>
  <c r="AN12" i="1"/>
  <c r="AN11" i="1" s="1"/>
  <c r="AM12" i="1"/>
  <c r="AL12" i="1"/>
  <c r="AL11" i="1" s="1"/>
  <c r="AK12" i="1"/>
  <c r="AI12" i="1"/>
  <c r="AI11" i="1" s="1"/>
  <c r="AH12" i="1"/>
  <c r="AG12" i="1"/>
  <c r="AG11" i="1" s="1"/>
  <c r="AF12" i="1"/>
  <c r="AE12" i="1"/>
  <c r="AC12" i="1"/>
  <c r="AC11" i="1" s="1"/>
  <c r="AB12" i="1"/>
  <c r="AB11" i="1" s="1"/>
  <c r="AA12" i="1"/>
  <c r="AA11" i="1" s="1"/>
  <c r="Z12" i="1"/>
  <c r="Z11" i="1" s="1"/>
  <c r="Y12" i="1"/>
  <c r="Y11" i="1" s="1"/>
  <c r="W12" i="1"/>
  <c r="V12" i="1"/>
  <c r="V11" i="1" s="1"/>
  <c r="U12" i="1"/>
  <c r="U11" i="1" s="1"/>
  <c r="T12" i="1"/>
  <c r="T11" i="1" s="1"/>
  <c r="S12" i="1"/>
  <c r="S11" i="1" s="1"/>
  <c r="P12" i="1"/>
  <c r="P11" i="1" s="1"/>
  <c r="J12" i="1"/>
  <c r="CD11" i="1"/>
  <c r="CB11" i="1"/>
  <c r="BV11" i="1"/>
  <c r="BR11" i="1"/>
  <c r="BN11" i="1"/>
  <c r="BH11" i="1"/>
  <c r="BD11" i="1"/>
  <c r="AZ11" i="1"/>
  <c r="AV11" i="1"/>
  <c r="AR11" i="1"/>
  <c r="AM11" i="1"/>
  <c r="AE11" i="1"/>
  <c r="W11" i="1"/>
  <c r="AJ61" i="1"/>
  <c r="AD61" i="1"/>
  <c r="R61" i="1"/>
  <c r="Q61" i="1"/>
  <c r="P61" i="1"/>
  <c r="O61" i="1"/>
  <c r="N61" i="1"/>
  <c r="M61" i="1"/>
  <c r="BM12" i="1" l="1"/>
  <c r="L13" i="1"/>
  <c r="K13" i="1" s="1"/>
  <c r="L17" i="1"/>
  <c r="K17" i="1" s="1"/>
  <c r="AU12" i="1"/>
  <c r="AU11" i="1" s="1"/>
  <c r="BG12" i="1"/>
  <c r="N12" i="1"/>
  <c r="N11" i="1" s="1"/>
  <c r="R12" i="1"/>
  <c r="R11" i="1" s="1"/>
  <c r="AD12" i="1"/>
  <c r="AD11" i="1" s="1"/>
  <c r="BZ11" i="1"/>
  <c r="AF11" i="1"/>
  <c r="AH11" i="1"/>
  <c r="AK11" i="1"/>
  <c r="AO12" i="1"/>
  <c r="BC11" i="1"/>
  <c r="BE11" i="1"/>
  <c r="BO11" i="1"/>
  <c r="BQ11" i="1"/>
  <c r="BU11" i="1"/>
  <c r="BW11" i="1"/>
  <c r="L15" i="1"/>
  <c r="L19" i="1"/>
  <c r="K19" i="1" s="1"/>
  <c r="L25" i="1"/>
  <c r="K25" i="1" s="1"/>
  <c r="L26" i="1"/>
  <c r="K26" i="1" s="1"/>
  <c r="L27" i="1"/>
  <c r="K27" i="1" s="1"/>
  <c r="L16" i="1"/>
  <c r="K16" i="1" s="1"/>
  <c r="L18" i="1"/>
  <c r="K18" i="1" s="1"/>
  <c r="L21" i="1"/>
  <c r="K21" i="1" s="1"/>
  <c r="L23" i="1"/>
  <c r="K23" i="1" s="1"/>
  <c r="BG24" i="1"/>
  <c r="O12" i="1"/>
  <c r="O11" i="1" s="1"/>
  <c r="BJ11" i="1"/>
  <c r="BM24" i="1"/>
  <c r="BM11" i="1" s="1"/>
  <c r="BG11" i="1"/>
  <c r="Q12" i="1"/>
  <c r="Q11" i="1" s="1"/>
  <c r="L20" i="1"/>
  <c r="K20" i="1" s="1"/>
  <c r="L22" i="1"/>
  <c r="K22" i="1" s="1"/>
  <c r="AJ12" i="1"/>
  <c r="AJ11" i="1" s="1"/>
  <c r="K15" i="1"/>
  <c r="K12" i="1" s="1"/>
  <c r="M12" i="1"/>
  <c r="M11" i="1" s="1"/>
  <c r="AO24" i="1"/>
  <c r="AO11" i="1" s="1"/>
  <c r="L61" i="1"/>
  <c r="L12" i="1" l="1"/>
  <c r="K61" i="1"/>
  <c r="K42" i="28" s="1"/>
  <c r="I42" i="28" s="1"/>
  <c r="L42" i="28"/>
  <c r="J42" i="28" s="1"/>
  <c r="L24" i="1"/>
  <c r="K24" i="1"/>
  <c r="K11" i="1" s="1"/>
  <c r="L11" i="1"/>
  <c r="BF101" i="1"/>
  <c r="R121" i="1" l="1"/>
  <c r="X121" i="1"/>
  <c r="AD121" i="1"/>
  <c r="AJ121" i="1"/>
  <c r="AP121" i="1"/>
  <c r="AV121" i="1"/>
  <c r="BB121" i="1"/>
  <c r="BH121" i="1"/>
  <c r="BN121" i="1"/>
  <c r="BT121" i="1"/>
  <c r="AN118" i="1" l="1"/>
  <c r="X119" i="1"/>
  <c r="AB119" i="1"/>
  <c r="V119" i="1"/>
  <c r="V118" i="1"/>
  <c r="BX118" i="1" l="1"/>
  <c r="BT118" i="1"/>
  <c r="BN118" i="1"/>
  <c r="BR118" i="1"/>
  <c r="BH120" i="1"/>
  <c r="BL118" i="1"/>
  <c r="BH118" i="1"/>
  <c r="BF118" i="1"/>
  <c r="BB120" i="1"/>
  <c r="BB118" i="1"/>
  <c r="AZ118" i="1"/>
  <c r="AV118" i="1"/>
  <c r="AT118" i="1"/>
  <c r="AP118" i="1"/>
  <c r="AD118" i="1"/>
  <c r="AJ118" i="1"/>
  <c r="AH118" i="1"/>
  <c r="V81" i="28"/>
  <c r="AF19" i="28" l="1"/>
  <c r="AG70" i="28"/>
  <c r="AK31" i="28"/>
  <c r="AJ31" i="28"/>
  <c r="AI31" i="28"/>
  <c r="AH31" i="28"/>
  <c r="AG31" i="28"/>
  <c r="AV31" i="28"/>
  <c r="AU31" i="28"/>
  <c r="AT31" i="28"/>
  <c r="AS31" i="28"/>
  <c r="AQ31" i="28"/>
  <c r="AP31" i="28"/>
  <c r="AO31" i="28"/>
  <c r="AN31" i="28"/>
  <c r="AM31" i="28"/>
  <c r="AA31" i="28"/>
  <c r="AB31" i="28"/>
  <c r="AC31" i="28"/>
  <c r="AD31" i="28"/>
  <c r="AE31" i="28"/>
  <c r="AH56" i="28"/>
  <c r="AI56" i="28"/>
  <c r="AJ56" i="28"/>
  <c r="AK56" i="28"/>
  <c r="AF60" i="28"/>
  <c r="AG56" i="28"/>
  <c r="A74" i="29"/>
  <c r="B74" i="29"/>
  <c r="C74" i="29"/>
  <c r="D74" i="29"/>
  <c r="E74" i="29"/>
  <c r="F74" i="29"/>
  <c r="G74" i="29"/>
  <c r="I74" i="29"/>
  <c r="J74" i="29"/>
  <c r="K74" i="29"/>
  <c r="L74" i="29"/>
  <c r="M74" i="29"/>
  <c r="A75" i="29"/>
  <c r="B75" i="29"/>
  <c r="C75" i="29"/>
  <c r="D75" i="29"/>
  <c r="E75" i="29"/>
  <c r="F75" i="29"/>
  <c r="G75" i="29"/>
  <c r="I75" i="29"/>
  <c r="J75" i="29"/>
  <c r="K75" i="29"/>
  <c r="L75" i="29"/>
  <c r="M75" i="29"/>
  <c r="A58" i="29"/>
  <c r="B58" i="29"/>
  <c r="C58" i="29"/>
  <c r="D58" i="29"/>
  <c r="E58" i="29"/>
  <c r="F58" i="29"/>
  <c r="G58" i="29"/>
  <c r="I58" i="29"/>
  <c r="J58" i="29"/>
  <c r="K58" i="29"/>
  <c r="L58" i="29"/>
  <c r="M58" i="29"/>
  <c r="A59" i="29"/>
  <c r="B59" i="29"/>
  <c r="C59" i="29"/>
  <c r="D59" i="29"/>
  <c r="E59" i="29"/>
  <c r="F59" i="29"/>
  <c r="G59" i="29"/>
  <c r="I59" i="29"/>
  <c r="J59" i="29"/>
  <c r="K59" i="29"/>
  <c r="L59" i="29"/>
  <c r="M59" i="29"/>
  <c r="A60" i="29"/>
  <c r="B60" i="29"/>
  <c r="C60" i="29"/>
  <c r="D60" i="29"/>
  <c r="E60" i="29"/>
  <c r="F60" i="29"/>
  <c r="G60" i="29"/>
  <c r="I60" i="29"/>
  <c r="J60" i="29"/>
  <c r="K60" i="29"/>
  <c r="L60" i="29"/>
  <c r="M60" i="29"/>
  <c r="A52" i="29"/>
  <c r="B52" i="29"/>
  <c r="C52" i="29"/>
  <c r="D52" i="29"/>
  <c r="E52" i="29"/>
  <c r="F52" i="29"/>
  <c r="G52" i="29"/>
  <c r="I52" i="29"/>
  <c r="J52" i="29"/>
  <c r="K52" i="29"/>
  <c r="L52" i="29"/>
  <c r="M52" i="29"/>
  <c r="A53" i="29"/>
  <c r="B53" i="29"/>
  <c r="C53" i="29"/>
  <c r="D53" i="29"/>
  <c r="E53" i="29"/>
  <c r="F53" i="29"/>
  <c r="G53" i="29"/>
  <c r="I53" i="29"/>
  <c r="J53" i="29"/>
  <c r="K53" i="29"/>
  <c r="L53" i="29"/>
  <c r="M53" i="29"/>
  <c r="A46" i="29"/>
  <c r="B46" i="29"/>
  <c r="C46" i="29"/>
  <c r="D46" i="29"/>
  <c r="E46" i="29"/>
  <c r="F46" i="29"/>
  <c r="G46" i="29"/>
  <c r="I46" i="29"/>
  <c r="J46" i="29"/>
  <c r="K46" i="29"/>
  <c r="L46" i="29"/>
  <c r="M46" i="29"/>
  <c r="A47" i="29"/>
  <c r="B47" i="29"/>
  <c r="C47" i="29"/>
  <c r="D47" i="29"/>
  <c r="E47" i="29"/>
  <c r="F47" i="29"/>
  <c r="G47" i="29"/>
  <c r="I47" i="29"/>
  <c r="J47" i="29"/>
  <c r="K47" i="29"/>
  <c r="L47" i="29"/>
  <c r="M47" i="29"/>
  <c r="A48" i="29"/>
  <c r="B48" i="29"/>
  <c r="C48" i="29"/>
  <c r="D48" i="29"/>
  <c r="E48" i="29"/>
  <c r="F48" i="29"/>
  <c r="G48" i="29"/>
  <c r="I48" i="29"/>
  <c r="J48" i="29"/>
  <c r="K48" i="29"/>
  <c r="L48" i="29"/>
  <c r="M48" i="29"/>
  <c r="A49" i="29"/>
  <c r="B49" i="29"/>
  <c r="C49" i="29"/>
  <c r="D49" i="29"/>
  <c r="E49" i="29"/>
  <c r="F49" i="29"/>
  <c r="G49" i="29"/>
  <c r="I49" i="29"/>
  <c r="J49" i="29"/>
  <c r="K49" i="29"/>
  <c r="L49" i="29"/>
  <c r="M49" i="29"/>
  <c r="A45" i="29"/>
  <c r="B45" i="29"/>
  <c r="C45" i="29"/>
  <c r="D45" i="29"/>
  <c r="E45" i="29"/>
  <c r="F45" i="29"/>
  <c r="G45" i="29"/>
  <c r="I45" i="29"/>
  <c r="J45" i="29"/>
  <c r="K45" i="29"/>
  <c r="L45" i="29"/>
  <c r="M45" i="29"/>
  <c r="A39" i="29"/>
  <c r="B39" i="29"/>
  <c r="C39" i="29"/>
  <c r="D39" i="29"/>
  <c r="E39" i="29"/>
  <c r="F39" i="29"/>
  <c r="G39" i="29"/>
  <c r="I39" i="29"/>
  <c r="J39" i="29"/>
  <c r="K39" i="29"/>
  <c r="L39" i="29"/>
  <c r="M39" i="29"/>
  <c r="A40" i="29"/>
  <c r="B40" i="29"/>
  <c r="C40" i="29"/>
  <c r="D40" i="29"/>
  <c r="E40" i="29"/>
  <c r="F40" i="29"/>
  <c r="G40" i="29"/>
  <c r="I40" i="29"/>
  <c r="J40" i="29"/>
  <c r="K40" i="29"/>
  <c r="L40" i="29"/>
  <c r="M40" i="29"/>
  <c r="A41" i="29"/>
  <c r="B41" i="29"/>
  <c r="C41" i="29"/>
  <c r="D41" i="29"/>
  <c r="E41" i="29"/>
  <c r="F41" i="29"/>
  <c r="G41" i="29"/>
  <c r="I41" i="29"/>
  <c r="J41" i="29"/>
  <c r="K41" i="29"/>
  <c r="L41" i="29"/>
  <c r="M41" i="29"/>
  <c r="A42" i="29"/>
  <c r="B42" i="29"/>
  <c r="C42" i="29"/>
  <c r="D42" i="29"/>
  <c r="E42" i="29"/>
  <c r="F42" i="29"/>
  <c r="G42" i="29"/>
  <c r="I42" i="29"/>
  <c r="J42" i="29"/>
  <c r="K42" i="29"/>
  <c r="L42" i="29"/>
  <c r="M42" i="29"/>
  <c r="A33" i="29"/>
  <c r="B33" i="29"/>
  <c r="C33" i="29"/>
  <c r="D33" i="29"/>
  <c r="E33" i="29"/>
  <c r="F33" i="29"/>
  <c r="G33" i="29"/>
  <c r="I33" i="29"/>
  <c r="J33" i="29"/>
  <c r="K33" i="29"/>
  <c r="L33" i="29"/>
  <c r="M33" i="29"/>
  <c r="A34" i="29"/>
  <c r="B34" i="29"/>
  <c r="C34" i="29"/>
  <c r="D34" i="29"/>
  <c r="E34" i="29"/>
  <c r="F34" i="29"/>
  <c r="G34" i="29"/>
  <c r="I34" i="29"/>
  <c r="J34" i="29"/>
  <c r="K34" i="29"/>
  <c r="L34" i="29"/>
  <c r="M34" i="29"/>
  <c r="A35" i="29"/>
  <c r="B35" i="29"/>
  <c r="C35" i="29"/>
  <c r="D35" i="29"/>
  <c r="E35" i="29"/>
  <c r="F35" i="29"/>
  <c r="G35" i="29"/>
  <c r="I35" i="29"/>
  <c r="J35" i="29"/>
  <c r="K35" i="29"/>
  <c r="L35" i="29"/>
  <c r="M35" i="29"/>
  <c r="A36" i="29"/>
  <c r="B36" i="29"/>
  <c r="C36" i="29"/>
  <c r="D36" i="29"/>
  <c r="E36" i="29"/>
  <c r="F36" i="29"/>
  <c r="G36" i="29"/>
  <c r="I36" i="29"/>
  <c r="J36" i="29"/>
  <c r="K36" i="29"/>
  <c r="L36" i="29"/>
  <c r="M36" i="29"/>
  <c r="A18" i="29"/>
  <c r="B18" i="29"/>
  <c r="C18" i="29"/>
  <c r="D18" i="29"/>
  <c r="E18" i="29"/>
  <c r="F18" i="29"/>
  <c r="G18" i="29"/>
  <c r="I18" i="29"/>
  <c r="J18" i="29"/>
  <c r="K18" i="29"/>
  <c r="L18" i="29"/>
  <c r="M18" i="29"/>
  <c r="A19" i="29"/>
  <c r="B19" i="29"/>
  <c r="C19" i="29"/>
  <c r="D19" i="29"/>
  <c r="E19" i="29"/>
  <c r="F19" i="29"/>
  <c r="G19" i="29"/>
  <c r="I19" i="29"/>
  <c r="J19" i="29"/>
  <c r="K19" i="29"/>
  <c r="L19" i="29"/>
  <c r="M19" i="29"/>
  <c r="A20" i="29"/>
  <c r="B20" i="29"/>
  <c r="C20" i="29"/>
  <c r="D20" i="29"/>
  <c r="E20" i="29"/>
  <c r="F20" i="29"/>
  <c r="G20" i="29"/>
  <c r="I20" i="29"/>
  <c r="J20" i="29"/>
  <c r="K20" i="29"/>
  <c r="L20" i="29"/>
  <c r="M20" i="29"/>
  <c r="A21" i="29"/>
  <c r="B21" i="29"/>
  <c r="C21" i="29"/>
  <c r="D21" i="29"/>
  <c r="E21" i="29"/>
  <c r="F21" i="29"/>
  <c r="G21" i="29"/>
  <c r="I21" i="29"/>
  <c r="J21" i="29"/>
  <c r="K21" i="29"/>
  <c r="L21" i="29"/>
  <c r="M21" i="29"/>
  <c r="A22" i="29"/>
  <c r="B22" i="29"/>
  <c r="C22" i="29"/>
  <c r="D22" i="29"/>
  <c r="E22" i="29"/>
  <c r="F22" i="29"/>
  <c r="G22" i="29"/>
  <c r="I22" i="29"/>
  <c r="J22" i="29"/>
  <c r="K22" i="29"/>
  <c r="L22" i="29"/>
  <c r="M22" i="29"/>
  <c r="A23" i="29"/>
  <c r="B23" i="29"/>
  <c r="C23" i="29"/>
  <c r="D23" i="29"/>
  <c r="E23" i="29"/>
  <c r="F23" i="29"/>
  <c r="G23" i="29"/>
  <c r="I23" i="29"/>
  <c r="J23" i="29"/>
  <c r="K23" i="29"/>
  <c r="L23" i="29"/>
  <c r="M23" i="29"/>
  <c r="A24" i="29"/>
  <c r="B24" i="29"/>
  <c r="C24" i="29"/>
  <c r="D24" i="29"/>
  <c r="E24" i="29"/>
  <c r="F24" i="29"/>
  <c r="G24" i="29"/>
  <c r="I24" i="29"/>
  <c r="J24" i="29"/>
  <c r="K24" i="29"/>
  <c r="L24" i="29"/>
  <c r="M24" i="29"/>
  <c r="A25" i="29"/>
  <c r="B25" i="29"/>
  <c r="C25" i="29"/>
  <c r="D25" i="29"/>
  <c r="E25" i="29"/>
  <c r="F25" i="29"/>
  <c r="G25" i="29"/>
  <c r="I25" i="29"/>
  <c r="J25" i="29"/>
  <c r="K25" i="29"/>
  <c r="L25" i="29"/>
  <c r="M25" i="29"/>
  <c r="A26" i="29"/>
  <c r="B26" i="29"/>
  <c r="C26" i="29"/>
  <c r="D26" i="29"/>
  <c r="E26" i="29"/>
  <c r="F26" i="29"/>
  <c r="G26" i="29"/>
  <c r="I26" i="29"/>
  <c r="J26" i="29"/>
  <c r="K26" i="29"/>
  <c r="L26" i="29"/>
  <c r="M26" i="29"/>
  <c r="A27" i="29"/>
  <c r="B27" i="29"/>
  <c r="C27" i="29"/>
  <c r="D27" i="29"/>
  <c r="E27" i="29"/>
  <c r="F27" i="29"/>
  <c r="G27" i="29"/>
  <c r="I27" i="29"/>
  <c r="J27" i="29"/>
  <c r="K27" i="29"/>
  <c r="L27" i="29"/>
  <c r="M27" i="29"/>
  <c r="A28" i="29"/>
  <c r="B28" i="29"/>
  <c r="C28" i="29"/>
  <c r="D28" i="29"/>
  <c r="E28" i="29"/>
  <c r="F28" i="29"/>
  <c r="G28" i="29"/>
  <c r="I28" i="29"/>
  <c r="J28" i="29"/>
  <c r="K28" i="29"/>
  <c r="L28" i="29"/>
  <c r="M28" i="29"/>
  <c r="A12" i="29"/>
  <c r="B12" i="29"/>
  <c r="C12" i="29"/>
  <c r="D12" i="29"/>
  <c r="E12" i="29"/>
  <c r="F12" i="29"/>
  <c r="G12" i="29"/>
  <c r="I12" i="29"/>
  <c r="J12" i="29"/>
  <c r="K12" i="29"/>
  <c r="L12" i="29"/>
  <c r="M12" i="29"/>
  <c r="A13" i="29"/>
  <c r="B13" i="29"/>
  <c r="C13" i="29"/>
  <c r="D13" i="29"/>
  <c r="E13" i="29"/>
  <c r="F13" i="29"/>
  <c r="G13" i="29"/>
  <c r="I13" i="29"/>
  <c r="J13" i="29"/>
  <c r="K13" i="29"/>
  <c r="L13" i="29"/>
  <c r="M13" i="29"/>
  <c r="A14" i="29"/>
  <c r="B14" i="29"/>
  <c r="C14" i="29"/>
  <c r="D14" i="29"/>
  <c r="E14" i="29"/>
  <c r="F14" i="29"/>
  <c r="G14" i="29"/>
  <c r="I14" i="29"/>
  <c r="J14" i="29"/>
  <c r="K14" i="29"/>
  <c r="L14" i="29"/>
  <c r="M14" i="29"/>
  <c r="A15" i="29"/>
  <c r="B15" i="29"/>
  <c r="C15" i="29"/>
  <c r="D15" i="29"/>
  <c r="E15" i="29"/>
  <c r="F15" i="29"/>
  <c r="G15" i="29"/>
  <c r="I15" i="29"/>
  <c r="J15" i="29"/>
  <c r="K15" i="29"/>
  <c r="L15" i="29"/>
  <c r="M15" i="29"/>
  <c r="AS16" i="28"/>
  <c r="AT16" i="28"/>
  <c r="AU16" i="28"/>
  <c r="AV16" i="28"/>
  <c r="AW16" i="28"/>
  <c r="AR75" i="28"/>
  <c r="AF75" i="28"/>
  <c r="AL75" i="28"/>
  <c r="AW73" i="28"/>
  <c r="AV73" i="28"/>
  <c r="AU73" i="28"/>
  <c r="AT73" i="28"/>
  <c r="AS73" i="28"/>
  <c r="AQ73" i="28"/>
  <c r="AP73" i="28"/>
  <c r="AO73" i="28"/>
  <c r="AN73" i="28"/>
  <c r="AM73" i="28"/>
  <c r="AK73" i="28"/>
  <c r="AJ73" i="28"/>
  <c r="AI73" i="28"/>
  <c r="AH73" i="28"/>
  <c r="AG73" i="28"/>
  <c r="Y73" i="28"/>
  <c r="X73" i="28"/>
  <c r="W73" i="28"/>
  <c r="V73" i="28"/>
  <c r="U73" i="28"/>
  <c r="Z75" i="28"/>
  <c r="AB73" i="28"/>
  <c r="AC73" i="28"/>
  <c r="AD73" i="28"/>
  <c r="AE73" i="28"/>
  <c r="AA73" i="28"/>
  <c r="T75" i="28"/>
  <c r="O75" i="28"/>
  <c r="P75" i="28"/>
  <c r="Q75" i="28"/>
  <c r="R75" i="28"/>
  <c r="S75" i="28"/>
  <c r="BH75" i="28"/>
  <c r="BI75" i="28"/>
  <c r="B75" i="28"/>
  <c r="A75" i="28"/>
  <c r="A74" i="28"/>
  <c r="BI74" i="28"/>
  <c r="BH74" i="28"/>
  <c r="AY74" i="28"/>
  <c r="AR74" i="28"/>
  <c r="AL74" i="28"/>
  <c r="AL73" i="28" s="1"/>
  <c r="AF74" i="28"/>
  <c r="Z74" i="28"/>
  <c r="T74" i="28"/>
  <c r="S74" i="28"/>
  <c r="R74" i="28"/>
  <c r="Q74" i="28"/>
  <c r="P74" i="28"/>
  <c r="O74" i="28"/>
  <c r="B74" i="28"/>
  <c r="A12" i="28"/>
  <c r="B12" i="28"/>
  <c r="A13" i="28"/>
  <c r="B13" i="28"/>
  <c r="A14" i="28"/>
  <c r="B14" i="28"/>
  <c r="A15" i="28"/>
  <c r="B15" i="28"/>
  <c r="AR73" i="28" l="1"/>
  <c r="T73" i="28"/>
  <c r="AF73" i="28"/>
  <c r="Z73" i="28"/>
  <c r="N74" i="28"/>
  <c r="M74" i="28" s="1"/>
  <c r="R73" i="28"/>
  <c r="P73" i="28"/>
  <c r="Q73" i="28"/>
  <c r="S73" i="28"/>
  <c r="O73" i="28"/>
  <c r="N75" i="28"/>
  <c r="M75" i="28" s="1"/>
  <c r="N73" i="28" l="1"/>
  <c r="M73" i="28" s="1"/>
  <c r="R65" i="1"/>
  <c r="R53" i="1"/>
  <c r="BT101" i="1"/>
  <c r="BB29" i="27"/>
  <c r="BC29" i="27"/>
  <c r="BE29" i="27"/>
  <c r="BF29" i="27"/>
  <c r="BH29" i="27"/>
  <c r="BI29" i="27"/>
  <c r="BJ29" i="27"/>
  <c r="BK29" i="27"/>
  <c r="BL29" i="27"/>
  <c r="BM29" i="27"/>
  <c r="Q94" i="1"/>
  <c r="P94" i="1"/>
  <c r="O94" i="1"/>
  <c r="N94" i="1"/>
  <c r="M94" i="1"/>
  <c r="AO92" i="1"/>
  <c r="AN92" i="1"/>
  <c r="AM92" i="1"/>
  <c r="AL92" i="1"/>
  <c r="AK92" i="1"/>
  <c r="AE92" i="1"/>
  <c r="AF92" i="1"/>
  <c r="AG92" i="1"/>
  <c r="AH92" i="1"/>
  <c r="AI92" i="1"/>
  <c r="AJ93" i="1"/>
  <c r="AJ92" i="1" s="1"/>
  <c r="AD93" i="1"/>
  <c r="AD92" i="1" s="1"/>
  <c r="Q93" i="1"/>
  <c r="P93" i="1"/>
  <c r="O93" i="1"/>
  <c r="N93" i="1"/>
  <c r="M93" i="1"/>
  <c r="M92" i="1" l="1"/>
  <c r="O92" i="1"/>
  <c r="BG29" i="27"/>
  <c r="BD29" i="27"/>
  <c r="BN29" i="27" s="1"/>
  <c r="L94" i="1"/>
  <c r="L75" i="28" s="1"/>
  <c r="J75" i="28" s="1"/>
  <c r="N92" i="1"/>
  <c r="P92" i="1"/>
  <c r="Q92" i="1"/>
  <c r="L93" i="1"/>
  <c r="K94" i="1" l="1"/>
  <c r="K75" i="28" s="1"/>
  <c r="I75" i="28" s="1"/>
  <c r="K93" i="1"/>
  <c r="K74" i="28" s="1"/>
  <c r="I74" i="28" s="1"/>
  <c r="L74" i="28"/>
  <c r="J74" i="28" s="1"/>
  <c r="L92" i="1"/>
  <c r="A71" i="28"/>
  <c r="Z81" i="28"/>
  <c r="AA81" i="28"/>
  <c r="AB81" i="28"/>
  <c r="AC81" i="28"/>
  <c r="AD81" i="28"/>
  <c r="AE81" i="28"/>
  <c r="BJ26" i="13"/>
  <c r="B44" i="27"/>
  <c r="K92" i="1" l="1"/>
  <c r="B68" i="28"/>
  <c r="BH24" i="27" l="1"/>
  <c r="AY103" i="28"/>
  <c r="AY102" i="28"/>
  <c r="AY101" i="28"/>
  <c r="AY100" i="28"/>
  <c r="AY99" i="28"/>
  <c r="T103" i="28"/>
  <c r="Z99" i="28"/>
  <c r="Z100" i="28"/>
  <c r="T102" i="28"/>
  <c r="T101" i="28"/>
  <c r="T100" i="28"/>
  <c r="T99" i="28"/>
  <c r="BI82" i="28" l="1"/>
  <c r="BH82" i="28"/>
  <c r="BF81" i="28"/>
  <c r="BE81" i="28"/>
  <c r="BD81" i="28"/>
  <c r="BC81" i="28"/>
  <c r="BB81" i="28"/>
  <c r="BA81" i="28"/>
  <c r="AZ81" i="28"/>
  <c r="AW81" i="28"/>
  <c r="AV81" i="28"/>
  <c r="AU81" i="28"/>
  <c r="AT81" i="28"/>
  <c r="AS81" i="28"/>
  <c r="AQ81" i="28"/>
  <c r="AP81" i="28"/>
  <c r="AO81" i="28"/>
  <c r="AN81" i="28"/>
  <c r="AM81" i="28"/>
  <c r="AL81" i="28"/>
  <c r="AK81" i="28"/>
  <c r="AJ81" i="28"/>
  <c r="AI81" i="28"/>
  <c r="AH81" i="28"/>
  <c r="AG81" i="28"/>
  <c r="AF81" i="28"/>
  <c r="U81" i="28"/>
  <c r="W81" i="28"/>
  <c r="X81" i="28"/>
  <c r="Y81" i="28"/>
  <c r="T81" i="28"/>
  <c r="AY82" i="28"/>
  <c r="AR82" i="28"/>
  <c r="S82" i="28"/>
  <c r="R82" i="28"/>
  <c r="Q82" i="28"/>
  <c r="P82" i="28"/>
  <c r="O82" i="28"/>
  <c r="AR60" i="28"/>
  <c r="O60" i="28"/>
  <c r="P60" i="28"/>
  <c r="Q60" i="28"/>
  <c r="R60" i="28"/>
  <c r="S60" i="28"/>
  <c r="S85" i="28"/>
  <c r="R85" i="28"/>
  <c r="R84" i="28" s="1"/>
  <c r="R92" i="28" s="1"/>
  <c r="Q85" i="28"/>
  <c r="Q84" i="28" s="1"/>
  <c r="Q92" i="28" s="1"/>
  <c r="P85" i="28"/>
  <c r="P84" i="28" s="1"/>
  <c r="P92" i="28" s="1"/>
  <c r="O85" i="28"/>
  <c r="S83" i="28"/>
  <c r="R83" i="28"/>
  <c r="Q83" i="28"/>
  <c r="P83" i="28"/>
  <c r="O83" i="28"/>
  <c r="S80" i="28"/>
  <c r="R80" i="28"/>
  <c r="Q80" i="28"/>
  <c r="P80" i="28"/>
  <c r="O80" i="28"/>
  <c r="S79" i="28"/>
  <c r="R79" i="28"/>
  <c r="Q79" i="28"/>
  <c r="P79" i="28"/>
  <c r="O79" i="28"/>
  <c r="S78" i="28"/>
  <c r="R78" i="28"/>
  <c r="Q78" i="28"/>
  <c r="P78" i="28"/>
  <c r="O78" i="28"/>
  <c r="S77" i="28"/>
  <c r="R77" i="28"/>
  <c r="Q77" i="28"/>
  <c r="P77" i="28"/>
  <c r="O77" i="28"/>
  <c r="S71" i="28"/>
  <c r="S70" i="28" s="1"/>
  <c r="R71" i="28"/>
  <c r="R70" i="28" s="1"/>
  <c r="Q71" i="28"/>
  <c r="P71" i="28"/>
  <c r="P70" i="28" s="1"/>
  <c r="O71" i="28"/>
  <c r="O70" i="28" s="1"/>
  <c r="S68" i="28"/>
  <c r="S67" i="28" s="1"/>
  <c r="R68" i="28"/>
  <c r="R67" i="28" s="1"/>
  <c r="Q68" i="28"/>
  <c r="P68" i="28"/>
  <c r="P67" i="28" s="1"/>
  <c r="O68" i="28"/>
  <c r="S65" i="28"/>
  <c r="R65" i="28"/>
  <c r="Q65" i="28"/>
  <c r="P65" i="28"/>
  <c r="O65" i="28"/>
  <c r="S64" i="28"/>
  <c r="R64" i="28"/>
  <c r="Q64" i="28"/>
  <c r="P64" i="28"/>
  <c r="O64" i="28"/>
  <c r="S59" i="28"/>
  <c r="R59" i="28"/>
  <c r="Q59" i="28"/>
  <c r="P59" i="28"/>
  <c r="O59" i="28"/>
  <c r="S58" i="28"/>
  <c r="R58" i="28"/>
  <c r="Q58" i="28"/>
  <c r="P58" i="28"/>
  <c r="O58" i="28"/>
  <c r="S54" i="28"/>
  <c r="R54" i="28"/>
  <c r="Q54" i="28"/>
  <c r="P54" i="28"/>
  <c r="O54" i="28"/>
  <c r="S53" i="28"/>
  <c r="R53" i="28"/>
  <c r="Q53" i="28"/>
  <c r="P53" i="28"/>
  <c r="O53" i="28"/>
  <c r="S52" i="28"/>
  <c r="R52" i="28"/>
  <c r="Q52" i="28"/>
  <c r="P52" i="28"/>
  <c r="O52" i="28"/>
  <c r="S50" i="28"/>
  <c r="R50" i="28"/>
  <c r="Q50" i="28"/>
  <c r="P50" i="28"/>
  <c r="O50" i="28"/>
  <c r="S49" i="28"/>
  <c r="R49" i="28"/>
  <c r="Q49" i="28"/>
  <c r="P49" i="28"/>
  <c r="O49" i="28"/>
  <c r="S48" i="28"/>
  <c r="R48" i="28"/>
  <c r="Q48" i="28"/>
  <c r="P48" i="28"/>
  <c r="O48" i="28"/>
  <c r="S47" i="28"/>
  <c r="R47" i="28"/>
  <c r="Q47" i="28"/>
  <c r="P47" i="28"/>
  <c r="O47" i="28"/>
  <c r="S46" i="28"/>
  <c r="R46" i="28"/>
  <c r="Q46" i="28"/>
  <c r="P46" i="28"/>
  <c r="O46" i="28"/>
  <c r="S45" i="28"/>
  <c r="R45" i="28"/>
  <c r="Q45" i="28"/>
  <c r="P45" i="28"/>
  <c r="O45" i="28"/>
  <c r="S41" i="28"/>
  <c r="R41" i="28"/>
  <c r="Q41" i="28"/>
  <c r="P41" i="28"/>
  <c r="O41" i="28"/>
  <c r="S40" i="28"/>
  <c r="R40" i="28"/>
  <c r="Q40" i="28"/>
  <c r="P40" i="28"/>
  <c r="O40" i="28"/>
  <c r="S39" i="28"/>
  <c r="R39" i="28"/>
  <c r="Q39" i="28"/>
  <c r="P39" i="28"/>
  <c r="O39" i="28"/>
  <c r="S38" i="28"/>
  <c r="R38" i="28"/>
  <c r="Q38" i="28"/>
  <c r="P38" i="28"/>
  <c r="O38" i="28"/>
  <c r="S36" i="28"/>
  <c r="R36" i="28"/>
  <c r="Q36" i="28"/>
  <c r="P36" i="28"/>
  <c r="O36" i="28"/>
  <c r="S35" i="28"/>
  <c r="R35" i="28"/>
  <c r="Q35" i="28"/>
  <c r="P35" i="28"/>
  <c r="O35" i="28"/>
  <c r="R34" i="28"/>
  <c r="Q34" i="28"/>
  <c r="P34" i="28"/>
  <c r="O34" i="28"/>
  <c r="S33" i="28"/>
  <c r="R33" i="28"/>
  <c r="Q33" i="28"/>
  <c r="P33" i="28"/>
  <c r="O33" i="28"/>
  <c r="S32" i="28"/>
  <c r="R32" i="28"/>
  <c r="Q32" i="28"/>
  <c r="P32" i="28"/>
  <c r="O32" i="28"/>
  <c r="S28" i="28"/>
  <c r="R28" i="28"/>
  <c r="Q28" i="28"/>
  <c r="P28" i="28"/>
  <c r="O28" i="28"/>
  <c r="S27" i="28"/>
  <c r="R27" i="28"/>
  <c r="Q27" i="28"/>
  <c r="P27" i="28"/>
  <c r="O27" i="28"/>
  <c r="R26" i="28"/>
  <c r="Q26" i="28"/>
  <c r="P26" i="28"/>
  <c r="O26" i="28"/>
  <c r="R25" i="28"/>
  <c r="Q25" i="28"/>
  <c r="P25" i="28"/>
  <c r="O25" i="28"/>
  <c r="R24" i="28"/>
  <c r="Q24" i="28"/>
  <c r="P24" i="28"/>
  <c r="O24" i="28"/>
  <c r="S23" i="28"/>
  <c r="R23" i="28"/>
  <c r="Q23" i="28"/>
  <c r="P23" i="28"/>
  <c r="O23" i="28"/>
  <c r="S22" i="28"/>
  <c r="R22" i="28"/>
  <c r="Q22" i="28"/>
  <c r="P22" i="28"/>
  <c r="O22" i="28"/>
  <c r="R19" i="28"/>
  <c r="Q19" i="28"/>
  <c r="P19" i="28"/>
  <c r="O19" i="28"/>
  <c r="R18" i="28"/>
  <c r="Q18" i="28"/>
  <c r="P18" i="28"/>
  <c r="O18" i="28"/>
  <c r="R17" i="28"/>
  <c r="Q17" i="28"/>
  <c r="P17" i="28"/>
  <c r="O17" i="28"/>
  <c r="O12" i="28"/>
  <c r="P12" i="28"/>
  <c r="Q12" i="28"/>
  <c r="R12" i="28"/>
  <c r="O13" i="28"/>
  <c r="P13" i="28"/>
  <c r="Q13" i="28"/>
  <c r="R13" i="28"/>
  <c r="S13" i="28"/>
  <c r="O14" i="28"/>
  <c r="P14" i="28"/>
  <c r="Q14" i="28"/>
  <c r="R14" i="28"/>
  <c r="S14" i="28"/>
  <c r="O15" i="28"/>
  <c r="P15" i="28"/>
  <c r="Q15" i="28"/>
  <c r="R15" i="28"/>
  <c r="S15" i="28"/>
  <c r="O11" i="28"/>
  <c r="P11" i="28"/>
  <c r="Q11" i="28"/>
  <c r="R11" i="28"/>
  <c r="BL25" i="27"/>
  <c r="BL26" i="27"/>
  <c r="BL27" i="27"/>
  <c r="BL28" i="27"/>
  <c r="BK25" i="27"/>
  <c r="BK26" i="27"/>
  <c r="BK27" i="27"/>
  <c r="BK28" i="27"/>
  <c r="BK30" i="27"/>
  <c r="BM27" i="27"/>
  <c r="BM28" i="27"/>
  <c r="Z103" i="28"/>
  <c r="Z102" i="28"/>
  <c r="Z101" i="28"/>
  <c r="AE93" i="28"/>
  <c r="AD93" i="28"/>
  <c r="AC93" i="28"/>
  <c r="AB93" i="28"/>
  <c r="AA93" i="28"/>
  <c r="Z93" i="28"/>
  <c r="AE92" i="28"/>
  <c r="AD92" i="28"/>
  <c r="AC92" i="28"/>
  <c r="AB92" i="28"/>
  <c r="AA92" i="28"/>
  <c r="Z80" i="28"/>
  <c r="Z79" i="28"/>
  <c r="Z78" i="28"/>
  <c r="Z77" i="28"/>
  <c r="AE76" i="28"/>
  <c r="AD76" i="28"/>
  <c r="AC76" i="28"/>
  <c r="AC91" i="28" s="1"/>
  <c r="AB76" i="28"/>
  <c r="AA76" i="28"/>
  <c r="AA91" i="28" s="1"/>
  <c r="Z71" i="28"/>
  <c r="AE70" i="28"/>
  <c r="AD70" i="28"/>
  <c r="AC70" i="28"/>
  <c r="AB70" i="28"/>
  <c r="AA70" i="28"/>
  <c r="Z68" i="28"/>
  <c r="Z67" i="28" s="1"/>
  <c r="AE67" i="28"/>
  <c r="AD67" i="28"/>
  <c r="AC67" i="28"/>
  <c r="AB67" i="28"/>
  <c r="AA67" i="28"/>
  <c r="Z65" i="28"/>
  <c r="Z64" i="28"/>
  <c r="Z63" i="28"/>
  <c r="AE62" i="28"/>
  <c r="AD62" i="28"/>
  <c r="AC62" i="28"/>
  <c r="AB62" i="28"/>
  <c r="AA62" i="28"/>
  <c r="Z59" i="28"/>
  <c r="Z58" i="28"/>
  <c r="Z57" i="28"/>
  <c r="Z54" i="28"/>
  <c r="Z53" i="28"/>
  <c r="Z52" i="28"/>
  <c r="AE51" i="28"/>
  <c r="AD51" i="28"/>
  <c r="AC51" i="28"/>
  <c r="AB51" i="28"/>
  <c r="AA51" i="28"/>
  <c r="Z50" i="28"/>
  <c r="Z49" i="28"/>
  <c r="Z48" i="28"/>
  <c r="Z47" i="28"/>
  <c r="Z46" i="28"/>
  <c r="Z45" i="28"/>
  <c r="AE44" i="28"/>
  <c r="AD44" i="28"/>
  <c r="AC44" i="28"/>
  <c r="AB44" i="28"/>
  <c r="AA44" i="28"/>
  <c r="Z41" i="28"/>
  <c r="Z40" i="28"/>
  <c r="Z39" i="28"/>
  <c r="Z38" i="28"/>
  <c r="AE37" i="28"/>
  <c r="AD37" i="28"/>
  <c r="AC37" i="28"/>
  <c r="AB37" i="28"/>
  <c r="AA37" i="28"/>
  <c r="Z36" i="28"/>
  <c r="Z35" i="28"/>
  <c r="Z34" i="28"/>
  <c r="Z33" i="28"/>
  <c r="Z32" i="28"/>
  <c r="Z28" i="28"/>
  <c r="Z27" i="28"/>
  <c r="Z26" i="28"/>
  <c r="Z25" i="28"/>
  <c r="Z23" i="28"/>
  <c r="Z22" i="28"/>
  <c r="AD21" i="28"/>
  <c r="AC21" i="28"/>
  <c r="AB21" i="28"/>
  <c r="AA21" i="28"/>
  <c r="Z19" i="28"/>
  <c r="Z18" i="28"/>
  <c r="Z17" i="28"/>
  <c r="AE16" i="28"/>
  <c r="AD16" i="28"/>
  <c r="AC16" i="28"/>
  <c r="AB16" i="28"/>
  <c r="AA16" i="28"/>
  <c r="Z15" i="28"/>
  <c r="Z14" i="28"/>
  <c r="Z13" i="28"/>
  <c r="Z11" i="28"/>
  <c r="AD10" i="28"/>
  <c r="AC10" i="28"/>
  <c r="AB10" i="28"/>
  <c r="AA10" i="28"/>
  <c r="AY14" i="28"/>
  <c r="BH10" i="28"/>
  <c r="BI10" i="28"/>
  <c r="BH11" i="28"/>
  <c r="BI11" i="28"/>
  <c r="BH12" i="28"/>
  <c r="BI12" i="28"/>
  <c r="BH13" i="28"/>
  <c r="BI13" i="28"/>
  <c r="BH14" i="28"/>
  <c r="BI14" i="28"/>
  <c r="BH15" i="28"/>
  <c r="BI15" i="28"/>
  <c r="BH16" i="28"/>
  <c r="BI16" i="28"/>
  <c r="BH17" i="28"/>
  <c r="BI17" i="28"/>
  <c r="BH18" i="28"/>
  <c r="BI18" i="28"/>
  <c r="BH19" i="28"/>
  <c r="BI19" i="28"/>
  <c r="BH20" i="28"/>
  <c r="BI20" i="28"/>
  <c r="BH21" i="28"/>
  <c r="BI21" i="28"/>
  <c r="BH22" i="28"/>
  <c r="BI22" i="28"/>
  <c r="BH23" i="28"/>
  <c r="BI23" i="28"/>
  <c r="BH24" i="28"/>
  <c r="BI24" i="28"/>
  <c r="BH25" i="28"/>
  <c r="BI25" i="28"/>
  <c r="BH26" i="28"/>
  <c r="BI26" i="28"/>
  <c r="BH27" i="28"/>
  <c r="BI27" i="28"/>
  <c r="BH28" i="28"/>
  <c r="BI28" i="28"/>
  <c r="BH29" i="28"/>
  <c r="BI29" i="28"/>
  <c r="BH30" i="28"/>
  <c r="BI30" i="28"/>
  <c r="BH31" i="28"/>
  <c r="BI31" i="28"/>
  <c r="BH32" i="28"/>
  <c r="BI32" i="28"/>
  <c r="BH33" i="28"/>
  <c r="BI33" i="28"/>
  <c r="BH34" i="28"/>
  <c r="BI34" i="28"/>
  <c r="BH35" i="28"/>
  <c r="BI35" i="28"/>
  <c r="BH36" i="28"/>
  <c r="BI36" i="28"/>
  <c r="BH37" i="28"/>
  <c r="BI37" i="28"/>
  <c r="BH38" i="28"/>
  <c r="BI38" i="28"/>
  <c r="BH39" i="28"/>
  <c r="BI39" i="28"/>
  <c r="BH40" i="28"/>
  <c r="BI40" i="28"/>
  <c r="BH41" i="28"/>
  <c r="BI41" i="28"/>
  <c r="BH43" i="28"/>
  <c r="BI43" i="28"/>
  <c r="BH44" i="28"/>
  <c r="BI44" i="28"/>
  <c r="BH45" i="28"/>
  <c r="BI45" i="28"/>
  <c r="BH46" i="28"/>
  <c r="BI46" i="28"/>
  <c r="BH47" i="28"/>
  <c r="BI47" i="28"/>
  <c r="BH48" i="28"/>
  <c r="BI48" i="28"/>
  <c r="BH49" i="28"/>
  <c r="BI49" i="28"/>
  <c r="BH50" i="28"/>
  <c r="BI50" i="28"/>
  <c r="BI51" i="28"/>
  <c r="BH52" i="28"/>
  <c r="BI52" i="28"/>
  <c r="BH53" i="28"/>
  <c r="BI53" i="28"/>
  <c r="BH54" i="28"/>
  <c r="BI54" i="28"/>
  <c r="BH55" i="28"/>
  <c r="BI55" i="28"/>
  <c r="BH56" i="28"/>
  <c r="BI56" i="28"/>
  <c r="BH57" i="28"/>
  <c r="BI57" i="28"/>
  <c r="BH58" i="28"/>
  <c r="BI58" i="28"/>
  <c r="BH59" i="28"/>
  <c r="BI59" i="28"/>
  <c r="BH60" i="28"/>
  <c r="BI60" i="28"/>
  <c r="BH61" i="28"/>
  <c r="BI61" i="28"/>
  <c r="BH62" i="28"/>
  <c r="BI62" i="28"/>
  <c r="BH63" i="28"/>
  <c r="BI63" i="28"/>
  <c r="BH64" i="28"/>
  <c r="BI64" i="28"/>
  <c r="BH65" i="28"/>
  <c r="BI65" i="28"/>
  <c r="BH66" i="28"/>
  <c r="BI66" i="28"/>
  <c r="BH67" i="28"/>
  <c r="BI67" i="28"/>
  <c r="BH68" i="28"/>
  <c r="BI68" i="28"/>
  <c r="BH69" i="28"/>
  <c r="BI69" i="28"/>
  <c r="BH70" i="28"/>
  <c r="BI70" i="28"/>
  <c r="BH71" i="28"/>
  <c r="BI71" i="28"/>
  <c r="BH72" i="28"/>
  <c r="BI72" i="28"/>
  <c r="BH73" i="28"/>
  <c r="BI73" i="28"/>
  <c r="BH76" i="28"/>
  <c r="BI76" i="28"/>
  <c r="BH77" i="28"/>
  <c r="BI77" i="28"/>
  <c r="BH78" i="28"/>
  <c r="BI78" i="28"/>
  <c r="BH79" i="28"/>
  <c r="BI79" i="28"/>
  <c r="BH80" i="28"/>
  <c r="BI80" i="28"/>
  <c r="BI81" i="28"/>
  <c r="BH83" i="28"/>
  <c r="BI83" i="28"/>
  <c r="BH84" i="28"/>
  <c r="BI84" i="28"/>
  <c r="BH85" i="28"/>
  <c r="BI85" i="28"/>
  <c r="BI9" i="28"/>
  <c r="BH9" i="28"/>
  <c r="I10" i="29"/>
  <c r="J10" i="29"/>
  <c r="K10" i="29"/>
  <c r="L10" i="29"/>
  <c r="M10" i="29"/>
  <c r="I11" i="29"/>
  <c r="J11" i="29"/>
  <c r="K11" i="29"/>
  <c r="L11" i="29"/>
  <c r="M11" i="29"/>
  <c r="I16" i="29"/>
  <c r="J16" i="29"/>
  <c r="K16" i="29"/>
  <c r="L16" i="29"/>
  <c r="M16" i="29"/>
  <c r="I17" i="29"/>
  <c r="J17" i="29"/>
  <c r="K17" i="29"/>
  <c r="L17" i="29"/>
  <c r="M17" i="29"/>
  <c r="I29" i="29"/>
  <c r="J29" i="29"/>
  <c r="K29" i="29"/>
  <c r="L29" i="29"/>
  <c r="M29" i="29"/>
  <c r="I30" i="29"/>
  <c r="J30" i="29"/>
  <c r="K30" i="29"/>
  <c r="L30" i="29"/>
  <c r="M30" i="29"/>
  <c r="I31" i="29"/>
  <c r="J31" i="29"/>
  <c r="K31" i="29"/>
  <c r="L31" i="29"/>
  <c r="M31" i="29"/>
  <c r="I32" i="29"/>
  <c r="J32" i="29"/>
  <c r="K32" i="29"/>
  <c r="L32" i="29"/>
  <c r="M32" i="29"/>
  <c r="I37" i="29"/>
  <c r="J37" i="29"/>
  <c r="K37" i="29"/>
  <c r="L37" i="29"/>
  <c r="M37" i="29"/>
  <c r="I38" i="29"/>
  <c r="J38" i="29"/>
  <c r="K38" i="29"/>
  <c r="L38" i="29"/>
  <c r="M38" i="29"/>
  <c r="I43" i="29"/>
  <c r="J43" i="29"/>
  <c r="K43" i="29"/>
  <c r="L43" i="29"/>
  <c r="M43" i="29"/>
  <c r="I44" i="29"/>
  <c r="J44" i="29"/>
  <c r="K44" i="29"/>
  <c r="L44" i="29"/>
  <c r="M44" i="29"/>
  <c r="I50" i="29"/>
  <c r="J50" i="29"/>
  <c r="K50" i="29"/>
  <c r="L50" i="29"/>
  <c r="M50" i="29"/>
  <c r="I51" i="29"/>
  <c r="J51" i="29"/>
  <c r="K51" i="29"/>
  <c r="L51" i="29"/>
  <c r="M51" i="29"/>
  <c r="I54" i="29"/>
  <c r="J54" i="29"/>
  <c r="K54" i="29"/>
  <c r="L54" i="29"/>
  <c r="M54" i="29"/>
  <c r="I55" i="29"/>
  <c r="J55" i="29"/>
  <c r="K55" i="29"/>
  <c r="L55" i="29"/>
  <c r="M55" i="29"/>
  <c r="I56" i="29"/>
  <c r="J56" i="29"/>
  <c r="K56" i="29"/>
  <c r="L56" i="29"/>
  <c r="M56" i="29"/>
  <c r="I57" i="29"/>
  <c r="J57" i="29"/>
  <c r="K57" i="29"/>
  <c r="L57" i="29"/>
  <c r="M57" i="29"/>
  <c r="I61" i="29"/>
  <c r="J61" i="29"/>
  <c r="K61" i="29"/>
  <c r="L61" i="29"/>
  <c r="M61" i="29"/>
  <c r="I62" i="29"/>
  <c r="J62" i="29"/>
  <c r="K62" i="29"/>
  <c r="L62" i="29"/>
  <c r="M62" i="29"/>
  <c r="I63" i="29"/>
  <c r="J63" i="29"/>
  <c r="K63" i="29"/>
  <c r="L63" i="29"/>
  <c r="M63" i="29"/>
  <c r="I64" i="29"/>
  <c r="J64" i="29"/>
  <c r="K64" i="29"/>
  <c r="L64" i="29"/>
  <c r="M64" i="29"/>
  <c r="I65" i="29"/>
  <c r="J65" i="29"/>
  <c r="K65" i="29"/>
  <c r="L65" i="29"/>
  <c r="M65" i="29"/>
  <c r="I66" i="29"/>
  <c r="J66" i="29"/>
  <c r="K66" i="29"/>
  <c r="L66" i="29"/>
  <c r="M66" i="29"/>
  <c r="I67" i="29"/>
  <c r="J67" i="29"/>
  <c r="K67" i="29"/>
  <c r="L67" i="29"/>
  <c r="M67" i="29"/>
  <c r="I68" i="29"/>
  <c r="J68" i="29"/>
  <c r="K68" i="29"/>
  <c r="L68" i="29"/>
  <c r="M68" i="29"/>
  <c r="I69" i="29"/>
  <c r="J69" i="29"/>
  <c r="K69" i="29"/>
  <c r="L69" i="29"/>
  <c r="M69" i="29"/>
  <c r="I70" i="29"/>
  <c r="J70" i="29"/>
  <c r="K70" i="29"/>
  <c r="L70" i="29"/>
  <c r="M70" i="29"/>
  <c r="I71" i="29"/>
  <c r="J71" i="29"/>
  <c r="K71" i="29"/>
  <c r="L71" i="29"/>
  <c r="M71" i="29"/>
  <c r="I72" i="29"/>
  <c r="J72" i="29"/>
  <c r="K72" i="29"/>
  <c r="L72" i="29"/>
  <c r="M72" i="29"/>
  <c r="I73" i="29"/>
  <c r="J73" i="29"/>
  <c r="K73" i="29"/>
  <c r="L73" i="29"/>
  <c r="M73" i="29"/>
  <c r="I76" i="29"/>
  <c r="J76" i="29"/>
  <c r="K76" i="29"/>
  <c r="L76" i="29"/>
  <c r="M76" i="29"/>
  <c r="I77" i="29"/>
  <c r="J77" i="29"/>
  <c r="K77" i="29"/>
  <c r="L77" i="29"/>
  <c r="M77" i="29"/>
  <c r="I78" i="29"/>
  <c r="J78" i="29"/>
  <c r="K78" i="29"/>
  <c r="L78" i="29"/>
  <c r="M78" i="29"/>
  <c r="I79" i="29"/>
  <c r="J79" i="29"/>
  <c r="K79" i="29"/>
  <c r="L79" i="29"/>
  <c r="M79" i="29"/>
  <c r="I80" i="29"/>
  <c r="J80" i="29"/>
  <c r="K80" i="29"/>
  <c r="L80" i="29"/>
  <c r="M80" i="29"/>
  <c r="I81" i="29"/>
  <c r="J81" i="29"/>
  <c r="K81" i="29"/>
  <c r="L81" i="29"/>
  <c r="M81" i="29"/>
  <c r="I82" i="29"/>
  <c r="J82" i="29"/>
  <c r="K82" i="29"/>
  <c r="L82" i="29"/>
  <c r="M82" i="29"/>
  <c r="I83" i="29"/>
  <c r="J83" i="29"/>
  <c r="K83" i="29"/>
  <c r="L83" i="29"/>
  <c r="M83" i="29"/>
  <c r="I84" i="29"/>
  <c r="J84" i="29"/>
  <c r="K84" i="29"/>
  <c r="L84" i="29"/>
  <c r="M84" i="29"/>
  <c r="I85" i="29"/>
  <c r="J85" i="29"/>
  <c r="K85" i="29"/>
  <c r="L85" i="29"/>
  <c r="M85" i="29"/>
  <c r="I86" i="29"/>
  <c r="J86" i="29"/>
  <c r="K86" i="29"/>
  <c r="L86" i="29"/>
  <c r="M86" i="29"/>
  <c r="J9" i="29"/>
  <c r="K9" i="29"/>
  <c r="L9" i="29"/>
  <c r="M9" i="29"/>
  <c r="I9" i="29"/>
  <c r="A84" i="29"/>
  <c r="B84" i="29"/>
  <c r="C84" i="29"/>
  <c r="D84" i="29"/>
  <c r="E84" i="29"/>
  <c r="F84" i="29"/>
  <c r="G84" i="29"/>
  <c r="A85" i="29"/>
  <c r="B85" i="29"/>
  <c r="C85" i="29"/>
  <c r="D85" i="29"/>
  <c r="E85" i="29"/>
  <c r="F85" i="29"/>
  <c r="G85" i="29"/>
  <c r="A86" i="29"/>
  <c r="B86" i="29"/>
  <c r="C86" i="29"/>
  <c r="D86" i="29"/>
  <c r="E86" i="29"/>
  <c r="F86" i="29"/>
  <c r="G86" i="29"/>
  <c r="A79" i="29"/>
  <c r="B79" i="29"/>
  <c r="C79" i="29"/>
  <c r="D79" i="29"/>
  <c r="E79" i="29"/>
  <c r="F79" i="29"/>
  <c r="G79" i="29"/>
  <c r="A80" i="29"/>
  <c r="B80" i="29"/>
  <c r="C80" i="29"/>
  <c r="D80" i="29"/>
  <c r="E80" i="29"/>
  <c r="F80" i="29"/>
  <c r="G80" i="29"/>
  <c r="A81" i="29"/>
  <c r="B81" i="29"/>
  <c r="C81" i="29"/>
  <c r="D81" i="29"/>
  <c r="E81" i="29"/>
  <c r="F81" i="29"/>
  <c r="G81" i="29"/>
  <c r="A82" i="29"/>
  <c r="B82" i="29"/>
  <c r="C82" i="29"/>
  <c r="D82" i="29"/>
  <c r="E82" i="29"/>
  <c r="F82" i="29"/>
  <c r="G82" i="29"/>
  <c r="A83" i="29"/>
  <c r="B83" i="29"/>
  <c r="C83" i="29"/>
  <c r="D83" i="29"/>
  <c r="E83" i="29"/>
  <c r="F83" i="29"/>
  <c r="G83" i="29"/>
  <c r="A68" i="29"/>
  <c r="B68" i="29"/>
  <c r="C68" i="29"/>
  <c r="D68" i="29"/>
  <c r="E68" i="29"/>
  <c r="F68" i="29"/>
  <c r="G68" i="29"/>
  <c r="A69" i="29"/>
  <c r="B69" i="29"/>
  <c r="C69" i="29"/>
  <c r="D69" i="29"/>
  <c r="E69" i="29"/>
  <c r="F69" i="29"/>
  <c r="G69" i="29"/>
  <c r="A70" i="29"/>
  <c r="B70" i="29"/>
  <c r="C70" i="29"/>
  <c r="D70" i="29"/>
  <c r="E70" i="29"/>
  <c r="F70" i="29"/>
  <c r="G70" i="29"/>
  <c r="A71" i="29"/>
  <c r="B71" i="29"/>
  <c r="C71" i="29"/>
  <c r="D71" i="29"/>
  <c r="E71" i="29"/>
  <c r="F71" i="29"/>
  <c r="G71" i="29"/>
  <c r="A72" i="29"/>
  <c r="B72" i="29"/>
  <c r="C72" i="29"/>
  <c r="D72" i="29"/>
  <c r="E72" i="29"/>
  <c r="F72" i="29"/>
  <c r="G72" i="29"/>
  <c r="A73" i="29"/>
  <c r="B73" i="29"/>
  <c r="C73" i="29"/>
  <c r="D73" i="29"/>
  <c r="E73" i="29"/>
  <c r="F73" i="29"/>
  <c r="G73" i="29"/>
  <c r="A76" i="29"/>
  <c r="B76" i="29"/>
  <c r="C76" i="29"/>
  <c r="D76" i="29"/>
  <c r="E76" i="29"/>
  <c r="F76" i="29"/>
  <c r="G76" i="29"/>
  <c r="A77" i="29"/>
  <c r="B77" i="29"/>
  <c r="C77" i="29"/>
  <c r="D77" i="29"/>
  <c r="E77" i="29"/>
  <c r="F77" i="29"/>
  <c r="G77" i="29"/>
  <c r="A78" i="29"/>
  <c r="B78" i="29"/>
  <c r="C78" i="29"/>
  <c r="D78" i="29"/>
  <c r="E78" i="29"/>
  <c r="F78" i="29"/>
  <c r="G78" i="29"/>
  <c r="A57" i="29"/>
  <c r="B57" i="29"/>
  <c r="C57" i="29"/>
  <c r="D57" i="29"/>
  <c r="E57" i="29"/>
  <c r="F57" i="29"/>
  <c r="G57" i="29"/>
  <c r="A61" i="29"/>
  <c r="B61" i="29"/>
  <c r="C61" i="29"/>
  <c r="D61" i="29"/>
  <c r="E61" i="29"/>
  <c r="F61" i="29"/>
  <c r="G61" i="29"/>
  <c r="A62" i="29"/>
  <c r="B62" i="29"/>
  <c r="C62" i="29"/>
  <c r="D62" i="29"/>
  <c r="E62" i="29"/>
  <c r="F62" i="29"/>
  <c r="G62" i="29"/>
  <c r="A63" i="29"/>
  <c r="B63" i="29"/>
  <c r="C63" i="29"/>
  <c r="D63" i="29"/>
  <c r="E63" i="29"/>
  <c r="F63" i="29"/>
  <c r="G63" i="29"/>
  <c r="A64" i="29"/>
  <c r="B64" i="29"/>
  <c r="C64" i="29"/>
  <c r="D64" i="29"/>
  <c r="E64" i="29"/>
  <c r="F64" i="29"/>
  <c r="G64" i="29"/>
  <c r="A65" i="29"/>
  <c r="B65" i="29"/>
  <c r="C65" i="29"/>
  <c r="D65" i="29"/>
  <c r="E65" i="29"/>
  <c r="F65" i="29"/>
  <c r="G65" i="29"/>
  <c r="A66" i="29"/>
  <c r="B66" i="29"/>
  <c r="C66" i="29"/>
  <c r="D66" i="29"/>
  <c r="E66" i="29"/>
  <c r="F66" i="29"/>
  <c r="G66" i="29"/>
  <c r="A67" i="29"/>
  <c r="B67" i="29"/>
  <c r="C67" i="29"/>
  <c r="D67" i="29"/>
  <c r="E67" i="29"/>
  <c r="F67" i="29"/>
  <c r="G67" i="29"/>
  <c r="A54" i="29"/>
  <c r="B54" i="29"/>
  <c r="C54" i="29"/>
  <c r="D54" i="29"/>
  <c r="E54" i="29"/>
  <c r="F54" i="29"/>
  <c r="G54" i="29"/>
  <c r="A55" i="29"/>
  <c r="B55" i="29"/>
  <c r="C55" i="29"/>
  <c r="D55" i="29"/>
  <c r="E55" i="29"/>
  <c r="F55" i="29"/>
  <c r="G55" i="29"/>
  <c r="A56" i="29"/>
  <c r="B56" i="29"/>
  <c r="C56" i="29"/>
  <c r="D56" i="29"/>
  <c r="E56" i="29"/>
  <c r="F56" i="29"/>
  <c r="G56" i="29"/>
  <c r="A10" i="29"/>
  <c r="B10" i="29"/>
  <c r="C10" i="29"/>
  <c r="D10" i="29"/>
  <c r="E10" i="29"/>
  <c r="F10" i="29"/>
  <c r="G10" i="29"/>
  <c r="A11" i="29"/>
  <c r="B11" i="29"/>
  <c r="C11" i="29"/>
  <c r="D11" i="29"/>
  <c r="E11" i="29"/>
  <c r="F11" i="29"/>
  <c r="G11" i="29"/>
  <c r="A16" i="29"/>
  <c r="B16" i="29"/>
  <c r="C16" i="29"/>
  <c r="D16" i="29"/>
  <c r="E16" i="29"/>
  <c r="F16" i="29"/>
  <c r="G16" i="29"/>
  <c r="A17" i="29"/>
  <c r="B17" i="29"/>
  <c r="C17" i="29"/>
  <c r="D17" i="29"/>
  <c r="E17" i="29"/>
  <c r="F17" i="29"/>
  <c r="G17" i="29"/>
  <c r="A29" i="29"/>
  <c r="B29" i="29"/>
  <c r="C29" i="29"/>
  <c r="D29" i="29"/>
  <c r="E29" i="29"/>
  <c r="F29" i="29"/>
  <c r="G29" i="29"/>
  <c r="A30" i="29"/>
  <c r="B30" i="29"/>
  <c r="C30" i="29"/>
  <c r="D30" i="29"/>
  <c r="E30" i="29"/>
  <c r="F30" i="29"/>
  <c r="G30" i="29"/>
  <c r="A31" i="29"/>
  <c r="B31" i="29"/>
  <c r="C31" i="29"/>
  <c r="D31" i="29"/>
  <c r="E31" i="29"/>
  <c r="F31" i="29"/>
  <c r="G31" i="29"/>
  <c r="A32" i="29"/>
  <c r="B32" i="29"/>
  <c r="C32" i="29"/>
  <c r="D32" i="29"/>
  <c r="E32" i="29"/>
  <c r="F32" i="29"/>
  <c r="G32" i="29"/>
  <c r="A37" i="29"/>
  <c r="B37" i="29"/>
  <c r="C37" i="29"/>
  <c r="D37" i="29"/>
  <c r="E37" i="29"/>
  <c r="F37" i="29"/>
  <c r="G37" i="29"/>
  <c r="A38" i="29"/>
  <c r="B38" i="29"/>
  <c r="C38" i="29"/>
  <c r="D38" i="29"/>
  <c r="E38" i="29"/>
  <c r="F38" i="29"/>
  <c r="G38" i="29"/>
  <c r="A43" i="29"/>
  <c r="B43" i="29"/>
  <c r="C43" i="29"/>
  <c r="D43" i="29"/>
  <c r="E43" i="29"/>
  <c r="F43" i="29"/>
  <c r="G43" i="29"/>
  <c r="A44" i="29"/>
  <c r="B44" i="29"/>
  <c r="C44" i="29"/>
  <c r="D44" i="29"/>
  <c r="E44" i="29"/>
  <c r="F44" i="29"/>
  <c r="G44" i="29"/>
  <c r="A50" i="29"/>
  <c r="B50" i="29"/>
  <c r="C50" i="29"/>
  <c r="D50" i="29"/>
  <c r="E50" i="29"/>
  <c r="F50" i="29"/>
  <c r="G50" i="29"/>
  <c r="A51" i="29"/>
  <c r="B51" i="29"/>
  <c r="C51" i="29"/>
  <c r="D51" i="29"/>
  <c r="E51" i="29"/>
  <c r="F51" i="29"/>
  <c r="G51" i="29"/>
  <c r="B9" i="29"/>
  <c r="C9" i="29"/>
  <c r="D9" i="29"/>
  <c r="E9" i="29"/>
  <c r="F9" i="29"/>
  <c r="G9" i="29"/>
  <c r="A9" i="29"/>
  <c r="K55" i="28"/>
  <c r="L55" i="28"/>
  <c r="K61" i="28"/>
  <c r="L61" i="28"/>
  <c r="K66" i="28"/>
  <c r="L66" i="28"/>
  <c r="K69" i="28"/>
  <c r="L69" i="28"/>
  <c r="K72" i="28"/>
  <c r="L72" i="28"/>
  <c r="K73" i="28"/>
  <c r="L73" i="28"/>
  <c r="A73" i="28"/>
  <c r="B73" i="28"/>
  <c r="A76" i="28"/>
  <c r="B76" i="28"/>
  <c r="A77" i="28"/>
  <c r="B77" i="28"/>
  <c r="A78" i="28"/>
  <c r="B78" i="28"/>
  <c r="A79" i="28"/>
  <c r="B79" i="28"/>
  <c r="A80" i="28"/>
  <c r="B80" i="28"/>
  <c r="A81" i="28"/>
  <c r="B81" i="28"/>
  <c r="A83" i="28"/>
  <c r="A84" i="28"/>
  <c r="B84" i="28"/>
  <c r="A85" i="28"/>
  <c r="B85" i="28"/>
  <c r="A67" i="28"/>
  <c r="B67" i="28"/>
  <c r="A68" i="28"/>
  <c r="A70" i="28"/>
  <c r="B70" i="28"/>
  <c r="B71" i="28"/>
  <c r="A72" i="28"/>
  <c r="A62" i="28"/>
  <c r="B62" i="28"/>
  <c r="A63" i="28"/>
  <c r="B63" i="28"/>
  <c r="A64" i="28"/>
  <c r="B64" i="28"/>
  <c r="A65" i="28"/>
  <c r="B65" i="28"/>
  <c r="A58" i="28"/>
  <c r="B58" i="28"/>
  <c r="A59" i="28"/>
  <c r="B59" i="28"/>
  <c r="A60" i="28"/>
  <c r="B60" i="28"/>
  <c r="A56" i="28"/>
  <c r="B56" i="28"/>
  <c r="A57" i="28"/>
  <c r="B57" i="28"/>
  <c r="A51" i="28"/>
  <c r="B51" i="28"/>
  <c r="A52" i="28"/>
  <c r="B52" i="28"/>
  <c r="A53" i="28"/>
  <c r="B53" i="28"/>
  <c r="A54" i="28"/>
  <c r="B54" i="28"/>
  <c r="A55" i="28"/>
  <c r="A45" i="28"/>
  <c r="B45" i="28"/>
  <c r="A46" i="28"/>
  <c r="B46" i="28"/>
  <c r="A47" i="28"/>
  <c r="B47" i="28"/>
  <c r="A48" i="28"/>
  <c r="B48" i="28"/>
  <c r="A49" i="28"/>
  <c r="B49" i="28"/>
  <c r="A50" i="28"/>
  <c r="B50" i="28"/>
  <c r="A44" i="28"/>
  <c r="B44" i="28"/>
  <c r="A38" i="28"/>
  <c r="B38" i="28"/>
  <c r="A39" i="28"/>
  <c r="B39" i="28"/>
  <c r="A40" i="28"/>
  <c r="B40" i="28"/>
  <c r="A41" i="28"/>
  <c r="B41" i="28"/>
  <c r="A43" i="28"/>
  <c r="B43" i="28"/>
  <c r="AY40" i="28"/>
  <c r="AX40" i="28"/>
  <c r="AR40" i="28"/>
  <c r="AL40" i="28"/>
  <c r="AF40" i="28"/>
  <c r="T40" i="28"/>
  <c r="B37" i="28"/>
  <c r="A37" i="28"/>
  <c r="B32" i="28"/>
  <c r="B33" i="28"/>
  <c r="B34" i="28"/>
  <c r="B35" i="28"/>
  <c r="B36" i="28"/>
  <c r="A32" i="28"/>
  <c r="A33" i="28"/>
  <c r="A34" i="28"/>
  <c r="A35" i="28"/>
  <c r="A36" i="28"/>
  <c r="B29" i="28"/>
  <c r="B30" i="28"/>
  <c r="B31" i="28"/>
  <c r="A29" i="28"/>
  <c r="A30" i="28"/>
  <c r="A31" i="28"/>
  <c r="B22" i="28"/>
  <c r="B23" i="28"/>
  <c r="B24" i="28"/>
  <c r="B25" i="28"/>
  <c r="B26" i="28"/>
  <c r="B27" i="28"/>
  <c r="B28" i="28"/>
  <c r="A22" i="28"/>
  <c r="A23" i="28"/>
  <c r="A24" i="28"/>
  <c r="A25" i="28"/>
  <c r="A26" i="28"/>
  <c r="A27" i="28"/>
  <c r="A28" i="28"/>
  <c r="B20" i="28"/>
  <c r="B21" i="28"/>
  <c r="A21" i="28"/>
  <c r="A20" i="28"/>
  <c r="B17" i="28"/>
  <c r="B18" i="28"/>
  <c r="B19" i="28"/>
  <c r="A17" i="28"/>
  <c r="A18" i="28"/>
  <c r="A19" i="28"/>
  <c r="B16" i="28"/>
  <c r="A16" i="28"/>
  <c r="B11" i="28"/>
  <c r="A11" i="28"/>
  <c r="BJ28" i="27"/>
  <c r="BI28" i="27"/>
  <c r="BH28" i="27"/>
  <c r="BF28" i="27"/>
  <c r="BE28" i="27"/>
  <c r="BC28" i="27"/>
  <c r="BB28" i="27"/>
  <c r="AR103" i="28"/>
  <c r="AL103" i="28"/>
  <c r="AF103" i="28"/>
  <c r="AR102" i="28"/>
  <c r="AL102" i="28"/>
  <c r="AF102" i="28"/>
  <c r="AR101" i="28"/>
  <c r="AL101" i="28"/>
  <c r="AF101" i="28"/>
  <c r="AR100" i="28"/>
  <c r="AL100" i="28"/>
  <c r="AF100" i="28"/>
  <c r="AR99" i="28"/>
  <c r="AL99" i="28"/>
  <c r="AF99" i="28"/>
  <c r="BE93" i="28"/>
  <c r="BD93" i="28"/>
  <c r="BC93" i="28"/>
  <c r="BB93" i="28"/>
  <c r="BA93" i="28"/>
  <c r="AZ93" i="28"/>
  <c r="AY93" i="28"/>
  <c r="AV93" i="28"/>
  <c r="AU93" i="28"/>
  <c r="AT93" i="28"/>
  <c r="AS93" i="28"/>
  <c r="AR93" i="28"/>
  <c r="AQ93" i="28"/>
  <c r="AP93" i="28"/>
  <c r="AO93" i="28"/>
  <c r="AN93" i="28"/>
  <c r="AM93" i="28"/>
  <c r="AK93" i="28"/>
  <c r="AJ93" i="28"/>
  <c r="AI93" i="28"/>
  <c r="AH93" i="28"/>
  <c r="AG93" i="28"/>
  <c r="Y93" i="28"/>
  <c r="X93" i="28"/>
  <c r="W93" i="28"/>
  <c r="V93" i="28"/>
  <c r="U93" i="28"/>
  <c r="T93" i="28"/>
  <c r="S93" i="28"/>
  <c r="R93" i="28"/>
  <c r="Q93" i="28"/>
  <c r="P93" i="28"/>
  <c r="O93" i="28"/>
  <c r="N93" i="28"/>
  <c r="M93" i="28"/>
  <c r="K93" i="28"/>
  <c r="AQ92" i="28"/>
  <c r="AP92" i="28"/>
  <c r="AO92" i="28"/>
  <c r="AN92" i="28"/>
  <c r="AM92" i="28"/>
  <c r="AK92" i="28"/>
  <c r="AJ92" i="28"/>
  <c r="AI92" i="28"/>
  <c r="AH92" i="28"/>
  <c r="AG92" i="28"/>
  <c r="Y92" i="28"/>
  <c r="X92" i="28"/>
  <c r="W92" i="28"/>
  <c r="V92" i="28"/>
  <c r="U92" i="28"/>
  <c r="T92" i="28"/>
  <c r="A89" i="28"/>
  <c r="A88" i="28"/>
  <c r="L86" i="28"/>
  <c r="L93" i="28" s="1"/>
  <c r="AY85" i="28"/>
  <c r="AY84" i="28" s="1"/>
  <c r="AY92" i="28" s="1"/>
  <c r="AR85" i="28"/>
  <c r="AR84" i="28" s="1"/>
  <c r="AR92" i="28" s="1"/>
  <c r="BF84" i="28"/>
  <c r="BF93" i="28" s="1"/>
  <c r="BE84" i="28"/>
  <c r="BE92" i="28" s="1"/>
  <c r="BD84" i="28"/>
  <c r="BD92" i="28" s="1"/>
  <c r="BC84" i="28"/>
  <c r="BC92" i="28" s="1"/>
  <c r="BB84" i="28"/>
  <c r="BB92" i="28" s="1"/>
  <c r="BA84" i="28"/>
  <c r="BA92" i="28" s="1"/>
  <c r="AZ84" i="28"/>
  <c r="AZ92" i="28" s="1"/>
  <c r="AX84" i="28"/>
  <c r="AX92" i="28" s="1"/>
  <c r="AW84" i="28"/>
  <c r="AW93" i="28" s="1"/>
  <c r="AV84" i="28"/>
  <c r="AV92" i="28" s="1"/>
  <c r="AU84" i="28"/>
  <c r="AU92" i="28" s="1"/>
  <c r="AT84" i="28"/>
  <c r="AT92" i="28" s="1"/>
  <c r="AS84" i="28"/>
  <c r="AS92" i="28" s="1"/>
  <c r="S84" i="28"/>
  <c r="S92" i="28" s="1"/>
  <c r="O84" i="28"/>
  <c r="O92" i="28" s="1"/>
  <c r="AY83" i="28"/>
  <c r="AR83" i="28"/>
  <c r="AX81" i="28"/>
  <c r="S81" i="28"/>
  <c r="P81" i="28"/>
  <c r="AY80" i="28"/>
  <c r="AR80" i="28"/>
  <c r="AL80" i="28"/>
  <c r="AF80" i="28"/>
  <c r="T80" i="28"/>
  <c r="AY79" i="28"/>
  <c r="AR79" i="28"/>
  <c r="AL79" i="28"/>
  <c r="AF79" i="28"/>
  <c r="T79" i="28"/>
  <c r="AY78" i="28"/>
  <c r="AR78" i="28"/>
  <c r="AL78" i="28"/>
  <c r="AF78" i="28"/>
  <c r="T78" i="28"/>
  <c r="AY77" i="28"/>
  <c r="AX77" i="28"/>
  <c r="AR77" i="28"/>
  <c r="AL77" i="28"/>
  <c r="AF77" i="28"/>
  <c r="T77" i="28"/>
  <c r="BF76" i="28"/>
  <c r="BE76" i="28"/>
  <c r="BD76" i="28"/>
  <c r="BC76" i="28"/>
  <c r="BB76" i="28"/>
  <c r="BA76" i="28"/>
  <c r="AZ76" i="28"/>
  <c r="AW76" i="28"/>
  <c r="AV76" i="28"/>
  <c r="AU76" i="28"/>
  <c r="AT76" i="28"/>
  <c r="AS76" i="28"/>
  <c r="AQ76" i="28"/>
  <c r="AP76" i="28"/>
  <c r="AO76" i="28"/>
  <c r="AN76" i="28"/>
  <c r="AM76" i="28"/>
  <c r="AK76" i="28"/>
  <c r="AK91" i="28" s="1"/>
  <c r="AJ76" i="28"/>
  <c r="AJ91" i="28" s="1"/>
  <c r="AI76" i="28"/>
  <c r="AH76" i="28"/>
  <c r="AH91" i="28" s="1"/>
  <c r="AG76" i="28"/>
  <c r="Y76" i="28"/>
  <c r="Y91" i="28" s="1"/>
  <c r="X76" i="28"/>
  <c r="X91" i="28" s="1"/>
  <c r="W76" i="28"/>
  <c r="W91" i="28" s="1"/>
  <c r="V76" i="28"/>
  <c r="V91" i="28" s="1"/>
  <c r="U76" i="28"/>
  <c r="AX73" i="28"/>
  <c r="AY71" i="28"/>
  <c r="AR71" i="28"/>
  <c r="AR70" i="28" s="1"/>
  <c r="AL71" i="28"/>
  <c r="AL70" i="28" s="1"/>
  <c r="AF71" i="28"/>
  <c r="T71" i="28"/>
  <c r="T70" i="28" s="1"/>
  <c r="BF70" i="28"/>
  <c r="BE70" i="28"/>
  <c r="BD70" i="28"/>
  <c r="BC70" i="28"/>
  <c r="BB70" i="28"/>
  <c r="BA70" i="28"/>
  <c r="AZ70" i="28"/>
  <c r="AY70" i="28"/>
  <c r="AW70" i="28"/>
  <c r="AV70" i="28"/>
  <c r="AU70" i="28"/>
  <c r="AT70" i="28"/>
  <c r="AS70" i="28"/>
  <c r="AQ70" i="28"/>
  <c r="AP70" i="28"/>
  <c r="AO70" i="28"/>
  <c r="AN70" i="28"/>
  <c r="AM70" i="28"/>
  <c r="AK70" i="28"/>
  <c r="AJ70" i="28"/>
  <c r="AI70" i="28"/>
  <c r="AH70" i="28"/>
  <c r="Y70" i="28"/>
  <c r="X70" i="28"/>
  <c r="W70" i="28"/>
  <c r="V70" i="28"/>
  <c r="U70" i="28"/>
  <c r="Q70" i="28"/>
  <c r="AY68" i="28"/>
  <c r="AR68" i="28"/>
  <c r="AR67" i="28" s="1"/>
  <c r="AL68" i="28"/>
  <c r="AL67" i="28" s="1"/>
  <c r="AF68" i="28"/>
  <c r="AF67" i="28" s="1"/>
  <c r="T68" i="28"/>
  <c r="T67" i="28" s="1"/>
  <c r="BF67" i="28"/>
  <c r="BE67" i="28"/>
  <c r="BD67" i="28"/>
  <c r="BC67" i="28"/>
  <c r="BB67" i="28"/>
  <c r="BA67" i="28"/>
  <c r="AZ67" i="28"/>
  <c r="AY67" i="28"/>
  <c r="AW67" i="28"/>
  <c r="AV67" i="28"/>
  <c r="AU67" i="28"/>
  <c r="AT67" i="28"/>
  <c r="AS67" i="28"/>
  <c r="AQ67" i="28"/>
  <c r="AP67" i="28"/>
  <c r="AO67" i="28"/>
  <c r="AN67" i="28"/>
  <c r="AM67" i="28"/>
  <c r="AK67" i="28"/>
  <c r="AJ67" i="28"/>
  <c r="AI67" i="28"/>
  <c r="AH67" i="28"/>
  <c r="AG67" i="28"/>
  <c r="Y67" i="28"/>
  <c r="X67" i="28"/>
  <c r="W67" i="28"/>
  <c r="V67" i="28"/>
  <c r="U67" i="28"/>
  <c r="Q67" i="28"/>
  <c r="O67" i="28"/>
  <c r="AY65" i="28"/>
  <c r="AR65" i="28"/>
  <c r="AL65" i="28"/>
  <c r="AF65" i="28"/>
  <c r="T65" i="28"/>
  <c r="AY64" i="28"/>
  <c r="AR64" i="28"/>
  <c r="AL64" i="28"/>
  <c r="AF64" i="28"/>
  <c r="T64" i="28"/>
  <c r="AY63" i="28"/>
  <c r="AR63" i="28"/>
  <c r="AL63" i="28"/>
  <c r="AF63" i="28"/>
  <c r="T63" i="28"/>
  <c r="S63" i="28"/>
  <c r="R63" i="28"/>
  <c r="Q63" i="28"/>
  <c r="P63" i="28"/>
  <c r="O63" i="28"/>
  <c r="BF62" i="28"/>
  <c r="BE62" i="28"/>
  <c r="BD62" i="28"/>
  <c r="BC62" i="28"/>
  <c r="BB62" i="28"/>
  <c r="BA62" i="28"/>
  <c r="AZ62" i="28"/>
  <c r="AW62" i="28"/>
  <c r="AV62" i="28"/>
  <c r="AU62" i="28"/>
  <c r="AT62" i="28"/>
  <c r="AS62" i="28"/>
  <c r="AQ62" i="28"/>
  <c r="AP62" i="28"/>
  <c r="AO62" i="28"/>
  <c r="AN62" i="28"/>
  <c r="AM62" i="28"/>
  <c r="AK62" i="28"/>
  <c r="AJ62" i="28"/>
  <c r="AI62" i="28"/>
  <c r="AH62" i="28"/>
  <c r="AG62" i="28"/>
  <c r="Y62" i="28"/>
  <c r="X62" i="28"/>
  <c r="W62" i="28"/>
  <c r="V62" i="28"/>
  <c r="U62" i="28"/>
  <c r="Q62" i="28"/>
  <c r="AY59" i="28"/>
  <c r="AR59" i="28"/>
  <c r="AL59" i="28"/>
  <c r="AF59" i="28"/>
  <c r="T59" i="28"/>
  <c r="AY58" i="28"/>
  <c r="AX58" i="28"/>
  <c r="AR58" i="28"/>
  <c r="AL58" i="28"/>
  <c r="AF58" i="28"/>
  <c r="T58" i="28"/>
  <c r="AY57" i="28"/>
  <c r="AX57" i="28"/>
  <c r="AR57" i="28"/>
  <c r="AR56" i="28" s="1"/>
  <c r="AL57" i="28"/>
  <c r="AF57" i="28"/>
  <c r="T57" i="28"/>
  <c r="S57" i="28"/>
  <c r="R57" i="28"/>
  <c r="Q57" i="28"/>
  <c r="P57" i="28"/>
  <c r="O57" i="28"/>
  <c r="BF56" i="28"/>
  <c r="BE56" i="28"/>
  <c r="BD56" i="28"/>
  <c r="BC56" i="28"/>
  <c r="BB56" i="28"/>
  <c r="BA56" i="28"/>
  <c r="AZ56" i="28"/>
  <c r="AW56" i="28"/>
  <c r="AV56" i="28"/>
  <c r="AU56" i="28"/>
  <c r="AT56" i="28"/>
  <c r="AS56" i="28"/>
  <c r="AQ56" i="28"/>
  <c r="AP56" i="28"/>
  <c r="AO56" i="28"/>
  <c r="AN56" i="28"/>
  <c r="AM56" i="28"/>
  <c r="Y56" i="28"/>
  <c r="X56" i="28"/>
  <c r="W56" i="28"/>
  <c r="V56" i="28"/>
  <c r="U56" i="28"/>
  <c r="AY54" i="28"/>
  <c r="AR54" i="28"/>
  <c r="AL54" i="28"/>
  <c r="AF54" i="28"/>
  <c r="T54" i="28"/>
  <c r="AY53" i="28"/>
  <c r="AR53" i="28"/>
  <c r="AL53" i="28"/>
  <c r="AF53" i="28"/>
  <c r="T53" i="28"/>
  <c r="AY52" i="28"/>
  <c r="AR52" i="28"/>
  <c r="AL52" i="28"/>
  <c r="AF52" i="28"/>
  <c r="T52" i="28"/>
  <c r="BF51" i="28"/>
  <c r="BE51" i="28"/>
  <c r="BD51" i="28"/>
  <c r="BC51" i="28"/>
  <c r="BB51" i="28"/>
  <c r="BA51" i="28"/>
  <c r="AZ51" i="28"/>
  <c r="AW51" i="28"/>
  <c r="AV51" i="28"/>
  <c r="AU51" i="28"/>
  <c r="AT51" i="28"/>
  <c r="AS51" i="28"/>
  <c r="AQ51" i="28"/>
  <c r="AP51" i="28"/>
  <c r="AO51" i="28"/>
  <c r="AN51" i="28"/>
  <c r="AM51" i="28"/>
  <c r="AK51" i="28"/>
  <c r="AJ51" i="28"/>
  <c r="AI51" i="28"/>
  <c r="AH51" i="28"/>
  <c r="AG51" i="28"/>
  <c r="Y51" i="28"/>
  <c r="X51" i="28"/>
  <c r="W51" i="28"/>
  <c r="V51" i="28"/>
  <c r="U51" i="28"/>
  <c r="O51" i="28"/>
  <c r="AY50" i="28"/>
  <c r="AR50" i="28"/>
  <c r="AL50" i="28"/>
  <c r="AF50" i="28"/>
  <c r="T50" i="28"/>
  <c r="AY49" i="28"/>
  <c r="AR49" i="28"/>
  <c r="AL49" i="28"/>
  <c r="AF49" i="28"/>
  <c r="T49" i="28"/>
  <c r="AY48" i="28"/>
  <c r="AX48" i="28"/>
  <c r="AR48" i="28"/>
  <c r="AL48" i="28"/>
  <c r="AF48" i="28"/>
  <c r="T48" i="28"/>
  <c r="AY47" i="28"/>
  <c r="AR47" i="28"/>
  <c r="AL47" i="28"/>
  <c r="AF47" i="28"/>
  <c r="T47" i="28"/>
  <c r="AY46" i="28"/>
  <c r="AR46" i="28"/>
  <c r="AL46" i="28"/>
  <c r="AF46" i="28"/>
  <c r="T46" i="28"/>
  <c r="AY45" i="28"/>
  <c r="AR45" i="28"/>
  <c r="AL45" i="28"/>
  <c r="AF45" i="28"/>
  <c r="T45" i="28"/>
  <c r="BF44" i="28"/>
  <c r="BE44" i="28"/>
  <c r="BD44" i="28"/>
  <c r="BC44" i="28"/>
  <c r="BB44" i="28"/>
  <c r="BA44" i="28"/>
  <c r="AZ44" i="28"/>
  <c r="AW44" i="28"/>
  <c r="AV44" i="28"/>
  <c r="AU44" i="28"/>
  <c r="AT44" i="28"/>
  <c r="AS44" i="28"/>
  <c r="AQ44" i="28"/>
  <c r="AP44" i="28"/>
  <c r="AO44" i="28"/>
  <c r="AN44" i="28"/>
  <c r="AM44" i="28"/>
  <c r="AK44" i="28"/>
  <c r="AJ44" i="28"/>
  <c r="AI44" i="28"/>
  <c r="AH44" i="28"/>
  <c r="AG44" i="28"/>
  <c r="Y44" i="28"/>
  <c r="X44" i="28"/>
  <c r="W44" i="28"/>
  <c r="V44" i="28"/>
  <c r="U44" i="28"/>
  <c r="AY43" i="28"/>
  <c r="AR43" i="28"/>
  <c r="AL43" i="28"/>
  <c r="AY41" i="28"/>
  <c r="AX41" i="28"/>
  <c r="AR41" i="28"/>
  <c r="AL41" i="28"/>
  <c r="AF41" i="28"/>
  <c r="T41" i="28"/>
  <c r="AY39" i="28"/>
  <c r="AR39" i="28"/>
  <c r="AL39" i="28"/>
  <c r="AF39" i="28"/>
  <c r="T39" i="28"/>
  <c r="AY38" i="28"/>
  <c r="AR38" i="28"/>
  <c r="AL38" i="28"/>
  <c r="AF38" i="28"/>
  <c r="T38" i="28"/>
  <c r="BF37" i="28"/>
  <c r="BE37" i="28"/>
  <c r="BD37" i="28"/>
  <c r="BC37" i="28"/>
  <c r="BB37" i="28"/>
  <c r="BA37" i="28"/>
  <c r="AZ37" i="28"/>
  <c r="AW37" i="28"/>
  <c r="AV37" i="28"/>
  <c r="AU37" i="28"/>
  <c r="AT37" i="28"/>
  <c r="AS37" i="28"/>
  <c r="AQ37" i="28"/>
  <c r="AP37" i="28"/>
  <c r="AO37" i="28"/>
  <c r="AN37" i="28"/>
  <c r="AM37" i="28"/>
  <c r="AK37" i="28"/>
  <c r="AJ37" i="28"/>
  <c r="AI37" i="28"/>
  <c r="AH37" i="28"/>
  <c r="AG37" i="28"/>
  <c r="Y37" i="28"/>
  <c r="X37" i="28"/>
  <c r="W37" i="28"/>
  <c r="V37" i="28"/>
  <c r="U37" i="28"/>
  <c r="AY36" i="28"/>
  <c r="AR36" i="28"/>
  <c r="AL36" i="28"/>
  <c r="AF36" i="28"/>
  <c r="T36" i="28"/>
  <c r="AY35" i="28"/>
  <c r="AR35" i="28"/>
  <c r="AL35" i="28"/>
  <c r="AF35" i="28"/>
  <c r="T35" i="28"/>
  <c r="AY34" i="28"/>
  <c r="AL34" i="28"/>
  <c r="AF34" i="28"/>
  <c r="T34" i="28"/>
  <c r="AY33" i="28"/>
  <c r="AX33" i="28"/>
  <c r="AR33" i="28"/>
  <c r="AL33" i="28"/>
  <c r="AF33" i="28"/>
  <c r="T33" i="28"/>
  <c r="AY32" i="28"/>
  <c r="AX32" i="28"/>
  <c r="AX31" i="28" s="1"/>
  <c r="AR32" i="28"/>
  <c r="AL32" i="28"/>
  <c r="AF32" i="28"/>
  <c r="T32" i="28"/>
  <c r="P31" i="28"/>
  <c r="BF31" i="28"/>
  <c r="BE31" i="28"/>
  <c r="BD31" i="28"/>
  <c r="BC31" i="28"/>
  <c r="BB31" i="28"/>
  <c r="BA31" i="28"/>
  <c r="AZ31" i="28"/>
  <c r="AZ30" i="28" s="1"/>
  <c r="Y31" i="28"/>
  <c r="X31" i="28"/>
  <c r="W31" i="28"/>
  <c r="V31" i="28"/>
  <c r="U31" i="28"/>
  <c r="O31" i="28"/>
  <c r="AX29" i="28"/>
  <c r="AY28" i="28"/>
  <c r="AX28" i="28"/>
  <c r="AR28" i="28"/>
  <c r="AL28" i="28"/>
  <c r="AF28" i="28"/>
  <c r="T28" i="28"/>
  <c r="AY27" i="28"/>
  <c r="AX27" i="28"/>
  <c r="AR27" i="28"/>
  <c r="AL27" i="28"/>
  <c r="AF27" i="28"/>
  <c r="T27" i="28"/>
  <c r="AY26" i="28"/>
  <c r="AX26" i="28"/>
  <c r="AR26" i="28"/>
  <c r="AL26" i="28"/>
  <c r="T26" i="28"/>
  <c r="AX25" i="28"/>
  <c r="AR25" i="28"/>
  <c r="AL25" i="28"/>
  <c r="AF25" i="28"/>
  <c r="T25" i="28"/>
  <c r="AY24" i="28"/>
  <c r="AX24" i="28"/>
  <c r="AR24" i="28"/>
  <c r="AL24" i="28"/>
  <c r="AF24" i="28"/>
  <c r="T24" i="28"/>
  <c r="AY23" i="28"/>
  <c r="AX23" i="28"/>
  <c r="AR23" i="28"/>
  <c r="AL23" i="28"/>
  <c r="AF23" i="28"/>
  <c r="T23" i="28"/>
  <c r="AY22" i="28"/>
  <c r="AX22" i="28"/>
  <c r="AR22" i="28"/>
  <c r="AL22" i="28"/>
  <c r="AF22" i="28"/>
  <c r="T22" i="28"/>
  <c r="P21" i="28"/>
  <c r="BE21" i="28"/>
  <c r="BD21" i="28"/>
  <c r="BC21" i="28"/>
  <c r="BB21" i="28"/>
  <c r="BA21" i="28"/>
  <c r="AZ21" i="28"/>
  <c r="AW21" i="28"/>
  <c r="AV21" i="28"/>
  <c r="AU21" i="28"/>
  <c r="AT21" i="28"/>
  <c r="AS21" i="28"/>
  <c r="AQ21" i="28"/>
  <c r="AP21" i="28"/>
  <c r="AO21" i="28"/>
  <c r="AN21" i="28"/>
  <c r="AM21" i="28"/>
  <c r="AJ21" i="28"/>
  <c r="AI21" i="28"/>
  <c r="AH21" i="28"/>
  <c r="AG21" i="28"/>
  <c r="Y21" i="28"/>
  <c r="X21" i="28"/>
  <c r="W21" i="28"/>
  <c r="V21" i="28"/>
  <c r="AL19" i="28"/>
  <c r="T19" i="28"/>
  <c r="AY18" i="28"/>
  <c r="AX18" i="28"/>
  <c r="AR18" i="28"/>
  <c r="AL18" i="28"/>
  <c r="AF18" i="28"/>
  <c r="AY17" i="28"/>
  <c r="AX17" i="28"/>
  <c r="AR17" i="28"/>
  <c r="AL17" i="28"/>
  <c r="AF17" i="28"/>
  <c r="BF16" i="28"/>
  <c r="BE16" i="28"/>
  <c r="BD16" i="28"/>
  <c r="BC16" i="28"/>
  <c r="BB16" i="28"/>
  <c r="BA16" i="28"/>
  <c r="AZ16" i="28"/>
  <c r="AQ16" i="28"/>
  <c r="AP16" i="28"/>
  <c r="AO16" i="28"/>
  <c r="AN16" i="28"/>
  <c r="AM16" i="28"/>
  <c r="AJ16" i="28"/>
  <c r="AI16" i="28"/>
  <c r="AH16" i="28"/>
  <c r="AG16" i="28"/>
  <c r="X16" i="28"/>
  <c r="W16" i="28"/>
  <c r="V16" i="28"/>
  <c r="U16" i="28"/>
  <c r="AY15" i="28"/>
  <c r="AX15" i="28"/>
  <c r="AR15" i="28"/>
  <c r="AL15" i="28"/>
  <c r="AF15" i="28"/>
  <c r="T15" i="28"/>
  <c r="AR14" i="28"/>
  <c r="AL14" i="28"/>
  <c r="AF14" i="28"/>
  <c r="T14" i="28"/>
  <c r="AY13" i="28"/>
  <c r="AX13" i="28"/>
  <c r="AR13" i="28"/>
  <c r="AL13" i="28"/>
  <c r="AF13" i="28"/>
  <c r="T13" i="28"/>
  <c r="AY12" i="28"/>
  <c r="AX12" i="28"/>
  <c r="AR12" i="28"/>
  <c r="AL12" i="28"/>
  <c r="AF12" i="28"/>
  <c r="T12" i="28"/>
  <c r="AY11" i="28"/>
  <c r="AX11" i="28"/>
  <c r="AR11" i="28"/>
  <c r="AL11" i="28"/>
  <c r="AF11" i="28"/>
  <c r="BF10" i="28"/>
  <c r="BE10" i="28"/>
  <c r="BD10" i="28"/>
  <c r="BC10" i="28"/>
  <c r="BB10" i="28"/>
  <c r="BA10" i="28"/>
  <c r="AZ10" i="28"/>
  <c r="AW10" i="28"/>
  <c r="AV10" i="28"/>
  <c r="AU10" i="28"/>
  <c r="AT10" i="28"/>
  <c r="AS10" i="28"/>
  <c r="AQ10" i="28"/>
  <c r="AP10" i="28"/>
  <c r="AO10" i="28"/>
  <c r="AN10" i="28"/>
  <c r="AM10" i="28"/>
  <c r="AK10" i="28"/>
  <c r="AJ10" i="28"/>
  <c r="AI10" i="28"/>
  <c r="AH10" i="28"/>
  <c r="AG10" i="28"/>
  <c r="X10" i="28"/>
  <c r="W10" i="28"/>
  <c r="V10" i="28"/>
  <c r="U10" i="28"/>
  <c r="B46" i="27"/>
  <c r="B45" i="27"/>
  <c r="B43" i="27"/>
  <c r="B42" i="27"/>
  <c r="B41" i="27"/>
  <c r="B40" i="27"/>
  <c r="B39" i="27"/>
  <c r="B38" i="27"/>
  <c r="B37" i="27"/>
  <c r="B36" i="27"/>
  <c r="BJ27" i="27"/>
  <c r="BI27" i="27"/>
  <c r="BH27" i="27"/>
  <c r="BF27" i="27"/>
  <c r="BE27" i="27"/>
  <c r="BC27" i="27"/>
  <c r="BB27" i="27"/>
  <c r="BM26" i="27"/>
  <c r="BJ26" i="27"/>
  <c r="BI26" i="27"/>
  <c r="BH26" i="27"/>
  <c r="BF26" i="27"/>
  <c r="BE26" i="27"/>
  <c r="BC26" i="27"/>
  <c r="BB26" i="27"/>
  <c r="BM25" i="27"/>
  <c r="BJ25" i="27"/>
  <c r="BI25" i="27"/>
  <c r="BH25" i="27"/>
  <c r="BF25" i="27"/>
  <c r="BE25" i="27"/>
  <c r="BC25" i="27"/>
  <c r="BB25" i="27"/>
  <c r="BM24" i="27"/>
  <c r="BL24" i="27"/>
  <c r="BK24" i="27"/>
  <c r="BJ24" i="27"/>
  <c r="BI24" i="27"/>
  <c r="BF24" i="27"/>
  <c r="BE24" i="27"/>
  <c r="BC24" i="27"/>
  <c r="BB24" i="27"/>
  <c r="AJ52" i="1"/>
  <c r="AJ53" i="1"/>
  <c r="D161" i="1"/>
  <c r="Z56" i="28" l="1"/>
  <c r="V30" i="28"/>
  <c r="X30" i="28"/>
  <c r="AR21" i="28"/>
  <c r="AX44" i="28"/>
  <c r="AD5" i="28"/>
  <c r="AP5" i="28"/>
  <c r="X5" i="28"/>
  <c r="AJ5" i="28"/>
  <c r="Y30" i="28"/>
  <c r="Y29" i="28" s="1"/>
  <c r="AZ29" i="28"/>
  <c r="O16" i="28"/>
  <c r="V29" i="28"/>
  <c r="X29" i="28"/>
  <c r="AJ30" i="28"/>
  <c r="AJ29" i="28" s="1"/>
  <c r="AJ20" i="28" s="1"/>
  <c r="AJ9" i="28" s="1"/>
  <c r="AJ90" i="28" s="1"/>
  <c r="AJ94" i="28" s="1"/>
  <c r="AV5" i="28"/>
  <c r="BA30" i="28"/>
  <c r="BA29" i="28" s="1"/>
  <c r="BA20" i="28" s="1"/>
  <c r="BA9" i="28" s="1"/>
  <c r="BA90" i="28" s="1"/>
  <c r="BC30" i="28"/>
  <c r="BC29" i="28" s="1"/>
  <c r="BE30" i="28"/>
  <c r="BE29" i="28" s="1"/>
  <c r="BE20" i="28" s="1"/>
  <c r="BE9" i="28" s="1"/>
  <c r="BE90" i="28" s="1"/>
  <c r="T31" i="28"/>
  <c r="T37" i="28"/>
  <c r="T30" i="28" s="1"/>
  <c r="AC30" i="28"/>
  <c r="R37" i="28"/>
  <c r="O62" i="28"/>
  <c r="T51" i="28"/>
  <c r="AF56" i="28"/>
  <c r="Z92" i="28"/>
  <c r="O37" i="28"/>
  <c r="Q51" i="28"/>
  <c r="O76" i="28"/>
  <c r="Q76" i="28"/>
  <c r="AD30" i="28"/>
  <c r="BD30" i="28"/>
  <c r="BD29" i="28" s="1"/>
  <c r="AF96" i="28"/>
  <c r="AF92" i="28"/>
  <c r="AF93" i="28"/>
  <c r="AC29" i="28"/>
  <c r="AC20" i="28" s="1"/>
  <c r="AC9" i="28" s="1"/>
  <c r="AC90" i="28" s="1"/>
  <c r="AC94" i="28" s="1"/>
  <c r="Q10" i="28"/>
  <c r="R81" i="28"/>
  <c r="AX37" i="28"/>
  <c r="AB30" i="28"/>
  <c r="AE30" i="28"/>
  <c r="BD26" i="27"/>
  <c r="BG26" i="27"/>
  <c r="BD27" i="27"/>
  <c r="BG27" i="27"/>
  <c r="AI30" i="28"/>
  <c r="AI29" i="28" s="1"/>
  <c r="AI20" i="28" s="1"/>
  <c r="AI9" i="28" s="1"/>
  <c r="AI90" i="28" s="1"/>
  <c r="U91" i="28"/>
  <c r="AG91" i="28"/>
  <c r="AI91" i="28"/>
  <c r="AY81" i="28"/>
  <c r="AL92" i="28"/>
  <c r="AL93" i="28"/>
  <c r="R21" i="28"/>
  <c r="Q31" i="28"/>
  <c r="N34" i="28"/>
  <c r="Q37" i="28"/>
  <c r="P51" i="28"/>
  <c r="R51" i="28"/>
  <c r="P76" i="28"/>
  <c r="O81" i="28"/>
  <c r="O91" i="28" s="1"/>
  <c r="Q81" i="28"/>
  <c r="S51" i="28"/>
  <c r="AQ30" i="28"/>
  <c r="AQ29" i="28" s="1"/>
  <c r="AQ20" i="28" s="1"/>
  <c r="AQ9" i="28" s="1"/>
  <c r="AQ90" i="28" s="1"/>
  <c r="AK30" i="28"/>
  <c r="AK29" i="28" s="1"/>
  <c r="AF31" i="28"/>
  <c r="AT30" i="28"/>
  <c r="AT29" i="28" s="1"/>
  <c r="AT20" i="28" s="1"/>
  <c r="AT9" i="28" s="1"/>
  <c r="AT90" i="28" s="1"/>
  <c r="AH30" i="28"/>
  <c r="AH29" i="28" s="1"/>
  <c r="AH20" i="28" s="1"/>
  <c r="AH9" i="28" s="1"/>
  <c r="AH90" i="28" s="1"/>
  <c r="AH94" i="28" s="1"/>
  <c r="AV30" i="28"/>
  <c r="AV29" i="28" s="1"/>
  <c r="AV20" i="28" s="1"/>
  <c r="AV9" i="28" s="1"/>
  <c r="AV90" i="28" s="1"/>
  <c r="AU30" i="28"/>
  <c r="AU29" i="28" s="1"/>
  <c r="AU20" i="28" s="1"/>
  <c r="AU9" i="28" s="1"/>
  <c r="AU90" i="28" s="1"/>
  <c r="AO30" i="28"/>
  <c r="AP30" i="28"/>
  <c r="AP29" i="28" s="1"/>
  <c r="AA30" i="28"/>
  <c r="AA29" i="28" s="1"/>
  <c r="AA20" i="28" s="1"/>
  <c r="AA9" i="28" s="1"/>
  <c r="AA90" i="28" s="1"/>
  <c r="AG30" i="28"/>
  <c r="AG29" i="28" s="1"/>
  <c r="AG20" i="28" s="1"/>
  <c r="AG9" i="28" s="1"/>
  <c r="AG90" i="28" s="1"/>
  <c r="AM30" i="28"/>
  <c r="AM29" i="28" s="1"/>
  <c r="AM20" i="28" s="1"/>
  <c r="AM9" i="28" s="1"/>
  <c r="AM90" i="28" s="1"/>
  <c r="AS30" i="28"/>
  <c r="AS29" i="28" s="1"/>
  <c r="AS20" i="28" s="1"/>
  <c r="AS9" i="28" s="1"/>
  <c r="AS90" i="28" s="1"/>
  <c r="O10" i="28"/>
  <c r="AL31" i="28"/>
  <c r="AR96" i="28"/>
  <c r="AN30" i="28"/>
  <c r="AN29" i="28" s="1"/>
  <c r="AN20" i="28" s="1"/>
  <c r="AN9" i="28" s="1"/>
  <c r="AN90" i="28" s="1"/>
  <c r="R76" i="28"/>
  <c r="O30" i="28"/>
  <c r="P62" i="28"/>
  <c r="R62" i="28"/>
  <c r="S62" i="28"/>
  <c r="AB29" i="28"/>
  <c r="AB20" i="28" s="1"/>
  <c r="AB9" i="28" s="1"/>
  <c r="AB90" i="28" s="1"/>
  <c r="AD29" i="28"/>
  <c r="AD20" i="28" s="1"/>
  <c r="AD9" i="28" s="1"/>
  <c r="AD90" i="28" s="1"/>
  <c r="P37" i="28"/>
  <c r="P30" i="28" s="1"/>
  <c r="S37" i="28"/>
  <c r="AF10" i="28"/>
  <c r="BB30" i="28"/>
  <c r="BB29" i="28" s="1"/>
  <c r="BB20" i="28" s="1"/>
  <c r="BB9" i="28" s="1"/>
  <c r="BB90" i="28" s="1"/>
  <c r="BF30" i="28"/>
  <c r="BF29" i="28" s="1"/>
  <c r="R31" i="28"/>
  <c r="R30" i="28" s="1"/>
  <c r="R10" i="28"/>
  <c r="P10" i="28"/>
  <c r="AX76" i="28"/>
  <c r="S76" i="28"/>
  <c r="S91" i="28" s="1"/>
  <c r="AX10" i="28"/>
  <c r="Q16" i="28"/>
  <c r="BC20" i="28"/>
  <c r="U30" i="28"/>
  <c r="U29" i="28" s="1"/>
  <c r="U20" i="28" s="1"/>
  <c r="U9" i="28" s="1"/>
  <c r="W30" i="28"/>
  <c r="W29" i="28" s="1"/>
  <c r="W20" i="28" s="1"/>
  <c r="W9" i="28" s="1"/>
  <c r="W90" i="28" s="1"/>
  <c r="W94" i="28" s="1"/>
  <c r="AO29" i="28"/>
  <c r="AO20" i="28" s="1"/>
  <c r="AO9" i="28" s="1"/>
  <c r="AO90" i="28" s="1"/>
  <c r="Q44" i="28"/>
  <c r="T44" i="28"/>
  <c r="S44" i="28"/>
  <c r="AM91" i="28"/>
  <c r="AO91" i="28"/>
  <c r="Z44" i="28"/>
  <c r="N82" i="28"/>
  <c r="M82" i="28" s="1"/>
  <c r="Z51" i="28"/>
  <c r="BN27" i="27"/>
  <c r="BN26" i="27"/>
  <c r="AY96" i="28"/>
  <c r="N17" i="28"/>
  <c r="N18" i="28"/>
  <c r="N19" i="28"/>
  <c r="N22" i="28"/>
  <c r="M22" i="28" s="1"/>
  <c r="N26" i="28"/>
  <c r="N32" i="28"/>
  <c r="M32" i="28" s="1"/>
  <c r="N40" i="28"/>
  <c r="M40" i="28" s="1"/>
  <c r="N50" i="28"/>
  <c r="M50" i="28" s="1"/>
  <c r="P56" i="28"/>
  <c r="R56" i="28"/>
  <c r="N68" i="28"/>
  <c r="M68" i="28" s="1"/>
  <c r="AR10" i="28"/>
  <c r="Z37" i="28"/>
  <c r="N78" i="28"/>
  <c r="M78" i="28" s="1"/>
  <c r="N80" i="28"/>
  <c r="M80" i="28" s="1"/>
  <c r="N85" i="28"/>
  <c r="M85" i="28" s="1"/>
  <c r="BE5" i="28"/>
  <c r="AL76" i="28"/>
  <c r="N28" i="28"/>
  <c r="M28" i="28" s="1"/>
  <c r="O56" i="28"/>
  <c r="Q56" i="28"/>
  <c r="AR81" i="28"/>
  <c r="Z31" i="28"/>
  <c r="Z62" i="28"/>
  <c r="Z70" i="28"/>
  <c r="BE6" i="28"/>
  <c r="AV6" i="28"/>
  <c r="AN91" i="28"/>
  <c r="AP91" i="28"/>
  <c r="AQ91" i="28"/>
  <c r="AB91" i="28"/>
  <c r="AD91" i="28"/>
  <c r="AE91" i="28"/>
  <c r="T76" i="28"/>
  <c r="T91" i="28" s="1"/>
  <c r="AL21" i="28"/>
  <c r="N35" i="28"/>
  <c r="M35" i="28" s="1"/>
  <c r="N54" i="28"/>
  <c r="M54" i="28" s="1"/>
  <c r="N59" i="28"/>
  <c r="M59" i="28" s="1"/>
  <c r="N65" i="28"/>
  <c r="M65" i="28" s="1"/>
  <c r="AR37" i="28"/>
  <c r="N57" i="28"/>
  <c r="M57" i="28" s="1"/>
  <c r="AF62" i="28"/>
  <c r="AR62" i="28"/>
  <c r="T62" i="28"/>
  <c r="AY62" i="28"/>
  <c r="BC9" i="28"/>
  <c r="BC90" i="28" s="1"/>
  <c r="AP20" i="28"/>
  <c r="AP9" i="28" s="1"/>
  <c r="AP90" i="28" s="1"/>
  <c r="S56" i="28"/>
  <c r="N83" i="28"/>
  <c r="M83" i="28" s="1"/>
  <c r="AR16" i="28"/>
  <c r="AX16" i="28"/>
  <c r="BD20" i="28"/>
  <c r="BD9" i="28" s="1"/>
  <c r="BD90" i="28" s="1"/>
  <c r="AF37" i="28"/>
  <c r="AL37" i="28"/>
  <c r="R44" i="28"/>
  <c r="AF51" i="28"/>
  <c r="AY51" i="28"/>
  <c r="T56" i="28"/>
  <c r="AL56" i="28"/>
  <c r="N63" i="28"/>
  <c r="M63" i="28" s="1"/>
  <c r="AL62" i="28"/>
  <c r="AR76" i="28"/>
  <c r="N11" i="28"/>
  <c r="N39" i="28"/>
  <c r="M39" i="28" s="1"/>
  <c r="Z76" i="28"/>
  <c r="Z96" i="28"/>
  <c r="N84" i="28"/>
  <c r="AL95" i="28"/>
  <c r="AL16" i="28"/>
  <c r="AF16" i="28"/>
  <c r="AY16" i="28"/>
  <c r="X20" i="28"/>
  <c r="X9" i="28" s="1"/>
  <c r="X90" i="28" s="1"/>
  <c r="X94" i="28" s="1"/>
  <c r="AY31" i="28"/>
  <c r="AY56" i="28"/>
  <c r="AF76" i="28"/>
  <c r="AY76" i="28"/>
  <c r="T96" i="28"/>
  <c r="AL96" i="28"/>
  <c r="N12" i="28"/>
  <c r="N48" i="28"/>
  <c r="M48" i="28" s="1"/>
  <c r="N52" i="28"/>
  <c r="M52" i="28" s="1"/>
  <c r="AZ20" i="28"/>
  <c r="AZ9" i="28" s="1"/>
  <c r="AZ90" i="28" s="1"/>
  <c r="AR44" i="28"/>
  <c r="N15" i="28"/>
  <c r="M15" i="28" s="1"/>
  <c r="N14" i="28"/>
  <c r="M14" i="28" s="1"/>
  <c r="N13" i="28"/>
  <c r="M13" i="28" s="1"/>
  <c r="N25" i="28"/>
  <c r="N36" i="28"/>
  <c r="M36" i="28" s="1"/>
  <c r="N38" i="28"/>
  <c r="M38" i="28" s="1"/>
  <c r="N47" i="28"/>
  <c r="M47" i="28" s="1"/>
  <c r="N60" i="28"/>
  <c r="M60" i="28" s="1"/>
  <c r="N77" i="28"/>
  <c r="M77" i="28" s="1"/>
  <c r="AS91" i="28"/>
  <c r="AU91" i="28"/>
  <c r="AZ91" i="28"/>
  <c r="BB91" i="28"/>
  <c r="BD91" i="28"/>
  <c r="BF91" i="28"/>
  <c r="N79" i="28"/>
  <c r="M79" i="28" s="1"/>
  <c r="AT91" i="28"/>
  <c r="AV91" i="28"/>
  <c r="AW91" i="28"/>
  <c r="BA91" i="28"/>
  <c r="BC91" i="28"/>
  <c r="BE91" i="28"/>
  <c r="AE29" i="28"/>
  <c r="AF70" i="28"/>
  <c r="N64" i="28"/>
  <c r="M64" i="28" s="1"/>
  <c r="AR51" i="28"/>
  <c r="AL51" i="28"/>
  <c r="N53" i="28"/>
  <c r="M53" i="28" s="1"/>
  <c r="N49" i="28"/>
  <c r="M49" i="28" s="1"/>
  <c r="AL44" i="28"/>
  <c r="AY44" i="28"/>
  <c r="O44" i="28"/>
  <c r="AF44" i="28"/>
  <c r="N46" i="28"/>
  <c r="M46" i="28" s="1"/>
  <c r="P44" i="28"/>
  <c r="N45" i="28"/>
  <c r="M45" i="28" s="1"/>
  <c r="AY37" i="28"/>
  <c r="N41" i="28"/>
  <c r="M41" i="28" s="1"/>
  <c r="N33" i="28"/>
  <c r="M33" i="28" s="1"/>
  <c r="M101" i="28"/>
  <c r="M103" i="28"/>
  <c r="N71" i="28"/>
  <c r="M71" i="28" s="1"/>
  <c r="N58" i="28"/>
  <c r="M58" i="28" s="1"/>
  <c r="N27" i="28"/>
  <c r="M27" i="28" s="1"/>
  <c r="N24" i="28"/>
  <c r="T21" i="28"/>
  <c r="N23" i="28"/>
  <c r="M23" i="28" s="1"/>
  <c r="Y20" i="28"/>
  <c r="V20" i="28"/>
  <c r="V9" i="28" s="1"/>
  <c r="V90" i="28" s="1"/>
  <c r="AX21" i="28"/>
  <c r="AX20" i="28" s="1"/>
  <c r="Z16" i="28"/>
  <c r="M100" i="28"/>
  <c r="AY10" i="28"/>
  <c r="AL10" i="28"/>
  <c r="BC30" i="27"/>
  <c r="BF30" i="27"/>
  <c r="BI30" i="27"/>
  <c r="BM30" i="27"/>
  <c r="BB30" i="27"/>
  <c r="BE30" i="27"/>
  <c r="BH30" i="27"/>
  <c r="BJ30" i="27"/>
  <c r="BL30" i="27"/>
  <c r="BD28" i="27"/>
  <c r="BG28" i="27"/>
  <c r="P16" i="28"/>
  <c r="R16" i="28"/>
  <c r="O21" i="28"/>
  <c r="Q21" i="28"/>
  <c r="P91" i="28"/>
  <c r="R91" i="28"/>
  <c r="Q91" i="28"/>
  <c r="BD25" i="27"/>
  <c r="BG25" i="27"/>
  <c r="M102" i="28"/>
  <c r="M99" i="28"/>
  <c r="BF92" i="28"/>
  <c r="AW92" i="28"/>
  <c r="BD24" i="27"/>
  <c r="BG24" i="27"/>
  <c r="BE94" i="28" l="1"/>
  <c r="AY91" i="28"/>
  <c r="AI94" i="28"/>
  <c r="O29" i="28"/>
  <c r="O20" i="28" s="1"/>
  <c r="O9" i="28" s="1"/>
  <c r="O90" i="28" s="1"/>
  <c r="O94" i="28" s="1"/>
  <c r="N92" i="28"/>
  <c r="M84" i="28"/>
  <c r="M92" i="28" s="1"/>
  <c r="R29" i="28"/>
  <c r="R20" i="28" s="1"/>
  <c r="R9" i="28" s="1"/>
  <c r="R90" i="28" s="1"/>
  <c r="R94" i="28" s="1"/>
  <c r="AL98" i="28"/>
  <c r="N67" i="28"/>
  <c r="M67" i="28" s="1"/>
  <c r="AF91" i="28"/>
  <c r="Z91" i="28"/>
  <c r="AL91" i="28"/>
  <c r="N76" i="28"/>
  <c r="AX9" i="28"/>
  <c r="AQ94" i="28"/>
  <c r="Q30" i="28"/>
  <c r="Q29" i="28" s="1"/>
  <c r="Q20" i="28" s="1"/>
  <c r="Q9" i="28" s="1"/>
  <c r="Q90" i="28" s="1"/>
  <c r="Q94" i="28" s="1"/>
  <c r="AF98" i="28"/>
  <c r="Z98" i="28"/>
  <c r="N62" i="28"/>
  <c r="M62" i="28" s="1"/>
  <c r="AF30" i="28"/>
  <c r="AF29" i="28" s="1"/>
  <c r="Z30" i="28"/>
  <c r="Z29" i="28" s="1"/>
  <c r="N31" i="28"/>
  <c r="AL30" i="28"/>
  <c r="AL29" i="28" s="1"/>
  <c r="P29" i="28"/>
  <c r="P20" i="28" s="1"/>
  <c r="P9" i="28" s="1"/>
  <c r="P90" i="28" s="1"/>
  <c r="P94" i="28" s="1"/>
  <c r="N81" i="28"/>
  <c r="M81" i="28" s="1"/>
  <c r="AD94" i="28"/>
  <c r="U90" i="28"/>
  <c r="AS94" i="28"/>
  <c r="AT94" i="28"/>
  <c r="AV94" i="28"/>
  <c r="AY30" i="28"/>
  <c r="AY29" i="28" s="1"/>
  <c r="BC94" i="28"/>
  <c r="AM94" i="28"/>
  <c r="AO94" i="28"/>
  <c r="AG94" i="28"/>
  <c r="BA94" i="28"/>
  <c r="AR91" i="28"/>
  <c r="BB94" i="28"/>
  <c r="AN94" i="28"/>
  <c r="AL20" i="28"/>
  <c r="AL9" i="28" s="1"/>
  <c r="BD94" i="28"/>
  <c r="AR98" i="28"/>
  <c r="BN28" i="27"/>
  <c r="T29" i="28"/>
  <c r="AP94" i="28"/>
  <c r="AB94" i="28"/>
  <c r="M96" i="28"/>
  <c r="AU94" i="28"/>
  <c r="AZ94" i="28"/>
  <c r="N56" i="28"/>
  <c r="M56" i="28" s="1"/>
  <c r="N21" i="28"/>
  <c r="N70" i="28"/>
  <c r="M70" i="28" s="1"/>
  <c r="N51" i="28"/>
  <c r="M51" i="28" s="1"/>
  <c r="N44" i="28"/>
  <c r="M44" i="28" s="1"/>
  <c r="N37" i="28"/>
  <c r="M37" i="28" s="1"/>
  <c r="AL90" i="28"/>
  <c r="AY98" i="28"/>
  <c r="T20" i="28"/>
  <c r="V94" i="28"/>
  <c r="BD30" i="27"/>
  <c r="BG30" i="27"/>
  <c r="AA94" i="28"/>
  <c r="N10" i="28"/>
  <c r="BN25" i="27"/>
  <c r="N16" i="28"/>
  <c r="BN24" i="27"/>
  <c r="N91" i="28" l="1"/>
  <c r="M76" i="28"/>
  <c r="M91" i="28" s="1"/>
  <c r="U94" i="28"/>
  <c r="T98" i="28"/>
  <c r="AL94" i="28"/>
  <c r="AL97" i="28"/>
  <c r="N30" i="28"/>
  <c r="BN30" i="27"/>
  <c r="N29" i="28" l="1"/>
  <c r="F15" i="24"/>
  <c r="BB97" i="1"/>
  <c r="BB98" i="1"/>
  <c r="BB99" i="1"/>
  <c r="AV97" i="1"/>
  <c r="AV98" i="1"/>
  <c r="AV99" i="1"/>
  <c r="AP97" i="1"/>
  <c r="AP98" i="1"/>
  <c r="AP99" i="1"/>
  <c r="I157" i="1"/>
  <c r="AP95" i="1" l="1"/>
  <c r="AV95" i="1"/>
  <c r="BB95" i="1"/>
  <c r="N20" i="28"/>
  <c r="M104" i="1"/>
  <c r="N104" i="1"/>
  <c r="Q104" i="1"/>
  <c r="Y76" i="1"/>
  <c r="S76" i="1"/>
  <c r="AO50" i="1"/>
  <c r="AN50" i="1"/>
  <c r="AM50" i="1"/>
  <c r="AL50" i="1"/>
  <c r="AK50" i="1"/>
  <c r="AI50" i="1"/>
  <c r="AH50" i="1"/>
  <c r="AG50" i="1"/>
  <c r="AF50" i="1"/>
  <c r="AE50" i="1"/>
  <c r="AC50" i="1"/>
  <c r="AB50" i="1"/>
  <c r="AA50" i="1"/>
  <c r="Z50" i="1"/>
  <c r="Y50" i="1"/>
  <c r="W50" i="1"/>
  <c r="V50" i="1"/>
  <c r="U50" i="1"/>
  <c r="T50" i="1"/>
  <c r="S50" i="1"/>
  <c r="N9" i="28" l="1"/>
  <c r="N90" i="28" s="1"/>
  <c r="N94" i="28" s="1"/>
  <c r="AK56" i="1"/>
  <c r="AE63" i="1"/>
  <c r="AF63" i="1"/>
  <c r="AG63" i="1"/>
  <c r="AH63" i="1"/>
  <c r="AI63" i="1"/>
  <c r="AK63" i="1"/>
  <c r="AL63" i="1"/>
  <c r="AM63" i="1"/>
  <c r="AN63" i="1"/>
  <c r="AO63" i="1"/>
  <c r="R52" i="1"/>
  <c r="Q52" i="1"/>
  <c r="P52" i="1"/>
  <c r="O52" i="1"/>
  <c r="N52" i="1"/>
  <c r="M52" i="1"/>
  <c r="AJ99" i="1"/>
  <c r="M99" i="1"/>
  <c r="N99" i="1"/>
  <c r="O99" i="1"/>
  <c r="P99" i="1"/>
  <c r="Q99" i="1"/>
  <c r="AJ77" i="1"/>
  <c r="AD77" i="1"/>
  <c r="R77" i="1"/>
  <c r="Q77" i="1"/>
  <c r="P77" i="1"/>
  <c r="O77" i="1"/>
  <c r="N77" i="1"/>
  <c r="M77" i="1"/>
  <c r="R73" i="1"/>
  <c r="R72" i="1"/>
  <c r="R71" i="1"/>
  <c r="X73" i="1"/>
  <c r="X72" i="1"/>
  <c r="X71" i="1"/>
  <c r="AD73" i="1"/>
  <c r="AD72" i="1"/>
  <c r="AD71" i="1"/>
  <c r="AJ73" i="1"/>
  <c r="AJ72" i="1"/>
  <c r="AJ71" i="1"/>
  <c r="Q73" i="1"/>
  <c r="P73" i="1"/>
  <c r="O73" i="1"/>
  <c r="N73" i="1"/>
  <c r="M73" i="1"/>
  <c r="Q72" i="1"/>
  <c r="P72" i="1"/>
  <c r="O72" i="1"/>
  <c r="N72" i="1"/>
  <c r="M72" i="1"/>
  <c r="Q71" i="1"/>
  <c r="P71" i="1"/>
  <c r="O71" i="1"/>
  <c r="N71" i="1"/>
  <c r="M71" i="1"/>
  <c r="S70" i="1"/>
  <c r="T70" i="1"/>
  <c r="U70" i="1"/>
  <c r="V70" i="1"/>
  <c r="W70" i="1"/>
  <c r="Y70" i="1"/>
  <c r="Z70" i="1"/>
  <c r="AA70" i="1"/>
  <c r="AB70" i="1"/>
  <c r="AC70" i="1"/>
  <c r="AE70" i="1"/>
  <c r="AF70" i="1"/>
  <c r="AG70" i="1"/>
  <c r="AH70" i="1"/>
  <c r="AI70" i="1"/>
  <c r="AK70" i="1"/>
  <c r="AL70" i="1"/>
  <c r="AM70" i="1"/>
  <c r="AN70" i="1"/>
  <c r="AO70" i="1"/>
  <c r="AJ60" i="1"/>
  <c r="AD60" i="1"/>
  <c r="R60" i="1"/>
  <c r="Q60" i="1"/>
  <c r="P60" i="1"/>
  <c r="O60" i="1"/>
  <c r="N60" i="1"/>
  <c r="M60" i="1"/>
  <c r="AJ59" i="1"/>
  <c r="AD59" i="1"/>
  <c r="R59" i="1"/>
  <c r="Q59" i="1"/>
  <c r="P59" i="1"/>
  <c r="O59" i="1"/>
  <c r="N59" i="1"/>
  <c r="M59" i="1"/>
  <c r="AJ57" i="1"/>
  <c r="AD57" i="1"/>
  <c r="R57" i="1"/>
  <c r="Q57" i="1"/>
  <c r="P57" i="1"/>
  <c r="O57" i="1"/>
  <c r="N57" i="1"/>
  <c r="M57" i="1"/>
  <c r="M55" i="1"/>
  <c r="N55" i="1"/>
  <c r="O55" i="1"/>
  <c r="P55" i="1"/>
  <c r="Q55" i="1"/>
  <c r="P70" i="1" l="1"/>
  <c r="R70" i="1"/>
  <c r="AK49" i="1"/>
  <c r="L73" i="1"/>
  <c r="L52" i="1"/>
  <c r="K52" i="1" s="1"/>
  <c r="L99" i="1"/>
  <c r="Q70" i="1"/>
  <c r="N70" i="1"/>
  <c r="L71" i="1"/>
  <c r="AD70" i="1"/>
  <c r="L77" i="1"/>
  <c r="M70" i="1"/>
  <c r="O70" i="1"/>
  <c r="L72" i="1"/>
  <c r="AJ70" i="1"/>
  <c r="X70" i="1"/>
  <c r="L59" i="1"/>
  <c r="L60" i="1"/>
  <c r="L57" i="1"/>
  <c r="L55" i="1"/>
  <c r="AJ65" i="1"/>
  <c r="AD65" i="1"/>
  <c r="Q65" i="1"/>
  <c r="P65" i="1"/>
  <c r="O65" i="1"/>
  <c r="N65" i="1"/>
  <c r="M65" i="1"/>
  <c r="AJ62" i="1"/>
  <c r="AD62" i="1"/>
  <c r="R62" i="1"/>
  <c r="Q62" i="1"/>
  <c r="P62" i="1"/>
  <c r="O62" i="1"/>
  <c r="N62" i="1"/>
  <c r="M62" i="1"/>
  <c r="K59" i="1" l="1"/>
  <c r="K40" i="28" s="1"/>
  <c r="I40" i="28" s="1"/>
  <c r="L40" i="28"/>
  <c r="J40" i="28" s="1"/>
  <c r="K73" i="1"/>
  <c r="K54" i="28" s="1"/>
  <c r="I54" i="28" s="1"/>
  <c r="L54" i="28"/>
  <c r="J54" i="28" s="1"/>
  <c r="K55" i="1"/>
  <c r="K36" i="28" s="1"/>
  <c r="I36" i="28" s="1"/>
  <c r="L36" i="28"/>
  <c r="J36" i="28" s="1"/>
  <c r="K60" i="1"/>
  <c r="K41" i="28" s="1"/>
  <c r="I41" i="28" s="1"/>
  <c r="L41" i="28"/>
  <c r="J41" i="28" s="1"/>
  <c r="K72" i="1"/>
  <c r="K53" i="28" s="1"/>
  <c r="I53" i="28" s="1"/>
  <c r="L53" i="28"/>
  <c r="J53" i="28" s="1"/>
  <c r="K77" i="1"/>
  <c r="K58" i="28" s="1"/>
  <c r="I58" i="28" s="1"/>
  <c r="L58" i="28"/>
  <c r="J58" i="28" s="1"/>
  <c r="K71" i="1"/>
  <c r="K52" i="28" s="1"/>
  <c r="I52" i="28" s="1"/>
  <c r="L52" i="28"/>
  <c r="J52" i="28" s="1"/>
  <c r="K33" i="28"/>
  <c r="I33" i="28" s="1"/>
  <c r="L33" i="28"/>
  <c r="J33" i="28" s="1"/>
  <c r="K57" i="1"/>
  <c r="L38" i="28"/>
  <c r="J38" i="28" s="1"/>
  <c r="K99" i="1"/>
  <c r="L80" i="28"/>
  <c r="L70" i="1"/>
  <c r="L51" i="28" s="1"/>
  <c r="L65" i="1"/>
  <c r="L62" i="1"/>
  <c r="L43" i="28" s="1"/>
  <c r="K38" i="28" l="1"/>
  <c r="I38" i="28" s="1"/>
  <c r="K70" i="1"/>
  <c r="K51" i="28" s="1"/>
  <c r="K62" i="1"/>
  <c r="J43" i="28"/>
  <c r="K65" i="1"/>
  <c r="K46" i="28" s="1"/>
  <c r="I46" i="28" s="1"/>
  <c r="L46" i="28"/>
  <c r="J46" i="28" s="1"/>
  <c r="P101" i="1"/>
  <c r="R119" i="1"/>
  <c r="AB118" i="1"/>
  <c r="BU103" i="1"/>
  <c r="BV103" i="1"/>
  <c r="BW103" i="1"/>
  <c r="BX103" i="1"/>
  <c r="BY103" i="1"/>
  <c r="BU100" i="1"/>
  <c r="BV100" i="1"/>
  <c r="BW100" i="1"/>
  <c r="BX100" i="1"/>
  <c r="BY100" i="1"/>
  <c r="K43" i="28" l="1"/>
  <c r="I43" i="28" s="1"/>
  <c r="BX7" i="1"/>
  <c r="BX8" i="1"/>
  <c r="M97" i="1"/>
  <c r="N97" i="1"/>
  <c r="O97" i="1"/>
  <c r="P97" i="1"/>
  <c r="Q97" i="1"/>
  <c r="M98" i="1"/>
  <c r="N98" i="1"/>
  <c r="O98" i="1"/>
  <c r="P98" i="1"/>
  <c r="Q98" i="1"/>
  <c r="M32" i="1"/>
  <c r="N32" i="1"/>
  <c r="O32" i="1"/>
  <c r="P32" i="1"/>
  <c r="Q32" i="1"/>
  <c r="L32" i="1" l="1"/>
  <c r="L98" i="1"/>
  <c r="L97" i="1"/>
  <c r="K32" i="1" l="1"/>
  <c r="K13" i="28" s="1"/>
  <c r="I13" i="28" s="1"/>
  <c r="L13" i="28"/>
  <c r="J13" i="28" s="1"/>
  <c r="K97" i="1"/>
  <c r="L78" i="28"/>
  <c r="K98" i="1"/>
  <c r="L79" i="28"/>
  <c r="AJ67" i="1" l="1"/>
  <c r="AJ68" i="1"/>
  <c r="AJ69" i="1"/>
  <c r="M67" i="1"/>
  <c r="N67" i="1"/>
  <c r="O67" i="1"/>
  <c r="P67" i="1"/>
  <c r="Q67" i="1"/>
  <c r="M69" i="1"/>
  <c r="N69" i="1"/>
  <c r="O69" i="1"/>
  <c r="P69" i="1"/>
  <c r="Q69" i="1"/>
  <c r="R69" i="1"/>
  <c r="X69" i="1"/>
  <c r="AD69" i="1"/>
  <c r="L67" i="1" l="1"/>
  <c r="L69" i="1"/>
  <c r="K67" i="1" l="1"/>
  <c r="K48" i="28" s="1"/>
  <c r="I48" i="28" s="1"/>
  <c r="L48" i="28"/>
  <c r="J48" i="28" s="1"/>
  <c r="K69" i="1"/>
  <c r="K50" i="28" s="1"/>
  <c r="I50" i="28" s="1"/>
  <c r="L50" i="28"/>
  <c r="J50" i="28" s="1"/>
  <c r="AL95" i="1"/>
  <c r="AM95" i="1"/>
  <c r="AN95" i="1"/>
  <c r="AO95" i="1"/>
  <c r="AK95" i="1"/>
  <c r="AJ98" i="1"/>
  <c r="D20" i="24" l="1"/>
  <c r="D6" i="24"/>
  <c r="D21" i="24" l="1"/>
  <c r="AJ87" i="1"/>
  <c r="AD87" i="1"/>
  <c r="X87" i="1"/>
  <c r="R87" i="1"/>
  <c r="Q87" i="1"/>
  <c r="Q86" i="1" s="1"/>
  <c r="P87" i="1"/>
  <c r="P86" i="1" s="1"/>
  <c r="O87" i="1"/>
  <c r="O86" i="1" s="1"/>
  <c r="N87" i="1"/>
  <c r="N86" i="1" s="1"/>
  <c r="M87" i="1"/>
  <c r="M86" i="1" s="1"/>
  <c r="Q68" i="1"/>
  <c r="P68" i="1"/>
  <c r="O68" i="1"/>
  <c r="N68" i="1"/>
  <c r="M68" i="1"/>
  <c r="Q66" i="1"/>
  <c r="P66" i="1"/>
  <c r="O66" i="1"/>
  <c r="N66" i="1"/>
  <c r="M66" i="1"/>
  <c r="Q64" i="1"/>
  <c r="P64" i="1"/>
  <c r="O64" i="1"/>
  <c r="N64" i="1"/>
  <c r="M64" i="1"/>
  <c r="AJ66" i="1"/>
  <c r="AJ64" i="1"/>
  <c r="AD68" i="1"/>
  <c r="AD66" i="1"/>
  <c r="AD64" i="1"/>
  <c r="X68" i="1"/>
  <c r="X66" i="1"/>
  <c r="X64" i="1"/>
  <c r="R68" i="1"/>
  <c r="R66" i="1"/>
  <c r="R64" i="1"/>
  <c r="AC63" i="1"/>
  <c r="AB63" i="1"/>
  <c r="AA63" i="1"/>
  <c r="Z63" i="1"/>
  <c r="Y63" i="1"/>
  <c r="W63" i="1"/>
  <c r="V63" i="1"/>
  <c r="U63" i="1"/>
  <c r="T63" i="1"/>
  <c r="S63" i="1"/>
  <c r="BY29" i="1"/>
  <c r="BX29" i="1"/>
  <c r="BW29" i="1"/>
  <c r="BV29" i="1"/>
  <c r="BU29" i="1"/>
  <c r="BS29" i="1"/>
  <c r="BR29" i="1"/>
  <c r="BQ29" i="1"/>
  <c r="BP29" i="1"/>
  <c r="BO29" i="1"/>
  <c r="M45" i="1"/>
  <c r="N45" i="1"/>
  <c r="O45" i="1"/>
  <c r="P45" i="1"/>
  <c r="M46" i="1"/>
  <c r="N46" i="1"/>
  <c r="O46" i="1"/>
  <c r="P46" i="1"/>
  <c r="Q45" i="1"/>
  <c r="Q46" i="1"/>
  <c r="AJ63" i="1" l="1"/>
  <c r="AD63" i="1"/>
  <c r="Q63" i="1"/>
  <c r="M63" i="1"/>
  <c r="X63" i="1"/>
  <c r="N63" i="1"/>
  <c r="P63" i="1"/>
  <c r="L87" i="1"/>
  <c r="L68" i="28" s="1"/>
  <c r="J68" i="28" s="1"/>
  <c r="L66" i="1"/>
  <c r="R63" i="1"/>
  <c r="O63" i="1"/>
  <c r="L64" i="1"/>
  <c r="L68" i="1"/>
  <c r="K68" i="1" l="1"/>
  <c r="K49" i="28" s="1"/>
  <c r="I49" i="28" s="1"/>
  <c r="L49" i="28"/>
  <c r="J49" i="28" s="1"/>
  <c r="K66" i="1"/>
  <c r="K47" i="28" s="1"/>
  <c r="I47" i="28" s="1"/>
  <c r="L47" i="28"/>
  <c r="J47" i="28" s="1"/>
  <c r="K64" i="1"/>
  <c r="K45" i="28" s="1"/>
  <c r="I45" i="28" s="1"/>
  <c r="L45" i="28"/>
  <c r="J45" i="28" s="1"/>
  <c r="K87" i="1"/>
  <c r="L86" i="1"/>
  <c r="L67" i="28" s="1"/>
  <c r="L63" i="1"/>
  <c r="L44" i="28" s="1"/>
  <c r="BI103" i="1"/>
  <c r="K63" i="1" l="1"/>
  <c r="K44" i="28" s="1"/>
  <c r="K86" i="1"/>
  <c r="K67" i="28" s="1"/>
  <c r="K68" i="28"/>
  <c r="I68" i="28" s="1"/>
  <c r="AD90" i="1" l="1"/>
  <c r="I41" i="24"/>
  <c r="AJ90" i="1"/>
  <c r="AJ89" i="1" s="1"/>
  <c r="X90" i="1"/>
  <c r="R90" i="1"/>
  <c r="Q90" i="1"/>
  <c r="Q89" i="1" s="1"/>
  <c r="P90" i="1"/>
  <c r="P89" i="1" s="1"/>
  <c r="O90" i="1"/>
  <c r="O89" i="1" s="1"/>
  <c r="N90" i="1"/>
  <c r="N89" i="1" s="1"/>
  <c r="M90" i="1"/>
  <c r="M89" i="1" s="1"/>
  <c r="Q78" i="1"/>
  <c r="P78" i="1"/>
  <c r="O78" i="1"/>
  <c r="N78" i="1"/>
  <c r="M78" i="1"/>
  <c r="W76" i="1"/>
  <c r="V76" i="1"/>
  <c r="U76" i="1"/>
  <c r="T76" i="1"/>
  <c r="AC76" i="1"/>
  <c r="AB76" i="1"/>
  <c r="AA76" i="1"/>
  <c r="Z76" i="1"/>
  <c r="X76" i="1"/>
  <c r="AI76" i="1"/>
  <c r="AH76" i="1"/>
  <c r="AG76" i="1"/>
  <c r="AF76" i="1"/>
  <c r="AE76" i="1"/>
  <c r="AO76" i="1"/>
  <c r="AN76" i="1"/>
  <c r="AM76" i="1"/>
  <c r="AL76" i="1"/>
  <c r="AK76" i="1"/>
  <c r="M76" i="1" l="1"/>
  <c r="L90" i="1"/>
  <c r="L78" i="1"/>
  <c r="AO82" i="1"/>
  <c r="AO81" i="1" s="1"/>
  <c r="AN82" i="1"/>
  <c r="AN81" i="1" s="1"/>
  <c r="AM82" i="1"/>
  <c r="AM81" i="1" s="1"/>
  <c r="AL82" i="1"/>
  <c r="AL81" i="1" s="1"/>
  <c r="AK82" i="1"/>
  <c r="AK81" i="1" s="1"/>
  <c r="AI82" i="1"/>
  <c r="AI81" i="1" s="1"/>
  <c r="AH82" i="1"/>
  <c r="AH81" i="1" s="1"/>
  <c r="AG82" i="1"/>
  <c r="AG81" i="1" s="1"/>
  <c r="AF82" i="1"/>
  <c r="AF81" i="1" s="1"/>
  <c r="AE82" i="1"/>
  <c r="AE81" i="1" s="1"/>
  <c r="AC82" i="1"/>
  <c r="AC81" i="1" s="1"/>
  <c r="AB82" i="1"/>
  <c r="AB81" i="1" s="1"/>
  <c r="AA82" i="1"/>
  <c r="AA81" i="1" s="1"/>
  <c r="Z82" i="1"/>
  <c r="Z81" i="1" s="1"/>
  <c r="Y82" i="1"/>
  <c r="Y81" i="1" s="1"/>
  <c r="W82" i="1"/>
  <c r="W81" i="1" s="1"/>
  <c r="V82" i="1"/>
  <c r="V81" i="1" s="1"/>
  <c r="U82" i="1"/>
  <c r="U81" i="1" s="1"/>
  <c r="T82" i="1"/>
  <c r="T81" i="1" s="1"/>
  <c r="S82" i="1"/>
  <c r="S81" i="1" s="1"/>
  <c r="AO75" i="1"/>
  <c r="AN75" i="1"/>
  <c r="AM75" i="1"/>
  <c r="AL75" i="1"/>
  <c r="AK75" i="1"/>
  <c r="AI75" i="1"/>
  <c r="AH75" i="1"/>
  <c r="AG75" i="1"/>
  <c r="AF75" i="1"/>
  <c r="AE75" i="1"/>
  <c r="AC75" i="1"/>
  <c r="AB75" i="1"/>
  <c r="AA75" i="1"/>
  <c r="Z75" i="1"/>
  <c r="Y75" i="1"/>
  <c r="X75" i="1"/>
  <c r="W75" i="1"/>
  <c r="V75" i="1"/>
  <c r="U75" i="1"/>
  <c r="T75" i="1"/>
  <c r="S75" i="1"/>
  <c r="AJ58" i="1"/>
  <c r="AJ56" i="1" s="1"/>
  <c r="R97" i="1"/>
  <c r="R96" i="1"/>
  <c r="R84" i="1"/>
  <c r="R83" i="1"/>
  <c r="R79" i="1"/>
  <c r="R78" i="1"/>
  <c r="R58" i="1"/>
  <c r="K78" i="1" l="1"/>
  <c r="K59" i="28" s="1"/>
  <c r="I59" i="28" s="1"/>
  <c r="L59" i="28"/>
  <c r="J59" i="28" s="1"/>
  <c r="L89" i="1"/>
  <c r="L70" i="28" s="1"/>
  <c r="L71" i="28"/>
  <c r="J71" i="28" s="1"/>
  <c r="K90" i="1"/>
  <c r="R82" i="1"/>
  <c r="R81" i="1" s="1"/>
  <c r="R76" i="1"/>
  <c r="R75" i="1" s="1"/>
  <c r="K89" i="1" l="1"/>
  <c r="K70" i="28" s="1"/>
  <c r="K71" i="28"/>
  <c r="I71" i="28" s="1"/>
  <c r="R118" i="1"/>
  <c r="X118" i="1"/>
  <c r="Q84" i="1" l="1"/>
  <c r="P84" i="1"/>
  <c r="O84" i="1"/>
  <c r="N84" i="1"/>
  <c r="M84" i="1"/>
  <c r="W29" i="1"/>
  <c r="V29" i="1"/>
  <c r="U29" i="1"/>
  <c r="S29" i="1"/>
  <c r="AC29" i="1"/>
  <c r="AB29" i="1"/>
  <c r="AA29" i="1"/>
  <c r="Z29" i="1"/>
  <c r="Y29" i="1"/>
  <c r="W35" i="1"/>
  <c r="V35" i="1"/>
  <c r="U35" i="1"/>
  <c r="T35" i="1"/>
  <c r="S35" i="1"/>
  <c r="AC35" i="1"/>
  <c r="AB35" i="1"/>
  <c r="AA35" i="1"/>
  <c r="Z35" i="1"/>
  <c r="Y35" i="1"/>
  <c r="W40" i="1"/>
  <c r="V40" i="1"/>
  <c r="U40" i="1"/>
  <c r="T40" i="1"/>
  <c r="S40" i="1"/>
  <c r="AC40" i="1"/>
  <c r="AB40" i="1"/>
  <c r="AA40" i="1"/>
  <c r="Z40" i="1"/>
  <c r="Y40" i="1"/>
  <c r="W56" i="1"/>
  <c r="W49" i="1" s="1"/>
  <c r="V56" i="1"/>
  <c r="V49" i="1" s="1"/>
  <c r="U56" i="1"/>
  <c r="U49" i="1" s="1"/>
  <c r="T56" i="1"/>
  <c r="T49" i="1" s="1"/>
  <c r="S56" i="1"/>
  <c r="S49" i="1" s="1"/>
  <c r="AC56" i="1"/>
  <c r="AC49" i="1" s="1"/>
  <c r="AB56" i="1"/>
  <c r="AB49" i="1" s="1"/>
  <c r="AA56" i="1"/>
  <c r="AA49" i="1" s="1"/>
  <c r="Z56" i="1"/>
  <c r="Z49" i="1" s="1"/>
  <c r="Y56" i="1"/>
  <c r="Y49" i="1" s="1"/>
  <c r="BM29" i="1"/>
  <c r="BL29" i="1"/>
  <c r="BK29" i="1"/>
  <c r="BJ29" i="1"/>
  <c r="BI29" i="1"/>
  <c r="BG29" i="1"/>
  <c r="BF29" i="1"/>
  <c r="BE29" i="1"/>
  <c r="BD29" i="1"/>
  <c r="BC29" i="1"/>
  <c r="BA29" i="1"/>
  <c r="AZ29" i="1"/>
  <c r="AY29" i="1"/>
  <c r="AX29" i="1"/>
  <c r="AW29" i="1"/>
  <c r="AU29" i="1"/>
  <c r="AT29" i="1"/>
  <c r="AS29" i="1"/>
  <c r="AR29" i="1"/>
  <c r="AQ29" i="1"/>
  <c r="AJ84" i="1"/>
  <c r="AO56" i="1"/>
  <c r="AN56" i="1"/>
  <c r="AM56" i="1"/>
  <c r="AL56" i="1"/>
  <c r="AK48" i="1"/>
  <c r="X84" i="1"/>
  <c r="AD84" i="1"/>
  <c r="AI56" i="1"/>
  <c r="AI49" i="1" s="1"/>
  <c r="AH56" i="1"/>
  <c r="AH49" i="1" s="1"/>
  <c r="AG56" i="1"/>
  <c r="AG49" i="1" s="1"/>
  <c r="AF56" i="1"/>
  <c r="AF49" i="1" s="1"/>
  <c r="AE56" i="1"/>
  <c r="AE49" i="1" s="1"/>
  <c r="AJ97" i="1"/>
  <c r="BE28" i="1" l="1"/>
  <c r="AQ28" i="1"/>
  <c r="AM49" i="1"/>
  <c r="AM48" i="1" s="1"/>
  <c r="AN49" i="1"/>
  <c r="AN48" i="1" s="1"/>
  <c r="AO49" i="1"/>
  <c r="AO48" i="1" s="1"/>
  <c r="AL49" i="1"/>
  <c r="AL48" i="1" s="1"/>
  <c r="BC28" i="1"/>
  <c r="BK28" i="1"/>
  <c r="BJ28" i="1"/>
  <c r="BL28" i="1"/>
  <c r="BM28" i="1"/>
  <c r="L84" i="1"/>
  <c r="Y48" i="1"/>
  <c r="Y39" i="1" s="1"/>
  <c r="Y28" i="1" s="1"/>
  <c r="AA48" i="1"/>
  <c r="AA39" i="1" s="1"/>
  <c r="AA28" i="1" s="1"/>
  <c r="T48" i="1"/>
  <c r="T39" i="1" s="1"/>
  <c r="V48" i="1"/>
  <c r="V39" i="1" s="1"/>
  <c r="W48" i="1"/>
  <c r="W39" i="1" s="1"/>
  <c r="Z48" i="1"/>
  <c r="Z39" i="1" s="1"/>
  <c r="Z28" i="1" s="1"/>
  <c r="AB48" i="1"/>
  <c r="AB39" i="1" s="1"/>
  <c r="AB28" i="1" s="1"/>
  <c r="AC48" i="1"/>
  <c r="AC39" i="1" s="1"/>
  <c r="AC28" i="1" s="1"/>
  <c r="S48" i="1"/>
  <c r="S39" i="1" s="1"/>
  <c r="U48" i="1"/>
  <c r="U39" i="1" s="1"/>
  <c r="K84" i="1" l="1"/>
  <c r="K65" i="28" s="1"/>
  <c r="I65" i="28" s="1"/>
  <c r="L65" i="28"/>
  <c r="J65" i="28" s="1"/>
  <c r="AW28" i="1"/>
  <c r="BA28" i="1"/>
  <c r="AU28" i="1"/>
  <c r="AR28" i="1"/>
  <c r="BF28" i="1"/>
  <c r="BG28" i="1"/>
  <c r="BD28" i="1"/>
  <c r="BI28" i="1"/>
  <c r="AS28" i="1"/>
  <c r="AT28" i="1"/>
  <c r="BG100" i="1"/>
  <c r="BC100" i="1"/>
  <c r="BD100" i="1"/>
  <c r="BE100" i="1"/>
  <c r="BF100" i="1"/>
  <c r="Q54" i="1"/>
  <c r="Q53" i="1"/>
  <c r="AV101" i="1"/>
  <c r="J28" i="1"/>
  <c r="AD79" i="1"/>
  <c r="AD83" i="1"/>
  <c r="AD82" i="1" s="1"/>
  <c r="AD81" i="1" s="1"/>
  <c r="AD58" i="1"/>
  <c r="AD53" i="1"/>
  <c r="AD54" i="1"/>
  <c r="AD42" i="1"/>
  <c r="AD43" i="1"/>
  <c r="AD44" i="1"/>
  <c r="AD45" i="1"/>
  <c r="AD46" i="1"/>
  <c r="AD47" i="1"/>
  <c r="AD37" i="1"/>
  <c r="AD38" i="1"/>
  <c r="AD30" i="1"/>
  <c r="AD31" i="1"/>
  <c r="Q43" i="1"/>
  <c r="Q58" i="1"/>
  <c r="Q76" i="1"/>
  <c r="Q75" i="1" s="1"/>
  <c r="Q31" i="1"/>
  <c r="Q30" i="1"/>
  <c r="AJ79" i="1"/>
  <c r="AJ83" i="1"/>
  <c r="AJ82" i="1" s="1"/>
  <c r="AJ81" i="1" s="1"/>
  <c r="AJ51" i="1"/>
  <c r="AJ54" i="1"/>
  <c r="AE48" i="1"/>
  <c r="AF48" i="1"/>
  <c r="AG48" i="1"/>
  <c r="AH48" i="1"/>
  <c r="AI48" i="1"/>
  <c r="P54" i="1"/>
  <c r="P58" i="1"/>
  <c r="O54" i="1"/>
  <c r="O58" i="1"/>
  <c r="O76" i="1"/>
  <c r="O75" i="1" s="1"/>
  <c r="N54" i="1"/>
  <c r="N58" i="1"/>
  <c r="N76" i="1"/>
  <c r="N75" i="1" s="1"/>
  <c r="M58" i="1"/>
  <c r="M56" i="1" s="1"/>
  <c r="M75" i="1"/>
  <c r="BK27" i="13"/>
  <c r="Q79" i="1"/>
  <c r="P76" i="1"/>
  <c r="P75" i="1" s="1"/>
  <c r="P79" i="1"/>
  <c r="O79" i="1"/>
  <c r="N79" i="1"/>
  <c r="M79" i="1"/>
  <c r="P51" i="1"/>
  <c r="P53" i="1"/>
  <c r="O51" i="1"/>
  <c r="O53" i="1"/>
  <c r="N51" i="1"/>
  <c r="N53" i="1"/>
  <c r="M53" i="1"/>
  <c r="M54" i="1"/>
  <c r="BB24" i="13"/>
  <c r="BC24" i="13"/>
  <c r="BE24" i="13"/>
  <c r="W5" i="1" s="1"/>
  <c r="BF24" i="13"/>
  <c r="BH24" i="13"/>
  <c r="BI24" i="13"/>
  <c r="BJ24" i="13"/>
  <c r="BK24" i="13"/>
  <c r="BL24" i="13"/>
  <c r="BM24" i="13"/>
  <c r="BB25" i="13"/>
  <c r="AH5" i="1" s="1"/>
  <c r="BC25" i="13"/>
  <c r="BE25" i="13"/>
  <c r="AI5" i="1" s="1"/>
  <c r="BF25" i="13"/>
  <c r="AO5" i="1" s="1"/>
  <c r="BH25" i="13"/>
  <c r="BI25" i="13"/>
  <c r="BJ25" i="13"/>
  <c r="BK25" i="13"/>
  <c r="BL25" i="13"/>
  <c r="BM25" i="13"/>
  <c r="BB26" i="13"/>
  <c r="AT5" i="1" s="1"/>
  <c r="BC26" i="13"/>
  <c r="AZ5" i="1" s="1"/>
  <c r="BE26" i="13"/>
  <c r="AU5" i="1" s="1"/>
  <c r="BF26" i="13"/>
  <c r="BA5" i="1" s="1"/>
  <c r="BH26" i="13"/>
  <c r="BI26" i="13"/>
  <c r="BK26" i="13"/>
  <c r="BL26" i="13"/>
  <c r="BM26" i="13"/>
  <c r="BB27" i="13"/>
  <c r="BF5" i="1" s="1"/>
  <c r="BC27" i="13"/>
  <c r="BE27" i="13"/>
  <c r="BG5" i="1" s="1"/>
  <c r="BF27" i="13"/>
  <c r="BH27" i="13"/>
  <c r="BI27" i="13"/>
  <c r="BJ27" i="13"/>
  <c r="BM27" i="13"/>
  <c r="BB28" i="13"/>
  <c r="BC28" i="13"/>
  <c r="BX5" i="1" s="1"/>
  <c r="BE28" i="13"/>
  <c r="BS5" i="1" s="1"/>
  <c r="BF28" i="13"/>
  <c r="BY5" i="1" s="1"/>
  <c r="BH28" i="13"/>
  <c r="BI28" i="13"/>
  <c r="BJ28" i="13"/>
  <c r="BK28" i="13"/>
  <c r="BL28" i="13"/>
  <c r="BM28" i="13"/>
  <c r="BR5" i="1"/>
  <c r="M30" i="1"/>
  <c r="N30" i="1"/>
  <c r="O30" i="1"/>
  <c r="P30" i="1"/>
  <c r="M31" i="1"/>
  <c r="N31" i="1"/>
  <c r="O31" i="1"/>
  <c r="P31" i="1"/>
  <c r="M33" i="1"/>
  <c r="N33" i="1"/>
  <c r="O33" i="1"/>
  <c r="P33" i="1"/>
  <c r="M34" i="1"/>
  <c r="N34" i="1"/>
  <c r="O34" i="1"/>
  <c r="P34" i="1"/>
  <c r="M36" i="1"/>
  <c r="N36" i="1"/>
  <c r="O36" i="1"/>
  <c r="P36" i="1"/>
  <c r="M37" i="1"/>
  <c r="N37" i="1"/>
  <c r="O37" i="1"/>
  <c r="P37" i="1"/>
  <c r="M38" i="1"/>
  <c r="N38" i="1"/>
  <c r="O38" i="1"/>
  <c r="P38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7" i="1"/>
  <c r="N47" i="1"/>
  <c r="O47" i="1"/>
  <c r="P47" i="1"/>
  <c r="M51" i="1"/>
  <c r="M83" i="1"/>
  <c r="M81" i="1" s="1"/>
  <c r="N83" i="1"/>
  <c r="N81" i="1" s="1"/>
  <c r="O83" i="1"/>
  <c r="O81" i="1" s="1"/>
  <c r="P83" i="1"/>
  <c r="P81" i="1" s="1"/>
  <c r="S95" i="1"/>
  <c r="T95" i="1"/>
  <c r="U95" i="1"/>
  <c r="V95" i="1"/>
  <c r="W95" i="1"/>
  <c r="S100" i="1"/>
  <c r="T100" i="1"/>
  <c r="U100" i="1"/>
  <c r="V100" i="1"/>
  <c r="W100" i="1"/>
  <c r="S103" i="1"/>
  <c r="T103" i="1"/>
  <c r="T111" i="1" s="1"/>
  <c r="U103" i="1"/>
  <c r="U111" i="1" s="1"/>
  <c r="V103" i="1"/>
  <c r="V111" i="1" s="1"/>
  <c r="W103" i="1"/>
  <c r="W111" i="1" s="1"/>
  <c r="Y95" i="1"/>
  <c r="Z95" i="1"/>
  <c r="AA95" i="1"/>
  <c r="AB95" i="1"/>
  <c r="AC95" i="1"/>
  <c r="Y100" i="1"/>
  <c r="Z100" i="1"/>
  <c r="AA100" i="1"/>
  <c r="AB100" i="1"/>
  <c r="AC100" i="1"/>
  <c r="Y103" i="1"/>
  <c r="Z103" i="1"/>
  <c r="Z111" i="1" s="1"/>
  <c r="AA103" i="1"/>
  <c r="AA111" i="1" s="1"/>
  <c r="AB103" i="1"/>
  <c r="AB111" i="1" s="1"/>
  <c r="AC103" i="1"/>
  <c r="AC111" i="1" s="1"/>
  <c r="AE95" i="1"/>
  <c r="AF95" i="1"/>
  <c r="AG95" i="1"/>
  <c r="AH95" i="1"/>
  <c r="AI95" i="1"/>
  <c r="AE100" i="1"/>
  <c r="AF100" i="1"/>
  <c r="AG100" i="1"/>
  <c r="AH100" i="1"/>
  <c r="AI100" i="1"/>
  <c r="AE103" i="1"/>
  <c r="AF103" i="1"/>
  <c r="AF111" i="1" s="1"/>
  <c r="AG103" i="1"/>
  <c r="AG111" i="1" s="1"/>
  <c r="AH103" i="1"/>
  <c r="AH111" i="1" s="1"/>
  <c r="AI103" i="1"/>
  <c r="AI111" i="1" s="1"/>
  <c r="AK100" i="1"/>
  <c r="AL100" i="1"/>
  <c r="AM100" i="1"/>
  <c r="AN100" i="1"/>
  <c r="AN110" i="1" s="1"/>
  <c r="AO100" i="1"/>
  <c r="AK103" i="1"/>
  <c r="AL103" i="1"/>
  <c r="AL111" i="1" s="1"/>
  <c r="AM103" i="1"/>
  <c r="AM111" i="1" s="1"/>
  <c r="AN103" i="1"/>
  <c r="AN111" i="1" s="1"/>
  <c r="AO103" i="1"/>
  <c r="AQ100" i="1"/>
  <c r="AR100" i="1"/>
  <c r="AS100" i="1"/>
  <c r="AT100" i="1"/>
  <c r="AU100" i="1"/>
  <c r="AQ103" i="1"/>
  <c r="AR103" i="1"/>
  <c r="AR111" i="1" s="1"/>
  <c r="AS103" i="1"/>
  <c r="AS111" i="1" s="1"/>
  <c r="AT103" i="1"/>
  <c r="AT111" i="1" s="1"/>
  <c r="AU103" i="1"/>
  <c r="AU111" i="1" s="1"/>
  <c r="AW100" i="1"/>
  <c r="AX100" i="1"/>
  <c r="AY100" i="1"/>
  <c r="AZ100" i="1"/>
  <c r="BA100" i="1"/>
  <c r="AW103" i="1"/>
  <c r="AX103" i="1"/>
  <c r="AY103" i="1"/>
  <c r="AY111" i="1" s="1"/>
  <c r="AZ103" i="1"/>
  <c r="AZ111" i="1" s="1"/>
  <c r="BA103" i="1"/>
  <c r="BD110" i="1"/>
  <c r="BF110" i="1"/>
  <c r="BC103" i="1"/>
  <c r="BD103" i="1"/>
  <c r="BD111" i="1" s="1"/>
  <c r="BE103" i="1"/>
  <c r="BE111" i="1" s="1"/>
  <c r="BF103" i="1"/>
  <c r="BF111" i="1" s="1"/>
  <c r="BG103" i="1"/>
  <c r="BG111" i="1" s="1"/>
  <c r="BI100" i="1"/>
  <c r="BJ100" i="1"/>
  <c r="BK100" i="1"/>
  <c r="BL100" i="1"/>
  <c r="BM100" i="1"/>
  <c r="BI111" i="1"/>
  <c r="BJ103" i="1"/>
  <c r="BK103" i="1"/>
  <c r="BK111" i="1" s="1"/>
  <c r="BL103" i="1"/>
  <c r="BL111" i="1" s="1"/>
  <c r="BM103" i="1"/>
  <c r="BO100" i="1"/>
  <c r="BP100" i="1"/>
  <c r="BQ100" i="1"/>
  <c r="BR100" i="1"/>
  <c r="BS100" i="1"/>
  <c r="BO103" i="1"/>
  <c r="BP103" i="1"/>
  <c r="BP111" i="1" s="1"/>
  <c r="BQ103" i="1"/>
  <c r="BQ111" i="1" s="1"/>
  <c r="BR103" i="1"/>
  <c r="BR111" i="1" s="1"/>
  <c r="BS103" i="1"/>
  <c r="BS111" i="1" s="1"/>
  <c r="BU111" i="1"/>
  <c r="BV111" i="1"/>
  <c r="BX111" i="1"/>
  <c r="BY111" i="1"/>
  <c r="Q33" i="1"/>
  <c r="Q34" i="1"/>
  <c r="Q36" i="1"/>
  <c r="Q37" i="1"/>
  <c r="Q38" i="1"/>
  <c r="Q41" i="1"/>
  <c r="Q42" i="1"/>
  <c r="Q44" i="1"/>
  <c r="Q47" i="1"/>
  <c r="Q51" i="1"/>
  <c r="Q83" i="1"/>
  <c r="Q81" i="1" s="1"/>
  <c r="M96" i="1"/>
  <c r="M95" i="1" s="1"/>
  <c r="N96" i="1"/>
  <c r="N95" i="1" s="1"/>
  <c r="O96" i="1"/>
  <c r="O95" i="1" s="1"/>
  <c r="P96" i="1"/>
  <c r="P95" i="1" s="1"/>
  <c r="Q96" i="1"/>
  <c r="Q95" i="1" s="1"/>
  <c r="M101" i="1"/>
  <c r="N101" i="1"/>
  <c r="O101" i="1"/>
  <c r="Q101" i="1"/>
  <c r="M102" i="1"/>
  <c r="N102" i="1"/>
  <c r="O102" i="1"/>
  <c r="P102" i="1"/>
  <c r="Q102" i="1"/>
  <c r="O104" i="1"/>
  <c r="P104" i="1"/>
  <c r="BH104" i="1"/>
  <c r="BH103" i="1" s="1"/>
  <c r="BH111" i="1" s="1"/>
  <c r="AV104" i="1"/>
  <c r="AV103" i="1" s="1"/>
  <c r="AV111" i="1" s="1"/>
  <c r="AK29" i="1"/>
  <c r="AK35" i="1"/>
  <c r="AK40" i="1"/>
  <c r="AL29" i="1"/>
  <c r="AL35" i="1"/>
  <c r="AL40" i="1"/>
  <c r="AM29" i="1"/>
  <c r="AM35" i="1"/>
  <c r="AM40" i="1"/>
  <c r="AN29" i="1"/>
  <c r="AN35" i="1"/>
  <c r="AN40" i="1"/>
  <c r="AO29" i="1"/>
  <c r="AO35" i="1"/>
  <c r="AO40" i="1"/>
  <c r="AJ104" i="1"/>
  <c r="AJ103" i="1" s="1"/>
  <c r="AJ111" i="1" s="1"/>
  <c r="AE29" i="1"/>
  <c r="AE35" i="1"/>
  <c r="AE40" i="1"/>
  <c r="AF29" i="1"/>
  <c r="AF35" i="1"/>
  <c r="AF40" i="1"/>
  <c r="AG29" i="1"/>
  <c r="AG35" i="1"/>
  <c r="AG40" i="1"/>
  <c r="AH29" i="1"/>
  <c r="AH35" i="1"/>
  <c r="AH40" i="1"/>
  <c r="AI29" i="1"/>
  <c r="AI35" i="1"/>
  <c r="AI40" i="1"/>
  <c r="AD104" i="1"/>
  <c r="X104" i="1"/>
  <c r="BT104" i="1"/>
  <c r="BT103" i="1" s="1"/>
  <c r="BT111" i="1" s="1"/>
  <c r="BN104" i="1"/>
  <c r="BN103" i="1" s="1"/>
  <c r="BN111" i="1" s="1"/>
  <c r="BB104" i="1"/>
  <c r="AP104" i="1"/>
  <c r="R34" i="1"/>
  <c r="R36" i="1"/>
  <c r="R41" i="1"/>
  <c r="R51" i="1"/>
  <c r="R33" i="1"/>
  <c r="R31" i="1"/>
  <c r="R38" i="1"/>
  <c r="R37" i="1"/>
  <c r="R47" i="1"/>
  <c r="R46" i="1"/>
  <c r="R45" i="1"/>
  <c r="R44" i="1"/>
  <c r="R43" i="1"/>
  <c r="R42" i="1"/>
  <c r="R54" i="1"/>
  <c r="X34" i="1"/>
  <c r="X33" i="1"/>
  <c r="X31" i="1"/>
  <c r="X30" i="1"/>
  <c r="X38" i="1"/>
  <c r="X37" i="1"/>
  <c r="X36" i="1"/>
  <c r="X47" i="1"/>
  <c r="X46" i="1"/>
  <c r="X45" i="1"/>
  <c r="X44" i="1"/>
  <c r="X43" i="1"/>
  <c r="X42" i="1"/>
  <c r="X41" i="1"/>
  <c r="X51" i="1"/>
  <c r="X54" i="1"/>
  <c r="X83" i="1"/>
  <c r="X82" i="1" s="1"/>
  <c r="X81" i="1" s="1"/>
  <c r="AD34" i="1"/>
  <c r="AD36" i="1"/>
  <c r="AD41" i="1"/>
  <c r="AD51" i="1"/>
  <c r="AD33" i="1"/>
  <c r="AJ34" i="1"/>
  <c r="AJ33" i="1"/>
  <c r="AJ31" i="1"/>
  <c r="AJ30" i="1"/>
  <c r="AJ38" i="1"/>
  <c r="AJ37" i="1"/>
  <c r="AJ36" i="1"/>
  <c r="AJ47" i="1"/>
  <c r="AJ46" i="1"/>
  <c r="AJ45" i="1"/>
  <c r="AJ44" i="1"/>
  <c r="AJ43" i="1"/>
  <c r="AJ42" i="1"/>
  <c r="AJ41" i="1"/>
  <c r="R120" i="1"/>
  <c r="I28" i="1"/>
  <c r="R56" i="1"/>
  <c r="X56" i="1"/>
  <c r="A90" i="24"/>
  <c r="B90" i="24"/>
  <c r="A91" i="24"/>
  <c r="B91" i="24"/>
  <c r="A92" i="24"/>
  <c r="B92" i="24"/>
  <c r="A93" i="24"/>
  <c r="B93" i="24"/>
  <c r="A94" i="24"/>
  <c r="B94" i="24"/>
  <c r="A95" i="24"/>
  <c r="B95" i="24"/>
  <c r="A96" i="24"/>
  <c r="B96" i="24"/>
  <c r="A97" i="24"/>
  <c r="B97" i="24"/>
  <c r="A98" i="24"/>
  <c r="B98" i="24"/>
  <c r="A68" i="24"/>
  <c r="A69" i="24"/>
  <c r="A70" i="24"/>
  <c r="A71" i="24"/>
  <c r="A72" i="24"/>
  <c r="A73" i="24"/>
  <c r="A74" i="24"/>
  <c r="A75" i="24"/>
  <c r="A76" i="24"/>
  <c r="BY112" i="1"/>
  <c r="BX112" i="1"/>
  <c r="BW112" i="1"/>
  <c r="BV112" i="1"/>
  <c r="BU112" i="1"/>
  <c r="BS112" i="1"/>
  <c r="BR112" i="1"/>
  <c r="BQ112" i="1"/>
  <c r="BP112" i="1"/>
  <c r="BO112" i="1"/>
  <c r="BM112" i="1"/>
  <c r="BL112" i="1"/>
  <c r="BK112" i="1"/>
  <c r="BJ112" i="1"/>
  <c r="BI112" i="1"/>
  <c r="BG112" i="1"/>
  <c r="BF112" i="1"/>
  <c r="BE112" i="1"/>
  <c r="BD112" i="1"/>
  <c r="BC112" i="1"/>
  <c r="BA112" i="1"/>
  <c r="AZ112" i="1"/>
  <c r="AY112" i="1"/>
  <c r="AX112" i="1"/>
  <c r="AW112" i="1"/>
  <c r="AU112" i="1"/>
  <c r="AT112" i="1"/>
  <c r="AS112" i="1"/>
  <c r="AR112" i="1"/>
  <c r="AQ112" i="1"/>
  <c r="AO112" i="1"/>
  <c r="AN112" i="1"/>
  <c r="AM112" i="1"/>
  <c r="AL112" i="1"/>
  <c r="AK112" i="1"/>
  <c r="AI112" i="1"/>
  <c r="AH112" i="1"/>
  <c r="AG112" i="1"/>
  <c r="AF112" i="1"/>
  <c r="AE112" i="1"/>
  <c r="AC112" i="1"/>
  <c r="AB112" i="1"/>
  <c r="AA112" i="1"/>
  <c r="Z112" i="1"/>
  <c r="Y112" i="1"/>
  <c r="W112" i="1"/>
  <c r="S112" i="1"/>
  <c r="T112" i="1"/>
  <c r="U112" i="1"/>
  <c r="V112" i="1"/>
  <c r="Q112" i="1"/>
  <c r="L112" i="1"/>
  <c r="M112" i="1"/>
  <c r="N112" i="1"/>
  <c r="O112" i="1"/>
  <c r="P112" i="1"/>
  <c r="BW111" i="1"/>
  <c r="BM111" i="1"/>
  <c r="BA111" i="1"/>
  <c r="AX111" i="1"/>
  <c r="AO111" i="1"/>
  <c r="M103" i="1"/>
  <c r="M111" i="1" s="1"/>
  <c r="N103" i="1"/>
  <c r="N111" i="1" s="1"/>
  <c r="J111" i="1"/>
  <c r="J112" i="1"/>
  <c r="I112" i="1"/>
  <c r="X120" i="1"/>
  <c r="AD120" i="1"/>
  <c r="AJ120" i="1"/>
  <c r="AP120" i="1"/>
  <c r="AV120" i="1"/>
  <c r="BN120" i="1"/>
  <c r="BT120" i="1"/>
  <c r="J39" i="1"/>
  <c r="I39" i="1"/>
  <c r="J29" i="1"/>
  <c r="I29" i="1"/>
  <c r="R102" i="1"/>
  <c r="R101" i="1"/>
  <c r="A5" i="24"/>
  <c r="A54" i="24" s="1"/>
  <c r="A4" i="24"/>
  <c r="A53" i="24" s="1"/>
  <c r="BT102" i="1"/>
  <c r="BN102" i="1"/>
  <c r="BN101" i="1"/>
  <c r="BH102" i="1"/>
  <c r="BH101" i="1"/>
  <c r="BB102" i="1"/>
  <c r="BB101" i="1"/>
  <c r="AV102" i="1"/>
  <c r="AP102" i="1"/>
  <c r="AP101" i="1"/>
  <c r="AJ96" i="1"/>
  <c r="AJ102" i="1"/>
  <c r="AJ101" i="1"/>
  <c r="AD96" i="1"/>
  <c r="AD102" i="1"/>
  <c r="AD101" i="1"/>
  <c r="X96" i="1"/>
  <c r="X102" i="1"/>
  <c r="X101" i="1"/>
  <c r="R103" i="1"/>
  <c r="A108" i="1"/>
  <c r="A107" i="1"/>
  <c r="B36" i="13"/>
  <c r="B35" i="13"/>
  <c r="B37" i="13"/>
  <c r="B38" i="13"/>
  <c r="F57" i="24"/>
  <c r="B44" i="13"/>
  <c r="B43" i="13"/>
  <c r="B42" i="13"/>
  <c r="B41" i="13"/>
  <c r="B40" i="13"/>
  <c r="B39" i="13"/>
  <c r="I103" i="1"/>
  <c r="I111" i="1" s="1"/>
  <c r="BU110" i="1"/>
  <c r="V5" i="1"/>
  <c r="AN5" i="1"/>
  <c r="P103" i="1"/>
  <c r="P111" i="1" s="1"/>
  <c r="V28" i="1"/>
  <c r="U28" i="1"/>
  <c r="S28" i="1"/>
  <c r="AY28" i="1"/>
  <c r="AN7" i="1" l="1"/>
  <c r="BR7" i="1"/>
  <c r="AZ7" i="1"/>
  <c r="BL7" i="1"/>
  <c r="BF7" i="1"/>
  <c r="AT7" i="1"/>
  <c r="L101" i="1"/>
  <c r="BO111" i="1"/>
  <c r="BR8" i="1"/>
  <c r="BJ111" i="1"/>
  <c r="BL8" i="1"/>
  <c r="BC111" i="1"/>
  <c r="BF8" i="1"/>
  <c r="AW111" i="1"/>
  <c r="AZ8" i="1"/>
  <c r="AE111" i="1"/>
  <c r="AH8" i="1"/>
  <c r="S111" i="1"/>
  <c r="V8" i="1"/>
  <c r="AH7" i="1"/>
  <c r="V7" i="1"/>
  <c r="AQ111" i="1"/>
  <c r="AT8" i="1"/>
  <c r="AK111" i="1"/>
  <c r="AN8" i="1"/>
  <c r="Y111" i="1"/>
  <c r="AB8" i="1"/>
  <c r="AB7" i="1"/>
  <c r="N100" i="1"/>
  <c r="N110" i="1" s="1"/>
  <c r="AD50" i="1"/>
  <c r="BG110" i="1"/>
  <c r="Q50" i="1"/>
  <c r="AJ95" i="1"/>
  <c r="AJ115" i="1" s="1"/>
  <c r="BL110" i="1"/>
  <c r="BI110" i="1"/>
  <c r="AZ110" i="1"/>
  <c r="AH110" i="1"/>
  <c r="BD24" i="13"/>
  <c r="X50" i="1"/>
  <c r="X49" i="1" s="1"/>
  <c r="X48" i="1" s="1"/>
  <c r="R50" i="1"/>
  <c r="R49" i="1" s="1"/>
  <c r="R48" i="1" s="1"/>
  <c r="M50" i="1"/>
  <c r="M49" i="1" s="1"/>
  <c r="E18" i="24"/>
  <c r="D18" i="24"/>
  <c r="D19" i="24" s="1"/>
  <c r="BK110" i="1"/>
  <c r="Y110" i="1"/>
  <c r="N50" i="1"/>
  <c r="O50" i="1"/>
  <c r="P50" i="1"/>
  <c r="AJ50" i="1"/>
  <c r="AJ49" i="1" s="1"/>
  <c r="L76" i="1"/>
  <c r="AJ114" i="1"/>
  <c r="BT114" i="1"/>
  <c r="BN114" i="1"/>
  <c r="BH114" i="1"/>
  <c r="BB114" i="1"/>
  <c r="AV114" i="1"/>
  <c r="AP114" i="1"/>
  <c r="AD114" i="1"/>
  <c r="X114" i="1"/>
  <c r="AY110" i="1"/>
  <c r="AF110" i="1"/>
  <c r="AG110" i="1"/>
  <c r="Z110" i="1"/>
  <c r="BK109" i="1"/>
  <c r="BP110" i="1"/>
  <c r="BM110" i="1"/>
  <c r="BJ110" i="1"/>
  <c r="AW110" i="1"/>
  <c r="AQ110" i="1"/>
  <c r="AR110" i="1"/>
  <c r="S110" i="1"/>
  <c r="V109" i="1"/>
  <c r="L104" i="1"/>
  <c r="K104" i="1" s="1"/>
  <c r="L38" i="1"/>
  <c r="BS28" i="1"/>
  <c r="BR28" i="1"/>
  <c r="BQ28" i="1"/>
  <c r="BP28" i="1"/>
  <c r="BO28" i="1"/>
  <c r="BX28" i="1"/>
  <c r="BV28" i="1"/>
  <c r="BV109" i="1" s="1"/>
  <c r="BG109" i="1"/>
  <c r="BD25" i="13"/>
  <c r="BD28" i="13"/>
  <c r="BG25" i="13"/>
  <c r="AJ76" i="1"/>
  <c r="AJ75" i="1" s="1"/>
  <c r="BT29" i="1"/>
  <c r="BN29" i="1"/>
  <c r="BG28" i="13"/>
  <c r="BJ29" i="13"/>
  <c r="BH29" i="13"/>
  <c r="BB29" i="13"/>
  <c r="BK29" i="13"/>
  <c r="BL29" i="13"/>
  <c r="AB5" i="1"/>
  <c r="BE29" i="13"/>
  <c r="BG24" i="13"/>
  <c r="BC29" i="13"/>
  <c r="BE109" i="1"/>
  <c r="BL109" i="1"/>
  <c r="BL113" i="1" s="1"/>
  <c r="O100" i="1"/>
  <c r="O110" i="1" s="1"/>
  <c r="M100" i="1"/>
  <c r="M110" i="1" s="1"/>
  <c r="Q100" i="1"/>
  <c r="Q110" i="1" s="1"/>
  <c r="BX110" i="1"/>
  <c r="BW110" i="1"/>
  <c r="BQ110" i="1"/>
  <c r="BO110" i="1"/>
  <c r="BS110" i="1"/>
  <c r="BA110" i="1"/>
  <c r="AS110" i="1"/>
  <c r="AU110" i="1"/>
  <c r="AL110" i="1"/>
  <c r="AM110" i="1"/>
  <c r="AE110" i="1"/>
  <c r="AC110" i="1"/>
  <c r="U110" i="1"/>
  <c r="AA110" i="1"/>
  <c r="L96" i="1"/>
  <c r="V110" i="1"/>
  <c r="BE110" i="1"/>
  <c r="L102" i="1"/>
  <c r="AP103" i="1"/>
  <c r="AP111" i="1" s="1"/>
  <c r="AU109" i="1"/>
  <c r="O103" i="1"/>
  <c r="O111" i="1" s="1"/>
  <c r="AA109" i="1"/>
  <c r="Y109" i="1"/>
  <c r="Y113" i="1" s="1"/>
  <c r="O82" i="1"/>
  <c r="M82" i="1"/>
  <c r="AJ35" i="1"/>
  <c r="AJ29" i="1"/>
  <c r="BC110" i="1"/>
  <c r="Q82" i="1"/>
  <c r="P82" i="1"/>
  <c r="N82" i="1"/>
  <c r="AD76" i="1"/>
  <c r="AD75" i="1" s="1"/>
  <c r="BG27" i="13"/>
  <c r="D67" i="24"/>
  <c r="AV100" i="1"/>
  <c r="AT109" i="1"/>
  <c r="AS109" i="1"/>
  <c r="BB103" i="1"/>
  <c r="BB111" i="1" s="1"/>
  <c r="BD109" i="1"/>
  <c r="BD113" i="1" s="1"/>
  <c r="BC109" i="1"/>
  <c r="X103" i="1"/>
  <c r="X111" i="1" s="1"/>
  <c r="AD103" i="1"/>
  <c r="AD111" i="1" s="1"/>
  <c r="T110" i="1"/>
  <c r="AP100" i="1"/>
  <c r="BN100" i="1"/>
  <c r="BT115" i="1"/>
  <c r="AC109" i="1"/>
  <c r="Z109" i="1"/>
  <c r="AO39" i="1"/>
  <c r="AO28" i="1" s="1"/>
  <c r="Q29" i="1"/>
  <c r="X100" i="1"/>
  <c r="AJ100" i="1"/>
  <c r="BH100" i="1"/>
  <c r="U109" i="1"/>
  <c r="AV115" i="1"/>
  <c r="L43" i="1"/>
  <c r="L53" i="1"/>
  <c r="L34" i="28" s="1"/>
  <c r="J34" i="28" s="1"/>
  <c r="L44" i="1"/>
  <c r="AP115" i="1"/>
  <c r="BB100" i="1"/>
  <c r="BT100" i="1"/>
  <c r="R115" i="1"/>
  <c r="BB29" i="1"/>
  <c r="X29" i="1"/>
  <c r="AH39" i="1"/>
  <c r="AH28" i="1" s="1"/>
  <c r="R95" i="1"/>
  <c r="AG39" i="1"/>
  <c r="AG28" i="1" s="1"/>
  <c r="S109" i="1"/>
  <c r="L45" i="1"/>
  <c r="L33" i="1"/>
  <c r="X40" i="1"/>
  <c r="AI39" i="1"/>
  <c r="AI28" i="1" s="1"/>
  <c r="AF39" i="1"/>
  <c r="AF28" i="1" s="1"/>
  <c r="AD35" i="1"/>
  <c r="K119" i="1"/>
  <c r="BL5" i="1"/>
  <c r="BI29" i="13"/>
  <c r="BM5" i="1"/>
  <c r="BD27" i="13"/>
  <c r="BD26" i="13"/>
  <c r="BM29" i="13"/>
  <c r="BF29" i="13"/>
  <c r="BG26" i="13"/>
  <c r="E67" i="24"/>
  <c r="AC5" i="1"/>
  <c r="BN25" i="13"/>
  <c r="R40" i="1"/>
  <c r="AN39" i="1"/>
  <c r="AN28" i="1" s="1"/>
  <c r="AL39" i="1"/>
  <c r="AL28" i="1" s="1"/>
  <c r="AL109" i="1" s="1"/>
  <c r="Q35" i="1"/>
  <c r="P40" i="1"/>
  <c r="N40" i="1"/>
  <c r="O35" i="1"/>
  <c r="M35" i="1"/>
  <c r="O29" i="1"/>
  <c r="M29" i="1"/>
  <c r="P56" i="1"/>
  <c r="P49" i="1" s="1"/>
  <c r="Q56" i="1"/>
  <c r="X35" i="1"/>
  <c r="R35" i="1"/>
  <c r="AM39" i="1"/>
  <c r="AM28" i="1" s="1"/>
  <c r="AM109" i="1" s="1"/>
  <c r="AM113" i="1" s="1"/>
  <c r="AK39" i="1"/>
  <c r="AK28" i="1" s="1"/>
  <c r="AK109" i="1" s="1"/>
  <c r="O40" i="1"/>
  <c r="M40" i="1"/>
  <c r="P35" i="1"/>
  <c r="N35" i="1"/>
  <c r="P29" i="1"/>
  <c r="N29" i="1"/>
  <c r="N56" i="1"/>
  <c r="N49" i="1" s="1"/>
  <c r="O56" i="1"/>
  <c r="Q40" i="1"/>
  <c r="BH29" i="1"/>
  <c r="BM109" i="1"/>
  <c r="AP29" i="1"/>
  <c r="R111" i="1"/>
  <c r="X115" i="1"/>
  <c r="AV29" i="1"/>
  <c r="P100" i="1"/>
  <c r="P110" i="1" s="1"/>
  <c r="BY110" i="1"/>
  <c r="AX110" i="1"/>
  <c r="AI110" i="1"/>
  <c r="AB110" i="1"/>
  <c r="W110" i="1"/>
  <c r="AD56" i="1"/>
  <c r="AZ28" i="1"/>
  <c r="BF109" i="1"/>
  <c r="BF113" i="1" s="1"/>
  <c r="W28" i="1"/>
  <c r="AY109" i="1"/>
  <c r="BI109" i="1"/>
  <c r="AR109" i="1"/>
  <c r="BA109" i="1"/>
  <c r="AQ109" i="1"/>
  <c r="L79" i="1"/>
  <c r="L51" i="1"/>
  <c r="L32" i="28" s="1"/>
  <c r="J32" i="28" s="1"/>
  <c r="AO110" i="1"/>
  <c r="AK110" i="1"/>
  <c r="L58" i="1"/>
  <c r="L41" i="1"/>
  <c r="L22" i="28" s="1"/>
  <c r="J22" i="28" s="1"/>
  <c r="L36" i="1"/>
  <c r="L54" i="1"/>
  <c r="L35" i="28" s="1"/>
  <c r="J35" i="28" s="1"/>
  <c r="AD40" i="1"/>
  <c r="J109" i="1"/>
  <c r="L30" i="1"/>
  <c r="X95" i="1"/>
  <c r="AD100" i="1"/>
  <c r="AD95" i="1"/>
  <c r="BB115" i="1"/>
  <c r="BH115" i="1"/>
  <c r="BN115" i="1"/>
  <c r="R100" i="1"/>
  <c r="Q103" i="1"/>
  <c r="Q111" i="1" s="1"/>
  <c r="BV110" i="1"/>
  <c r="BR110" i="1"/>
  <c r="AT110" i="1"/>
  <c r="BJ109" i="1"/>
  <c r="AW109" i="1"/>
  <c r="K101" i="1"/>
  <c r="AB109" i="1"/>
  <c r="AD115" i="1"/>
  <c r="AJ40" i="1"/>
  <c r="I109" i="1"/>
  <c r="K120" i="1"/>
  <c r="L83" i="1"/>
  <c r="L64" i="28" s="1"/>
  <c r="J64" i="28" s="1"/>
  <c r="L47" i="1"/>
  <c r="L46" i="1"/>
  <c r="L42" i="1"/>
  <c r="L37" i="1"/>
  <c r="L34" i="1"/>
  <c r="P119" i="1"/>
  <c r="AD29" i="1"/>
  <c r="K118" i="1"/>
  <c r="AE39" i="1"/>
  <c r="AE28" i="1" s="1"/>
  <c r="AE109" i="1" s="1"/>
  <c r="P118" i="1"/>
  <c r="L31" i="1"/>
  <c r="L12" i="28" s="1"/>
  <c r="J12" i="28" s="1"/>
  <c r="AR113" i="1" l="1"/>
  <c r="AY113" i="1"/>
  <c r="AS113" i="1"/>
  <c r="AW113" i="1"/>
  <c r="BA113" i="1"/>
  <c r="BM113" i="1"/>
  <c r="BG113" i="1"/>
  <c r="Q49" i="1"/>
  <c r="Q48" i="1" s="1"/>
  <c r="AE113" i="1"/>
  <c r="BJ113" i="1"/>
  <c r="O49" i="1"/>
  <c r="AH109" i="1"/>
  <c r="AH113" i="1" s="1"/>
  <c r="Z113" i="1"/>
  <c r="BH110" i="1"/>
  <c r="L11" i="28"/>
  <c r="J11" i="28" s="1"/>
  <c r="K30" i="1"/>
  <c r="L29" i="1"/>
  <c r="L10" i="28" s="1"/>
  <c r="BK113" i="1"/>
  <c r="BN24" i="13"/>
  <c r="K42" i="1"/>
  <c r="K23" i="28" s="1"/>
  <c r="I23" i="28" s="1"/>
  <c r="L23" i="28"/>
  <c r="J23" i="28" s="1"/>
  <c r="K58" i="1"/>
  <c r="L39" i="28"/>
  <c r="J39" i="28" s="1"/>
  <c r="K33" i="1"/>
  <c r="L14" i="28"/>
  <c r="J14" i="28" s="1"/>
  <c r="K43" i="1"/>
  <c r="K24" i="28" s="1"/>
  <c r="L24" i="28"/>
  <c r="J24" i="28" s="1"/>
  <c r="K102" i="1"/>
  <c r="L83" i="28"/>
  <c r="K38" i="1"/>
  <c r="K19" i="28" s="1"/>
  <c r="L19" i="28"/>
  <c r="J19" i="28" s="1"/>
  <c r="L75" i="1"/>
  <c r="L56" i="28" s="1"/>
  <c r="L57" i="28"/>
  <c r="K34" i="1"/>
  <c r="K15" i="28" s="1"/>
  <c r="I15" i="28" s="1"/>
  <c r="L15" i="28"/>
  <c r="J15" i="28" s="1"/>
  <c r="K47" i="1"/>
  <c r="K28" i="28" s="1"/>
  <c r="I28" i="28" s="1"/>
  <c r="L28" i="28"/>
  <c r="J28" i="28" s="1"/>
  <c r="K37" i="1"/>
  <c r="K18" i="28" s="1"/>
  <c r="L18" i="28"/>
  <c r="J18" i="28" s="1"/>
  <c r="K46" i="1"/>
  <c r="K27" i="28" s="1"/>
  <c r="I27" i="28" s="1"/>
  <c r="L27" i="28"/>
  <c r="J27" i="28" s="1"/>
  <c r="K36" i="1"/>
  <c r="L17" i="28"/>
  <c r="J17" i="28" s="1"/>
  <c r="K79" i="1"/>
  <c r="K60" i="28" s="1"/>
  <c r="I60" i="28" s="1"/>
  <c r="L60" i="28"/>
  <c r="J60" i="28" s="1"/>
  <c r="K45" i="1"/>
  <c r="K26" i="28" s="1"/>
  <c r="L26" i="28"/>
  <c r="J26" i="28" s="1"/>
  <c r="K44" i="1"/>
  <c r="K25" i="28" s="1"/>
  <c r="L25" i="28"/>
  <c r="J25" i="28" s="1"/>
  <c r="K103" i="1"/>
  <c r="K111" i="1" s="1"/>
  <c r="K85" i="28"/>
  <c r="L103" i="1"/>
  <c r="G20" i="24" s="1"/>
  <c r="L85" i="28"/>
  <c r="L95" i="1"/>
  <c r="L76" i="28" s="1"/>
  <c r="L77" i="28"/>
  <c r="E21" i="24"/>
  <c r="AZ109" i="1"/>
  <c r="AZ113" i="1" s="1"/>
  <c r="AN109" i="1"/>
  <c r="AN113" i="1" s="1"/>
  <c r="AI109" i="1"/>
  <c r="AI113" i="1" s="1"/>
  <c r="S113" i="1"/>
  <c r="AD49" i="1"/>
  <c r="AD48" i="1" s="1"/>
  <c r="AD39" i="1" s="1"/>
  <c r="AD28" i="1" s="1"/>
  <c r="L50" i="1"/>
  <c r="L31" i="28" s="1"/>
  <c r="BI113" i="1"/>
  <c r="K151" i="1"/>
  <c r="K54" i="1"/>
  <c r="K35" i="28" s="1"/>
  <c r="I35" i="28" s="1"/>
  <c r="BN28" i="1"/>
  <c r="AQ113" i="1"/>
  <c r="AD110" i="1"/>
  <c r="AV110" i="1"/>
  <c r="AF109" i="1"/>
  <c r="AF113" i="1" s="1"/>
  <c r="AO109" i="1"/>
  <c r="AO113" i="1" s="1"/>
  <c r="AU113" i="1"/>
  <c r="BP109" i="1"/>
  <c r="BP113" i="1" s="1"/>
  <c r="N48" i="1"/>
  <c r="P48" i="1"/>
  <c r="M48" i="1"/>
  <c r="O48" i="1"/>
  <c r="BY28" i="1"/>
  <c r="BY109" i="1" s="1"/>
  <c r="BY113" i="1" s="1"/>
  <c r="BW28" i="1"/>
  <c r="BW109" i="1" s="1"/>
  <c r="BW113" i="1" s="1"/>
  <c r="BR109" i="1"/>
  <c r="BR113" i="1" s="1"/>
  <c r="BN28" i="13"/>
  <c r="AJ48" i="1"/>
  <c r="AJ39" i="1" s="1"/>
  <c r="AJ28" i="1" s="1"/>
  <c r="BG29" i="13"/>
  <c r="I110" i="1"/>
  <c r="I113" i="1" s="1"/>
  <c r="L82" i="1"/>
  <c r="L63" i="28" s="1"/>
  <c r="L81" i="1"/>
  <c r="L62" i="28" s="1"/>
  <c r="AB113" i="1"/>
  <c r="AA113" i="1"/>
  <c r="K96" i="1"/>
  <c r="BX109" i="1"/>
  <c r="BX113" i="1" s="1"/>
  <c r="BU28" i="1"/>
  <c r="BU109" i="1" s="1"/>
  <c r="BC113" i="1"/>
  <c r="U113" i="1"/>
  <c r="AC113" i="1"/>
  <c r="AL113" i="1"/>
  <c r="AG109" i="1"/>
  <c r="AG113" i="1" s="1"/>
  <c r="BB110" i="1"/>
  <c r="BT105" i="1"/>
  <c r="BT112" i="1" s="1"/>
  <c r="W109" i="1"/>
  <c r="W113" i="1" s="1"/>
  <c r="X110" i="1"/>
  <c r="BE113" i="1"/>
  <c r="L100" i="1"/>
  <c r="BO109" i="1"/>
  <c r="BS109" i="1"/>
  <c r="BS113" i="1" s="1"/>
  <c r="R110" i="1"/>
  <c r="X39" i="1"/>
  <c r="X28" i="1" s="1"/>
  <c r="BV113" i="1"/>
  <c r="BQ109" i="1"/>
  <c r="BQ113" i="1" s="1"/>
  <c r="BT110" i="1"/>
  <c r="BN27" i="13"/>
  <c r="BD29" i="13"/>
  <c r="K53" i="1"/>
  <c r="K34" i="28" s="1"/>
  <c r="AW34" i="28" s="1"/>
  <c r="AW31" i="28" s="1"/>
  <c r="AW30" i="28" s="1"/>
  <c r="AJ110" i="1"/>
  <c r="BT28" i="1"/>
  <c r="AP110" i="1"/>
  <c r="AK113" i="1"/>
  <c r="BB117" i="1"/>
  <c r="BB28" i="1"/>
  <c r="BN26" i="13"/>
  <c r="L56" i="1"/>
  <c r="L37" i="28" s="1"/>
  <c r="K41" i="1"/>
  <c r="L40" i="1"/>
  <c r="K51" i="1"/>
  <c r="K83" i="1"/>
  <c r="K64" i="28" s="1"/>
  <c r="I64" i="28" s="1"/>
  <c r="K76" i="1"/>
  <c r="L35" i="1"/>
  <c r="R39" i="1"/>
  <c r="BB109" i="1"/>
  <c r="BB116" i="1" s="1"/>
  <c r="AT113" i="1"/>
  <c r="AX28" i="1"/>
  <c r="AX109" i="1" s="1"/>
  <c r="AX113" i="1" s="1"/>
  <c r="AP117" i="1"/>
  <c r="AP109" i="1"/>
  <c r="AP116" i="1" s="1"/>
  <c r="V113" i="1"/>
  <c r="X117" i="1"/>
  <c r="X109" i="1"/>
  <c r="X116" i="1" s="1"/>
  <c r="BH109" i="1"/>
  <c r="BH116" i="1" s="1"/>
  <c r="BH117" i="1"/>
  <c r="F8" i="24"/>
  <c r="G8" i="24"/>
  <c r="G7" i="24"/>
  <c r="BN110" i="1"/>
  <c r="BB105" i="1"/>
  <c r="BB112" i="1" s="1"/>
  <c r="BH105" i="1"/>
  <c r="BH112" i="1" s="1"/>
  <c r="R105" i="1"/>
  <c r="R112" i="1" s="1"/>
  <c r="AP105" i="1"/>
  <c r="AP112" i="1" s="1"/>
  <c r="F7" i="24"/>
  <c r="K31" i="1"/>
  <c r="K12" i="28" s="1"/>
  <c r="BH113" i="1" l="1"/>
  <c r="BT117" i="1"/>
  <c r="K32" i="28"/>
  <c r="I32" i="28" s="1"/>
  <c r="K114" i="1"/>
  <c r="G18" i="24"/>
  <c r="X105" i="1"/>
  <c r="X112" i="1" s="1"/>
  <c r="K17" i="28"/>
  <c r="K11" i="28"/>
  <c r="Y11" i="28" s="1"/>
  <c r="Y10" i="28" s="1"/>
  <c r="K100" i="1"/>
  <c r="K35" i="1"/>
  <c r="F11" i="24" s="1"/>
  <c r="Y18" i="28"/>
  <c r="Y16" i="28" s="1"/>
  <c r="T16" i="28" s="1"/>
  <c r="K14" i="28"/>
  <c r="I14" i="28" s="1"/>
  <c r="K29" i="1"/>
  <c r="K10" i="28" s="1"/>
  <c r="X113" i="1"/>
  <c r="AJ117" i="1"/>
  <c r="AE10" i="28"/>
  <c r="S12" i="28"/>
  <c r="Z12" i="28"/>
  <c r="Z10" i="28" s="1"/>
  <c r="K75" i="1"/>
  <c r="K56" i="28" s="1"/>
  <c r="K57" i="28"/>
  <c r="K40" i="1"/>
  <c r="K21" i="28" s="1"/>
  <c r="K22" i="28"/>
  <c r="I22" i="28" s="1"/>
  <c r="AR34" i="28"/>
  <c r="AR31" i="28" s="1"/>
  <c r="AR30" i="28" s="1"/>
  <c r="S34" i="28"/>
  <c r="M34" i="28" s="1"/>
  <c r="AW29" i="28"/>
  <c r="AW20" i="28" s="1"/>
  <c r="AW9" i="28" s="1"/>
  <c r="AW90" i="28" s="1"/>
  <c r="S25" i="28"/>
  <c r="AY25" i="28"/>
  <c r="BF21" i="28"/>
  <c r="BF20" i="28" s="1"/>
  <c r="BF9" i="28" s="1"/>
  <c r="BF90" i="28" s="1"/>
  <c r="S26" i="28"/>
  <c r="AK21" i="28"/>
  <c r="AK20" i="28" s="1"/>
  <c r="AF26" i="28"/>
  <c r="S17" i="28"/>
  <c r="M17" i="28" s="1"/>
  <c r="T17" i="28"/>
  <c r="S19" i="28"/>
  <c r="AK16" i="28"/>
  <c r="K56" i="1"/>
  <c r="K37" i="28" s="1"/>
  <c r="K39" i="28"/>
  <c r="I39" i="28" s="1"/>
  <c r="G11" i="24"/>
  <c r="L16" i="28"/>
  <c r="G13" i="24"/>
  <c r="L21" i="28"/>
  <c r="G19" i="24"/>
  <c r="L82" i="28"/>
  <c r="L81" i="28"/>
  <c r="L111" i="1"/>
  <c r="L92" i="28"/>
  <c r="F20" i="24"/>
  <c r="K84" i="28"/>
  <c r="K92" i="28" s="1"/>
  <c r="K94" i="28" s="1"/>
  <c r="K115" i="1"/>
  <c r="K50" i="1"/>
  <c r="L49" i="1"/>
  <c r="K152" i="1"/>
  <c r="K150" i="1"/>
  <c r="K149" i="1"/>
  <c r="BU113" i="1"/>
  <c r="BO113" i="1"/>
  <c r="BN117" i="1"/>
  <c r="BB113" i="1"/>
  <c r="AD117" i="1"/>
  <c r="AD109" i="1"/>
  <c r="BH28" i="1"/>
  <c r="AV28" i="1"/>
  <c r="AP28" i="1"/>
  <c r="K95" i="1"/>
  <c r="O39" i="1"/>
  <c r="O28" i="1" s="1"/>
  <c r="O109" i="1" s="1"/>
  <c r="O113" i="1" s="1"/>
  <c r="N39" i="1"/>
  <c r="N28" i="1" s="1"/>
  <c r="N109" i="1" s="1"/>
  <c r="N113" i="1" s="1"/>
  <c r="G17" i="24"/>
  <c r="BN105" i="1"/>
  <c r="BN112" i="1" s="1"/>
  <c r="BN29" i="13"/>
  <c r="H27" i="24" s="1"/>
  <c r="I27" i="24" s="1"/>
  <c r="BN109" i="1"/>
  <c r="BT109" i="1"/>
  <c r="BT116" i="1" s="1"/>
  <c r="L110" i="1"/>
  <c r="K81" i="1"/>
  <c r="K62" i="28" s="1"/>
  <c r="K82" i="1"/>
  <c r="K63" i="28" s="1"/>
  <c r="P39" i="1"/>
  <c r="P28" i="1" s="1"/>
  <c r="P109" i="1" s="1"/>
  <c r="P113" i="1" s="1"/>
  <c r="AP113" i="1"/>
  <c r="Q39" i="1"/>
  <c r="Q28" i="1" s="1"/>
  <c r="Q109" i="1" s="1"/>
  <c r="Q113" i="1" s="1"/>
  <c r="M39" i="1"/>
  <c r="M28" i="1" s="1"/>
  <c r="M109" i="1" s="1"/>
  <c r="M113" i="1" s="1"/>
  <c r="G15" i="24"/>
  <c r="AJ109" i="1"/>
  <c r="AJ116" i="1" s="1"/>
  <c r="AD112" i="1"/>
  <c r="G6" i="24"/>
  <c r="J100" i="1"/>
  <c r="J110" i="1" s="1"/>
  <c r="J113" i="1" s="1"/>
  <c r="AV117" i="1"/>
  <c r="AV109" i="1"/>
  <c r="AV105" i="1"/>
  <c r="AV112" i="1" s="1"/>
  <c r="F6" i="24"/>
  <c r="G10" i="24"/>
  <c r="M26" i="28" l="1"/>
  <c r="I26" i="28" s="1"/>
  <c r="M12" i="28"/>
  <c r="I12" i="28" s="1"/>
  <c r="M19" i="28"/>
  <c r="I19" i="28" s="1"/>
  <c r="M25" i="28"/>
  <c r="I25" i="28" s="1"/>
  <c r="AJ113" i="1"/>
  <c r="AD113" i="1"/>
  <c r="AD116" i="1"/>
  <c r="AV113" i="1"/>
  <c r="AV116" i="1"/>
  <c r="BN113" i="1"/>
  <c r="BN116" i="1"/>
  <c r="F13" i="24"/>
  <c r="BT113" i="1"/>
  <c r="T11" i="28"/>
  <c r="T10" i="28" s="1"/>
  <c r="T9" i="28" s="1"/>
  <c r="S11" i="28"/>
  <c r="T18" i="28"/>
  <c r="K16" i="28"/>
  <c r="F19" i="24"/>
  <c r="S18" i="28"/>
  <c r="AF21" i="28"/>
  <c r="AF20" i="28" s="1"/>
  <c r="AF9" i="28" s="1"/>
  <c r="AF95" i="28"/>
  <c r="AY21" i="28"/>
  <c r="AY20" i="28" s="1"/>
  <c r="AY9" i="28" s="1"/>
  <c r="AY95" i="28"/>
  <c r="AR90" i="28"/>
  <c r="AW94" i="28"/>
  <c r="AR95" i="28"/>
  <c r="AR29" i="28"/>
  <c r="AR20" i="28" s="1"/>
  <c r="AR9" i="28" s="1"/>
  <c r="K49" i="1"/>
  <c r="K30" i="28" s="1"/>
  <c r="K31" i="28"/>
  <c r="I17" i="28"/>
  <c r="AY90" i="28"/>
  <c r="AY94" i="28" s="1"/>
  <c r="AY97" i="28" s="1"/>
  <c r="BF94" i="28"/>
  <c r="S31" i="28"/>
  <c r="AK9" i="28"/>
  <c r="AK90" i="28" s="1"/>
  <c r="Y9" i="28"/>
  <c r="Y90" i="28" s="1"/>
  <c r="L48" i="1"/>
  <c r="L29" i="28" s="1"/>
  <c r="L30" i="28"/>
  <c r="F18" i="24"/>
  <c r="K121" i="1"/>
  <c r="F17" i="24"/>
  <c r="H39" i="24"/>
  <c r="I39" i="24" s="1"/>
  <c r="H26" i="24"/>
  <c r="I26" i="24" s="1"/>
  <c r="H28" i="24"/>
  <c r="I28" i="24" s="1"/>
  <c r="H30" i="24"/>
  <c r="I30" i="24" s="1"/>
  <c r="H29" i="24"/>
  <c r="I29" i="24" s="1"/>
  <c r="H35" i="24"/>
  <c r="I35" i="24" s="1"/>
  <c r="K110" i="1"/>
  <c r="H40" i="24"/>
  <c r="I40" i="24" s="1"/>
  <c r="H31" i="24"/>
  <c r="I31" i="24" s="1"/>
  <c r="H32" i="24"/>
  <c r="I32" i="24" s="1"/>
  <c r="H34" i="24"/>
  <c r="I34" i="24" s="1"/>
  <c r="H33" i="24"/>
  <c r="I33" i="24" s="1"/>
  <c r="AJ105" i="1"/>
  <c r="F10" i="24"/>
  <c r="S30" i="28" l="1"/>
  <c r="M31" i="28"/>
  <c r="M18" i="28"/>
  <c r="I18" i="28" s="1"/>
  <c r="S10" i="28"/>
  <c r="M11" i="28"/>
  <c r="M10" i="28" s="1"/>
  <c r="T95" i="28"/>
  <c r="G14" i="24"/>
  <c r="L39" i="1"/>
  <c r="L20" i="28" s="1"/>
  <c r="S16" i="28"/>
  <c r="M16" i="28" s="1"/>
  <c r="AR94" i="28"/>
  <c r="AR97" i="28"/>
  <c r="I34" i="28"/>
  <c r="AK94" i="28"/>
  <c r="AF90" i="28"/>
  <c r="Y94" i="28"/>
  <c r="T90" i="28"/>
  <c r="K48" i="1"/>
  <c r="AJ112" i="1"/>
  <c r="K105" i="1"/>
  <c r="I11" i="28" l="1"/>
  <c r="S29" i="28"/>
  <c r="M29" i="28" s="1"/>
  <c r="M30" i="28"/>
  <c r="L28" i="1"/>
  <c r="L9" i="28" s="1"/>
  <c r="L90" i="28" s="1"/>
  <c r="L94" i="28" s="1"/>
  <c r="G12" i="24"/>
  <c r="T94" i="28"/>
  <c r="T97" i="28"/>
  <c r="AF94" i="28"/>
  <c r="AF97" i="28"/>
  <c r="K39" i="1"/>
  <c r="F12" i="24" s="1"/>
  <c r="K29" i="28"/>
  <c r="F14" i="24"/>
  <c r="K112" i="1"/>
  <c r="R30" i="1"/>
  <c r="R114" i="1" s="1"/>
  <c r="T29" i="1"/>
  <c r="T28" i="1" s="1"/>
  <c r="T109" i="1" s="1"/>
  <c r="L109" i="1" l="1"/>
  <c r="L113" i="1" s="1"/>
  <c r="G9" i="24"/>
  <c r="G16" i="24" s="1"/>
  <c r="K28" i="1"/>
  <c r="K20" i="28"/>
  <c r="K148" i="1"/>
  <c r="K154" i="1" s="1"/>
  <c r="K156" i="1" s="1"/>
  <c r="I159" i="1" s="1"/>
  <c r="I47" i="24"/>
  <c r="T113" i="1"/>
  <c r="R117" i="1"/>
  <c r="R109" i="1"/>
  <c r="R29" i="1"/>
  <c r="R28" i="1" s="1"/>
  <c r="I48" i="24"/>
  <c r="R113" i="1" l="1"/>
  <c r="R116" i="1"/>
  <c r="K117" i="1"/>
  <c r="G21" i="24"/>
  <c r="F9" i="24"/>
  <c r="K9" i="28"/>
  <c r="K109" i="1"/>
  <c r="D172" i="1"/>
  <c r="D173" i="1" s="1"/>
  <c r="D175" i="1" s="1"/>
  <c r="K113" i="1" l="1"/>
  <c r="H46" i="24" s="1"/>
  <c r="I46" i="24" s="1"/>
  <c r="K116" i="1"/>
  <c r="I20" i="24"/>
  <c r="H20" i="24"/>
  <c r="I17" i="24"/>
  <c r="H15" i="24"/>
  <c r="I16" i="24"/>
  <c r="H44" i="24"/>
  <c r="I44" i="24" s="1"/>
  <c r="H18" i="24"/>
  <c r="I12" i="24"/>
  <c r="H11" i="24"/>
  <c r="I6" i="24"/>
  <c r="I13" i="24"/>
  <c r="H43" i="24"/>
  <c r="I43" i="24" s="1"/>
  <c r="H13" i="24"/>
  <c r="H14" i="24"/>
  <c r="I7" i="24"/>
  <c r="H12" i="24"/>
  <c r="H6" i="24"/>
  <c r="I14" i="24"/>
  <c r="F16" i="24"/>
  <c r="F21" i="24"/>
  <c r="H21" i="24" s="1"/>
  <c r="E173" i="1"/>
  <c r="E175" i="1" s="1"/>
  <c r="H16" i="24" l="1"/>
  <c r="H38" i="24"/>
  <c r="I38" i="24" s="1"/>
  <c r="I19" i="24"/>
  <c r="H19" i="24"/>
  <c r="H10" i="24"/>
  <c r="I10" i="24"/>
  <c r="I21" i="24"/>
  <c r="H42" i="24"/>
  <c r="I42" i="24" s="1"/>
  <c r="I9" i="24"/>
  <c r="H17" i="24"/>
  <c r="H7" i="24"/>
  <c r="H8" i="24"/>
  <c r="H45" i="24"/>
  <c r="I45" i="24" s="1"/>
  <c r="I8" i="24"/>
  <c r="I18" i="24"/>
  <c r="I15" i="24"/>
  <c r="I11" i="24"/>
  <c r="H9" i="24"/>
  <c r="H37" i="24"/>
  <c r="I37" i="24" s="1"/>
  <c r="AE21" i="28"/>
  <c r="Z21" i="28" s="1"/>
  <c r="Z24" i="28"/>
  <c r="Z95" i="28" s="1"/>
  <c r="S24" i="28"/>
  <c r="M24" i="28" s="1"/>
  <c r="M95" i="28" l="1"/>
  <c r="I24" i="28"/>
  <c r="S21" i="28"/>
  <c r="M21" i="28" s="1"/>
  <c r="AE20" i="28"/>
  <c r="AE9" i="28" s="1"/>
  <c r="AE90" i="28" s="1"/>
  <c r="AE94" i="28" s="1"/>
  <c r="S20" i="28" l="1"/>
  <c r="Z90" i="28"/>
  <c r="Z20" i="28"/>
  <c r="Z9" i="28" s="1"/>
  <c r="M20" i="28" l="1"/>
  <c r="M9" i="28" s="1"/>
  <c r="M90" i="28" s="1"/>
  <c r="Z94" i="28"/>
  <c r="Z97" i="28"/>
  <c r="S9" i="28"/>
  <c r="S90" i="28" s="1"/>
  <c r="S94" i="28" s="1"/>
  <c r="M98" i="28" l="1"/>
  <c r="M94" i="28"/>
  <c r="M97" i="28" s="1"/>
</calcChain>
</file>

<file path=xl/sharedStrings.xml><?xml version="1.0" encoding="utf-8"?>
<sst xmlns="http://schemas.openxmlformats.org/spreadsheetml/2006/main" count="2168" uniqueCount="656">
  <si>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</si>
  <si>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</si>
  <si>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</si>
  <si>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</si>
  <si>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</si>
  <si>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</si>
  <si>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</si>
  <si>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</si>
  <si>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</si>
  <si>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</si>
  <si>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</si>
  <si>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</si>
  <si>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</si>
  <si>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</si>
  <si>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</si>
  <si>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</si>
  <si>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</si>
  <si>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</si>
  <si>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</si>
  <si>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</si>
  <si>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</si>
  <si>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</si>
  <si>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</si>
  <si>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</si>
  <si>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</si>
  <si>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</si>
  <si>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</si>
  <si>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</si>
  <si>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</si>
  <si>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д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</si>
  <si>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</si>
  <si>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</si>
  <si>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</si>
  <si>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</si>
  <si>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</si>
  <si>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</si>
  <si>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</si>
  <si>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Учебный план (ГОС)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</si>
  <si>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</si>
  <si>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</si>
  <si>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</si>
  <si>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</si>
  <si>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</si>
  <si>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</si>
  <si>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</si>
  <si>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</si>
  <si>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</si>
  <si>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</si>
  <si>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</si>
  <si>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</si>
  <si>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График учебного процесса</t>
  </si>
  <si>
    <t>Федеральный государственный образовательный стандарт утвержден приказом Министерством образования и науки Российской Федерации</t>
  </si>
  <si>
    <t>у</t>
  </si>
  <si>
    <t>п</t>
  </si>
  <si>
    <t>выпускная работа</t>
  </si>
  <si>
    <t>Итоговая аттестация</t>
  </si>
  <si>
    <t>ИТОГО</t>
  </si>
  <si>
    <t>недель</t>
  </si>
  <si>
    <t>Гос. экзамены</t>
  </si>
  <si>
    <t>Защита вып.работы</t>
  </si>
  <si>
    <t>итог</t>
  </si>
  <si>
    <r>
      <t>27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IV</t>
    </r>
  </si>
  <si>
    <r>
      <t>30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III</t>
    </r>
  </si>
  <si>
    <r>
      <t>26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</t>
    </r>
  </si>
  <si>
    <r>
      <t>29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IX</t>
    </r>
  </si>
  <si>
    <t>экзамены</t>
  </si>
  <si>
    <t>зачеты</t>
  </si>
  <si>
    <t>курсовые проекты</t>
  </si>
  <si>
    <t>курсовые работы</t>
  </si>
  <si>
    <t>контрольные работы</t>
  </si>
  <si>
    <t>лабораторных</t>
  </si>
  <si>
    <t>самостоятельной работы</t>
  </si>
  <si>
    <t>семестр</t>
  </si>
  <si>
    <t>Компетенции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</si>
  <si>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</si>
  <si>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</si>
  <si>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</si>
  <si>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</si>
  <si>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</si>
  <si>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</si>
  <si>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 курс</t>
  </si>
  <si>
    <t>2 курс</t>
  </si>
  <si>
    <t>3 курс</t>
  </si>
  <si>
    <t>4 курс</t>
  </si>
  <si>
    <t>5 курс</t>
  </si>
  <si>
    <t>10</t>
  </si>
  <si>
    <t>всего аудиторных</t>
  </si>
  <si>
    <t>всего самостоятельной работы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</si>
  <si>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</si>
  <si>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</si>
  <si>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</si>
  <si>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</si>
  <si>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</si>
  <si>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</si>
  <si>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</si>
  <si>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</si>
  <si>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</si>
  <si>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</si>
  <si>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</si>
  <si>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</si>
  <si>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</si>
  <si>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</si>
  <si>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</si>
  <si>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</si>
  <si>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</si>
  <si>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</si>
  <si>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</si>
  <si>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</si>
  <si>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</si>
  <si>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</si>
  <si>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10 семестр</t>
  </si>
  <si>
    <t>Х (русский алфавит, заглавная буква)</t>
  </si>
  <si>
    <t>11 семестр</t>
  </si>
  <si>
    <t>12 семестр</t>
  </si>
  <si>
    <t>О (русский алфавит, заглавная буква)</t>
  </si>
  <si>
    <t>Д (русский алфавит, заглавная буква)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</si>
  <si>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</si>
  <si>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</si>
  <si>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</si>
  <si>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</si>
  <si>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</si>
  <si>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</si>
  <si>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</si>
  <si>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</si>
  <si>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</si>
  <si>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  <charset val="204"/>
      </rPr>
      <t>X</t>
    </r>
  </si>
  <si>
    <r>
      <t xml:space="preserve"> 2 </t>
    </r>
    <r>
      <rPr>
        <sz val="6"/>
        <rFont val="Times New Roman"/>
        <family val="1"/>
        <charset val="204"/>
      </rPr>
      <t>XI</t>
    </r>
  </si>
  <si>
    <r>
      <t xml:space="preserve"> 4  </t>
    </r>
    <r>
      <rPr>
        <sz val="6"/>
        <rFont val="Times New Roman"/>
        <family val="1"/>
        <charset val="204"/>
      </rPr>
      <t>I</t>
    </r>
  </si>
  <si>
    <r>
      <t xml:space="preserve"> 1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</si>
  <si>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5"/>
        <rFont val="Times New Roman"/>
        <family val="1"/>
        <charset val="204"/>
      </rPr>
      <t>VIII</t>
    </r>
  </si>
  <si>
    <r>
      <t xml:space="preserve"> 5 </t>
    </r>
    <r>
      <rPr>
        <sz val="6"/>
        <rFont val="Times New Roman"/>
        <family val="1"/>
        <charset val="204"/>
      </rPr>
      <t>IV</t>
    </r>
  </si>
  <si>
    <r>
      <t xml:space="preserve"> 3 </t>
    </r>
    <r>
      <rPr>
        <sz val="6"/>
        <rFont val="Times New Roman"/>
        <family val="1"/>
        <charset val="204"/>
      </rPr>
      <t>V</t>
    </r>
  </si>
  <si>
    <r>
      <t>27</t>
    </r>
    <r>
      <rPr>
        <sz val="6"/>
        <rFont val="Times New Roman"/>
        <family val="1"/>
        <charset val="204"/>
      </rPr>
      <t>VII</t>
    </r>
  </si>
  <si>
    <r>
      <t xml:space="preserve"> 3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</si>
  <si>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6"/>
        <rFont val="Times New Roman"/>
        <family val="1"/>
        <charset val="204"/>
      </rPr>
      <t>III</t>
    </r>
  </si>
  <si>
    <r>
      <t xml:space="preserve"> 5 </t>
    </r>
    <r>
      <rPr>
        <sz val="6"/>
        <rFont val="Times New Roman"/>
        <family val="1"/>
        <charset val="204"/>
      </rPr>
      <t>VII</t>
    </r>
  </si>
  <si>
    <r>
      <t>29</t>
    </r>
    <r>
      <rPr>
        <sz val="6"/>
        <rFont val="Times New Roman"/>
        <family val="1"/>
        <charset val="204"/>
      </rPr>
      <t>VI</t>
    </r>
  </si>
  <si>
    <r>
      <t>29</t>
    </r>
    <r>
      <rPr>
        <sz val="6"/>
        <rFont val="Times New Roman"/>
        <family val="1"/>
        <charset val="204"/>
      </rPr>
      <t>XII</t>
    </r>
  </si>
  <si>
    <r>
      <t>27</t>
    </r>
    <r>
      <rPr>
        <sz val="6"/>
        <rFont val="Times New Roman"/>
        <family val="1"/>
        <charset val="204"/>
      </rPr>
      <t>X</t>
    </r>
  </si>
  <si>
    <t>всего часов</t>
  </si>
  <si>
    <t>количество контролных работ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</si>
  <si>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</si>
  <si>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</si>
  <si>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</si>
  <si>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</si>
  <si>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</si>
  <si>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</si>
  <si>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</si>
  <si>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</si>
  <si>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</si>
  <si>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</si>
  <si>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Распределение объема часов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</si>
  <si>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</si>
  <si>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</si>
  <si>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</si>
  <si>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</si>
  <si>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</si>
  <si>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</si>
  <si>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</si>
  <si>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</si>
  <si>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</si>
  <si>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Перечень цикловых комиссий (или кафедр)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</si>
  <si>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</si>
  <si>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</si>
  <si>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</si>
  <si>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</si>
  <si>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</si>
  <si>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</si>
  <si>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</si>
  <si>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</si>
  <si>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</si>
  <si>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</si>
  <si>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Код цикловой комиссии (кафедры)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</si>
  <si>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</si>
  <si>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</si>
  <si>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</si>
  <si>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</si>
  <si>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</si>
  <si>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</si>
  <si>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</si>
  <si>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</si>
  <si>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</si>
  <si>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</si>
  <si>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</si>
  <si>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ЕН.03</t>
  </si>
  <si>
    <t>ПМ.00</t>
  </si>
  <si>
    <t>Химия</t>
  </si>
  <si>
    <t>Биология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</si>
  <si>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</si>
  <si>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</si>
  <si>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</si>
  <si>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</si>
  <si>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ОП.01</t>
  </si>
  <si>
    <t>Инженерная графика</t>
  </si>
  <si>
    <t>ОП.02</t>
  </si>
  <si>
    <t>Механика</t>
  </si>
  <si>
    <t>ОП.03</t>
  </si>
  <si>
    <t>Электроника и электротехника</t>
  </si>
  <si>
    <t>ОП.04</t>
  </si>
  <si>
    <t>ОП.05</t>
  </si>
  <si>
    <t>Метрология и стандартизация</t>
  </si>
  <si>
    <t>ОП.06</t>
  </si>
  <si>
    <t>Теория и устройство судна</t>
  </si>
  <si>
    <t>ОП.07</t>
  </si>
  <si>
    <t>П.00</t>
  </si>
  <si>
    <t>ПМ.01</t>
  </si>
  <si>
    <t>ПМ.02</t>
  </si>
  <si>
    <t>Обеспечение безопасности плавания</t>
  </si>
  <si>
    <t>МДК.02.01</t>
  </si>
  <si>
    <t>ПМ.03</t>
  </si>
  <si>
    <t>Обработка и размещение груза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</si>
  <si>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</si>
  <si>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</si>
  <si>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</si>
  <si>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</si>
  <si>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</si>
  <si>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УП.02</t>
  </si>
  <si>
    <t>ПП.00</t>
  </si>
  <si>
    <t>ПП.01</t>
  </si>
  <si>
    <t>ПП.02</t>
  </si>
  <si>
    <t>ГИА.00</t>
  </si>
  <si>
    <t>Государственная (итоговая) аттестация</t>
  </si>
  <si>
    <t>ГИА.01</t>
  </si>
  <si>
    <t>каникулярное время</t>
  </si>
  <si>
    <t>производственная практика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</si>
  <si>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</si>
  <si>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</si>
  <si>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</si>
  <si>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</si>
  <si>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</si>
  <si>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</si>
  <si>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</si>
  <si>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</si>
  <si>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</si>
  <si>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</si>
  <si>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</si>
  <si>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</si>
  <si>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Экологических основ природопользования</t>
  </si>
  <si>
    <t>Инженерной графики</t>
  </si>
  <si>
    <t>Механики</t>
  </si>
  <si>
    <t>Метрологии и стандартизации</t>
  </si>
  <si>
    <t>Теории и устройства судна</t>
  </si>
  <si>
    <t>Безопасности жизнедеятельности на судне</t>
  </si>
  <si>
    <t>Управления судном</t>
  </si>
  <si>
    <t>Технологии перевозки грузов</t>
  </si>
  <si>
    <t>Навигации и лоции</t>
  </si>
  <si>
    <t>Лаборатория</t>
  </si>
  <si>
    <t>Электроники и электротехники</t>
  </si>
  <si>
    <t>Информатики</t>
  </si>
  <si>
    <t>Материаловедения</t>
  </si>
  <si>
    <t>Электрооборудования судов</t>
  </si>
  <si>
    <t>Судового радиооборудования</t>
  </si>
  <si>
    <t>Радионавигационных и электрорадионавигационных приборов и систем технических средств судовождения</t>
  </si>
  <si>
    <t>Судовых энергетических установок</t>
  </si>
  <si>
    <t>Мастерская</t>
  </si>
  <si>
    <t>Слесарная</t>
  </si>
  <si>
    <t>Такелажная</t>
  </si>
  <si>
    <t>Тренажер (комплекс (модуль))</t>
  </si>
  <si>
    <t>Глобальной морской системы связи при бедствии</t>
  </si>
  <si>
    <t>Судовой энергетической установки</t>
  </si>
  <si>
    <t>Навигационный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</si>
  <si>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</si>
  <si>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</si>
  <si>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</si>
  <si>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</si>
  <si>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</si>
  <si>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</si>
  <si>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</si>
  <si>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курсовых проектов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</si>
  <si>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</si>
  <si>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</si>
  <si>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</si>
  <si>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</si>
  <si>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</si>
  <si>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</si>
  <si>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</si>
  <si>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</si>
  <si>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</si>
  <si>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</si>
  <si>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</si>
  <si>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</si>
  <si>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</si>
  <si>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</si>
  <si>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</si>
  <si>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</si>
  <si>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</si>
  <si>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</si>
  <si>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</si>
  <si>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</si>
  <si>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</si>
  <si>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</si>
  <si>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Нормативный срок обучения: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</si>
  <si>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</si>
  <si>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</si>
  <si>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</si>
  <si>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</si>
  <si>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</si>
  <si>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</si>
  <si>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</si>
  <si>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</si>
  <si>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</si>
  <si>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</si>
  <si>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</si>
  <si>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</si>
  <si>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</si>
  <si>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</si>
  <si>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</si>
  <si>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</si>
  <si>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</si>
  <si>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</si>
  <si>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</si>
  <si>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</si>
  <si>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</si>
  <si>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</si>
  <si>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</si>
  <si>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</si>
  <si>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</si>
  <si>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</si>
  <si>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</si>
  <si>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</si>
  <si>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</si>
  <si>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</si>
  <si>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</si>
  <si>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Навигационная гидрометеорология</t>
  </si>
  <si>
    <t>Мореходная астрономия</t>
  </si>
  <si>
    <t>Техника безопасности на судах</t>
  </si>
  <si>
    <t>Преддипломная практика</t>
  </si>
  <si>
    <t>Ориентироваться в условиях частой смены технологий в профессиональной деятельности.</t>
  </si>
  <si>
    <t>ПК-1.1.</t>
  </si>
  <si>
    <t>ПК-1.2.</t>
  </si>
  <si>
    <t>ПК-1.3.</t>
  </si>
  <si>
    <t>ПК-2.1.</t>
  </si>
  <si>
    <t>ПК-2.2.</t>
  </si>
  <si>
    <t>ПК-2.3.</t>
  </si>
  <si>
    <t>ПК-2.5.</t>
  </si>
  <si>
    <t>ПК-2.6.</t>
  </si>
  <si>
    <t>ПК-2.7.</t>
  </si>
  <si>
    <t>ПК-3.1.</t>
  </si>
  <si>
    <t>ПК-3.2.</t>
  </si>
  <si>
    <t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пожара.</t>
  </si>
  <si>
    <t>Организовывать и обеспечивать действия подчиненных членов экипажа судна по предупреждению и предотвращению загрязнения водной среды.</t>
  </si>
  <si>
    <t>Планировать и обеспечивать безопасную погрузку, размещение, крепление груза и уход за ним в течение рейса и выгрузки.</t>
  </si>
  <si>
    <t>Соблюдать меры предосторожности во время погрузки и выгрузки и обращения с опасными и вредными грузами во время рейса.</t>
  </si>
  <si>
    <t>ОК 1-10; ПК 1.1-1.3; 2.1-2.7; 3.2.</t>
  </si>
  <si>
    <t>Навигация, навигационная гидрометеорология и лоция</t>
  </si>
  <si>
    <t>Навигация и лоция</t>
  </si>
  <si>
    <t>Управление судном и технические средства судовождения</t>
  </si>
  <si>
    <t>ВЧ.00</t>
  </si>
  <si>
    <t>Подготовка по данному учебному плану</t>
  </si>
  <si>
    <t>Коммерческая эксплуатация</t>
  </si>
  <si>
    <t>Квалификационные экзамены</t>
  </si>
  <si>
    <t>Дисциплина</t>
  </si>
  <si>
    <t>Наименование ПМ</t>
  </si>
  <si>
    <t>Распределение недель практик по ПМ</t>
  </si>
  <si>
    <t>Наименование практики и сроки</t>
  </si>
  <si>
    <t>ПМ.01, ПМ.04</t>
  </si>
  <si>
    <t>ПМ.01, ПМ.02</t>
  </si>
  <si>
    <t>Федеральное государственное бюджетное образовательное учреждение высшего образования</t>
  </si>
  <si>
    <t>"Волжский государственный университет водного транспорта"</t>
  </si>
  <si>
    <t>26.02.03 Судовождение</t>
  </si>
  <si>
    <t>2016-17 год</t>
  </si>
  <si>
    <t>2017-18 год</t>
  </si>
  <si>
    <t>2018-19 год</t>
  </si>
  <si>
    <t>2019-20 год</t>
  </si>
  <si>
    <t>Ректор</t>
  </si>
  <si>
    <t>07.05.2014 № 441</t>
  </si>
  <si>
    <t>География</t>
  </si>
  <si>
    <t>Безопасность жизнедеятельности на судне и транспортная безопасность</t>
  </si>
  <si>
    <t>МДК 03.01</t>
  </si>
  <si>
    <t>Технология перевозки груза</t>
  </si>
  <si>
    <t>Технология перевозок</t>
  </si>
  <si>
    <t>Использование РЛС на ВВП</t>
  </si>
  <si>
    <t>УП.03</t>
  </si>
  <si>
    <t>УП.04</t>
  </si>
  <si>
    <t>Государственная итоговая аттестация</t>
  </si>
  <si>
    <t>Экологические основы природопользования</t>
  </si>
  <si>
    <t>УЧЕБНЫЙ  ПЛАН СРЕДНЕГО ПРОФЕССИОНАЛЬНОГО ОБРАЗОВАНИЯ</t>
  </si>
  <si>
    <t>по программе подготовки специалистов среднего звена</t>
  </si>
  <si>
    <t>Обязательная часть циклов ППССЗ</t>
  </si>
  <si>
    <t>МДК.01.01</t>
  </si>
  <si>
    <t>МДК.01.02</t>
  </si>
  <si>
    <t>ОК 1-10; ПК 2.1-2.7</t>
  </si>
  <si>
    <t>ОК 1-10; ПК 3.1 - 3.2</t>
  </si>
  <si>
    <t>Вариативная часть циклов ППССЗ</t>
  </si>
  <si>
    <t>Всего часов обучения по циклам ППССЗ</t>
  </si>
  <si>
    <t xml:space="preserve"> Экзамен квалификационный</t>
  </si>
  <si>
    <t>Управление и эксплуатация судов</t>
  </si>
  <si>
    <t>Норматив рекомендуемый учебно-методическим управлением университета</t>
  </si>
  <si>
    <t>Норматив (ФГОС, нормативные акты РФ или университета</t>
  </si>
  <si>
    <t>Перенос часов по блокам</t>
  </si>
  <si>
    <t>Добавлено часов</t>
  </si>
  <si>
    <t>ОУД.01 Русский язык и литература</t>
  </si>
  <si>
    <t>ОУД.11 Математика: алгебра и начала анализа; геометрия</t>
  </si>
  <si>
    <t>ОУД.12 Физика</t>
  </si>
  <si>
    <t>ОК 1-10; ПК 1.1-1.3, 2.1-2.7, 3.1-3.2</t>
  </si>
  <si>
    <t>5 часов занятий*</t>
  </si>
  <si>
    <t>21 час занятий*</t>
  </si>
  <si>
    <t>13 часов занятий*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</si>
  <si>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</si>
  <si>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Нормативный срок освоения  ППССЗ, недель</t>
  </si>
  <si>
    <t>Дополнительный срок освоения  ППССЗ на базе основного общего образования, недель</t>
  </si>
  <si>
    <t>Теоретическое обучение при дополнительном сроке освоения  ППССЗ на базе основного общего образования, недель</t>
  </si>
  <si>
    <t>Промежуточная аттестация при дополнительном сроке освоения 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</si>
  <si>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</si>
  <si>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Старший техник-судоводитель</t>
  </si>
  <si>
    <t>Психология общения</t>
  </si>
  <si>
    <t>Основы картографии и навигационные карты</t>
  </si>
  <si>
    <t>Электронавигационные приборы и системы</t>
  </si>
  <si>
    <t>МДК.01.03</t>
  </si>
  <si>
    <t>Судовые вспомогательные механизмы и системы</t>
  </si>
  <si>
    <t>Электрооборудование судов</t>
  </si>
  <si>
    <t>Анализ эффективности работы судна</t>
  </si>
  <si>
    <t>МДК.04.01</t>
  </si>
  <si>
    <t>Основы анализа эффективности работы судна с применением информационных технологий</t>
  </si>
  <si>
    <t>ПМ 05</t>
  </si>
  <si>
    <t>Судовые энергетические установки и электрооборудование судов</t>
  </si>
  <si>
    <t>Х</t>
  </si>
  <si>
    <t>ПМ.01, ПМ.02, ПМ.04</t>
  </si>
  <si>
    <t>Решать проблемы, оценивать риски и принимать решения в нестандартных ситуациях</t>
  </si>
  <si>
    <t>Понимать сущность и социальную значимость своей будущей профессии, проявлять к ней устойчивый интерес.</t>
  </si>
  <si>
    <t>Организовывать собственную деятельность, определять методы и способы выполнения профессиональных задач, оценивать их эффективность и качество.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</si>
  <si>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</si>
  <si>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>Использовать информационнокоммуникационные технологии для совершенствования профессиональной деятельности.</t>
  </si>
  <si>
    <t>Работать в команде, обеспечивать её сплочение, эффективно общаться с коллегами, руководством, потребителями.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</si>
  <si>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</si>
  <si>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</si>
  <si>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Владеть письменной и устной коммуникацией на государственном и (или)
иностранном (английском) языке.</t>
  </si>
  <si>
    <t>Планировать и осуществлять переход в точку назначения, определять местоположение судна.</t>
  </si>
  <si>
    <t>Маневрировать и управлять судном.</t>
  </si>
  <si>
    <t>Эксплуатировать судовые энергетические установки.</t>
  </si>
  <si>
    <t>Обеспечивать использование и техническую эксплуатацию технических средств судовождения и судовых систем связи.</t>
  </si>
  <si>
    <t>ПК-1.4.</t>
  </si>
  <si>
    <t>Организовывать мероприятия по обеспечению транспортной безопасности.</t>
  </si>
  <si>
    <t>Применять средства по борьбе за живучесть судна.</t>
  </si>
  <si>
    <t>ПК-2.4.</t>
  </si>
  <si>
    <t>Организовывать и обеспечивать действия подчиненных членов экипажа судна при авариях.</t>
  </si>
  <si>
    <t>Оказывать первую медицинскую помощь пострадавшим.</t>
  </si>
  <si>
    <t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средства.</t>
  </si>
  <si>
    <t>ПК-4.1.</t>
  </si>
  <si>
    <t>Оценивать эффективность и качество работы судна.</t>
  </si>
  <si>
    <t>ПК-4.2.</t>
  </si>
  <si>
    <t>Находить оптимальные варианты планирования рейса судна, техникоэкономических характеристик эксплуатации судна.</t>
  </si>
  <si>
    <t>ПК-4.3.</t>
  </si>
  <si>
    <t>Использовать современное прикладное программное обеспечение для сбора, обработки и хранения информации и эффективного решения различных задач, связанных с эксплуатацией судна.</t>
  </si>
  <si>
    <t>ОК-1-10</t>
  </si>
  <si>
    <t>Принято Ученым советом университета</t>
  </si>
  <si>
    <t>ОК-2,3,6,7</t>
  </si>
  <si>
    <t>ОК 1-10; ПК-1.3</t>
  </si>
  <si>
    <t>ОК-1-10; ПК-1.1</t>
  </si>
  <si>
    <t>ОК-1-10; ПК-1.1,1.2</t>
  </si>
  <si>
    <t>ОК-1-10; ПК-1.4</t>
  </si>
  <si>
    <t>ОК-1-10; ПК-1.3</t>
  </si>
  <si>
    <t>ОК 1-10; ПК 2.1</t>
  </si>
  <si>
    <t>Тренажерная подготовка. Использование ЭКНИС</t>
  </si>
  <si>
    <t>Судовая автоматика и контрольно-измерительные приборы</t>
  </si>
  <si>
    <t>Обслуживание и ремонт судовых энергетических установок</t>
  </si>
  <si>
    <t>Судовождение на внутренних водных путях</t>
  </si>
  <si>
    <t>Правила плавания и управление судами на ВВП</t>
  </si>
  <si>
    <t>Лоция внутренних водных путей</t>
  </si>
  <si>
    <t>Безопасность жизнедеятельности на судне</t>
  </si>
  <si>
    <t>Транспортная безопасность</t>
  </si>
  <si>
    <t>Практика по БЖС и ОСПС</t>
  </si>
  <si>
    <t>Эксплуатация судовых энергетических установок на вспомогательном уровне</t>
  </si>
  <si>
    <t>ОК 1-10; ПК 2,4, 2.6, 2,7</t>
  </si>
  <si>
    <t>3гр 6 п.гр</t>
  </si>
  <si>
    <t>3гр 5 п.гр</t>
  </si>
  <si>
    <t>сумма часов</t>
  </si>
  <si>
    <t>кол-во ставок</t>
  </si>
  <si>
    <t>кол-во курсантов</t>
  </si>
  <si>
    <t>отношение</t>
  </si>
  <si>
    <t>ОК 1-10; ПК 4.1 - 4.3</t>
  </si>
  <si>
    <t>8,Х</t>
  </si>
  <si>
    <t>Судовые энергетические установки (включая тренажер вахтенного механика)</t>
  </si>
  <si>
    <t>Количество курсантов</t>
  </si>
  <si>
    <t>Количество часов по курсам</t>
  </si>
  <si>
    <t>Количество ставок преподавателей</t>
  </si>
  <si>
    <t>Отношение кол-ва курсантов к кол-ву ставок</t>
  </si>
  <si>
    <t>ИТОГО по часам:</t>
  </si>
  <si>
    <t>Ставок:</t>
  </si>
  <si>
    <t>Обслуживание и ремонт судового электрического и электронного оборудования</t>
  </si>
  <si>
    <t>Тренажерная подготовка. Использование РЛС и САРП</t>
  </si>
  <si>
    <t>Управление судном</t>
  </si>
  <si>
    <t>______________________ И.К. Кузьмичев</t>
  </si>
  <si>
    <t>самостоятельная работа (осенний семестр)</t>
  </si>
  <si>
    <t>осенняя лабораторно-экзаменационная сессия</t>
  </si>
  <si>
    <t>самостоятельная работа (весенний семестр)</t>
  </si>
  <si>
    <t>весенняя лабораторно-экзаменационная сессия</t>
  </si>
  <si>
    <t>дней</t>
  </si>
  <si>
    <t>6 курс</t>
  </si>
  <si>
    <t>0,3</t>
  </si>
  <si>
    <t>Шлюпочно-такелажная практика</t>
  </si>
  <si>
    <t>Слесарная практика</t>
  </si>
  <si>
    <t>Основы безопасности жизнедеятельности</t>
  </si>
  <si>
    <t>Учебная плавательная (групповая)</t>
  </si>
  <si>
    <t>Производственная практика (по профилю специальности)</t>
  </si>
  <si>
    <t>64-1</t>
  </si>
  <si>
    <t>64-2</t>
  </si>
  <si>
    <t>33</t>
  </si>
  <si>
    <t>ОК 1-10, ПК 1.1</t>
  </si>
  <si>
    <t>ОК 1-10</t>
  </si>
  <si>
    <t>ОК 1-10; ПК 2.4,2.6,2.7</t>
  </si>
  <si>
    <t>ОК 1-10; ПК 1.1, 1.3. 3.1</t>
  </si>
  <si>
    <t>ОК-1-10, ПК 1.3, 3.1, 4.2,4.3</t>
  </si>
  <si>
    <t>ОК-1-10 ПК 2.7, 3.2</t>
  </si>
  <si>
    <t>ОК-1-10 ПК 1.2 - 1.4</t>
  </si>
  <si>
    <t>64-5</t>
  </si>
  <si>
    <t>64-4</t>
  </si>
  <si>
    <t>ОК-1-10 ПК 1.1 - 1.4, 2.1 - 2.7, 3.1, 3.2, 4.1-4.3</t>
  </si>
  <si>
    <t>64-3</t>
  </si>
  <si>
    <t>ОК 1-10, ПК 1.1 - 1.4, 3.1, 3.2,4.1-4.3</t>
  </si>
  <si>
    <t>ОК 1-10 ПК 1.1 - 1.4, 2.1-2.7, 3.1, 3.2, 4.1-4.3</t>
  </si>
  <si>
    <t>ОК-1-10, ПК 1.1-1.4. 2.1-2.7, 3.1, 3.2, 4.1-4.3</t>
  </si>
  <si>
    <t>64-6</t>
  </si>
  <si>
    <t>ОК 2,3,6,9; ПК-1.3</t>
  </si>
  <si>
    <t>ОК-2,3,5,7; ПК-1.3</t>
  </si>
  <si>
    <t>64-9</t>
  </si>
  <si>
    <t>64-4, 64-5</t>
  </si>
  <si>
    <t>ОК 1-10, ПК 1.1 - 1.4, 2.1 - 2.7, 3.1- 3.2, 4.1 - 4.3</t>
  </si>
  <si>
    <t>Общего гуманитарного и социально-экономического цикла</t>
  </si>
  <si>
    <t>64 - 1</t>
  </si>
  <si>
    <t>Математического  и общего естественнонаучного цикла</t>
  </si>
  <si>
    <t>64 - 2</t>
  </si>
  <si>
    <t>Общепрофессиональных дисциплин</t>
  </si>
  <si>
    <t>64 - 3</t>
  </si>
  <si>
    <t>Профессионального цикла специальности "Судовождение"</t>
  </si>
  <si>
    <t>64 - 4</t>
  </si>
  <si>
    <t>Профессионального цикла специальности "Эксплуатация судовых энергетических установок"</t>
  </si>
  <si>
    <t>64 - 5</t>
  </si>
  <si>
    <t xml:space="preserve">Профессионального цикла специальности "Эксплуатация судового электрооборудования и средств автоматики" </t>
  </si>
  <si>
    <t>64 - 6</t>
  </si>
  <si>
    <t>Профессионального цикла специальности "Эксплуатация внутренних водных путей"</t>
  </si>
  <si>
    <t>64 - 7</t>
  </si>
  <si>
    <t>Профессионального цикла специальности "Экономика и бухгалтерский учет (по отраслям)"</t>
  </si>
  <si>
    <t>64 - 8</t>
  </si>
  <si>
    <t>Профессионального цикла специальности "Организация перевозок и управление на транспорте (по видам)"</t>
  </si>
  <si>
    <t>64 - 9</t>
  </si>
  <si>
    <t>Кафедра теории конструирования инженерных сооружений</t>
  </si>
  <si>
    <t>Кафедра физического воспитания и спорта</t>
  </si>
  <si>
    <t>Нижегородское речное училище им.И.П.Кулибина</t>
  </si>
  <si>
    <t>Управление конвенционной подготовки и повышения квалификации</t>
  </si>
  <si>
    <t>ВЧ.02</t>
  </si>
  <si>
    <t>ВЧ.01</t>
  </si>
  <si>
    <t>12 часов из ВЧ</t>
  </si>
  <si>
    <t>Общеобразовательные учебные дисциплины</t>
  </si>
  <si>
    <t>Общеобразовательные общие дисциплины</t>
  </si>
  <si>
    <t>Общеобразовательные дисциплины по выбору из обязательных предметных областей</t>
  </si>
  <si>
    <t>ОГСЭ.05</t>
  </si>
  <si>
    <t xml:space="preserve">Правовые основы профессиональной деятельности                                               </t>
  </si>
  <si>
    <t>старший техник - судоводитель</t>
  </si>
  <si>
    <t>Учебная практика - 2 курс -  9 недель</t>
  </si>
  <si>
    <t>ПМ.01, ПМ.02, ПМ.05</t>
  </si>
  <si>
    <t>Производственная практика - 3 курс - Практика по профилю специальности - 15 недель</t>
  </si>
  <si>
    <t>Производственная практика - 4 курс Практика по профилю специальности - 25 недель</t>
  </si>
  <si>
    <t>ПМ.01, ПМ.03, ПМ.04</t>
  </si>
  <si>
    <t>МДК.01.04</t>
  </si>
  <si>
    <t>Судоводительское отделение</t>
  </si>
  <si>
    <t>ЕН.00 Математический и общий естественнонаучный цикл</t>
  </si>
  <si>
    <t>П.00 Общепрофессиональные дисциплины</t>
  </si>
  <si>
    <t>ПМ.00 Профессиональные модули</t>
  </si>
  <si>
    <t>4,5</t>
  </si>
  <si>
    <t>3,4,5</t>
  </si>
  <si>
    <t>Общеобразовательных учебных дисциплин</t>
  </si>
  <si>
    <t>Иностранного языка</t>
  </si>
  <si>
    <t>ПОПД</t>
  </si>
  <si>
    <t>ТУС</t>
  </si>
  <si>
    <t>ЭКНИС</t>
  </si>
  <si>
    <t>РЛС и САРП</t>
  </si>
  <si>
    <t>ГМССБ</t>
  </si>
  <si>
    <t>ЭНПиС</t>
  </si>
  <si>
    <t xml:space="preserve">Радионавигационные системы </t>
  </si>
  <si>
    <t>РНС</t>
  </si>
  <si>
    <t>СВМиС</t>
  </si>
  <si>
    <t>СЭУ</t>
  </si>
  <si>
    <t>САиКИП</t>
  </si>
  <si>
    <t>РЛС на ВВП</t>
  </si>
  <si>
    <t>Лоция ВВП</t>
  </si>
  <si>
    <t>БЖС</t>
  </si>
  <si>
    <t>ЭСЭУ</t>
  </si>
  <si>
    <t>дифференцированные зачеты</t>
  </si>
  <si>
    <t>6,7</t>
  </si>
  <si>
    <t>ОК-1-10 ПК 1.1-1.4, 3.1</t>
  </si>
  <si>
    <t>ОК 1-10, ПК 2.3-2.7</t>
  </si>
  <si>
    <t>Электроника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</si>
  <si>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</si>
  <si>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</si>
  <si>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курсовые проекты (работы)</t>
  </si>
  <si>
    <t>другие формы</t>
  </si>
  <si>
    <t>уроков, лекций, вкл. семинары</t>
  </si>
  <si>
    <t>практических, лабораторных работ</t>
  </si>
  <si>
    <t>уроков, лекций, вкл. Семинары</t>
  </si>
  <si>
    <t>практических и лабораторных работ</t>
  </si>
  <si>
    <t>Количество курсовых проектов (работ)</t>
  </si>
  <si>
    <t>Всего часов на государственную итоговую аттестацию</t>
  </si>
  <si>
    <t>Количество других форм контроля</t>
  </si>
  <si>
    <t>Дата утверждения ФГОС СПО</t>
  </si>
  <si>
    <t>Радиооборудование судов</t>
  </si>
  <si>
    <t>7,Х</t>
  </si>
  <si>
    <t>5,6,8,9</t>
  </si>
  <si>
    <t>7,9</t>
  </si>
  <si>
    <t>Производственная практика - 5 курс Преддипломная по специальности - 4 недели</t>
  </si>
  <si>
    <t>Производственная практика - 5 курс Практика по профилю специальности - 6 недель</t>
  </si>
  <si>
    <t>45 часов из ВЧ</t>
  </si>
  <si>
    <t>929 часов из ВЧ</t>
  </si>
  <si>
    <t>ОК 1-10; ПК 1.1-1.3, 2.1-2.7, 3.1-3.2, 4.1-4.3</t>
  </si>
  <si>
    <t>___________________ И.К.Кузьмичев</t>
  </si>
  <si>
    <t>Всего часов обучения по циклам</t>
  </si>
  <si>
    <t>Базовые дисциплины</t>
  </si>
  <si>
    <t>Русский язык</t>
  </si>
  <si>
    <t>Литература</t>
  </si>
  <si>
    <t>Астрономия</t>
  </si>
  <si>
    <t>Обществознание</t>
  </si>
  <si>
    <t>Профильные дисциплины</t>
  </si>
  <si>
    <t xml:space="preserve">Количество учебных занятий (часов) в неделю </t>
  </si>
  <si>
    <t>Общеобразовательные дисциплины</t>
  </si>
  <si>
    <t>Профессиональный английский язык</t>
  </si>
  <si>
    <t>Управление и эксплуатация судна с правом эксплуатации судовых энергетических установок</t>
  </si>
  <si>
    <t>ОП.00</t>
  </si>
  <si>
    <t>Количество учебных занятий (часов) в неделю</t>
  </si>
  <si>
    <t>Государственная итоговая аттестация, недель</t>
  </si>
  <si>
    <t>2,3,4</t>
  </si>
  <si>
    <t>2,4</t>
  </si>
  <si>
    <t>3,4,5,6,7,8,9,Х</t>
  </si>
  <si>
    <t>Протокол №</t>
  </si>
  <si>
    <t>6,8,Х</t>
  </si>
  <si>
    <t>5,7,9</t>
  </si>
  <si>
    <t>4,Х</t>
  </si>
  <si>
    <t>ОК 1-10, ПК1.1-1.4</t>
  </si>
  <si>
    <t>ОК-1-10; ПК 2.1-2.7</t>
  </si>
  <si>
    <t>7,8</t>
  </si>
  <si>
    <t>4,5,7</t>
  </si>
  <si>
    <t>8,9</t>
  </si>
  <si>
    <t>Оператор связи ГМССБ</t>
  </si>
  <si>
    <t>3,4,6,7,9</t>
  </si>
  <si>
    <t>Матрос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</si>
  <si>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</si>
  <si>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</si>
  <si>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</si>
  <si>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</si>
  <si>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</si>
  <si>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</si>
  <si>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</si>
  <si>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</si>
  <si>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</si>
  <si>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</si>
  <si>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</si>
  <si>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ОДп.01</t>
  </si>
  <si>
    <t>ОДп.02</t>
  </si>
  <si>
    <t>ОДп.03</t>
  </si>
  <si>
    <t>ОК 1-10, ПК1.1-1.5</t>
  </si>
  <si>
    <t>ОК 1-10, ПК1.1-1.6</t>
  </si>
  <si>
    <t>ОК 1-10, ПК1.1-1.7</t>
  </si>
  <si>
    <t>ОК 1-10, ПК1.1-1.8</t>
  </si>
  <si>
    <t>ОК 1-10, ПК1.1-1.9</t>
  </si>
  <si>
    <t>ОК 1-10; 
ПК-1.1,1.2,1.4</t>
  </si>
  <si>
    <t>ОК 1-10; 
ПК-1.1,1.2,1.4
ПК-4.2,4.3</t>
  </si>
  <si>
    <t>ОК 1-10, ПК-1.3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</si>
</sst>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6" x14ac:knownFonts="1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indexed="12"/>
      <name val="Times New Roman"/>
      <family val="1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7.5"/>
      <name val="Times New Roman"/>
      <family val="1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45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 vertical="top"/>
    </xf>
    <xf numFmtId="0" fontId="1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902">
    <xf numFmtId="0" fontId="0" fillId="0" borderId="0" xfId="0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9" fillId="26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14" fillId="28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29" borderId="13" xfId="0" applyFont="1" applyFill="1" applyBorder="1" applyAlignment="1">
      <alignment horizontal="center" vertical="top" wrapText="1"/>
    </xf>
    <xf numFmtId="0" fontId="14" fillId="30" borderId="13" xfId="0" applyFont="1" applyFill="1" applyBorder="1" applyAlignment="1">
      <alignment horizontal="center" vertical="top" wrapText="1"/>
    </xf>
    <xf numFmtId="0" fontId="14" fillId="31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1" fontId="12" fillId="26" borderId="10" xfId="0" applyNumberFormat="1" applyFont="1" applyFill="1" applyBorder="1" applyAlignment="1">
      <alignment horizontal="center" vertical="top" wrapText="1"/>
    </xf>
    <xf numFmtId="1" fontId="9" fillId="26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7" fillId="32" borderId="0" xfId="0" applyNumberFormat="1" applyFont="1" applyFill="1" applyBorder="1" applyAlignment="1">
      <alignment horizontal="justify" vertical="top" wrapText="1"/>
    </xf>
    <xf numFmtId="0" fontId="3" fillId="32" borderId="0" xfId="0" applyFont="1" applyFill="1" applyAlignment="1">
      <alignment horizontal="center" vertical="top" wrapText="1"/>
    </xf>
    <xf numFmtId="0" fontId="38" fillId="0" borderId="10" xfId="0" applyFont="1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/>
    </xf>
    <xf numFmtId="1" fontId="2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49" fontId="3" fillId="28" borderId="25" xfId="0" applyNumberFormat="1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left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1" fontId="7" fillId="28" borderId="28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1" fontId="7" fillId="28" borderId="30" xfId="0" applyNumberFormat="1" applyFont="1" applyFill="1" applyBorder="1" applyAlignment="1" applyProtection="1">
      <alignment horizontal="center" vertical="top" wrapText="1"/>
    </xf>
    <xf numFmtId="49" fontId="7" fillId="28" borderId="31" xfId="0" applyNumberFormat="1" applyFont="1" applyFill="1" applyBorder="1" applyAlignment="1" applyProtection="1">
      <alignment horizontal="center" vertical="top" wrapText="1"/>
    </xf>
    <xf numFmtId="49" fontId="7" fillId="28" borderId="16" xfId="0" applyNumberFormat="1" applyFont="1" applyFill="1" applyBorder="1" applyAlignment="1" applyProtection="1">
      <alignment horizontal="center" vertical="top" wrapText="1"/>
    </xf>
    <xf numFmtId="0" fontId="7" fillId="28" borderId="13" xfId="0" applyFont="1" applyFill="1" applyBorder="1" applyAlignment="1" applyProtection="1">
      <alignment horizontal="center" textRotation="90" wrapText="1"/>
    </xf>
    <xf numFmtId="0" fontId="3" fillId="28" borderId="15" xfId="0" applyFont="1" applyFill="1" applyBorder="1" applyAlignment="1" applyProtection="1">
      <alignment horizontal="center" textRotation="90" wrapText="1"/>
    </xf>
    <xf numFmtId="0" fontId="7" fillId="28" borderId="18" xfId="0" applyFont="1" applyFill="1" applyBorder="1" applyAlignment="1" applyProtection="1">
      <alignment horizontal="center" textRotation="90" wrapText="1"/>
    </xf>
    <xf numFmtId="49" fontId="3" fillId="34" borderId="14" xfId="0" applyNumberFormat="1" applyFont="1" applyFill="1" applyBorder="1" applyAlignment="1" applyProtection="1">
      <alignment horizontal="left" vertical="center" wrapText="1"/>
    </xf>
    <xf numFmtId="1" fontId="3" fillId="34" borderId="14" xfId="0" applyNumberFormat="1" applyFont="1" applyFill="1" applyBorder="1" applyAlignment="1" applyProtection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</xf>
    <xf numFmtId="1" fontId="3" fillId="34" borderId="16" xfId="0" applyNumberFormat="1" applyFont="1" applyFill="1" applyBorder="1" applyAlignment="1" applyProtection="1">
      <alignment horizontal="left" vertical="center" wrapText="1"/>
    </xf>
    <xf numFmtId="0" fontId="3" fillId="34" borderId="38" xfId="0" applyNumberFormat="1" applyFont="1" applyFill="1" applyBorder="1" applyAlignment="1" applyProtection="1">
      <alignment horizontal="left" vertical="center" wrapText="1"/>
    </xf>
    <xf numFmtId="0" fontId="7" fillId="34" borderId="38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27" borderId="17" xfId="0" applyFont="1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top" wrapText="1"/>
      <protection locked="0"/>
    </xf>
    <xf numFmtId="0" fontId="8" fillId="24" borderId="13" xfId="0" applyFont="1" applyFill="1" applyBorder="1" applyAlignment="1" applyProtection="1">
      <alignment horizontal="center" vertical="top" wrapText="1"/>
    </xf>
    <xf numFmtId="0" fontId="8" fillId="24" borderId="22" xfId="0" applyFont="1" applyFill="1" applyBorder="1" applyAlignment="1" applyProtection="1">
      <alignment horizontal="center" vertical="top" wrapText="1"/>
    </xf>
    <xf numFmtId="0" fontId="0" fillId="27" borderId="13" xfId="0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2" fillId="36" borderId="0" xfId="0" applyFont="1" applyFill="1" applyAlignment="1">
      <alignment vertical="top"/>
    </xf>
    <xf numFmtId="0" fontId="2" fillId="36" borderId="0" xfId="0" applyFont="1" applyFill="1" applyAlignment="1">
      <alignment vertical="top" wrapText="1"/>
    </xf>
    <xf numFmtId="0" fontId="2" fillId="38" borderId="0" xfId="0" applyFont="1" applyFill="1" applyAlignment="1">
      <alignment vertical="top"/>
    </xf>
    <xf numFmtId="0" fontId="2" fillId="38" borderId="0" xfId="0" applyFont="1" applyFill="1" applyAlignment="1">
      <alignment vertical="top" wrapText="1"/>
    </xf>
    <xf numFmtId="0" fontId="12" fillId="39" borderId="10" xfId="0" applyFont="1" applyFill="1" applyBorder="1" applyAlignment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0" fontId="3" fillId="28" borderId="37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37" borderId="0" xfId="0" applyFont="1" applyFill="1" applyBorder="1" applyAlignment="1" applyProtection="1">
      <alignment vertical="center" wrapText="1"/>
    </xf>
    <xf numFmtId="49" fontId="0" fillId="37" borderId="13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1" fontId="8" fillId="34" borderId="36" xfId="0" applyNumberFormat="1" applyFont="1" applyFill="1" applyBorder="1" applyAlignment="1" applyProtection="1">
      <alignment horizontal="center" vertical="center" wrapText="1"/>
    </xf>
    <xf numFmtId="3" fontId="8" fillId="25" borderId="36" xfId="0" applyNumberFormat="1" applyFont="1" applyFill="1" applyBorder="1" applyAlignment="1" applyProtection="1">
      <alignment horizontal="center" vertical="center" wrapText="1"/>
    </xf>
    <xf numFmtId="3" fontId="7" fillId="25" borderId="13" xfId="0" applyNumberFormat="1" applyFont="1" applyFill="1" applyBorder="1" applyAlignment="1" applyProtection="1">
      <alignment horizontal="center" vertical="center" wrapText="1"/>
    </xf>
    <xf numFmtId="3" fontId="7" fillId="25" borderId="34" xfId="0" applyNumberFormat="1" applyFont="1" applyFill="1" applyBorder="1" applyAlignment="1" applyProtection="1">
      <alignment horizontal="center" vertical="center" wrapText="1"/>
    </xf>
    <xf numFmtId="1" fontId="7" fillId="34" borderId="36" xfId="0" applyNumberFormat="1" applyFont="1" applyFill="1" applyBorder="1" applyAlignment="1" applyProtection="1">
      <alignment horizontal="center" vertical="center" wrapText="1"/>
    </xf>
    <xf numFmtId="3" fontId="7" fillId="25" borderId="36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49" fontId="2" fillId="34" borderId="41" xfId="0" applyNumberFormat="1" applyFont="1" applyFill="1" applyBorder="1" applyAlignment="1" applyProtection="1">
      <alignment horizontal="center" vertical="center" wrapText="1"/>
    </xf>
    <xf numFmtId="1" fontId="8" fillId="34" borderId="13" xfId="0" applyNumberFormat="1" applyFont="1" applyFill="1" applyBorder="1" applyAlignment="1" applyProtection="1">
      <alignment horizontal="center" vertical="center" wrapText="1"/>
    </xf>
    <xf numFmtId="3" fontId="8" fillId="25" borderId="13" xfId="0" applyNumberFormat="1" applyFont="1" applyFill="1" applyBorder="1" applyAlignment="1" applyProtection="1">
      <alignment horizontal="center" vertical="center" wrapText="1"/>
    </xf>
    <xf numFmtId="3" fontId="7" fillId="25" borderId="17" xfId="0" applyNumberFormat="1" applyFont="1" applyFill="1" applyBorder="1" applyAlignment="1" applyProtection="1">
      <alignment horizontal="center" vertical="center" wrapText="1"/>
    </xf>
    <xf numFmtId="49" fontId="3" fillId="34" borderId="41" xfId="0" applyNumberFormat="1" applyFont="1" applyFill="1" applyBorder="1" applyAlignment="1" applyProtection="1">
      <alignment horizontal="left" vertical="center" wrapText="1"/>
    </xf>
    <xf numFmtId="49" fontId="2" fillId="34" borderId="41" xfId="0" applyNumberFormat="1" applyFont="1" applyFill="1" applyBorder="1" applyAlignment="1" applyProtection="1">
      <alignment horizontal="left" vertical="center" wrapText="1"/>
    </xf>
    <xf numFmtId="49" fontId="2" fillId="34" borderId="12" xfId="0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8" fillId="24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locked="0"/>
    </xf>
    <xf numFmtId="1" fontId="3" fillId="34" borderId="0" xfId="0" applyNumberFormat="1" applyFont="1" applyFill="1" applyBorder="1" applyAlignment="1" applyProtection="1">
      <alignment horizontal="left" vertical="center" wrapText="1"/>
    </xf>
    <xf numFmtId="0" fontId="2" fillId="34" borderId="0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vertical="center" wrapText="1"/>
    </xf>
    <xf numFmtId="0" fontId="34" fillId="24" borderId="13" xfId="37" applyFont="1" applyFill="1" applyBorder="1" applyAlignment="1" applyProtection="1">
      <alignment horizontal="center" vertical="center" wrapText="1"/>
    </xf>
    <xf numFmtId="0" fontId="8" fillId="27" borderId="20" xfId="37" applyNumberFormat="1" applyFont="1" applyFill="1" applyBorder="1" applyAlignment="1" applyProtection="1">
      <alignment horizontal="justify" vertical="center" wrapText="1"/>
    </xf>
    <xf numFmtId="0" fontId="34" fillId="27" borderId="14" xfId="37" applyFont="1" applyFill="1" applyBorder="1" applyAlignment="1" applyProtection="1">
      <alignment horizontal="center" vertical="center" wrapText="1"/>
    </xf>
    <xf numFmtId="0" fontId="34" fillId="27" borderId="15" xfId="37" applyFont="1" applyFill="1" applyBorder="1" applyAlignment="1" applyProtection="1">
      <alignment horizontal="center" vertical="center" wrapText="1"/>
    </xf>
    <xf numFmtId="0" fontId="8" fillId="27" borderId="21" xfId="37" applyNumberFormat="1" applyFont="1" applyFill="1" applyBorder="1" applyAlignment="1" applyProtection="1">
      <alignment horizontal="justify" vertical="center" wrapText="1"/>
    </xf>
    <xf numFmtId="0" fontId="34" fillId="27" borderId="16" xfId="37" applyFont="1" applyFill="1" applyBorder="1" applyAlignment="1" applyProtection="1">
      <alignment horizontal="center" vertical="center" wrapText="1"/>
    </xf>
    <xf numFmtId="49" fontId="34" fillId="27" borderId="16" xfId="37" applyNumberFormat="1" applyFont="1" applyFill="1" applyBorder="1" applyAlignment="1" applyProtection="1">
      <alignment horizontal="center" vertical="center" wrapText="1" shrinkToFit="1"/>
    </xf>
    <xf numFmtId="49" fontId="34" fillId="27" borderId="10" xfId="37" applyNumberFormat="1" applyFont="1" applyFill="1" applyBorder="1" applyAlignment="1" applyProtection="1">
      <alignment horizontal="center" vertical="center" wrapText="1" shrinkToFit="1"/>
    </xf>
    <xf numFmtId="164" fontId="7" fillId="32" borderId="13" xfId="37" applyNumberFormat="1" applyFont="1" applyFill="1" applyBorder="1" applyAlignment="1" applyProtection="1">
      <alignment horizontal="center" vertical="center" wrapText="1"/>
    </xf>
    <xf numFmtId="164" fontId="8" fillId="26" borderId="13" xfId="41" applyNumberFormat="1" applyFont="1" applyFill="1" applyBorder="1" applyAlignment="1" applyProtection="1">
      <alignment horizontal="center" vertical="center" wrapText="1"/>
    </xf>
    <xf numFmtId="0" fontId="34" fillId="0" borderId="0" xfId="37" applyFont="1" applyAlignment="1" applyProtection="1">
      <alignment vertical="center" wrapText="1"/>
    </xf>
    <xf numFmtId="0" fontId="0" fillId="24" borderId="13" xfId="37" applyFont="1" applyFill="1" applyBorder="1" applyAlignment="1" applyProtection="1">
      <alignment horizontal="center" vertical="center" wrapText="1"/>
    </xf>
    <xf numFmtId="2" fontId="7" fillId="29" borderId="13" xfId="37" applyNumberFormat="1" applyFont="1" applyFill="1" applyBorder="1" applyAlignment="1" applyProtection="1">
      <alignment horizontal="center" vertical="center" wrapText="1"/>
    </xf>
    <xf numFmtId="2" fontId="36" fillId="29" borderId="13" xfId="37" applyNumberFormat="1" applyFont="1" applyFill="1" applyBorder="1" applyAlignment="1" applyProtection="1">
      <alignment horizontal="center" vertical="center" wrapText="1"/>
    </xf>
    <xf numFmtId="2" fontId="37" fillId="29" borderId="13" xfId="37" applyNumberFormat="1" applyFont="1" applyFill="1" applyBorder="1" applyAlignment="1" applyProtection="1">
      <alignment horizontal="center" vertical="center" wrapText="1"/>
    </xf>
    <xf numFmtId="0" fontId="8" fillId="29" borderId="13" xfId="37" applyFont="1" applyFill="1" applyBorder="1" applyAlignment="1" applyProtection="1">
      <alignment horizontal="center" vertical="center" wrapText="1"/>
    </xf>
    <xf numFmtId="1" fontId="7" fillId="32" borderId="13" xfId="37" applyNumberFormat="1" applyFont="1" applyFill="1" applyBorder="1" applyAlignment="1" applyProtection="1">
      <alignment horizontal="center" vertical="center" wrapText="1"/>
    </xf>
    <xf numFmtId="1" fontId="36" fillId="0" borderId="13" xfId="37" applyNumberFormat="1" applyFont="1" applyFill="1" applyBorder="1" applyAlignment="1" applyProtection="1">
      <alignment horizontal="center" vertical="center" wrapText="1"/>
      <protection locked="0"/>
    </xf>
    <xf numFmtId="1" fontId="37" fillId="32" borderId="13" xfId="37" applyNumberFormat="1" applyFont="1" applyFill="1" applyBorder="1" applyAlignment="1" applyProtection="1">
      <alignment horizontal="center" vertical="center" wrapText="1"/>
    </xf>
    <xf numFmtId="2" fontId="8" fillId="26" borderId="13" xfId="37" applyNumberFormat="1" applyFont="1" applyFill="1" applyBorder="1" applyAlignment="1" applyProtection="1">
      <alignment horizontal="center" vertical="center" wrapText="1"/>
    </xf>
    <xf numFmtId="2" fontId="7" fillId="32" borderId="13" xfId="37" applyNumberFormat="1" applyFont="1" applyFill="1" applyBorder="1" applyAlignment="1" applyProtection="1">
      <alignment horizontal="center" vertical="center" wrapText="1"/>
    </xf>
    <xf numFmtId="2" fontId="36" fillId="0" borderId="13" xfId="37" applyNumberFormat="1" applyFont="1" applyFill="1" applyBorder="1" applyAlignment="1" applyProtection="1">
      <alignment horizontal="center" vertical="center" wrapText="1"/>
      <protection locked="0"/>
    </xf>
    <xf numFmtId="2" fontId="37" fillId="32" borderId="13" xfId="37" applyNumberFormat="1" applyFont="1" applyFill="1" applyBorder="1" applyAlignment="1" applyProtection="1">
      <alignment horizontal="center" vertical="center" wrapText="1"/>
    </xf>
    <xf numFmtId="0" fontId="8" fillId="26" borderId="13" xfId="37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 wrapText="1"/>
    </xf>
    <xf numFmtId="164" fontId="36" fillId="0" borderId="13" xfId="37" applyNumberFormat="1" applyFont="1" applyFill="1" applyBorder="1" applyAlignment="1" applyProtection="1">
      <alignment horizontal="center" vertical="center" wrapText="1"/>
      <protection locked="0"/>
    </xf>
    <xf numFmtId="164" fontId="37" fillId="32" borderId="13" xfId="37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2" fontId="9" fillId="31" borderId="13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vertical="center" wrapText="1"/>
    </xf>
    <xf numFmtId="0" fontId="40" fillId="31" borderId="13" xfId="0" applyFont="1" applyFill="1" applyBorder="1" applyAlignment="1" applyProtection="1">
      <alignment horizontal="center" vertical="center" wrapText="1"/>
    </xf>
    <xf numFmtId="0" fontId="9" fillId="31" borderId="13" xfId="0" applyFont="1" applyFill="1" applyBorder="1" applyAlignment="1" applyProtection="1">
      <alignment vertical="center" wrapText="1"/>
    </xf>
    <xf numFmtId="0" fontId="9" fillId="35" borderId="13" xfId="0" applyFont="1" applyFill="1" applyBorder="1" applyAlignment="1" applyProtection="1">
      <alignment vertical="center" wrapText="1"/>
    </xf>
    <xf numFmtId="164" fontId="9" fillId="31" borderId="13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Alignment="1" applyProtection="1">
      <alignment horizontal="center" vertical="center" wrapText="1"/>
    </xf>
    <xf numFmtId="0" fontId="9" fillId="31" borderId="13" xfId="0" applyFont="1" applyFill="1" applyBorder="1" applyAlignment="1" applyProtection="1">
      <alignment horizontal="left" vertical="center" wrapText="1"/>
    </xf>
    <xf numFmtId="0" fontId="9" fillId="35" borderId="13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vertical="center" wrapText="1"/>
    </xf>
    <xf numFmtId="1" fontId="0" fillId="37" borderId="13" xfId="0" applyNumberFormat="1" applyFont="1" applyFill="1" applyBorder="1" applyAlignment="1" applyProtection="1">
      <alignment horizontal="center" vertical="center" wrapText="1"/>
    </xf>
    <xf numFmtId="1" fontId="8" fillId="37" borderId="13" xfId="0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7" borderId="13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vertical="center" wrapText="1"/>
    </xf>
    <xf numFmtId="0" fontId="0" fillId="24" borderId="13" xfId="0" applyFont="1" applyFill="1" applyBorder="1" applyAlignment="1" applyProtection="1">
      <alignment horizontal="center" vertical="center" wrapText="1"/>
    </xf>
    <xf numFmtId="0" fontId="7" fillId="27" borderId="13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0" xfId="0" applyFont="1" applyFill="1" applyBorder="1" applyAlignment="1" applyProtection="1">
      <alignment vertical="center" wrapText="1"/>
      <protection locked="0"/>
    </xf>
    <xf numFmtId="1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3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>
      <alignment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37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left" vertical="top" wrapText="1"/>
    </xf>
    <xf numFmtId="49" fontId="0" fillId="37" borderId="13" xfId="37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" fillId="41" borderId="0" xfId="0" applyFont="1" applyFill="1" applyBorder="1" applyAlignment="1" applyProtection="1">
      <alignment horizontal="left" vertical="top" wrapText="1"/>
    </xf>
    <xf numFmtId="1" fontId="2" fillId="41" borderId="0" xfId="0" applyNumberFormat="1" applyFont="1" applyFill="1" applyBorder="1" applyAlignment="1" applyProtection="1">
      <alignment horizontal="left" vertical="top" wrapText="1"/>
    </xf>
    <xf numFmtId="2" fontId="2" fillId="0" borderId="0" xfId="0" applyNumberFormat="1" applyFont="1" applyFill="1" applyBorder="1" applyAlignment="1" applyProtection="1">
      <alignment horizontal="left" vertical="top" wrapText="1"/>
    </xf>
    <xf numFmtId="0" fontId="2" fillId="37" borderId="0" xfId="0" applyFont="1" applyFill="1" applyBorder="1" applyAlignment="1" applyProtection="1">
      <alignment horizontal="left" vertical="top" wrapText="1"/>
    </xf>
    <xf numFmtId="0" fontId="8" fillId="41" borderId="0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>
      <alignment horizontal="left" vertical="top" wrapText="1"/>
    </xf>
    <xf numFmtId="0" fontId="43" fillId="37" borderId="0" xfId="0" applyFont="1" applyFill="1" applyBorder="1" applyAlignment="1" applyProtection="1">
      <alignment horizontal="left" vertical="top" wrapText="1"/>
    </xf>
    <xf numFmtId="0" fontId="5" fillId="37" borderId="0" xfId="0" applyFont="1" applyFill="1" applyBorder="1" applyAlignment="1" applyProtection="1">
      <alignment horizontal="left" vertical="top" wrapText="1"/>
    </xf>
    <xf numFmtId="0" fontId="2" fillId="41" borderId="0" xfId="0" applyNumberFormat="1" applyFont="1" applyFill="1" applyBorder="1" applyAlignment="1" applyProtection="1">
      <alignment horizontal="left" vertical="top" wrapText="1"/>
    </xf>
    <xf numFmtId="49" fontId="2" fillId="41" borderId="0" xfId="0" applyNumberFormat="1" applyFont="1" applyFill="1" applyBorder="1" applyAlignment="1" applyProtection="1">
      <alignment horizontal="left" vertical="top" wrapText="1"/>
    </xf>
    <xf numFmtId="2" fontId="2" fillId="41" borderId="0" xfId="0" applyNumberFormat="1" applyFont="1" applyFill="1" applyBorder="1" applyAlignment="1" applyProtection="1">
      <alignment horizontal="left" vertical="top" wrapText="1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4" fillId="24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7" fillId="32" borderId="0" xfId="0" applyNumberFormat="1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0" fillId="0" borderId="0" xfId="0">
      <alignment vertical="top"/>
    </xf>
    <xf numFmtId="0" fontId="2" fillId="0" borderId="0" xfId="0" applyFont="1" applyAlignment="1">
      <alignment vertical="top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12" fillId="25" borderId="10" xfId="0" applyFont="1" applyFill="1" applyBorder="1" applyAlignment="1">
      <alignment horizontal="center" vertical="top" wrapText="1"/>
    </xf>
    <xf numFmtId="0" fontId="38" fillId="0" borderId="13" xfId="0" applyFont="1" applyFill="1" applyBorder="1" applyAlignment="1" applyProtection="1">
      <alignment horizontal="center" vertical="top" wrapText="1"/>
      <protection locked="0"/>
    </xf>
    <xf numFmtId="0" fontId="3" fillId="28" borderId="14" xfId="0" applyFont="1" applyFill="1" applyBorder="1" applyAlignment="1" applyProtection="1">
      <alignment horizontal="center" vertical="top" wrapText="1"/>
    </xf>
    <xf numFmtId="0" fontId="3" fillId="37" borderId="14" xfId="0" applyFont="1" applyFill="1" applyBorder="1" applyAlignment="1" applyProtection="1">
      <alignment horizontal="center" vertical="top" wrapText="1"/>
    </xf>
    <xf numFmtId="0" fontId="3" fillId="37" borderId="53" xfId="0" applyFont="1" applyFill="1" applyBorder="1" applyAlignment="1" applyProtection="1">
      <alignment horizontal="center" textRotation="90" wrapText="1"/>
    </xf>
    <xf numFmtId="0" fontId="3" fillId="37" borderId="29" xfId="0" applyFont="1" applyFill="1" applyBorder="1" applyAlignment="1" applyProtection="1">
      <alignment horizontal="center" textRotation="90" wrapText="1"/>
    </xf>
    <xf numFmtId="0" fontId="7" fillId="0" borderId="0" xfId="0" applyFont="1" applyFill="1" applyBorder="1" applyAlignment="1" applyProtection="1">
      <alignment vertical="top" wrapText="1"/>
    </xf>
    <xf numFmtId="1" fontId="2" fillId="44" borderId="13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34" xfId="0" applyFont="1" applyFill="1" applyBorder="1" applyAlignment="1" applyProtection="1">
      <alignment vertical="top" wrapText="1"/>
      <protection locked="0"/>
    </xf>
    <xf numFmtId="1" fontId="2" fillId="32" borderId="13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49" fontId="8" fillId="30" borderId="14" xfId="0" applyNumberFormat="1" applyFont="1" applyFill="1" applyBorder="1" applyAlignment="1" applyProtection="1">
      <alignment horizontal="center" vertical="top" wrapText="1"/>
    </xf>
    <xf numFmtId="49" fontId="8" fillId="30" borderId="22" xfId="0" applyNumberFormat="1" applyFont="1" applyFill="1" applyBorder="1" applyAlignment="1" applyProtection="1">
      <alignment horizontal="left" vertical="top" wrapText="1"/>
    </xf>
    <xf numFmtId="0" fontId="8" fillId="30" borderId="20" xfId="0" applyFont="1" applyFill="1" applyBorder="1" applyAlignment="1" applyProtection="1">
      <alignment horizontal="left" vertical="top" wrapText="1"/>
    </xf>
    <xf numFmtId="0" fontId="8" fillId="30" borderId="14" xfId="0" applyFont="1" applyFill="1" applyBorder="1" applyAlignment="1" applyProtection="1">
      <alignment horizontal="left" vertical="top" wrapText="1"/>
    </xf>
    <xf numFmtId="49" fontId="8" fillId="30" borderId="13" xfId="0" applyNumberFormat="1" applyFont="1" applyFill="1" applyBorder="1" applyAlignment="1" applyProtection="1">
      <alignment horizontal="center" vertical="top" wrapText="1"/>
    </xf>
    <xf numFmtId="49" fontId="2" fillId="0" borderId="17" xfId="0" applyNumberFormat="1" applyFont="1" applyFill="1" applyBorder="1" applyAlignment="1" applyProtection="1">
      <alignment horizontal="left" vertical="top" wrapText="1"/>
    </xf>
    <xf numFmtId="0" fontId="2" fillId="0" borderId="34" xfId="0" applyFont="1" applyFill="1" applyBorder="1" applyAlignment="1" applyProtection="1">
      <alignment horizontal="justify" vertical="top" wrapText="1"/>
    </xf>
    <xf numFmtId="49" fontId="2" fillId="0" borderId="34" xfId="0" applyNumberFormat="1" applyFont="1" applyFill="1" applyBorder="1" applyAlignment="1" applyProtection="1">
      <alignment horizontal="center" vertical="top" wrapText="1"/>
    </xf>
    <xf numFmtId="1" fontId="2" fillId="0" borderId="34" xfId="0" applyNumberFormat="1" applyFont="1" applyFill="1" applyBorder="1" applyAlignment="1" applyProtection="1">
      <alignment horizontal="center" vertical="top" wrapText="1"/>
    </xf>
    <xf numFmtId="1" fontId="2" fillId="37" borderId="0" xfId="0" applyNumberFormat="1" applyFont="1" applyFill="1" applyBorder="1" applyAlignment="1" applyProtection="1">
      <alignment horizontal="center" vertical="top" wrapText="1"/>
    </xf>
    <xf numFmtId="49" fontId="3" fillId="34" borderId="14" xfId="0" applyNumberFormat="1" applyFont="1" applyFill="1" applyBorder="1" applyAlignment="1" applyProtection="1">
      <alignment horizontal="left" vertical="top" wrapText="1"/>
    </xf>
    <xf numFmtId="0" fontId="2" fillId="34" borderId="14" xfId="0" applyFont="1" applyFill="1" applyBorder="1" applyAlignment="1" applyProtection="1">
      <alignment horizontal="center" vertical="top" wrapText="1"/>
    </xf>
    <xf numFmtId="1" fontId="3" fillId="37" borderId="0" xfId="0" applyNumberFormat="1" applyFont="1" applyFill="1" applyBorder="1" applyAlignment="1" applyProtection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top" wrapText="1"/>
    </xf>
    <xf numFmtId="0" fontId="2" fillId="34" borderId="16" xfId="0" applyFont="1" applyFill="1" applyBorder="1" applyAlignment="1" applyProtection="1">
      <alignment horizontal="center" vertical="top" wrapText="1"/>
    </xf>
    <xf numFmtId="1" fontId="8" fillId="34" borderId="36" xfId="0" applyNumberFormat="1" applyFont="1" applyFill="1" applyBorder="1" applyAlignment="1" applyProtection="1">
      <alignment horizontal="center" vertical="top" wrapText="1"/>
    </xf>
    <xf numFmtId="3" fontId="8" fillId="25" borderId="36" xfId="0" applyNumberFormat="1" applyFont="1" applyFill="1" applyBorder="1" applyAlignment="1" applyProtection="1">
      <alignment horizontal="center" vertical="top" wrapText="1"/>
    </xf>
    <xf numFmtId="1" fontId="3" fillId="25" borderId="19" xfId="0" applyNumberFormat="1" applyFont="1" applyFill="1" applyBorder="1" applyAlignment="1" applyProtection="1">
      <alignment horizontal="center" vertical="top" wrapText="1"/>
    </xf>
    <xf numFmtId="3" fontId="7" fillId="25" borderId="13" xfId="0" applyNumberFormat="1" applyFont="1" applyFill="1" applyBorder="1" applyAlignment="1" applyProtection="1">
      <alignment horizontal="center" vertical="top" wrapText="1"/>
    </xf>
    <xf numFmtId="1" fontId="3" fillId="37" borderId="0" xfId="0" applyNumberFormat="1" applyFont="1" applyFill="1" applyBorder="1" applyAlignment="1" applyProtection="1">
      <alignment horizontal="center" vertical="top" wrapText="1"/>
    </xf>
    <xf numFmtId="1" fontId="3" fillId="25" borderId="39" xfId="0" applyNumberFormat="1" applyFont="1" applyFill="1" applyBorder="1" applyAlignment="1" applyProtection="1">
      <alignment horizontal="center" vertical="top" wrapText="1"/>
    </xf>
    <xf numFmtId="1" fontId="3" fillId="25" borderId="13" xfId="0" applyNumberFormat="1" applyFont="1" applyFill="1" applyBorder="1" applyAlignment="1" applyProtection="1">
      <alignment horizontal="center" vertical="top" wrapText="1"/>
    </xf>
    <xf numFmtId="1" fontId="3" fillId="25" borderId="36" xfId="0" applyNumberFormat="1" applyFont="1" applyFill="1" applyBorder="1" applyAlignment="1" applyProtection="1">
      <alignment horizontal="center" vertical="top" wrapText="1"/>
    </xf>
    <xf numFmtId="3" fontId="7" fillId="37" borderId="0" xfId="0" applyNumberFormat="1" applyFont="1" applyFill="1" applyBorder="1" applyAlignment="1" applyProtection="1">
      <alignment horizontal="center" vertical="top" wrapText="1"/>
    </xf>
    <xf numFmtId="1" fontId="7" fillId="34" borderId="36" xfId="0" applyNumberFormat="1" applyFont="1" applyFill="1" applyBorder="1" applyAlignment="1" applyProtection="1">
      <alignment horizontal="center" vertical="top" wrapText="1"/>
    </xf>
    <xf numFmtId="3" fontId="7" fillId="25" borderId="36" xfId="0" applyNumberFormat="1" applyFont="1" applyFill="1" applyBorder="1" applyAlignment="1" applyProtection="1">
      <alignment horizontal="center" vertical="top" wrapText="1"/>
    </xf>
    <xf numFmtId="3" fontId="7" fillId="25" borderId="34" xfId="0" applyNumberFormat="1" applyFont="1" applyFill="1" applyBorder="1" applyAlignment="1" applyProtection="1">
      <alignment horizontal="center" vertical="top" wrapText="1"/>
    </xf>
    <xf numFmtId="1" fontId="7" fillId="25" borderId="19" xfId="0" applyNumberFormat="1" applyFont="1" applyFill="1" applyBorder="1" applyAlignment="1" applyProtection="1">
      <alignment horizontal="center" vertical="top" wrapText="1"/>
    </xf>
    <xf numFmtId="1" fontId="7" fillId="37" borderId="0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2" fillId="34" borderId="41" xfId="0" applyNumberFormat="1" applyFont="1" applyFill="1" applyBorder="1" applyAlignment="1" applyProtection="1">
      <alignment horizontal="center" vertical="top" wrapText="1"/>
    </xf>
    <xf numFmtId="1" fontId="8" fillId="34" borderId="13" xfId="0" applyNumberFormat="1" applyFont="1" applyFill="1" applyBorder="1" applyAlignment="1" applyProtection="1">
      <alignment horizontal="center" vertical="top" wrapText="1"/>
    </xf>
    <xf numFmtId="3" fontId="8" fillId="25" borderId="13" xfId="0" applyNumberFormat="1" applyFont="1" applyFill="1" applyBorder="1" applyAlignment="1" applyProtection="1">
      <alignment horizontal="center" vertical="top" wrapText="1"/>
    </xf>
    <xf numFmtId="3" fontId="7" fillId="25" borderId="17" xfId="0" applyNumberFormat="1" applyFont="1" applyFill="1" applyBorder="1" applyAlignment="1" applyProtection="1">
      <alignment horizontal="center" vertical="top" wrapText="1"/>
    </xf>
    <xf numFmtId="49" fontId="3" fillId="34" borderId="41" xfId="0" applyNumberFormat="1" applyFont="1" applyFill="1" applyBorder="1" applyAlignment="1" applyProtection="1">
      <alignment horizontal="left" vertical="top" wrapText="1"/>
    </xf>
    <xf numFmtId="49" fontId="2" fillId="34" borderId="41" xfId="0" applyNumberFormat="1" applyFont="1" applyFill="1" applyBorder="1" applyAlignment="1" applyProtection="1">
      <alignment horizontal="left" vertical="top" wrapText="1"/>
    </xf>
    <xf numFmtId="1" fontId="3" fillId="37" borderId="0" xfId="0" applyNumberFormat="1" applyFont="1" applyFill="1" applyBorder="1" applyAlignment="1" applyProtection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top" wrapText="1"/>
    </xf>
    <xf numFmtId="49" fontId="3" fillId="28" borderId="0" xfId="0" applyNumberFormat="1" applyFont="1" applyFill="1" applyBorder="1" applyAlignment="1" applyProtection="1">
      <alignment horizontal="center" vertical="top" wrapText="1"/>
    </xf>
    <xf numFmtId="1" fontId="3" fillId="28" borderId="48" xfId="0" applyNumberFormat="1" applyFont="1" applyFill="1" applyBorder="1" applyAlignment="1" applyProtection="1">
      <alignment horizontal="center" vertical="top" wrapText="1"/>
    </xf>
    <xf numFmtId="0" fontId="0" fillId="38" borderId="47" xfId="0" applyFill="1" applyBorder="1" applyAlignment="1">
      <alignment vertical="top" wrapText="1"/>
    </xf>
    <xf numFmtId="49" fontId="0" fillId="38" borderId="47" xfId="0" applyNumberFormat="1" applyFill="1" applyBorder="1">
      <alignment vertical="top"/>
    </xf>
    <xf numFmtId="0" fontId="0" fillId="0" borderId="47" xfId="0" applyBorder="1" applyAlignment="1">
      <alignment vertical="top" wrapText="1"/>
    </xf>
    <xf numFmtId="49" fontId="0" fillId="0" borderId="47" xfId="0" applyNumberFormat="1" applyBorder="1">
      <alignment vertical="top"/>
    </xf>
    <xf numFmtId="0" fontId="0" fillId="0" borderId="0" xfId="0" applyBorder="1">
      <alignment vertical="top"/>
    </xf>
    <xf numFmtId="0" fontId="0" fillId="38" borderId="0" xfId="0" applyFill="1" applyBorder="1">
      <alignment vertical="top"/>
    </xf>
    <xf numFmtId="1" fontId="8" fillId="30" borderId="13" xfId="0" applyNumberFormat="1" applyFont="1" applyFill="1" applyBorder="1" applyAlignment="1" applyProtection="1">
      <alignment horizontal="center" vertical="top" wrapText="1"/>
    </xf>
    <xf numFmtId="0" fontId="8" fillId="34" borderId="36" xfId="0" applyFont="1" applyFill="1" applyBorder="1" applyAlignment="1" applyProtection="1">
      <alignment horizontal="left" vertical="top" wrapText="1"/>
    </xf>
    <xf numFmtId="0" fontId="7" fillId="34" borderId="36" xfId="0" applyFont="1" applyFill="1" applyBorder="1" applyAlignment="1" applyProtection="1">
      <alignment horizontal="left" vertical="top" wrapText="1"/>
    </xf>
    <xf numFmtId="0" fontId="8" fillId="34" borderId="34" xfId="0" applyFont="1" applyFill="1" applyBorder="1" applyAlignment="1" applyProtection="1">
      <alignment horizontal="left" vertical="top" wrapText="1"/>
    </xf>
    <xf numFmtId="1" fontId="3" fillId="33" borderId="34" xfId="0" applyNumberFormat="1" applyFont="1" applyFill="1" applyBorder="1" applyAlignment="1" applyProtection="1">
      <alignment horizontal="center" vertical="top" wrapText="1"/>
    </xf>
    <xf numFmtId="1" fontId="7" fillId="33" borderId="34" xfId="0" applyNumberFormat="1" applyFont="1" applyFill="1" applyBorder="1" applyAlignment="1" applyProtection="1">
      <alignment horizontal="center" vertical="top" wrapText="1"/>
    </xf>
    <xf numFmtId="1" fontId="2" fillId="0" borderId="16" xfId="0" applyNumberFormat="1" applyFont="1" applyFill="1" applyBorder="1" applyAlignment="1" applyProtection="1">
      <alignment horizontal="center" vertical="top" wrapText="1"/>
    </xf>
    <xf numFmtId="0" fontId="0" fillId="45" borderId="41" xfId="0" applyFont="1" applyFill="1" applyBorder="1" applyAlignment="1" applyProtection="1">
      <alignment horizontal="left" vertical="top" wrapText="1"/>
    </xf>
    <xf numFmtId="0" fontId="0" fillId="45" borderId="38" xfId="0" applyFont="1" applyFill="1" applyBorder="1" applyAlignment="1" applyProtection="1">
      <alignment horizontal="left" vertical="top" wrapText="1"/>
    </xf>
    <xf numFmtId="0" fontId="8" fillId="45" borderId="12" xfId="0" applyFont="1" applyFill="1" applyBorder="1" applyAlignment="1" applyProtection="1">
      <alignment horizontal="left" vertical="top" wrapText="1"/>
    </xf>
    <xf numFmtId="49" fontId="8" fillId="45" borderId="12" xfId="0" applyNumberFormat="1" applyFont="1" applyFill="1" applyBorder="1" applyAlignment="1" applyProtection="1">
      <alignment horizontal="center" vertical="top" wrapText="1"/>
    </xf>
    <xf numFmtId="49" fontId="8" fillId="45" borderId="0" xfId="0" applyNumberFormat="1" applyFont="1" applyFill="1" applyBorder="1" applyAlignment="1" applyProtection="1">
      <alignment horizontal="center" vertical="top" wrapText="1"/>
    </xf>
    <xf numFmtId="0" fontId="14" fillId="38" borderId="13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vertical="top"/>
    </xf>
    <xf numFmtId="0" fontId="4" fillId="32" borderId="11" xfId="0" applyFont="1" applyFill="1" applyBorder="1" applyAlignment="1">
      <alignment vertical="top"/>
    </xf>
    <xf numFmtId="0" fontId="3" fillId="28" borderId="22" xfId="0" applyFont="1" applyFill="1" applyBorder="1" applyAlignment="1" applyProtection="1">
      <alignment horizontal="center" vertical="top" wrapText="1"/>
    </xf>
    <xf numFmtId="0" fontId="42" fillId="0" borderId="13" xfId="0" applyFont="1" applyFill="1" applyBorder="1" applyAlignment="1" applyProtection="1">
      <alignment horizontal="justify" vertical="center" wrapText="1"/>
      <protection locked="0"/>
    </xf>
    <xf numFmtId="49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Fill="1" applyBorder="1" applyAlignment="1">
      <alignment horizontal="justify" vertical="top" wrapText="1"/>
    </xf>
    <xf numFmtId="0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8" borderId="23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49" fontId="4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left" vertical="center" wrapText="1"/>
    </xf>
    <xf numFmtId="164" fontId="7" fillId="26" borderId="13" xfId="37" applyNumberFormat="1" applyFont="1" applyFill="1" applyBorder="1" applyAlignment="1" applyProtection="1">
      <alignment horizontal="center" vertical="top" wrapText="1"/>
    </xf>
    <xf numFmtId="164" fontId="7" fillId="0" borderId="13" xfId="37" applyNumberFormat="1" applyFont="1" applyBorder="1" applyAlignment="1" applyProtection="1">
      <alignment horizontal="center" vertical="top" wrapText="1"/>
      <protection locked="0"/>
    </xf>
    <xf numFmtId="164" fontId="0" fillId="0" borderId="13" xfId="37" applyNumberFormat="1" applyFont="1" applyBorder="1" applyAlignment="1" applyProtection="1">
      <alignment horizontal="center" vertical="top" wrapText="1"/>
      <protection locked="0"/>
    </xf>
    <xf numFmtId="164" fontId="7" fillId="26" borderId="13" xfId="37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0" xfId="0">
      <alignment vertical="top"/>
    </xf>
    <xf numFmtId="1" fontId="3" fillId="44" borderId="13" xfId="0" applyNumberFormat="1" applyFont="1" applyFill="1" applyBorder="1" applyAlignment="1" applyProtection="1">
      <alignment horizontal="center" vertical="top" wrapText="1"/>
    </xf>
    <xf numFmtId="1" fontId="8" fillId="37" borderId="13" xfId="0" applyNumberFormat="1" applyFont="1" applyFill="1" applyBorder="1" applyAlignment="1" applyProtection="1">
      <alignment horizontal="center" vertical="top" wrapText="1"/>
    </xf>
    <xf numFmtId="1" fontId="0" fillId="37" borderId="13" xfId="0" applyNumberFormat="1" applyFont="1" applyFill="1" applyBorder="1" applyAlignment="1" applyProtection="1">
      <alignment horizontal="center" vertical="top" wrapText="1"/>
    </xf>
    <xf numFmtId="1" fontId="3" fillId="38" borderId="14" xfId="0" applyNumberFormat="1" applyFont="1" applyFill="1" applyBorder="1" applyAlignment="1" applyProtection="1">
      <alignment horizontal="center" vertical="top" wrapText="1"/>
    </xf>
    <xf numFmtId="1" fontId="3" fillId="38" borderId="0" xfId="0" applyNumberFormat="1" applyFont="1" applyFill="1" applyBorder="1" applyAlignment="1" applyProtection="1">
      <alignment horizontal="center" vertical="top" wrapText="1"/>
    </xf>
    <xf numFmtId="1" fontId="3" fillId="38" borderId="0" xfId="0" applyNumberFormat="1" applyFont="1" applyFill="1" applyBorder="1" applyAlignment="1" applyProtection="1">
      <alignment horizontal="center" textRotation="90" wrapText="1"/>
    </xf>
    <xf numFmtId="1" fontId="3" fillId="38" borderId="16" xfId="0" applyNumberFormat="1" applyFont="1" applyFill="1" applyBorder="1" applyAlignment="1" applyProtection="1">
      <alignment horizontal="center" textRotation="90" wrapText="1"/>
    </xf>
    <xf numFmtId="1" fontId="8" fillId="45" borderId="0" xfId="0" applyNumberFormat="1" applyFont="1" applyFill="1" applyBorder="1" applyAlignment="1" applyProtection="1">
      <alignment horizontal="center" vertical="top" wrapText="1"/>
    </xf>
    <xf numFmtId="1" fontId="8" fillId="30" borderId="14" xfId="0" applyNumberFormat="1" applyFont="1" applyFill="1" applyBorder="1" applyAlignment="1" applyProtection="1">
      <alignment horizontal="center" vertical="top" wrapText="1"/>
    </xf>
    <xf numFmtId="1" fontId="8" fillId="34" borderId="36" xfId="0" applyNumberFormat="1" applyFont="1" applyFill="1" applyBorder="1" applyAlignment="1" applyProtection="1">
      <alignment horizontal="left" vertical="top" wrapText="1"/>
    </xf>
    <xf numFmtId="1" fontId="7" fillId="34" borderId="36" xfId="0" applyNumberFormat="1" applyFont="1" applyFill="1" applyBorder="1" applyAlignment="1" applyProtection="1">
      <alignment horizontal="left" vertical="top" wrapText="1"/>
    </xf>
    <xf numFmtId="1" fontId="8" fillId="34" borderId="34" xfId="0" applyNumberFormat="1" applyFont="1" applyFill="1" applyBorder="1" applyAlignment="1" applyProtection="1">
      <alignment horizontal="left" vertical="top" wrapText="1"/>
    </xf>
    <xf numFmtId="0" fontId="0" fillId="37" borderId="47" xfId="0" applyFill="1" applyBorder="1" applyAlignment="1">
      <alignment vertical="top" wrapText="1"/>
    </xf>
    <xf numFmtId="0" fontId="0" fillId="37" borderId="0" xfId="0" applyFill="1" applyBorder="1">
      <alignment vertical="top"/>
    </xf>
    <xf numFmtId="49" fontId="0" fillId="37" borderId="47" xfId="0" applyNumberFormat="1" applyFill="1" applyBorder="1">
      <alignment vertical="top"/>
    </xf>
    <xf numFmtId="0" fontId="8" fillId="37" borderId="0" xfId="0" applyFont="1" applyFill="1" applyBorder="1" applyAlignment="1" applyProtection="1">
      <alignment vertical="top" wrapText="1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37" borderId="13" xfId="0" applyFill="1" applyBorder="1" applyAlignment="1" applyProtection="1">
      <alignment vertical="center" wrapText="1"/>
      <protection locked="0"/>
    </xf>
    <xf numFmtId="0" fontId="0" fillId="37" borderId="13" xfId="0" applyFill="1" applyBorder="1" applyAlignment="1" applyProtection="1">
      <alignment horizontal="center" vertical="center" wrapText="1"/>
      <protection locked="0"/>
    </xf>
    <xf numFmtId="49" fontId="0" fillId="37" borderId="17" xfId="37" applyNumberFormat="1" applyFont="1" applyFill="1" applyBorder="1" applyAlignment="1" applyProtection="1">
      <alignment vertical="center"/>
    </xf>
    <xf numFmtId="0" fontId="0" fillId="27" borderId="13" xfId="0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justify" vertical="top" wrapText="1"/>
      <protection locked="0"/>
    </xf>
    <xf numFmtId="0" fontId="0" fillId="37" borderId="22" xfId="0" applyFont="1" applyFill="1" applyBorder="1" applyAlignment="1" applyProtection="1">
      <alignment horizontal="left" vertical="top" wrapText="1"/>
    </xf>
    <xf numFmtId="0" fontId="3" fillId="28" borderId="22" xfId="0" applyFont="1" applyFill="1" applyBorder="1" applyAlignment="1" applyProtection="1">
      <alignment horizontal="center" vertical="top" wrapText="1"/>
    </xf>
    <xf numFmtId="49" fontId="8" fillId="28" borderId="22" xfId="0" applyNumberFormat="1" applyFont="1" applyFill="1" applyBorder="1" applyAlignment="1" applyProtection="1">
      <alignment horizontal="center" textRotation="90" wrapText="1"/>
    </xf>
    <xf numFmtId="49" fontId="8" fillId="28" borderId="41" xfId="0" applyNumberFormat="1" applyFont="1" applyFill="1" applyBorder="1" applyAlignment="1" applyProtection="1">
      <alignment horizontal="center" textRotation="90" wrapText="1"/>
    </xf>
    <xf numFmtId="0" fontId="0" fillId="28" borderId="22" xfId="0" applyFill="1" applyBorder="1" applyAlignment="1" applyProtection="1">
      <alignment horizontal="center" textRotation="90" wrapText="1"/>
    </xf>
    <xf numFmtId="0" fontId="0" fillId="28" borderId="22" xfId="0" applyFont="1" applyFill="1" applyBorder="1" applyAlignment="1" applyProtection="1">
      <alignment horizontal="center" textRotation="90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49" fontId="8" fillId="28" borderId="22" xfId="0" applyNumberFormat="1" applyFont="1" applyFill="1" applyBorder="1" applyAlignment="1" applyProtection="1">
      <alignment horizontal="center" textRotation="90" wrapText="1"/>
    </xf>
    <xf numFmtId="49" fontId="8" fillId="28" borderId="41" xfId="0" applyNumberFormat="1" applyFont="1" applyFill="1" applyBorder="1" applyAlignment="1" applyProtection="1">
      <alignment horizontal="center" textRotation="90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1" fontId="7" fillId="28" borderId="16" xfId="0" applyNumberFormat="1" applyFont="1" applyFill="1" applyBorder="1" applyAlignment="1" applyProtection="1">
      <alignment vertical="top" wrapText="1"/>
    </xf>
    <xf numFmtId="49" fontId="7" fillId="28" borderId="14" xfId="0" applyNumberFormat="1" applyFont="1" applyFill="1" applyBorder="1" applyAlignment="1" applyProtection="1">
      <alignment horizontal="center" vertical="top" wrapText="1"/>
    </xf>
    <xf numFmtId="0" fontId="0" fillId="30" borderId="13" xfId="0" applyFont="1" applyFill="1" applyBorder="1" applyAlignment="1" applyProtection="1">
      <alignment horizontal="center" vertical="center" wrapText="1"/>
    </xf>
    <xf numFmtId="0" fontId="0" fillId="30" borderId="13" xfId="0" applyFont="1" applyFill="1" applyBorder="1" applyAlignment="1" applyProtection="1">
      <alignment horizontal="left" vertical="center" wrapText="1"/>
    </xf>
    <xf numFmtId="1" fontId="0" fillId="30" borderId="13" xfId="0" applyNumberFormat="1" applyFont="1" applyFill="1" applyBorder="1" applyAlignment="1" applyProtection="1">
      <alignment horizontal="center" vertical="center" wrapText="1"/>
    </xf>
    <xf numFmtId="1" fontId="8" fillId="30" borderId="36" xfId="0" applyNumberFormat="1" applyFont="1" applyFill="1" applyBorder="1" applyAlignment="1" applyProtection="1">
      <alignment horizontal="center" vertical="center" wrapText="1"/>
    </xf>
    <xf numFmtId="1" fontId="8" fillId="30" borderId="13" xfId="0" applyNumberFormat="1" applyFont="1" applyFill="1" applyBorder="1" applyAlignment="1" applyProtection="1">
      <alignment horizontal="center" vertical="center" wrapText="1"/>
    </xf>
    <xf numFmtId="1" fontId="8" fillId="3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29" borderId="13" xfId="0" applyFont="1" applyFill="1" applyBorder="1" applyAlignment="1" applyProtection="1">
      <alignment horizontal="center" vertical="center" wrapText="1"/>
    </xf>
    <xf numFmtId="0" fontId="0" fillId="29" borderId="13" xfId="0" applyFont="1" applyFill="1" applyBorder="1" applyAlignment="1" applyProtection="1">
      <alignment horizontal="left" vertical="center" wrapText="1"/>
    </xf>
    <xf numFmtId="49" fontId="0" fillId="29" borderId="13" xfId="0" applyNumberFormat="1" applyFont="1" applyFill="1" applyBorder="1" applyAlignment="1" applyProtection="1">
      <alignment horizontal="center" vertical="center" wrapText="1"/>
    </xf>
    <xf numFmtId="1" fontId="0" fillId="29" borderId="13" xfId="0" applyNumberFormat="1" applyFont="1" applyFill="1" applyBorder="1" applyAlignment="1" applyProtection="1">
      <alignment horizontal="center" vertical="center" wrapText="1"/>
    </xf>
    <xf numFmtId="1" fontId="8" fillId="29" borderId="36" xfId="0" applyNumberFormat="1" applyFont="1" applyFill="1" applyBorder="1" applyAlignment="1" applyProtection="1">
      <alignment horizontal="center" vertical="center" wrapText="1"/>
    </xf>
    <xf numFmtId="1" fontId="8" fillId="29" borderId="13" xfId="0" applyNumberFormat="1" applyFont="1" applyFill="1" applyBorder="1" applyAlignment="1" applyProtection="1">
      <alignment horizontal="center" vertical="center" wrapText="1"/>
    </xf>
    <xf numFmtId="1" fontId="8" fillId="29" borderId="17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4" borderId="13" xfId="0" applyNumberFormat="1" applyFont="1" applyFill="1" applyBorder="1" applyAlignment="1" applyProtection="1">
      <alignment horizontal="center" vertical="center" wrapText="1"/>
    </xf>
    <xf numFmtId="1" fontId="0" fillId="32" borderId="13" xfId="0" applyNumberFormat="1" applyFont="1" applyFill="1" applyBorder="1" applyAlignment="1" applyProtection="1">
      <alignment horizontal="center" vertical="center" wrapText="1"/>
    </xf>
    <xf numFmtId="1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1" fontId="0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/>
    <xf numFmtId="1" fontId="8" fillId="37" borderId="36" xfId="0" applyNumberFormat="1" applyFont="1" applyFill="1" applyBorder="1" applyAlignment="1" applyProtection="1">
      <alignment horizontal="center" vertical="center" wrapText="1"/>
    </xf>
    <xf numFmtId="1" fontId="8" fillId="37" borderId="17" xfId="0" applyNumberFormat="1" applyFont="1" applyFill="1" applyBorder="1" applyAlignment="1" applyProtection="1">
      <alignment horizontal="center" vertical="center" wrapText="1"/>
    </xf>
    <xf numFmtId="49" fontId="3" fillId="34" borderId="0" xfId="0" applyNumberFormat="1" applyFont="1" applyFill="1" applyBorder="1" applyAlignment="1" applyProtection="1">
      <alignment horizontal="left" vertical="center" wrapText="1"/>
    </xf>
    <xf numFmtId="1" fontId="0" fillId="40" borderId="13" xfId="0" applyNumberFormat="1" applyFont="1" applyFill="1" applyBorder="1" applyAlignment="1" applyProtection="1">
      <alignment horizontal="center" vertical="center" wrapText="1"/>
    </xf>
    <xf numFmtId="0" fontId="42" fillId="0" borderId="13" xfId="36" applyFont="1" applyFill="1" applyBorder="1" applyAlignment="1">
      <alignment horizontal="left" vertical="center" wrapText="1"/>
    </xf>
    <xf numFmtId="1" fontId="4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1" fillId="0" borderId="13" xfId="0" applyNumberFormat="1" applyFont="1" applyFill="1" applyBorder="1" applyAlignment="1" applyProtection="1">
      <alignment horizontal="center" vertical="center" wrapText="1"/>
    </xf>
    <xf numFmtId="1" fontId="0" fillId="42" borderId="13" xfId="0" applyNumberFormat="1" applyFont="1" applyFill="1" applyBorder="1" applyAlignment="1" applyProtection="1">
      <alignment horizontal="center" vertical="center" wrapText="1"/>
    </xf>
    <xf numFmtId="164" fontId="0" fillId="37" borderId="13" xfId="0" applyNumberFormat="1" applyFont="1" applyFill="1" applyBorder="1" applyAlignment="1" applyProtection="1">
      <alignment horizontal="center" vertical="center" wrapText="1"/>
    </xf>
    <xf numFmtId="0" fontId="39" fillId="43" borderId="13" xfId="0" applyFont="1" applyFill="1" applyBorder="1" applyAlignment="1" applyProtection="1">
      <alignment vertical="center"/>
      <protection locked="0"/>
    </xf>
    <xf numFmtId="0" fontId="39" fillId="46" borderId="13" xfId="0" applyFont="1" applyFill="1" applyBorder="1" applyAlignment="1" applyProtection="1">
      <alignment vertical="center"/>
      <protection locked="0"/>
    </xf>
    <xf numFmtId="1" fontId="0" fillId="43" borderId="13" xfId="0" applyNumberFormat="1" applyFont="1" applyFill="1" applyBorder="1" applyAlignment="1" applyProtection="1">
      <alignment horizontal="center" vertical="center" wrapText="1"/>
    </xf>
    <xf numFmtId="0" fontId="39" fillId="43" borderId="13" xfId="0" applyFont="1" applyFill="1" applyBorder="1" applyAlignment="1" applyProtection="1">
      <alignment horizontal="center" vertical="center"/>
      <protection locked="0"/>
    </xf>
    <xf numFmtId="0" fontId="0" fillId="41" borderId="13" xfId="0" applyFont="1" applyFill="1" applyBorder="1">
      <alignment vertical="top"/>
    </xf>
    <xf numFmtId="0" fontId="0" fillId="0" borderId="13" xfId="0" applyFont="1" applyBorder="1">
      <alignment vertical="top"/>
    </xf>
    <xf numFmtId="0" fontId="0" fillId="38" borderId="13" xfId="0" applyFont="1" applyFill="1" applyBorder="1">
      <alignment vertical="top"/>
    </xf>
    <xf numFmtId="49" fontId="0" fillId="30" borderId="13" xfId="0" applyNumberFormat="1" applyFont="1" applyFill="1" applyBorder="1" applyAlignment="1" applyProtection="1">
      <alignment horizontal="center" vertical="center" wrapText="1"/>
    </xf>
    <xf numFmtId="164" fontId="0" fillId="30" borderId="13" xfId="0" applyNumberFormat="1" applyFont="1" applyFill="1" applyBorder="1" applyAlignment="1" applyProtection="1">
      <alignment horizontal="center" vertical="center" wrapText="1"/>
    </xf>
    <xf numFmtId="49" fontId="41" fillId="30" borderId="13" xfId="0" applyNumberFormat="1" applyFont="1" applyFill="1" applyBorder="1" applyAlignment="1" applyProtection="1">
      <alignment horizontal="center" vertical="center" wrapText="1"/>
    </xf>
    <xf numFmtId="1" fontId="0" fillId="38" borderId="13" xfId="0" applyNumberFormat="1" applyFont="1" applyFill="1" applyBorder="1" applyAlignment="1" applyProtection="1">
      <alignment horizontal="center" vertical="center" wrapText="1"/>
    </xf>
    <xf numFmtId="164" fontId="0" fillId="29" borderId="13" xfId="0" applyNumberFormat="1" applyFont="1" applyFill="1" applyBorder="1" applyAlignment="1" applyProtection="1">
      <alignment horizontal="left" vertical="center" wrapText="1"/>
    </xf>
    <xf numFmtId="49" fontId="41" fillId="29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64" fontId="0" fillId="29" borderId="13" xfId="0" applyNumberFormat="1" applyFont="1" applyFill="1" applyBorder="1" applyAlignment="1" applyProtection="1">
      <alignment horizontal="center" vertical="center" wrapText="1"/>
    </xf>
    <xf numFmtId="49" fontId="41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3" xfId="36" applyFont="1" applyFill="1" applyBorder="1" applyAlignment="1">
      <alignment horizontal="left" vertical="center" wrapText="1"/>
    </xf>
    <xf numFmtId="0" fontId="0" fillId="37" borderId="13" xfId="0" applyFont="1" applyFill="1" applyBorder="1" applyAlignment="1" applyProtection="1">
      <alignment horizontal="left" vertical="center" wrapText="1"/>
    </xf>
    <xf numFmtId="1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7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46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3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1" borderId="13" xfId="0" applyNumberFormat="1" applyFont="1" applyFill="1" applyBorder="1" applyAlignment="1" applyProtection="1">
      <alignment horizontal="center" vertical="center" wrapText="1"/>
    </xf>
    <xf numFmtId="1" fontId="0" fillId="41" borderId="13" xfId="0" applyNumberFormat="1" applyFont="1" applyFill="1" applyBorder="1" applyAlignment="1" applyProtection="1">
      <alignment horizontal="center" vertical="center" wrapText="1"/>
    </xf>
    <xf numFmtId="0" fontId="0" fillId="4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vertical="center"/>
    </xf>
    <xf numFmtId="0" fontId="0" fillId="30" borderId="13" xfId="0" applyFont="1" applyFill="1" applyBorder="1" applyAlignment="1" applyProtection="1">
      <alignment vertical="center" wrapText="1"/>
    </xf>
    <xf numFmtId="0" fontId="0" fillId="41" borderId="13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0" fillId="38" borderId="13" xfId="0" applyFont="1" applyFill="1" applyBorder="1" applyAlignment="1" applyProtection="1">
      <alignment horizontal="center" vertical="center" wrapText="1"/>
      <protection locked="0"/>
    </xf>
    <xf numFmtId="49" fontId="0" fillId="30" borderId="13" xfId="0" applyNumberFormat="1" applyFont="1" applyFill="1" applyBorder="1" applyAlignment="1" applyProtection="1">
      <alignment horizontal="left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</xf>
    <xf numFmtId="0" fontId="0" fillId="28" borderId="20" xfId="0" applyFont="1" applyFill="1" applyBorder="1" applyAlignment="1" applyProtection="1">
      <alignment horizontal="center" textRotation="90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49" fontId="7" fillId="28" borderId="15" xfId="0" applyNumberFormat="1" applyFont="1" applyFill="1" applyBorder="1" applyAlignment="1" applyProtection="1">
      <alignment horizontal="center" vertical="top" wrapText="1"/>
    </xf>
    <xf numFmtId="49" fontId="7" fillId="28" borderId="10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textRotation="90" wrapText="1"/>
    </xf>
    <xf numFmtId="0" fontId="0" fillId="28" borderId="13" xfId="0" applyFill="1" applyBorder="1" applyAlignment="1" applyProtection="1">
      <alignment horizontal="center" textRotation="90" wrapText="1"/>
    </xf>
    <xf numFmtId="0" fontId="0" fillId="28" borderId="13" xfId="0" applyFont="1" applyFill="1" applyBorder="1" applyAlignment="1" applyProtection="1">
      <alignment horizontal="center" textRotation="90" wrapText="1"/>
    </xf>
    <xf numFmtId="0" fontId="8" fillId="28" borderId="15" xfId="0" applyFont="1" applyFill="1" applyBorder="1" applyAlignment="1" applyProtection="1">
      <alignment horizontal="center" textRotation="90" wrapText="1"/>
    </xf>
    <xf numFmtId="49" fontId="7" fillId="28" borderId="15" xfId="0" applyNumberFormat="1" applyFont="1" applyFill="1" applyBorder="1" applyAlignment="1" applyProtection="1">
      <alignment vertical="top" wrapText="1"/>
    </xf>
    <xf numFmtId="1" fontId="3" fillId="28" borderId="12" xfId="0" applyNumberFormat="1" applyFont="1" applyFill="1" applyBorder="1" applyAlignment="1" applyProtection="1">
      <alignment horizontal="center" textRotation="90" wrapText="1"/>
    </xf>
    <xf numFmtId="0" fontId="0" fillId="30" borderId="36" xfId="0" applyFont="1" applyFill="1" applyBorder="1" applyAlignment="1" applyProtection="1">
      <alignment vertical="center" wrapText="1"/>
    </xf>
    <xf numFmtId="3" fontId="8" fillId="25" borderId="34" xfId="0" applyNumberFormat="1" applyFont="1" applyFill="1" applyBorder="1" applyAlignment="1" applyProtection="1">
      <alignment horizontal="center" vertical="center" wrapText="1"/>
    </xf>
    <xf numFmtId="3" fontId="8" fillId="25" borderId="17" xfId="0" applyNumberFormat="1" applyFont="1" applyFill="1" applyBorder="1" applyAlignment="1" applyProtection="1">
      <alignment horizontal="center" vertical="center" wrapText="1"/>
    </xf>
    <xf numFmtId="1" fontId="3" fillId="25" borderId="36" xfId="0" applyNumberFormat="1" applyFont="1" applyFill="1" applyBorder="1" applyAlignment="1" applyProtection="1">
      <alignment horizontal="center" vertical="center" wrapText="1"/>
    </xf>
    <xf numFmtId="1" fontId="7" fillId="25" borderId="36" xfId="0" applyNumberFormat="1" applyFont="1" applyFill="1" applyBorder="1" applyAlignment="1" applyProtection="1">
      <alignment horizontal="center" vertical="center" wrapText="1"/>
    </xf>
    <xf numFmtId="1" fontId="3" fillId="25" borderId="13" xfId="0" applyNumberFormat="1" applyFont="1" applyFill="1" applyBorder="1" applyAlignment="1" applyProtection="1">
      <alignment horizontal="center" vertical="center" wrapText="1"/>
    </xf>
    <xf numFmtId="1" fontId="7" fillId="25" borderId="13" xfId="0" applyNumberFormat="1" applyFont="1" applyFill="1" applyBorder="1" applyAlignment="1" applyProtection="1">
      <alignment horizontal="center" vertical="center" wrapText="1"/>
    </xf>
    <xf numFmtId="0" fontId="39" fillId="38" borderId="13" xfId="0" applyFont="1" applyFill="1" applyBorder="1" applyAlignment="1" applyProtection="1">
      <alignment horizontal="left" vertical="center" wrapText="1"/>
    </xf>
    <xf numFmtId="1" fontId="39" fillId="38" borderId="13" xfId="0" applyNumberFormat="1" applyFont="1" applyFill="1" applyBorder="1" applyAlignment="1" applyProtection="1">
      <alignment horizontal="center" vertical="center" wrapText="1"/>
    </xf>
    <xf numFmtId="164" fontId="39" fillId="38" borderId="13" xfId="0" applyNumberFormat="1" applyFont="1" applyFill="1" applyBorder="1" applyAlignment="1" applyProtection="1">
      <alignment horizontal="center" vertical="center" wrapText="1"/>
    </xf>
    <xf numFmtId="49" fontId="0" fillId="38" borderId="13" xfId="0" applyNumberFormat="1" applyFont="1" applyFill="1" applyBorder="1" applyAlignment="1" applyProtection="1">
      <alignment horizontal="center" vertical="center" wrapText="1"/>
    </xf>
    <xf numFmtId="49" fontId="41" fillId="38" borderId="13" xfId="0" applyNumberFormat="1" applyFont="1" applyFill="1" applyBorder="1" applyAlignment="1" applyProtection="1">
      <alignment horizontal="center" vertical="center" wrapText="1"/>
    </xf>
    <xf numFmtId="0" fontId="0" fillId="29" borderId="13" xfId="0" applyFill="1" applyBorder="1" applyAlignment="1" applyProtection="1">
      <alignment horizontal="left" vertical="center" wrapText="1"/>
    </xf>
    <xf numFmtId="49" fontId="0" fillId="42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42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2" borderId="13" xfId="0" applyNumberFormat="1" applyFont="1" applyFill="1" applyBorder="1" applyAlignment="1" applyProtection="1">
      <alignment horizontal="center" vertical="center" wrapText="1"/>
    </xf>
    <xf numFmtId="0" fontId="0" fillId="42" borderId="13" xfId="0" applyFont="1" applyFill="1" applyBorder="1" applyAlignment="1" applyProtection="1">
      <alignment horizontal="center" vertical="center" wrapText="1"/>
      <protection locked="0"/>
    </xf>
    <xf numFmtId="0" fontId="0" fillId="41" borderId="13" xfId="0" applyFont="1" applyFill="1" applyBorder="1" applyAlignment="1" applyProtection="1">
      <alignment horizontal="left" vertical="center" wrapText="1"/>
    </xf>
    <xf numFmtId="49" fontId="41" fillId="41" borderId="13" xfId="0" applyNumberFormat="1" applyFont="1" applyFill="1" applyBorder="1" applyAlignment="1" applyProtection="1">
      <alignment horizontal="center" vertical="center" wrapText="1"/>
    </xf>
    <xf numFmtId="49" fontId="0" fillId="48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4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8" borderId="13" xfId="0" applyNumberFormat="1" applyFont="1" applyFill="1" applyBorder="1" applyAlignment="1" applyProtection="1">
      <alignment horizontal="center" vertical="center" wrapText="1"/>
    </xf>
    <xf numFmtId="49" fontId="0" fillId="48" borderId="13" xfId="0" applyNumberFormat="1" applyFont="1" applyFill="1" applyBorder="1" applyAlignment="1" applyProtection="1">
      <alignment horizontal="center" vertical="center" wrapText="1"/>
    </xf>
    <xf numFmtId="0" fontId="0" fillId="48" borderId="13" xfId="0" applyFont="1" applyFill="1" applyBorder="1" applyAlignment="1" applyProtection="1">
      <alignment vertical="center" wrapText="1"/>
      <protection locked="0"/>
    </xf>
    <xf numFmtId="0" fontId="0" fillId="48" borderId="13" xfId="0" applyFont="1" applyFill="1" applyBorder="1" applyAlignment="1" applyProtection="1">
      <alignment horizontal="center" vertical="center" wrapText="1"/>
      <protection locked="0"/>
    </xf>
    <xf numFmtId="0" fontId="0" fillId="48" borderId="13" xfId="0" applyFont="1" applyFill="1" applyBorder="1" applyAlignment="1">
      <alignment vertical="center"/>
    </xf>
    <xf numFmtId="49" fontId="0" fillId="48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13" xfId="0" applyNumberFormat="1" applyFont="1" applyFill="1" applyBorder="1" applyAlignment="1" applyProtection="1">
      <alignment horizontal="center" vertical="top" wrapText="1"/>
      <protection locked="0"/>
    </xf>
    <xf numFmtId="1" fontId="0" fillId="0" borderId="13" xfId="0" applyNumberFormat="1" applyFont="1" applyFill="1" applyBorder="1" applyAlignment="1" applyProtection="1">
      <alignment horizontal="center" vertical="top" wrapText="1"/>
      <protection locked="0"/>
    </xf>
    <xf numFmtId="1" fontId="3" fillId="28" borderId="13" xfId="0" applyNumberFormat="1" applyFont="1" applyFill="1" applyBorder="1" applyAlignment="1" applyProtection="1">
      <alignment horizontal="center" textRotation="90" wrapText="1"/>
    </xf>
    <xf numFmtId="0" fontId="3" fillId="33" borderId="48" xfId="0" applyFont="1" applyFill="1" applyBorder="1" applyAlignment="1" applyProtection="1">
      <alignment horizontal="center" textRotation="90" wrapText="1"/>
    </xf>
    <xf numFmtId="0" fontId="3" fillId="33" borderId="40" xfId="0" applyFont="1" applyFill="1" applyBorder="1" applyAlignment="1" applyProtection="1">
      <alignment horizontal="center" textRotation="90" wrapText="1"/>
    </xf>
    <xf numFmtId="0" fontId="3" fillId="33" borderId="24" xfId="0" applyFont="1" applyFill="1" applyBorder="1" applyAlignment="1" applyProtection="1">
      <alignment horizontal="center" textRotation="90" wrapText="1"/>
    </xf>
    <xf numFmtId="1" fontId="8" fillId="45" borderId="13" xfId="0" applyNumberFormat="1" applyFont="1" applyFill="1" applyBorder="1" applyAlignment="1" applyProtection="1">
      <alignment horizontal="center" vertical="top" wrapText="1"/>
    </xf>
    <xf numFmtId="1" fontId="0" fillId="30" borderId="13" xfId="0" applyNumberFormat="1" applyFont="1" applyFill="1" applyBorder="1" applyAlignment="1" applyProtection="1">
      <alignment horizontal="center" vertical="top" wrapText="1"/>
    </xf>
    <xf numFmtId="49" fontId="0" fillId="30" borderId="13" xfId="0" applyNumberFormat="1" applyFont="1" applyFill="1" applyBorder="1" applyAlignment="1" applyProtection="1">
      <alignment horizontal="center" vertical="top" wrapText="1"/>
    </xf>
    <xf numFmtId="1" fontId="0" fillId="29" borderId="13" xfId="0" applyNumberFormat="1" applyFont="1" applyFill="1" applyBorder="1" applyAlignment="1" applyProtection="1">
      <alignment horizontal="center" vertical="top" wrapText="1"/>
    </xf>
    <xf numFmtId="49" fontId="0" fillId="29" borderId="13" xfId="0" applyNumberFormat="1" applyFont="1" applyFill="1" applyBorder="1" applyAlignment="1" applyProtection="1">
      <alignment horizontal="center" vertical="top" wrapText="1"/>
    </xf>
    <xf numFmtId="1" fontId="0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49" fontId="0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1" fontId="0" fillId="44" borderId="13" xfId="0" applyNumberFormat="1" applyFont="1" applyFill="1" applyBorder="1" applyAlignment="1" applyProtection="1">
      <alignment horizontal="center" vertical="top" wrapText="1"/>
    </xf>
    <xf numFmtId="1" fontId="0" fillId="32" borderId="13" xfId="0" applyNumberFormat="1" applyFont="1" applyFill="1" applyBorder="1" applyAlignment="1" applyProtection="1">
      <alignment horizontal="center" vertical="top" wrapText="1"/>
    </xf>
    <xf numFmtId="1" fontId="0" fillId="33" borderId="13" xfId="0" applyNumberFormat="1" applyFont="1" applyFill="1" applyBorder="1" applyAlignment="1" applyProtection="1">
      <alignment horizontal="center" vertical="top" wrapText="1"/>
      <protection locked="0"/>
    </xf>
    <xf numFmtId="1" fontId="0" fillId="37" borderId="13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1" fontId="0" fillId="38" borderId="13" xfId="0" applyNumberFormat="1" applyFont="1" applyFill="1" applyBorder="1" applyAlignment="1" applyProtection="1">
      <alignment horizontal="center" vertical="top" wrapText="1"/>
    </xf>
    <xf numFmtId="0" fontId="39" fillId="29" borderId="13" xfId="0" applyFont="1" applyFill="1" applyBorder="1" applyAlignment="1" applyProtection="1">
      <alignment horizontal="left" vertical="center" wrapText="1"/>
    </xf>
    <xf numFmtId="1" fontId="39" fillId="29" borderId="13" xfId="0" applyNumberFormat="1" applyFont="1" applyFill="1" applyBorder="1" applyAlignment="1" applyProtection="1">
      <alignment horizontal="center" vertical="top" wrapText="1"/>
    </xf>
    <xf numFmtId="1" fontId="39" fillId="37" borderId="13" xfId="0" applyNumberFormat="1" applyFont="1" applyFill="1" applyBorder="1" applyAlignment="1" applyProtection="1">
      <alignment horizontal="center" vertical="top" wrapText="1"/>
    </xf>
    <xf numFmtId="164" fontId="0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49" fontId="0" fillId="38" borderId="13" xfId="0" applyNumberFormat="1" applyFont="1" applyFill="1" applyBorder="1" applyAlignment="1" applyProtection="1">
      <alignment horizontal="center" vertical="top" wrapText="1"/>
    </xf>
    <xf numFmtId="49" fontId="0" fillId="42" borderId="13" xfId="0" applyNumberFormat="1" applyFont="1" applyFill="1" applyBorder="1" applyAlignment="1" applyProtection="1">
      <alignment horizontal="left" vertical="center" wrapText="1"/>
    </xf>
    <xf numFmtId="1" fontId="0" fillId="42" borderId="13" xfId="0" applyNumberFormat="1" applyFont="1" applyFill="1" applyBorder="1" applyAlignment="1" applyProtection="1">
      <alignment horizontal="center" vertical="top" wrapText="1"/>
    </xf>
    <xf numFmtId="49" fontId="0" fillId="42" borderId="13" xfId="0" applyNumberFormat="1" applyFont="1" applyFill="1" applyBorder="1" applyAlignment="1" applyProtection="1">
      <alignment horizontal="center" vertical="top" wrapText="1"/>
    </xf>
    <xf numFmtId="0" fontId="0" fillId="43" borderId="13" xfId="0" applyFont="1" applyFill="1" applyBorder="1" applyAlignment="1" applyProtection="1">
      <alignment horizontal="left" vertical="center" wrapText="1"/>
      <protection locked="0"/>
    </xf>
    <xf numFmtId="1" fontId="0" fillId="43" borderId="13" xfId="0" applyNumberFormat="1" applyFont="1" applyFill="1" applyBorder="1" applyAlignment="1" applyProtection="1">
      <alignment horizontal="center" vertical="top" wrapText="1"/>
      <protection locked="0"/>
    </xf>
    <xf numFmtId="49" fontId="0" fillId="43" borderId="13" xfId="0" applyNumberFormat="1" applyFont="1" applyFill="1" applyBorder="1" applyAlignment="1" applyProtection="1">
      <alignment horizontal="center" vertical="top" wrapText="1"/>
      <protection locked="0"/>
    </xf>
    <xf numFmtId="1" fontId="0" fillId="43" borderId="13" xfId="0" applyNumberFormat="1" applyFont="1" applyFill="1" applyBorder="1" applyAlignment="1" applyProtection="1">
      <alignment horizontal="center" vertical="top" wrapText="1"/>
    </xf>
    <xf numFmtId="0" fontId="0" fillId="43" borderId="13" xfId="0" applyFont="1" applyFill="1" applyBorder="1" applyAlignment="1" applyProtection="1">
      <alignment horizontal="center" vertical="top" wrapText="1"/>
      <protection locked="0"/>
    </xf>
    <xf numFmtId="49" fontId="0" fillId="37" borderId="13" xfId="0" applyNumberFormat="1" applyFont="1" applyFill="1" applyBorder="1" applyAlignment="1" applyProtection="1">
      <alignment horizontal="left" vertical="center" wrapText="1"/>
    </xf>
    <xf numFmtId="49" fontId="0" fillId="45" borderId="13" xfId="0" applyNumberFormat="1" applyFont="1" applyFill="1" applyBorder="1" applyAlignment="1" applyProtection="1">
      <alignment horizontal="center" vertical="top" wrapText="1"/>
      <protection locked="0"/>
    </xf>
    <xf numFmtId="1" fontId="0" fillId="41" borderId="13" xfId="0" applyNumberFormat="1" applyFont="1" applyFill="1" applyBorder="1" applyAlignment="1" applyProtection="1">
      <alignment horizontal="center" vertical="top" wrapText="1"/>
    </xf>
    <xf numFmtId="49" fontId="0" fillId="41" borderId="13" xfId="0" applyNumberFormat="1" applyFont="1" applyFill="1" applyBorder="1" applyAlignment="1" applyProtection="1">
      <alignment horizontal="center" vertical="top" wrapText="1"/>
    </xf>
    <xf numFmtId="0" fontId="0" fillId="41" borderId="13" xfId="0" applyFont="1" applyFill="1" applyBorder="1" applyAlignment="1" applyProtection="1">
      <alignment horizontal="center" vertical="top" wrapText="1"/>
    </xf>
    <xf numFmtId="0" fontId="0" fillId="37" borderId="13" xfId="0" applyFont="1" applyFill="1" applyBorder="1" applyAlignment="1" applyProtection="1">
      <alignment vertical="center" wrapText="1"/>
    </xf>
    <xf numFmtId="0" fontId="0" fillId="41" borderId="13" xfId="0" applyFont="1" applyFill="1" applyBorder="1" applyAlignment="1" applyProtection="1">
      <alignment vertical="center" wrapText="1"/>
    </xf>
    <xf numFmtId="49" fontId="0" fillId="41" borderId="13" xfId="0" applyNumberFormat="1" applyFont="1" applyFill="1" applyBorder="1" applyAlignment="1" applyProtection="1">
      <alignment horizontal="center" vertical="top" wrapText="1"/>
      <protection locked="0"/>
    </xf>
    <xf numFmtId="49" fontId="0" fillId="37" borderId="13" xfId="0" applyNumberFormat="1" applyFont="1" applyFill="1" applyBorder="1" applyAlignment="1" applyProtection="1">
      <alignment horizontal="center" vertical="top" wrapText="1"/>
      <protection locked="0"/>
    </xf>
    <xf numFmtId="0" fontId="0" fillId="37" borderId="13" xfId="0" applyFont="1" applyFill="1" applyBorder="1" applyAlignment="1" applyProtection="1">
      <alignment horizontal="center" vertical="top" wrapText="1"/>
      <protection locked="0"/>
    </xf>
    <xf numFmtId="49" fontId="0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  <protection locked="0"/>
    </xf>
    <xf numFmtId="0" fontId="0" fillId="30" borderId="13" xfId="0" applyFont="1" applyFill="1" applyBorder="1" applyAlignment="1" applyProtection="1">
      <alignment horizontal="justify" vertical="center" wrapText="1"/>
      <protection locked="0"/>
    </xf>
    <xf numFmtId="49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0" borderId="13" xfId="0" applyNumberFormat="1" applyFont="1" applyFill="1" applyBorder="1" applyAlignment="1" applyProtection="1">
      <alignment horizontal="center" vertical="top" wrapText="1"/>
      <protection locked="0"/>
    </xf>
    <xf numFmtId="49" fontId="0" fillId="3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41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Border="1">
      <alignment vertical="top"/>
    </xf>
    <xf numFmtId="0" fontId="0" fillId="37" borderId="13" xfId="0" applyFont="1" applyFill="1" applyBorder="1">
      <alignment vertical="top"/>
    </xf>
    <xf numFmtId="0" fontId="0" fillId="42" borderId="13" xfId="0" applyFont="1" applyFill="1" applyBorder="1" applyAlignment="1" applyProtection="1">
      <alignment horizontal="center" vertical="top" wrapText="1"/>
    </xf>
    <xf numFmtId="49" fontId="0" fillId="48" borderId="13" xfId="0" applyNumberFormat="1" applyFont="1" applyFill="1" applyBorder="1" applyAlignment="1" applyProtection="1">
      <alignment horizontal="left" vertical="center" wrapText="1"/>
    </xf>
    <xf numFmtId="1" fontId="0" fillId="48" borderId="13" xfId="0" applyNumberFormat="1" applyFont="1" applyFill="1" applyBorder="1" applyAlignment="1" applyProtection="1">
      <alignment horizontal="center" vertical="top" wrapText="1"/>
    </xf>
    <xf numFmtId="49" fontId="0" fillId="48" borderId="13" xfId="0" applyNumberFormat="1" applyFont="1" applyFill="1" applyBorder="1" applyAlignment="1" applyProtection="1">
      <alignment horizontal="center" vertical="top" wrapText="1"/>
    </xf>
    <xf numFmtId="1" fontId="0" fillId="48" borderId="13" xfId="0" applyNumberFormat="1" applyFont="1" applyFill="1" applyBorder="1" applyAlignment="1" applyProtection="1">
      <alignment horizontal="center" vertical="top" wrapText="1" readingOrder="1"/>
      <protection locked="0"/>
    </xf>
    <xf numFmtId="49" fontId="0" fillId="48" borderId="13" xfId="0" applyNumberFormat="1" applyFont="1" applyFill="1" applyBorder="1" applyAlignment="1" applyProtection="1">
      <alignment horizontal="center" vertical="top" wrapText="1"/>
      <protection locked="0"/>
    </xf>
    <xf numFmtId="1" fontId="0" fillId="48" borderId="13" xfId="0" applyNumberFormat="1" applyFont="1" applyFill="1" applyBorder="1" applyAlignment="1" applyProtection="1">
      <alignment horizontal="center" vertical="top" wrapText="1"/>
      <protection locked="0"/>
    </xf>
    <xf numFmtId="0" fontId="0" fillId="48" borderId="13" xfId="0" applyFont="1" applyFill="1" applyBorder="1" applyAlignment="1" applyProtection="1">
      <alignment horizontal="center" vertical="top" wrapText="1"/>
      <protection locked="0"/>
    </xf>
    <xf numFmtId="0" fontId="0" fillId="48" borderId="13" xfId="0" applyNumberFormat="1" applyFont="1" applyFill="1" applyBorder="1" applyAlignment="1" applyProtection="1">
      <alignment horizontal="left" vertical="center" wrapText="1"/>
    </xf>
    <xf numFmtId="49" fontId="0" fillId="48" borderId="13" xfId="0" applyNumberFormat="1" applyFont="1" applyFill="1" applyBorder="1" applyAlignment="1" applyProtection="1">
      <alignment horizontal="center" vertical="top" wrapText="1" readingOrder="1"/>
      <protection locked="0"/>
    </xf>
    <xf numFmtId="3" fontId="8" fillId="25" borderId="34" xfId="0" applyNumberFormat="1" applyFont="1" applyFill="1" applyBorder="1" applyAlignment="1" applyProtection="1">
      <alignment horizontal="center" vertical="top" wrapText="1"/>
    </xf>
    <xf numFmtId="3" fontId="8" fillId="25" borderId="17" xfId="0" applyNumberFormat="1" applyFont="1" applyFill="1" applyBorder="1" applyAlignment="1" applyProtection="1">
      <alignment horizontal="center" vertical="top" wrapText="1"/>
    </xf>
    <xf numFmtId="1" fontId="7" fillId="25" borderId="36" xfId="0" applyNumberFormat="1" applyFont="1" applyFill="1" applyBorder="1" applyAlignment="1" applyProtection="1">
      <alignment horizontal="center" vertical="top" wrapText="1"/>
    </xf>
    <xf numFmtId="1" fontId="3" fillId="25" borderId="17" xfId="0" applyNumberFormat="1" applyFont="1" applyFill="1" applyBorder="1" applyAlignment="1" applyProtection="1">
      <alignment horizontal="center" vertical="top" wrapText="1"/>
    </xf>
    <xf numFmtId="1" fontId="7" fillId="25" borderId="13" xfId="0" applyNumberFormat="1" applyFont="1" applyFill="1" applyBorder="1" applyAlignment="1" applyProtection="1">
      <alignment horizontal="center" vertical="top" wrapText="1"/>
    </xf>
    <xf numFmtId="1" fontId="3" fillId="33" borderId="40" xfId="0" applyNumberFormat="1" applyFont="1" applyFill="1" applyBorder="1" applyAlignment="1" applyProtection="1">
      <alignment horizontal="center" vertical="top" wrapText="1"/>
    </xf>
    <xf numFmtId="1" fontId="3" fillId="33" borderId="40" xfId="0" applyNumberFormat="1" applyFont="1" applyFill="1" applyBorder="1" applyAlignment="1" applyProtection="1">
      <alignment horizontal="left" vertical="top" wrapText="1"/>
    </xf>
    <xf numFmtId="49" fontId="7" fillId="28" borderId="20" xfId="0" applyNumberFormat="1" applyFont="1" applyFill="1" applyBorder="1" applyAlignment="1" applyProtection="1">
      <alignment horizontal="left" vertical="top" wrapText="1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48" borderId="13" xfId="0" applyNumberFormat="1" applyFill="1" applyBorder="1" applyAlignment="1" applyProtection="1">
      <alignment horizontal="center" vertical="center" wrapText="1"/>
      <protection locked="0"/>
    </xf>
    <xf numFmtId="49" fontId="0" fillId="37" borderId="13" xfId="0" applyNumberForma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>
      <alignment vertical="top" wrapText="1"/>
    </xf>
    <xf numFmtId="0" fontId="2" fillId="32" borderId="0" xfId="0" applyFont="1" applyFill="1" applyAlignment="1">
      <alignment vertical="top" wrapText="1"/>
    </xf>
    <xf numFmtId="1" fontId="0" fillId="49" borderId="13" xfId="0" applyNumberFormat="1" applyFont="1" applyFill="1" applyBorder="1" applyAlignment="1" applyProtection="1">
      <alignment horizontal="center" vertical="center" wrapText="1"/>
    </xf>
    <xf numFmtId="1" fontId="0" fillId="5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left" vertical="center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2" fillId="50" borderId="13" xfId="0" applyFont="1" applyFill="1" applyBorder="1" applyAlignment="1" applyProtection="1">
      <alignment horizontal="left" vertical="center" wrapText="1"/>
      <protection locked="0"/>
    </xf>
    <xf numFmtId="0" fontId="8" fillId="50" borderId="13" xfId="0" applyFont="1" applyFill="1" applyBorder="1" applyAlignment="1" applyProtection="1">
      <alignment horizontal="left" vertical="center" wrapText="1"/>
      <protection locked="0"/>
    </xf>
    <xf numFmtId="49" fontId="0" fillId="50" borderId="13" xfId="0" applyNumberFormat="1" applyFill="1" applyBorder="1" applyAlignment="1" applyProtection="1">
      <alignment horizontal="center" vertical="center" wrapText="1"/>
      <protection locked="0"/>
    </xf>
    <xf numFmtId="0" fontId="0" fillId="50" borderId="13" xfId="0" applyFill="1" applyBorder="1" applyAlignment="1" applyProtection="1">
      <alignment horizontal="center" vertical="center" wrapText="1"/>
      <protection locked="0"/>
    </xf>
    <xf numFmtId="0" fontId="0" fillId="50" borderId="13" xfId="0" applyFont="1" applyFill="1" applyBorder="1" applyAlignment="1" applyProtection="1">
      <alignment horizontal="center" vertical="center" wrapText="1"/>
      <protection locked="0"/>
    </xf>
    <xf numFmtId="49" fontId="0" fillId="50" borderId="13" xfId="0" applyNumberFormat="1" applyFill="1" applyBorder="1" applyAlignment="1" applyProtection="1">
      <alignment horizontal="center" vertical="center" wrapText="1"/>
    </xf>
    <xf numFmtId="1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left" vertical="center" wrapText="1"/>
    </xf>
    <xf numFmtId="0" fontId="0" fillId="37" borderId="13" xfId="0" applyFill="1" applyBorder="1" applyAlignment="1" applyProtection="1">
      <alignment horizontal="left" vertical="center" wrapText="1"/>
      <protection locked="0"/>
    </xf>
    <xf numFmtId="1" fontId="0" fillId="42" borderId="13" xfId="0" applyNumberFormat="1" applyFill="1" applyBorder="1" applyAlignment="1" applyProtection="1">
      <alignment horizontal="center" vertical="center" wrapText="1"/>
      <protection locked="0"/>
    </xf>
    <xf numFmtId="1" fontId="0" fillId="37" borderId="13" xfId="0" applyNumberFormat="1" applyFill="1" applyBorder="1" applyAlignment="1" applyProtection="1">
      <alignment horizontal="center" vertical="center" wrapText="1"/>
      <protection locked="0"/>
    </xf>
    <xf numFmtId="1" fontId="0" fillId="48" borderId="13" xfId="0" applyNumberFormat="1" applyFill="1" applyBorder="1" applyAlignment="1" applyProtection="1">
      <alignment horizontal="center" vertical="center" wrapText="1"/>
      <protection locked="0"/>
    </xf>
    <xf numFmtId="1" fontId="0" fillId="51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>
      <alignment horizontal="left" vertical="top" wrapText="1"/>
    </xf>
    <xf numFmtId="0" fontId="0" fillId="32" borderId="0" xfId="0" applyFill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  <xf numFmtId="0" fontId="14" fillId="24" borderId="20" xfId="0" applyFont="1" applyFill="1" applyBorder="1" applyAlignment="1">
      <alignment horizontal="center" vertical="center" textRotation="90" wrapText="1"/>
    </xf>
    <xf numFmtId="0" fontId="14" fillId="24" borderId="14" xfId="0" applyFont="1" applyFill="1" applyBorder="1" applyAlignment="1">
      <alignment horizontal="center" vertical="center" textRotation="90" wrapText="1"/>
    </xf>
    <xf numFmtId="0" fontId="14" fillId="24" borderId="15" xfId="0" applyFont="1" applyFill="1" applyBorder="1" applyAlignment="1">
      <alignment horizontal="center" vertical="center" textRotation="90" wrapText="1"/>
    </xf>
    <xf numFmtId="0" fontId="14" fillId="24" borderId="38" xfId="0" applyFont="1" applyFill="1" applyBorder="1" applyAlignment="1">
      <alignment horizontal="center" vertical="center" textRotation="90" wrapText="1"/>
    </xf>
    <xf numFmtId="0" fontId="14" fillId="24" borderId="0" xfId="0" applyFont="1" applyFill="1" applyBorder="1" applyAlignment="1">
      <alignment horizontal="center" vertical="center" textRotation="90" wrapText="1"/>
    </xf>
    <xf numFmtId="0" fontId="14" fillId="24" borderId="11" xfId="0" applyFont="1" applyFill="1" applyBorder="1" applyAlignment="1">
      <alignment horizontal="center" vertical="center" textRotation="90" wrapText="1"/>
    </xf>
    <xf numFmtId="0" fontId="14" fillId="24" borderId="21" xfId="0" applyFont="1" applyFill="1" applyBorder="1" applyAlignment="1">
      <alignment horizontal="center" vertical="center" textRotation="90" wrapText="1"/>
    </xf>
    <xf numFmtId="0" fontId="14" fillId="24" borderId="16" xfId="0" applyFont="1" applyFill="1" applyBorder="1" applyAlignment="1">
      <alignment horizontal="center" vertical="center" textRotation="90" wrapText="1"/>
    </xf>
    <xf numFmtId="0" fontId="14" fillId="24" borderId="10" xfId="0" applyFont="1" applyFill="1" applyBorder="1" applyAlignment="1">
      <alignment horizontal="center" vertical="center" textRotation="90" wrapText="1"/>
    </xf>
    <xf numFmtId="0" fontId="4" fillId="24" borderId="20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21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9" fillId="24" borderId="4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4" fillId="24" borderId="22" xfId="0" applyFont="1" applyFill="1" applyBorder="1" applyAlignment="1">
      <alignment horizontal="center" textRotation="90" wrapText="1"/>
    </xf>
    <xf numFmtId="0" fontId="14" fillId="24" borderId="41" xfId="0" applyFont="1" applyFill="1" applyBorder="1" applyAlignment="1">
      <alignment horizontal="center" textRotation="90" wrapText="1"/>
    </xf>
    <xf numFmtId="0" fontId="14" fillId="24" borderId="12" xfId="0" applyFont="1" applyFill="1" applyBorder="1" applyAlignment="1">
      <alignment horizontal="center" textRotation="90" wrapText="1"/>
    </xf>
    <xf numFmtId="0" fontId="4" fillId="26" borderId="13" xfId="0" applyFont="1" applyFill="1" applyBorder="1" applyAlignment="1">
      <alignment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2" fontId="7" fillId="32" borderId="0" xfId="0" applyNumberFormat="1" applyFont="1" applyFill="1" applyBorder="1" applyAlignment="1" applyProtection="1">
      <alignment horizontal="justify" vertical="top"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34" xfId="0" applyFont="1" applyFill="1" applyBorder="1" applyAlignment="1">
      <alignment horizontal="center" vertical="top" wrapText="1"/>
    </xf>
    <xf numFmtId="0" fontId="4" fillId="24" borderId="36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justify" vertical="top" wrapText="1"/>
    </xf>
    <xf numFmtId="0" fontId="2" fillId="32" borderId="0" xfId="0" applyFont="1" applyFill="1" applyAlignment="1">
      <alignment horizontal="center" vertical="top"/>
    </xf>
    <xf numFmtId="0" fontId="2" fillId="0" borderId="0" xfId="0" applyFont="1" applyFill="1" applyAlignment="1" applyProtection="1">
      <alignment vertical="top" wrapText="1"/>
      <protection locked="0"/>
    </xf>
    <xf numFmtId="0" fontId="10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32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 applyProtection="1">
      <alignment horizontal="justify" vertical="top" wrapText="1"/>
      <protection locked="0"/>
    </xf>
    <xf numFmtId="0" fontId="7" fillId="32" borderId="0" xfId="0" applyFont="1" applyFill="1" applyBorder="1" applyAlignment="1">
      <alignment horizontal="justify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NumberForma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4" fillId="24" borderId="22" xfId="0" applyFont="1" applyFill="1" applyBorder="1" applyAlignment="1">
      <alignment vertical="center" textRotation="90" wrapText="1"/>
    </xf>
    <xf numFmtId="0" fontId="6" fillId="0" borderId="4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32" borderId="0" xfId="0" applyFont="1" applyFill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>
      <alignment vertical="top"/>
    </xf>
    <xf numFmtId="0" fontId="0" fillId="0" borderId="11" xfId="0" applyBorder="1">
      <alignment vertical="top"/>
    </xf>
    <xf numFmtId="0" fontId="4" fillId="32" borderId="0" xfId="0" applyFont="1" applyFill="1" applyAlignment="1">
      <alignment horizontal="left" vertical="top"/>
    </xf>
    <xf numFmtId="0" fontId="4" fillId="32" borderId="11" xfId="0" applyFont="1" applyFill="1" applyBorder="1" applyAlignment="1">
      <alignment horizontal="left" vertical="top"/>
    </xf>
    <xf numFmtId="1" fontId="3" fillId="28" borderId="20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1" fontId="3" fillId="28" borderId="38" xfId="0" applyNumberFormat="1" applyFont="1" applyFill="1" applyBorder="1" applyAlignment="1" applyProtection="1">
      <alignment horizontal="center" vertical="top" wrapText="1"/>
    </xf>
    <xf numFmtId="1" fontId="3" fillId="28" borderId="11" xfId="0" applyNumberFormat="1" applyFont="1" applyFill="1" applyBorder="1" applyAlignment="1" applyProtection="1">
      <alignment horizontal="center" vertical="top" wrapText="1"/>
    </xf>
    <xf numFmtId="1" fontId="3" fillId="28" borderId="21" xfId="0" applyNumberFormat="1" applyFont="1" applyFill="1" applyBorder="1" applyAlignment="1" applyProtection="1">
      <alignment horizontal="center" vertical="top" wrapText="1"/>
    </xf>
    <xf numFmtId="1" fontId="3" fillId="28" borderId="10" xfId="0" applyNumberFormat="1" applyFont="1" applyFill="1" applyBorder="1" applyAlignment="1" applyProtection="1">
      <alignment horizontal="center" vertical="top" wrapText="1"/>
    </xf>
    <xf numFmtId="0" fontId="8" fillId="28" borderId="22" xfId="0" applyFont="1" applyFill="1" applyBorder="1" applyAlignment="1" applyProtection="1">
      <alignment horizontal="center" textRotation="90" wrapText="1"/>
    </xf>
    <xf numFmtId="0" fontId="8" fillId="28" borderId="41" xfId="0" applyFont="1" applyFill="1" applyBorder="1" applyAlignment="1" applyProtection="1">
      <alignment horizontal="center" textRotation="90" wrapText="1"/>
    </xf>
    <xf numFmtId="0" fontId="8" fillId="28" borderId="15" xfId="0" applyFont="1" applyFill="1" applyBorder="1" applyAlignment="1" applyProtection="1">
      <alignment horizontal="center" vertical="center" wrapText="1"/>
    </xf>
    <xf numFmtId="0" fontId="8" fillId="28" borderId="11" xfId="0" applyFont="1" applyFill="1" applyBorder="1" applyAlignment="1" applyProtection="1">
      <alignment horizontal="center" vertical="center" wrapText="1"/>
    </xf>
    <xf numFmtId="0" fontId="8" fillId="28" borderId="10" xfId="0" applyFont="1" applyFill="1" applyBorder="1" applyAlignment="1" applyProtection="1">
      <alignment horizontal="center" vertical="center" wrapText="1"/>
    </xf>
    <xf numFmtId="0" fontId="3" fillId="28" borderId="17" xfId="0" applyFont="1" applyFill="1" applyBorder="1" applyAlignment="1" applyProtection="1">
      <alignment horizontal="center" vertical="top" wrapText="1"/>
    </xf>
    <xf numFmtId="0" fontId="3" fillId="28" borderId="34" xfId="0" applyFont="1" applyFill="1" applyBorder="1" applyAlignment="1" applyProtection="1">
      <alignment horizontal="center" vertical="top" wrapText="1"/>
    </xf>
    <xf numFmtId="0" fontId="3" fillId="28" borderId="36" xfId="0" applyFont="1" applyFill="1" applyBorder="1" applyAlignment="1" applyProtection="1">
      <alignment horizontal="center" vertical="top" wrapText="1"/>
    </xf>
    <xf numFmtId="49" fontId="3" fillId="28" borderId="20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1" fontId="7" fillId="28" borderId="21" xfId="0" applyNumberFormat="1" applyFont="1" applyFill="1" applyBorder="1" applyAlignment="1" applyProtection="1">
      <alignment horizontal="left" vertical="top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49" fontId="7" fillId="28" borderId="20" xfId="0" applyNumberFormat="1" applyFont="1" applyFill="1" applyBorder="1" applyAlignment="1" applyProtection="1">
      <alignment horizontal="left" vertical="top" wrapText="1"/>
    </xf>
    <xf numFmtId="0" fontId="7" fillId="34" borderId="17" xfId="0" applyFont="1" applyFill="1" applyBorder="1" applyAlignment="1" applyProtection="1">
      <alignment horizontal="left" vertical="center" wrapText="1"/>
    </xf>
    <xf numFmtId="0" fontId="7" fillId="34" borderId="34" xfId="0" applyFont="1" applyFill="1" applyBorder="1" applyAlignment="1" applyProtection="1">
      <alignment horizontal="left" vertical="center" wrapText="1"/>
    </xf>
    <xf numFmtId="0" fontId="7" fillId="34" borderId="36" xfId="0" applyFont="1" applyFill="1" applyBorder="1" applyAlignment="1" applyProtection="1">
      <alignment horizontal="left" vertical="center" wrapText="1"/>
    </xf>
    <xf numFmtId="1" fontId="2" fillId="25" borderId="34" xfId="0" applyNumberFormat="1" applyFont="1" applyFill="1" applyBorder="1" applyAlignment="1" applyProtection="1">
      <alignment horizontal="center" vertical="center" wrapText="1"/>
    </xf>
    <xf numFmtId="1" fontId="2" fillId="25" borderId="36" xfId="0" applyNumberFormat="1" applyFont="1" applyFill="1" applyBorder="1" applyAlignment="1" applyProtection="1">
      <alignment horizontal="center" vertical="center" wrapText="1"/>
    </xf>
    <xf numFmtId="1" fontId="2" fillId="25" borderId="17" xfId="0" applyNumberFormat="1" applyFont="1" applyFill="1" applyBorder="1" applyAlignment="1" applyProtection="1">
      <alignment horizontal="center" vertical="center" wrapText="1"/>
    </xf>
    <xf numFmtId="2" fontId="2" fillId="25" borderId="18" xfId="0" applyNumberFormat="1" applyFont="1" applyFill="1" applyBorder="1" applyAlignment="1" applyProtection="1">
      <alignment horizontal="center" vertical="center" wrapText="1"/>
    </xf>
    <xf numFmtId="2" fontId="2" fillId="25" borderId="26" xfId="0" applyNumberFormat="1" applyFont="1" applyFill="1" applyBorder="1" applyAlignment="1" applyProtection="1">
      <alignment horizontal="center" vertical="center" wrapText="1"/>
    </xf>
    <xf numFmtId="2" fontId="2" fillId="25" borderId="19" xfId="0" applyNumberFormat="1" applyFont="1" applyFill="1" applyBorder="1" applyAlignment="1" applyProtection="1">
      <alignment horizontal="center" vertical="center" wrapText="1"/>
    </xf>
    <xf numFmtId="1" fontId="2" fillId="25" borderId="40" xfId="0" applyNumberFormat="1" applyFont="1" applyFill="1" applyBorder="1" applyAlignment="1" applyProtection="1">
      <alignment horizontal="center" vertical="center" wrapText="1"/>
    </xf>
    <xf numFmtId="1" fontId="2" fillId="25" borderId="26" xfId="0" applyNumberFormat="1" applyFont="1" applyFill="1" applyBorder="1" applyAlignment="1" applyProtection="1">
      <alignment horizontal="center" vertical="center" wrapText="1"/>
    </xf>
    <xf numFmtId="1" fontId="2" fillId="25" borderId="39" xfId="0" applyNumberFormat="1" applyFont="1" applyFill="1" applyBorder="1" applyAlignment="1" applyProtection="1">
      <alignment horizontal="center" vertical="center" wrapText="1"/>
    </xf>
    <xf numFmtId="2" fontId="2" fillId="25" borderId="40" xfId="0" applyNumberFormat="1" applyFont="1" applyFill="1" applyBorder="1" applyAlignment="1" applyProtection="1">
      <alignment horizontal="center" vertical="center" wrapText="1"/>
    </xf>
    <xf numFmtId="2" fontId="2" fillId="25" borderId="39" xfId="0" applyNumberFormat="1" applyFont="1" applyFill="1" applyBorder="1" applyAlignment="1" applyProtection="1">
      <alignment horizontal="center" vertical="center" wrapText="1"/>
    </xf>
    <xf numFmtId="0" fontId="8" fillId="34" borderId="17" xfId="0" applyFont="1" applyFill="1" applyBorder="1" applyAlignment="1" applyProtection="1">
      <alignment horizontal="left" vertical="center" wrapText="1"/>
    </xf>
    <xf numFmtId="0" fontId="8" fillId="34" borderId="34" xfId="0" applyFont="1" applyFill="1" applyBorder="1" applyAlignment="1" applyProtection="1">
      <alignment horizontal="left" vertical="center" wrapText="1"/>
    </xf>
    <xf numFmtId="0" fontId="8" fillId="34" borderId="36" xfId="0" applyFont="1" applyFill="1" applyBorder="1" applyAlignment="1" applyProtection="1">
      <alignment horizontal="left" vertical="center" wrapText="1"/>
    </xf>
    <xf numFmtId="164" fontId="8" fillId="25" borderId="18" xfId="0" applyNumberFormat="1" applyFont="1" applyFill="1" applyBorder="1" applyAlignment="1" applyProtection="1">
      <alignment horizontal="center" vertical="center" wrapText="1"/>
    </xf>
    <xf numFmtId="164" fontId="8" fillId="25" borderId="26" xfId="0" applyNumberFormat="1" applyFont="1" applyFill="1" applyBorder="1" applyAlignment="1" applyProtection="1">
      <alignment horizontal="center" vertical="center" wrapText="1"/>
    </xf>
    <xf numFmtId="164" fontId="8" fillId="25" borderId="39" xfId="0" applyNumberFormat="1" applyFont="1" applyFill="1" applyBorder="1" applyAlignment="1" applyProtection="1">
      <alignment horizontal="center" vertical="center" wrapText="1"/>
    </xf>
    <xf numFmtId="1" fontId="8" fillId="25" borderId="18" xfId="0" applyNumberFormat="1" applyFont="1" applyFill="1" applyBorder="1" applyAlignment="1" applyProtection="1">
      <alignment horizontal="center" vertical="center" wrapText="1"/>
    </xf>
    <xf numFmtId="1" fontId="8" fillId="25" borderId="26" xfId="0" applyNumberFormat="1" applyFont="1" applyFill="1" applyBorder="1" applyAlignment="1" applyProtection="1">
      <alignment horizontal="center" vertical="center" wrapText="1"/>
    </xf>
    <xf numFmtId="1" fontId="8" fillId="25" borderId="39" xfId="0" applyNumberFormat="1" applyFont="1" applyFill="1" applyBorder="1" applyAlignment="1" applyProtection="1">
      <alignment horizontal="center" vertical="center" wrapText="1"/>
    </xf>
    <xf numFmtId="1" fontId="8" fillId="25" borderId="17" xfId="0" applyNumberFormat="1" applyFont="1" applyFill="1" applyBorder="1" applyAlignment="1" applyProtection="1">
      <alignment horizontal="center" vertical="center" wrapText="1"/>
    </xf>
    <xf numFmtId="1" fontId="8" fillId="25" borderId="34" xfId="0" applyNumberFormat="1" applyFont="1" applyFill="1" applyBorder="1" applyAlignment="1" applyProtection="1">
      <alignment horizontal="center" vertical="center" wrapText="1"/>
    </xf>
    <xf numFmtId="1" fontId="2" fillId="25" borderId="18" xfId="0" applyNumberFormat="1" applyFont="1" applyFill="1" applyBorder="1" applyAlignment="1" applyProtection="1">
      <alignment horizontal="center" vertical="center" wrapText="1"/>
    </xf>
    <xf numFmtId="1" fontId="2" fillId="25" borderId="19" xfId="0" applyNumberFormat="1" applyFont="1" applyFill="1" applyBorder="1" applyAlignment="1" applyProtection="1">
      <alignment horizontal="center" vertical="center" wrapText="1"/>
    </xf>
    <xf numFmtId="0" fontId="0" fillId="34" borderId="17" xfId="0" applyFill="1" applyBorder="1" applyAlignment="1" applyProtection="1">
      <alignment horizontal="left" vertical="center" wrapText="1"/>
    </xf>
    <xf numFmtId="0" fontId="0" fillId="0" borderId="13" xfId="0" applyFont="1" applyFill="1" applyBorder="1" applyAlignment="1" applyProtection="1">
      <alignment horizontal="justify" vertical="center"/>
    </xf>
    <xf numFmtId="0" fontId="0" fillId="0" borderId="13" xfId="0" applyFont="1" applyBorder="1" applyAlignment="1">
      <alignment vertical="center"/>
    </xf>
    <xf numFmtId="0" fontId="3" fillId="47" borderId="44" xfId="0" applyFont="1" applyFill="1" applyBorder="1" applyAlignment="1" applyProtection="1">
      <alignment horizontal="center" vertical="top" wrapText="1"/>
    </xf>
    <xf numFmtId="0" fontId="3" fillId="47" borderId="41" xfId="0" applyFont="1" applyFill="1" applyBorder="1" applyAlignment="1" applyProtection="1">
      <alignment horizontal="center" vertical="top" wrapText="1"/>
    </xf>
    <xf numFmtId="0" fontId="3" fillId="47" borderId="12" xfId="0" applyFont="1" applyFill="1" applyBorder="1" applyAlignment="1" applyProtection="1">
      <alignment horizontal="center" vertical="top" wrapText="1"/>
    </xf>
    <xf numFmtId="49" fontId="8" fillId="28" borderId="22" xfId="0" applyNumberFormat="1" applyFont="1" applyFill="1" applyBorder="1" applyAlignment="1" applyProtection="1">
      <alignment horizontal="center" textRotation="90" wrapText="1"/>
    </xf>
    <xf numFmtId="49" fontId="8" fillId="28" borderId="41" xfId="0" applyNumberFormat="1" applyFont="1" applyFill="1" applyBorder="1" applyAlignment="1" applyProtection="1">
      <alignment horizontal="center" textRotation="90" wrapText="1"/>
    </xf>
    <xf numFmtId="49" fontId="3" fillId="28" borderId="49" xfId="0" applyNumberFormat="1" applyFont="1" applyFill="1" applyBorder="1" applyAlignment="1" applyProtection="1">
      <alignment horizontal="center" vertical="top" wrapText="1"/>
    </xf>
    <xf numFmtId="49" fontId="3" fillId="28" borderId="50" xfId="0" applyNumberFormat="1" applyFont="1" applyFill="1" applyBorder="1" applyAlignment="1" applyProtection="1">
      <alignment horizontal="center" vertical="top" wrapText="1"/>
    </xf>
    <xf numFmtId="49" fontId="3" fillId="28" borderId="21" xfId="0" applyNumberFormat="1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0" fontId="0" fillId="42" borderId="17" xfId="0" applyFont="1" applyFill="1" applyBorder="1" applyAlignment="1" applyProtection="1">
      <alignment horizontal="left" vertical="center" wrapText="1"/>
      <protection locked="0"/>
    </xf>
    <xf numFmtId="0" fontId="0" fillId="42" borderId="34" xfId="0" applyFont="1" applyFill="1" applyBorder="1" applyAlignment="1" applyProtection="1">
      <alignment horizontal="left" vertical="center" wrapText="1"/>
      <protection locked="0"/>
    </xf>
    <xf numFmtId="0" fontId="0" fillId="42" borderId="36" xfId="0" applyFont="1" applyFill="1" applyBorder="1" applyAlignment="1" applyProtection="1">
      <alignment horizontal="left" vertical="center" wrapText="1"/>
      <protection locked="0"/>
    </xf>
    <xf numFmtId="0" fontId="0" fillId="48" borderId="17" xfId="0" applyFont="1" applyFill="1" applyBorder="1" applyAlignment="1" applyProtection="1">
      <alignment horizontal="left" vertical="center" wrapText="1"/>
      <protection locked="0"/>
    </xf>
    <xf numFmtId="0" fontId="0" fillId="48" borderId="34" xfId="0" applyFont="1" applyFill="1" applyBorder="1" applyAlignment="1" applyProtection="1">
      <alignment horizontal="left" vertical="center" wrapText="1"/>
      <protection locked="0"/>
    </xf>
    <xf numFmtId="0" fontId="0" fillId="48" borderId="36" xfId="0" applyFont="1" applyFill="1" applyBorder="1" applyAlignment="1" applyProtection="1">
      <alignment horizontal="left" vertical="center" wrapText="1"/>
      <protection locked="0"/>
    </xf>
    <xf numFmtId="0" fontId="3" fillId="34" borderId="21" xfId="0" applyNumberFormat="1" applyFont="1" applyFill="1" applyBorder="1" applyAlignment="1" applyProtection="1">
      <alignment horizontal="left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</xf>
    <xf numFmtId="49" fontId="8" fillId="47" borderId="20" xfId="0" applyNumberFormat="1" applyFont="1" applyFill="1" applyBorder="1" applyAlignment="1" applyProtection="1">
      <alignment horizontal="center" textRotation="90" wrapText="1"/>
    </xf>
    <xf numFmtId="49" fontId="8" fillId="47" borderId="38" xfId="0" applyNumberFormat="1" applyFont="1" applyFill="1" applyBorder="1" applyAlignment="1" applyProtection="1">
      <alignment horizontal="center" textRotation="90" wrapText="1"/>
    </xf>
    <xf numFmtId="0" fontId="0" fillId="29" borderId="17" xfId="0" applyFont="1" applyFill="1" applyBorder="1" applyAlignment="1" applyProtection="1">
      <alignment horizontal="left" vertical="center" wrapText="1"/>
    </xf>
    <xf numFmtId="0" fontId="0" fillId="29" borderId="34" xfId="0" applyFont="1" applyFill="1" applyBorder="1" applyAlignment="1" applyProtection="1">
      <alignment horizontal="left" vertical="center" wrapText="1"/>
    </xf>
    <xf numFmtId="0" fontId="0" fillId="29" borderId="36" xfId="0" applyFont="1" applyFill="1" applyBorder="1" applyAlignment="1" applyProtection="1">
      <alignment horizontal="left" vertical="center" wrapText="1"/>
    </xf>
    <xf numFmtId="0" fontId="0" fillId="30" borderId="17" xfId="0" applyFont="1" applyFill="1" applyBorder="1" applyAlignment="1" applyProtection="1">
      <alignment horizontal="left" vertical="center"/>
    </xf>
    <xf numFmtId="0" fontId="0" fillId="30" borderId="34" xfId="0" applyFont="1" applyFill="1" applyBorder="1" applyAlignment="1" applyProtection="1">
      <alignment horizontal="left" vertical="center"/>
    </xf>
    <xf numFmtId="0" fontId="0" fillId="30" borderId="36" xfId="0" applyFont="1" applyFill="1" applyBorder="1" applyAlignment="1" applyProtection="1">
      <alignment horizontal="left" vertical="center"/>
    </xf>
    <xf numFmtId="0" fontId="0" fillId="29" borderId="17" xfId="0" applyFont="1" applyFill="1" applyBorder="1" applyAlignment="1" applyProtection="1">
      <alignment horizontal="left" vertical="center"/>
    </xf>
    <xf numFmtId="0" fontId="0" fillId="29" borderId="34" xfId="0" applyFont="1" applyFill="1" applyBorder="1" applyAlignment="1" applyProtection="1">
      <alignment horizontal="left" vertical="center"/>
    </xf>
    <xf numFmtId="0" fontId="0" fillId="29" borderId="36" xfId="0" applyFont="1" applyFill="1" applyBorder="1" applyAlignment="1" applyProtection="1">
      <alignment horizontal="left" vertical="center"/>
    </xf>
    <xf numFmtId="0" fontId="0" fillId="30" borderId="13" xfId="0" applyFill="1" applyBorder="1" applyAlignment="1" applyProtection="1">
      <alignment horizontal="left" vertical="center" wrapText="1"/>
    </xf>
    <xf numFmtId="0" fontId="0" fillId="30" borderId="13" xfId="0" applyFont="1" applyFill="1" applyBorder="1" applyAlignment="1" applyProtection="1">
      <alignment horizontal="left" vertical="center" wrapText="1"/>
    </xf>
    <xf numFmtId="0" fontId="0" fillId="41" borderId="17" xfId="0" applyFont="1" applyFill="1" applyBorder="1" applyAlignment="1" applyProtection="1">
      <alignment horizontal="left" vertical="center"/>
    </xf>
    <xf numFmtId="0" fontId="0" fillId="41" borderId="34" xfId="0" applyFont="1" applyFill="1" applyBorder="1" applyAlignment="1" applyProtection="1">
      <alignment horizontal="left" vertical="center"/>
    </xf>
    <xf numFmtId="0" fontId="0" fillId="41" borderId="36" xfId="0" applyFont="1" applyFill="1" applyBorder="1" applyAlignment="1" applyProtection="1">
      <alignment horizontal="left" vertical="center"/>
    </xf>
    <xf numFmtId="0" fontId="0" fillId="30" borderId="17" xfId="0" applyFont="1" applyFill="1" applyBorder="1" applyAlignment="1" applyProtection="1">
      <alignment horizontal="left" vertical="center" wrapText="1"/>
    </xf>
    <xf numFmtId="0" fontId="0" fillId="30" borderId="34" xfId="0" applyFont="1" applyFill="1" applyBorder="1" applyAlignment="1" applyProtection="1">
      <alignment horizontal="left" vertical="center" wrapText="1"/>
    </xf>
    <xf numFmtId="0" fontId="0" fillId="30" borderId="36" xfId="0" applyFont="1" applyFill="1" applyBorder="1" applyAlignment="1" applyProtection="1">
      <alignment horizontal="left" vertical="center" wrapText="1"/>
    </xf>
    <xf numFmtId="0" fontId="0" fillId="29" borderId="17" xfId="0" applyFill="1" applyBorder="1" applyAlignment="1" applyProtection="1">
      <alignment horizontal="left" vertical="center" wrapText="1"/>
    </xf>
    <xf numFmtId="0" fontId="0" fillId="29" borderId="13" xfId="0" applyFill="1" applyBorder="1" applyAlignment="1" applyProtection="1">
      <alignment horizontal="left" vertical="center" wrapText="1"/>
    </xf>
    <xf numFmtId="0" fontId="0" fillId="29" borderId="13" xfId="0" applyFont="1" applyFill="1" applyBorder="1" applyAlignment="1" applyProtection="1">
      <alignment horizontal="left" vertical="center" wrapText="1"/>
    </xf>
    <xf numFmtId="49" fontId="3" fillId="28" borderId="33" xfId="0" applyNumberFormat="1" applyFont="1" applyFill="1" applyBorder="1" applyAlignment="1" applyProtection="1">
      <alignment horizontal="center" vertical="top" wrapText="1"/>
    </xf>
    <xf numFmtId="49" fontId="3" fillId="28" borderId="30" xfId="0" applyNumberFormat="1" applyFont="1" applyFill="1" applyBorder="1" applyAlignment="1" applyProtection="1">
      <alignment horizontal="center" vertical="top" wrapText="1"/>
    </xf>
    <xf numFmtId="49" fontId="3" fillId="28" borderId="42" xfId="0" applyNumberFormat="1" applyFont="1" applyFill="1" applyBorder="1" applyAlignment="1" applyProtection="1">
      <alignment horizontal="center" vertical="top" wrapText="1"/>
    </xf>
    <xf numFmtId="49" fontId="3" fillId="28" borderId="28" xfId="0" applyNumberFormat="1" applyFont="1" applyFill="1" applyBorder="1" applyAlignment="1" applyProtection="1">
      <alignment horizontal="center" vertical="top" wrapText="1"/>
    </xf>
    <xf numFmtId="49" fontId="3" fillId="28" borderId="31" xfId="0" applyNumberFormat="1" applyFont="1" applyFill="1" applyBorder="1" applyAlignment="1" applyProtection="1">
      <alignment horizontal="center" vertical="top" wrapText="1"/>
    </xf>
    <xf numFmtId="49" fontId="3" fillId="28" borderId="29" xfId="0" applyNumberFormat="1" applyFont="1" applyFill="1" applyBorder="1" applyAlignment="1" applyProtection="1">
      <alignment horizontal="center" vertical="top" wrapText="1"/>
    </xf>
    <xf numFmtId="49" fontId="3" fillId="28" borderId="24" xfId="0" applyNumberFormat="1" applyFont="1" applyFill="1" applyBorder="1" applyAlignment="1" applyProtection="1">
      <alignment horizontal="center" vertical="top" wrapText="1"/>
    </xf>
    <xf numFmtId="49" fontId="3" fillId="28" borderId="27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49" fontId="3" fillId="28" borderId="52" xfId="0" applyNumberFormat="1" applyFont="1" applyFill="1" applyBorder="1" applyAlignment="1" applyProtection="1">
      <alignment horizontal="center" vertical="top" wrapText="1"/>
    </xf>
    <xf numFmtId="49" fontId="3" fillId="28" borderId="11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0" fontId="3" fillId="28" borderId="51" xfId="0" applyFont="1" applyFill="1" applyBorder="1" applyAlignment="1" applyProtection="1">
      <alignment horizontal="center" vertical="top" wrapText="1"/>
    </xf>
    <xf numFmtId="0" fontId="3" fillId="28" borderId="46" xfId="0" applyFont="1" applyFill="1" applyBorder="1" applyAlignment="1" applyProtection="1">
      <alignment horizontal="center" vertical="top" wrapText="1"/>
    </xf>
    <xf numFmtId="0" fontId="3" fillId="28" borderId="32" xfId="0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textRotation="90" wrapText="1"/>
    </xf>
    <xf numFmtId="0" fontId="8" fillId="28" borderId="20" xfId="0" applyFont="1" applyFill="1" applyBorder="1" applyAlignment="1" applyProtection="1">
      <alignment horizontal="center" textRotation="90" wrapText="1"/>
    </xf>
    <xf numFmtId="49" fontId="3" fillId="28" borderId="22" xfId="0" applyNumberFormat="1" applyFont="1" applyFill="1" applyBorder="1" applyAlignment="1" applyProtection="1">
      <alignment horizontal="center" vertical="top" wrapText="1"/>
    </xf>
    <xf numFmtId="49" fontId="3" fillId="28" borderId="41" xfId="0" applyNumberFormat="1" applyFont="1" applyFill="1" applyBorder="1" applyAlignment="1" applyProtection="1">
      <alignment horizontal="center" vertical="top" wrapText="1"/>
    </xf>
    <xf numFmtId="49" fontId="3" fillId="28" borderId="12" xfId="0" applyNumberFormat="1" applyFont="1" applyFill="1" applyBorder="1" applyAlignment="1" applyProtection="1">
      <alignment horizontal="center" vertical="top" wrapText="1"/>
    </xf>
    <xf numFmtId="0" fontId="3" fillId="28" borderId="43" xfId="0" applyFont="1" applyFill="1" applyBorder="1" applyAlignment="1" applyProtection="1">
      <alignment horizontal="center" vertical="top" wrapText="1"/>
    </xf>
    <xf numFmtId="0" fontId="0" fillId="0" borderId="41" xfId="0" applyFont="1" applyBorder="1" applyAlignment="1" applyProtection="1"/>
    <xf numFmtId="0" fontId="3" fillId="28" borderId="44" xfId="0" applyFont="1" applyFill="1" applyBorder="1" applyAlignment="1" applyProtection="1">
      <alignment horizontal="center" vertical="top" wrapText="1"/>
    </xf>
    <xf numFmtId="0" fontId="3" fillId="28" borderId="41" xfId="0" applyFont="1" applyFill="1" applyBorder="1" applyAlignment="1" applyProtection="1">
      <alignment horizontal="center" vertical="top" wrapText="1"/>
    </xf>
    <xf numFmtId="0" fontId="3" fillId="28" borderId="12" xfId="0" applyFont="1" applyFill="1" applyBorder="1" applyAlignment="1" applyProtection="1">
      <alignment horizontal="center" vertical="top" wrapText="1"/>
    </xf>
    <xf numFmtId="0" fontId="8" fillId="28" borderId="34" xfId="0" applyFont="1" applyFill="1" applyBorder="1" applyAlignment="1" applyProtection="1">
      <alignment horizontal="center" vertical="top" wrapText="1"/>
    </xf>
    <xf numFmtId="0" fontId="8" fillId="28" borderId="36" xfId="0" applyFont="1" applyFill="1" applyBorder="1" applyAlignment="1" applyProtection="1">
      <alignment horizontal="center" vertical="top" wrapText="1"/>
    </xf>
    <xf numFmtId="0" fontId="39" fillId="38" borderId="17" xfId="0" applyFont="1" applyFill="1" applyBorder="1" applyAlignment="1" applyProtection="1">
      <alignment horizontal="left" vertical="center" wrapText="1"/>
    </xf>
    <xf numFmtId="0" fontId="39" fillId="38" borderId="34" xfId="0" applyFont="1" applyFill="1" applyBorder="1" applyAlignment="1" applyProtection="1">
      <alignment horizontal="left" vertical="center" wrapText="1"/>
    </xf>
    <xf numFmtId="0" fontId="39" fillId="38" borderId="36" xfId="0" applyFont="1" applyFill="1" applyBorder="1" applyAlignment="1" applyProtection="1">
      <alignment horizontal="left" vertical="center" wrapText="1"/>
    </xf>
    <xf numFmtId="0" fontId="0" fillId="42" borderId="17" xfId="0" applyFill="1" applyBorder="1" applyAlignment="1" applyProtection="1">
      <alignment horizontal="left" vertical="center" wrapText="1"/>
      <protection locked="0"/>
    </xf>
    <xf numFmtId="0" fontId="2" fillId="31" borderId="0" xfId="0" applyFont="1" applyFill="1" applyBorder="1" applyAlignment="1" applyProtection="1">
      <alignment horizontal="left" vertical="top" wrapText="1"/>
    </xf>
    <xf numFmtId="0" fontId="2" fillId="31" borderId="16" xfId="0" applyFont="1" applyFill="1" applyBorder="1" applyAlignment="1" applyProtection="1">
      <alignment horizontal="left" vertical="top" wrapText="1"/>
    </xf>
    <xf numFmtId="0" fontId="3" fillId="34" borderId="38" xfId="0" applyNumberFormat="1" applyFont="1" applyFill="1" applyBorder="1" applyAlignment="1" applyProtection="1">
      <alignment horizontal="left" vertical="center" wrapText="1"/>
    </xf>
    <xf numFmtId="0" fontId="3" fillId="34" borderId="0" xfId="0" applyNumberFormat="1" applyFont="1" applyFill="1" applyBorder="1" applyAlignment="1" applyProtection="1">
      <alignment horizontal="left" vertical="center" wrapText="1"/>
    </xf>
    <xf numFmtId="0" fontId="4" fillId="26" borderId="12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0" fillId="32" borderId="0" xfId="0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32" borderId="0" xfId="0" applyFont="1" applyFill="1" applyAlignment="1">
      <alignment vertical="top" wrapText="1"/>
    </xf>
    <xf numFmtId="1" fontId="8" fillId="25" borderId="17" xfId="0" applyNumberFormat="1" applyFont="1" applyFill="1" applyBorder="1" applyAlignment="1" applyProtection="1">
      <alignment horizontal="center" vertical="top" wrapText="1"/>
    </xf>
    <xf numFmtId="1" fontId="8" fillId="25" borderId="34" xfId="0" applyNumberFormat="1" applyFont="1" applyFill="1" applyBorder="1" applyAlignment="1" applyProtection="1">
      <alignment horizontal="center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49" fontId="45" fillId="38" borderId="28" xfId="0" applyNumberFormat="1" applyFont="1" applyFill="1" applyBorder="1" applyAlignment="1" applyProtection="1">
      <alignment horizontal="center" vertical="center" textRotation="90" wrapText="1"/>
    </xf>
    <xf numFmtId="49" fontId="45" fillId="38" borderId="45" xfId="0" applyNumberFormat="1" applyFont="1" applyFill="1" applyBorder="1" applyAlignment="1" applyProtection="1">
      <alignment horizontal="center" vertical="center" textRotation="90" wrapText="1"/>
    </xf>
    <xf numFmtId="49" fontId="45" fillId="38" borderId="30" xfId="0" applyNumberFormat="1" applyFont="1" applyFill="1" applyBorder="1" applyAlignment="1" applyProtection="1">
      <alignment horizontal="center" vertical="center" textRotation="90" wrapText="1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1" fontId="2" fillId="25" borderId="35" xfId="0" applyNumberFormat="1" applyFont="1" applyFill="1" applyBorder="1" applyAlignment="1" applyProtection="1">
      <alignment horizontal="center" vertical="center" wrapText="1"/>
    </xf>
    <xf numFmtId="0" fontId="0" fillId="34" borderId="17" xfId="0" applyFill="1" applyBorder="1" applyAlignment="1" applyProtection="1">
      <alignment horizontal="left" vertical="top" wrapText="1"/>
    </xf>
    <xf numFmtId="0" fontId="7" fillId="34" borderId="34" xfId="0" applyFont="1" applyFill="1" applyBorder="1" applyAlignment="1" applyProtection="1">
      <alignment horizontal="left" vertical="top" wrapText="1"/>
    </xf>
    <xf numFmtId="1" fontId="2" fillId="25" borderId="39" xfId="0" applyNumberFormat="1" applyFont="1" applyFill="1" applyBorder="1" applyAlignment="1" applyProtection="1">
      <alignment horizontal="center" vertical="top" wrapText="1"/>
    </xf>
    <xf numFmtId="1" fontId="2" fillId="25" borderId="34" xfId="0" applyNumberFormat="1" applyFont="1" applyFill="1" applyBorder="1" applyAlignment="1" applyProtection="1">
      <alignment horizontal="center" vertical="top" wrapText="1"/>
    </xf>
    <xf numFmtId="1" fontId="2" fillId="25" borderId="40" xfId="0" applyNumberFormat="1" applyFont="1" applyFill="1" applyBorder="1" applyAlignment="1" applyProtection="1">
      <alignment horizontal="center" vertical="top" wrapText="1"/>
    </xf>
    <xf numFmtId="0" fontId="7" fillId="34" borderId="17" xfId="0" applyFont="1" applyFill="1" applyBorder="1" applyAlignment="1" applyProtection="1">
      <alignment horizontal="left" vertical="top" wrapText="1"/>
    </xf>
    <xf numFmtId="1" fontId="2" fillId="25" borderId="17" xfId="0" applyNumberFormat="1" applyFont="1" applyFill="1" applyBorder="1" applyAlignment="1" applyProtection="1">
      <alignment horizontal="center" vertical="top" wrapText="1"/>
    </xf>
    <xf numFmtId="1" fontId="2" fillId="25" borderId="36" xfId="0" applyNumberFormat="1" applyFont="1" applyFill="1" applyBorder="1" applyAlignment="1" applyProtection="1">
      <alignment horizontal="center" vertical="top" wrapText="1"/>
    </xf>
    <xf numFmtId="164" fontId="2" fillId="25" borderId="39" xfId="0" applyNumberFormat="1" applyFont="1" applyFill="1" applyBorder="1" applyAlignment="1" applyProtection="1">
      <alignment horizontal="center" vertical="top" wrapText="1"/>
    </xf>
    <xf numFmtId="164" fontId="2" fillId="25" borderId="34" xfId="0" applyNumberFormat="1" applyFont="1" applyFill="1" applyBorder="1" applyAlignment="1" applyProtection="1">
      <alignment horizontal="center" vertical="top" wrapText="1"/>
    </xf>
    <xf numFmtId="164" fontId="2" fillId="25" borderId="40" xfId="0" applyNumberFormat="1" applyFont="1" applyFill="1" applyBorder="1" applyAlignment="1" applyProtection="1">
      <alignment horizontal="center" vertical="top" wrapText="1"/>
    </xf>
    <xf numFmtId="164" fontId="8" fillId="25" borderId="18" xfId="0" applyNumberFormat="1" applyFont="1" applyFill="1" applyBorder="1" applyAlignment="1" applyProtection="1">
      <alignment horizontal="center" vertical="top" wrapText="1"/>
    </xf>
    <xf numFmtId="164" fontId="8" fillId="25" borderId="26" xfId="0" applyNumberFormat="1" applyFont="1" applyFill="1" applyBorder="1" applyAlignment="1" applyProtection="1">
      <alignment horizontal="center" vertical="top" wrapText="1"/>
    </xf>
    <xf numFmtId="164" fontId="8" fillId="25" borderId="39" xfId="0" applyNumberFormat="1" applyFont="1" applyFill="1" applyBorder="1" applyAlignment="1" applyProtection="1">
      <alignment horizontal="center" vertical="top" wrapText="1"/>
    </xf>
    <xf numFmtId="164" fontId="2" fillId="25" borderId="17" xfId="0" applyNumberFormat="1" applyFont="1" applyFill="1" applyBorder="1" applyAlignment="1" applyProtection="1">
      <alignment horizontal="center" vertical="top" wrapText="1"/>
    </xf>
    <xf numFmtId="164" fontId="2" fillId="25" borderId="36" xfId="0" applyNumberFormat="1" applyFont="1" applyFill="1" applyBorder="1" applyAlignment="1" applyProtection="1">
      <alignment horizontal="center" vertical="top" wrapText="1"/>
    </xf>
    <xf numFmtId="1" fontId="2" fillId="25" borderId="26" xfId="0" applyNumberFormat="1" applyFont="1" applyFill="1" applyBorder="1" applyAlignment="1" applyProtection="1">
      <alignment horizontal="center" vertical="top" wrapText="1"/>
    </xf>
    <xf numFmtId="164" fontId="2" fillId="25" borderId="18" xfId="0" applyNumberFormat="1" applyFont="1" applyFill="1" applyBorder="1" applyAlignment="1" applyProtection="1">
      <alignment horizontal="center" vertical="top" wrapText="1"/>
    </xf>
    <xf numFmtId="164" fontId="2" fillId="25" borderId="26" xfId="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center" vertical="top" wrapText="1"/>
    </xf>
    <xf numFmtId="1" fontId="2" fillId="25" borderId="35" xfId="0" applyNumberFormat="1" applyFont="1" applyFill="1" applyBorder="1" applyAlignment="1" applyProtection="1">
      <alignment horizontal="center" vertical="top" wrapText="1"/>
    </xf>
    <xf numFmtId="1" fontId="8" fillId="25" borderId="18" xfId="0" applyNumberFormat="1" applyFont="1" applyFill="1" applyBorder="1" applyAlignment="1" applyProtection="1">
      <alignment horizontal="center" vertical="top" wrapText="1"/>
    </xf>
    <xf numFmtId="1" fontId="8" fillId="25" borderId="26" xfId="0" applyNumberFormat="1" applyFont="1" applyFill="1" applyBorder="1" applyAlignment="1" applyProtection="1">
      <alignment horizontal="center" vertical="top" wrapText="1"/>
    </xf>
    <xf numFmtId="1" fontId="8" fillId="25" borderId="39" xfId="0" applyNumberFormat="1" applyFont="1" applyFill="1" applyBorder="1" applyAlignment="1" applyProtection="1">
      <alignment horizontal="center" vertical="top" wrapText="1"/>
    </xf>
    <xf numFmtId="1" fontId="2" fillId="25" borderId="18" xfId="0" applyNumberFormat="1" applyFont="1" applyFill="1" applyBorder="1" applyAlignment="1" applyProtection="1">
      <alignment horizontal="center" vertical="top" wrapText="1"/>
    </xf>
    <xf numFmtId="1" fontId="2" fillId="25" borderId="19" xfId="0" applyNumberFormat="1" applyFont="1" applyFill="1" applyBorder="1" applyAlignment="1" applyProtection="1">
      <alignment horizontal="center" vertical="top" wrapText="1"/>
    </xf>
    <xf numFmtId="0" fontId="8" fillId="34" borderId="17" xfId="0" applyFont="1" applyFill="1" applyBorder="1" applyAlignment="1" applyProtection="1">
      <alignment horizontal="left" vertical="top" wrapText="1"/>
    </xf>
    <xf numFmtId="0" fontId="8" fillId="34" borderId="34" xfId="0" applyFont="1" applyFill="1" applyBorder="1" applyAlignment="1" applyProtection="1">
      <alignment horizontal="left" vertical="top" wrapText="1"/>
    </xf>
    <xf numFmtId="0" fontId="8" fillId="34" borderId="36" xfId="0" applyFont="1" applyFill="1" applyBorder="1" applyAlignment="1" applyProtection="1">
      <alignment horizontal="left" vertical="top" wrapText="1"/>
    </xf>
    <xf numFmtId="0" fontId="7" fillId="34" borderId="36" xfId="0" applyFont="1" applyFill="1" applyBorder="1" applyAlignment="1" applyProtection="1">
      <alignment horizontal="left" vertical="top" wrapText="1"/>
    </xf>
    <xf numFmtId="0" fontId="3" fillId="34" borderId="20" xfId="0" applyNumberFormat="1" applyFont="1" applyFill="1" applyBorder="1" applyAlignment="1" applyProtection="1">
      <alignment horizontal="left" vertical="center" wrapText="1"/>
    </xf>
    <xf numFmtId="0" fontId="3" fillId="34" borderId="14" xfId="0" applyNumberFormat="1" applyFont="1" applyFill="1" applyBorder="1" applyAlignment="1" applyProtection="1">
      <alignment horizontal="left" vertical="center" wrapText="1"/>
    </xf>
    <xf numFmtId="49" fontId="3" fillId="28" borderId="13" xfId="0" applyNumberFormat="1" applyFont="1" applyFill="1" applyBorder="1" applyAlignment="1" applyProtection="1">
      <alignment horizontal="center" vertical="top" wrapText="1"/>
    </xf>
    <xf numFmtId="0" fontId="3" fillId="28" borderId="22" xfId="0" applyFont="1" applyFill="1" applyBorder="1" applyAlignment="1" applyProtection="1">
      <alignment horizontal="center" textRotation="90" wrapText="1"/>
    </xf>
    <xf numFmtId="0" fontId="3" fillId="28" borderId="41" xfId="0" applyFont="1" applyFill="1" applyBorder="1" applyAlignment="1" applyProtection="1">
      <alignment horizontal="center" textRotation="90" wrapText="1"/>
    </xf>
    <xf numFmtId="0" fontId="3" fillId="28" borderId="12" xfId="0" applyFont="1" applyFill="1" applyBorder="1" applyAlignment="1" applyProtection="1">
      <alignment horizontal="center" textRotation="90" wrapText="1"/>
    </xf>
    <xf numFmtId="0" fontId="3" fillId="28" borderId="15" xfId="0" applyFont="1" applyFill="1" applyBorder="1" applyAlignment="1" applyProtection="1">
      <alignment horizontal="center" vertical="top" wrapText="1"/>
    </xf>
    <xf numFmtId="0" fontId="3" fillId="28" borderId="11" xfId="0" applyFont="1" applyFill="1" applyBorder="1" applyAlignment="1" applyProtection="1">
      <alignment horizontal="center" vertical="top" wrapText="1"/>
    </xf>
    <xf numFmtId="0" fontId="3" fillId="28" borderId="10" xfId="0" applyFont="1" applyFill="1" applyBorder="1" applyAlignment="1" applyProtection="1">
      <alignment horizontal="center" vertical="top" wrapText="1"/>
    </xf>
    <xf numFmtId="49" fontId="3" fillId="28" borderId="45" xfId="0" applyNumberFormat="1" applyFont="1" applyFill="1" applyBorder="1" applyAlignment="1" applyProtection="1">
      <alignment horizontal="center" vertical="top" wrapText="1"/>
    </xf>
    <xf numFmtId="49" fontId="3" fillId="28" borderId="0" xfId="0" applyNumberFormat="1" applyFont="1" applyFill="1" applyBorder="1" applyAlignment="1" applyProtection="1">
      <alignment horizontal="center" vertical="top" wrapText="1"/>
    </xf>
    <xf numFmtId="1" fontId="3" fillId="28" borderId="0" xfId="0" applyNumberFormat="1" applyFont="1" applyFill="1" applyBorder="1" applyAlignment="1" applyProtection="1">
      <alignment horizontal="center" vertical="top" wrapText="1"/>
    </xf>
    <xf numFmtId="1" fontId="3" fillId="28" borderId="20" xfId="0" applyNumberFormat="1" applyFont="1" applyFill="1" applyBorder="1" applyAlignment="1" applyProtection="1">
      <alignment horizontal="center" vertical="center" wrapText="1"/>
    </xf>
    <xf numFmtId="1" fontId="3" fillId="28" borderId="15" xfId="0" applyNumberFormat="1" applyFont="1" applyFill="1" applyBorder="1" applyAlignment="1" applyProtection="1">
      <alignment horizontal="center" vertical="center" wrapText="1"/>
    </xf>
    <xf numFmtId="1" fontId="3" fillId="28" borderId="38" xfId="0" applyNumberFormat="1" applyFont="1" applyFill="1" applyBorder="1" applyAlignment="1" applyProtection="1">
      <alignment horizontal="center" vertical="center" wrapText="1"/>
    </xf>
    <xf numFmtId="1" fontId="3" fillId="28" borderId="11" xfId="0" applyNumberFormat="1" applyFont="1" applyFill="1" applyBorder="1" applyAlignment="1" applyProtection="1">
      <alignment horizontal="center" vertical="center" wrapText="1"/>
    </xf>
    <xf numFmtId="1" fontId="3" fillId="28" borderId="21" xfId="0" applyNumberFormat="1" applyFont="1" applyFill="1" applyBorder="1" applyAlignment="1" applyProtection="1">
      <alignment horizontal="center" vertical="center" wrapText="1"/>
    </xf>
    <xf numFmtId="1" fontId="3" fillId="28" borderId="10" xfId="0" applyNumberFormat="1" applyFont="1" applyFill="1" applyBorder="1" applyAlignment="1" applyProtection="1">
      <alignment horizontal="center" vertical="center" wrapText="1"/>
    </xf>
    <xf numFmtId="0" fontId="3" fillId="28" borderId="17" xfId="0" applyFont="1" applyFill="1" applyBorder="1" applyAlignment="1" applyProtection="1">
      <alignment horizontal="center" vertical="center" wrapText="1"/>
    </xf>
    <xf numFmtId="0" fontId="3" fillId="28" borderId="34" xfId="0" applyFont="1" applyFill="1" applyBorder="1" applyAlignment="1" applyProtection="1">
      <alignment horizontal="center" vertical="center" wrapText="1"/>
    </xf>
    <xf numFmtId="0" fontId="3" fillId="28" borderId="36" xfId="0" applyFont="1" applyFill="1" applyBorder="1" applyAlignment="1" applyProtection="1">
      <alignment horizontal="center" vertical="center" wrapText="1"/>
    </xf>
    <xf numFmtId="49" fontId="44" fillId="43" borderId="17" xfId="0" applyNumberFormat="1" applyFont="1" applyFill="1" applyBorder="1" applyAlignment="1" applyProtection="1">
      <alignment horizontal="left" vertical="center" wrapText="1"/>
    </xf>
    <xf numFmtId="49" fontId="44" fillId="43" borderId="36" xfId="0" applyNumberFormat="1" applyFont="1" applyFill="1" applyBorder="1" applyAlignment="1" applyProtection="1">
      <alignment horizontal="left" vertical="center" wrapText="1"/>
    </xf>
    <xf numFmtId="49" fontId="0" fillId="42" borderId="17" xfId="0" applyNumberFormat="1" applyFont="1" applyFill="1" applyBorder="1" applyAlignment="1" applyProtection="1">
      <alignment horizontal="left" vertical="center" wrapText="1"/>
    </xf>
    <xf numFmtId="49" fontId="0" fillId="42" borderId="34" xfId="0" applyNumberFormat="1" applyFont="1" applyFill="1" applyBorder="1" applyAlignment="1" applyProtection="1">
      <alignment horizontal="left" vertical="center" wrapText="1"/>
    </xf>
    <xf numFmtId="49" fontId="0" fillId="42" borderId="36" xfId="0" applyNumberFormat="1" applyFont="1" applyFill="1" applyBorder="1" applyAlignment="1" applyProtection="1">
      <alignment horizontal="left" vertical="center" wrapText="1"/>
    </xf>
    <xf numFmtId="49" fontId="0" fillId="48" borderId="17" xfId="0" applyNumberFormat="1" applyFont="1" applyFill="1" applyBorder="1" applyAlignment="1" applyProtection="1">
      <alignment horizontal="left" vertical="center" wrapText="1"/>
    </xf>
    <xf numFmtId="49" fontId="0" fillId="48" borderId="34" xfId="0" applyNumberFormat="1" applyFont="1" applyFill="1" applyBorder="1" applyAlignment="1" applyProtection="1">
      <alignment horizontal="left" vertical="center" wrapText="1"/>
    </xf>
    <xf numFmtId="49" fontId="0" fillId="48" borderId="36" xfId="0" applyNumberFormat="1" applyFont="1" applyFill="1" applyBorder="1" applyAlignment="1" applyProtection="1">
      <alignment horizontal="left" vertical="center" wrapText="1"/>
    </xf>
    <xf numFmtId="49" fontId="0" fillId="43" borderId="17" xfId="0" applyNumberFormat="1" applyFont="1" applyFill="1" applyBorder="1" applyAlignment="1" applyProtection="1">
      <alignment horizontal="left" vertical="center" wrapText="1"/>
    </xf>
    <xf numFmtId="49" fontId="0" fillId="43" borderId="36" xfId="0" applyNumberFormat="1" applyFont="1" applyFill="1" applyBorder="1" applyAlignment="1" applyProtection="1">
      <alignment horizontal="left" vertical="center" wrapText="1"/>
    </xf>
    <xf numFmtId="0" fontId="0" fillId="42" borderId="17" xfId="0" applyFont="1" applyFill="1" applyBorder="1" applyAlignment="1" applyProtection="1">
      <alignment horizontal="left" vertical="center" wrapText="1"/>
    </xf>
    <xf numFmtId="0" fontId="0" fillId="42" borderId="34" xfId="0" applyFont="1" applyFill="1" applyBorder="1" applyAlignment="1" applyProtection="1">
      <alignment horizontal="left" vertical="center" wrapText="1"/>
    </xf>
    <xf numFmtId="0" fontId="0" fillId="42" borderId="36" xfId="0" applyFont="1" applyFill="1" applyBorder="1" applyAlignment="1" applyProtection="1">
      <alignment horizontal="left" vertical="center" wrapText="1"/>
    </xf>
    <xf numFmtId="0" fontId="0" fillId="41" borderId="17" xfId="0" applyFont="1" applyFill="1" applyBorder="1" applyAlignment="1" applyProtection="1">
      <alignment horizontal="left" vertical="center" wrapText="1"/>
    </xf>
    <xf numFmtId="0" fontId="0" fillId="41" borderId="34" xfId="0" applyFont="1" applyFill="1" applyBorder="1" applyAlignment="1" applyProtection="1">
      <alignment horizontal="left" vertical="center" wrapText="1"/>
    </xf>
    <xf numFmtId="0" fontId="0" fillId="41" borderId="36" xfId="0" applyFont="1" applyFill="1" applyBorder="1" applyAlignment="1" applyProtection="1">
      <alignment horizontal="left" vertical="center" wrapText="1"/>
    </xf>
    <xf numFmtId="0" fontId="0" fillId="48" borderId="17" xfId="0" applyFont="1" applyFill="1" applyBorder="1" applyAlignment="1" applyProtection="1">
      <alignment horizontal="left" vertical="center" wrapText="1"/>
    </xf>
    <xf numFmtId="0" fontId="0" fillId="48" borderId="34" xfId="0" applyFont="1" applyFill="1" applyBorder="1" applyAlignment="1" applyProtection="1">
      <alignment horizontal="left" vertical="center" wrapText="1"/>
    </xf>
    <xf numFmtId="0" fontId="0" fillId="48" borderId="36" xfId="0" applyFont="1" applyFill="1" applyBorder="1" applyAlignment="1" applyProtection="1">
      <alignment horizontal="left" vertical="center" wrapText="1"/>
    </xf>
    <xf numFmtId="0" fontId="0" fillId="48" borderId="17" xfId="0" applyNumberFormat="1" applyFont="1" applyFill="1" applyBorder="1" applyAlignment="1" applyProtection="1">
      <alignment horizontal="left" vertical="center" wrapText="1"/>
    </xf>
    <xf numFmtId="0" fontId="0" fillId="48" borderId="34" xfId="0" applyNumberFormat="1" applyFont="1" applyFill="1" applyBorder="1" applyAlignment="1" applyProtection="1">
      <alignment horizontal="left" vertical="center" wrapText="1"/>
    </xf>
    <xf numFmtId="0" fontId="0" fillId="48" borderId="36" xfId="0" applyNumberFormat="1" applyFont="1" applyFill="1" applyBorder="1" applyAlignment="1" applyProtection="1">
      <alignment horizontal="left" vertical="center" wrapText="1"/>
    </xf>
    <xf numFmtId="0" fontId="39" fillId="29" borderId="17" xfId="0" applyFont="1" applyFill="1" applyBorder="1" applyAlignment="1" applyProtection="1">
      <alignment horizontal="left" vertical="center" wrapText="1"/>
    </xf>
    <xf numFmtId="0" fontId="39" fillId="29" borderId="34" xfId="0" applyFont="1" applyFill="1" applyBorder="1" applyAlignment="1" applyProtection="1">
      <alignment horizontal="left" vertical="center" wrapText="1"/>
    </xf>
    <xf numFmtId="0" fontId="39" fillId="29" borderId="36" xfId="0" applyFont="1" applyFill="1" applyBorder="1" applyAlignment="1" applyProtection="1">
      <alignment horizontal="left" vertical="center" wrapText="1"/>
    </xf>
    <xf numFmtId="0" fontId="3" fillId="28" borderId="40" xfId="0" applyFont="1" applyFill="1" applyBorder="1" applyAlignment="1" applyProtection="1">
      <alignment horizontal="center" vertical="center" wrapText="1"/>
    </xf>
    <xf numFmtId="0" fontId="3" fillId="28" borderId="20" xfId="0" applyFont="1" applyFill="1" applyBorder="1" applyAlignment="1" applyProtection="1">
      <alignment horizontal="center" textRotation="90" wrapText="1"/>
    </xf>
    <xf numFmtId="0" fontId="3" fillId="28" borderId="38" xfId="0" applyFont="1" applyFill="1" applyBorder="1" applyAlignment="1" applyProtection="1">
      <alignment horizontal="center" textRotation="90" wrapText="1"/>
    </xf>
    <xf numFmtId="0" fontId="3" fillId="28" borderId="21" xfId="0" applyFont="1" applyFill="1" applyBorder="1" applyAlignment="1" applyProtection="1">
      <alignment horizontal="center" textRotation="90" wrapText="1"/>
    </xf>
    <xf numFmtId="49" fontId="3" fillId="28" borderId="47" xfId="0" applyNumberFormat="1" applyFont="1" applyFill="1" applyBorder="1" applyAlignment="1" applyProtection="1">
      <alignment horizontal="center" textRotation="90" wrapText="1"/>
    </xf>
    <xf numFmtId="49" fontId="3" fillId="28" borderId="47" xfId="0" applyNumberFormat="1" applyFont="1" applyFill="1" applyBorder="1" applyAlignment="1" applyProtection="1">
      <alignment horizontal="center" vertical="top" wrapText="1"/>
    </xf>
    <xf numFmtId="0" fontId="3" fillId="28" borderId="47" xfId="0" applyFont="1" applyFill="1" applyBorder="1" applyAlignment="1" applyProtection="1">
      <alignment horizontal="center" vertical="top" wrapText="1"/>
    </xf>
    <xf numFmtId="0" fontId="0" fillId="27" borderId="17" xfId="37" applyFont="1" applyFill="1" applyBorder="1" applyAlignment="1" applyProtection="1">
      <alignment vertical="center" wrapText="1"/>
    </xf>
    <xf numFmtId="0" fontId="7" fillId="27" borderId="34" xfId="37" applyFont="1" applyFill="1" applyBorder="1" applyAlignment="1" applyProtection="1">
      <alignment vertical="center" wrapText="1"/>
    </xf>
    <xf numFmtId="0" fontId="7" fillId="27" borderId="36" xfId="37" applyFont="1" applyFill="1" applyBorder="1" applyAlignment="1" applyProtection="1">
      <alignment vertical="center" wrapText="1"/>
    </xf>
    <xf numFmtId="0" fontId="7" fillId="27" borderId="17" xfId="37" applyFont="1" applyFill="1" applyBorder="1" applyAlignment="1" applyProtection="1">
      <alignment vertical="center" wrapText="1"/>
    </xf>
    <xf numFmtId="49" fontId="34" fillId="24" borderId="17" xfId="37" applyNumberFormat="1" applyFont="1" applyFill="1" applyBorder="1" applyAlignment="1" applyProtection="1">
      <alignment horizontal="center" vertical="center" wrapText="1" shrinkToFit="1"/>
    </xf>
    <xf numFmtId="49" fontId="34" fillId="24" borderId="36" xfId="37" applyNumberFormat="1" applyFont="1" applyFill="1" applyBorder="1" applyAlignment="1" applyProtection="1">
      <alignment horizontal="center" vertical="center" wrapText="1" shrinkToFit="1"/>
    </xf>
    <xf numFmtId="0" fontId="34" fillId="24" borderId="20" xfId="37" applyFont="1" applyFill="1" applyBorder="1" applyAlignment="1" applyProtection="1">
      <alignment horizontal="center" vertical="center" wrapText="1"/>
    </xf>
    <xf numFmtId="0" fontId="34" fillId="24" borderId="14" xfId="37" applyFont="1" applyFill="1" applyBorder="1" applyAlignment="1" applyProtection="1">
      <alignment horizontal="center" vertical="center" wrapText="1"/>
    </xf>
    <xf numFmtId="0" fontId="34" fillId="24" borderId="15" xfId="37" applyFont="1" applyFill="1" applyBorder="1" applyAlignment="1" applyProtection="1">
      <alignment horizontal="center" vertical="center" wrapText="1"/>
    </xf>
    <xf numFmtId="0" fontId="34" fillId="24" borderId="21" xfId="37" applyFont="1" applyFill="1" applyBorder="1" applyAlignment="1" applyProtection="1">
      <alignment horizontal="center" vertical="center" wrapText="1"/>
    </xf>
    <xf numFmtId="0" fontId="34" fillId="24" borderId="16" xfId="37" applyFont="1" applyFill="1" applyBorder="1" applyAlignment="1" applyProtection="1">
      <alignment horizontal="center" vertical="center" wrapText="1"/>
    </xf>
    <xf numFmtId="0" fontId="34" fillId="24" borderId="10" xfId="37" applyFont="1" applyFill="1" applyBorder="1" applyAlignment="1" applyProtection="1">
      <alignment horizontal="center" vertical="center" wrapText="1"/>
    </xf>
    <xf numFmtId="49" fontId="0" fillId="27" borderId="17" xfId="37" applyNumberFormat="1" applyFont="1" applyFill="1" applyBorder="1" applyAlignment="1" applyProtection="1">
      <alignment horizontal="left" vertical="center" wrapText="1"/>
    </xf>
    <xf numFmtId="49" fontId="7" fillId="27" borderId="34" xfId="37" applyNumberFormat="1" applyFont="1" applyFill="1" applyBorder="1" applyAlignment="1" applyProtection="1">
      <alignment horizontal="left" vertical="center" wrapText="1"/>
    </xf>
    <xf numFmtId="49" fontId="7" fillId="27" borderId="36" xfId="37" applyNumberFormat="1" applyFont="1" applyFill="1" applyBorder="1" applyAlignment="1" applyProtection="1">
      <alignment horizontal="left" vertical="center" wrapText="1"/>
    </xf>
    <xf numFmtId="49" fontId="7" fillId="27" borderId="17" xfId="37" applyNumberFormat="1" applyFont="1" applyFill="1" applyBorder="1" applyAlignment="1" applyProtection="1">
      <alignment horizontal="left" vertical="center" wrapText="1"/>
    </xf>
    <xf numFmtId="0" fontId="8" fillId="0" borderId="16" xfId="37" applyFont="1" applyFill="1" applyBorder="1" applyAlignment="1" applyProtection="1">
      <alignment horizontal="center" vertical="center" wrapText="1"/>
    </xf>
    <xf numFmtId="0" fontId="34" fillId="24" borderId="17" xfId="37" applyFont="1" applyFill="1" applyBorder="1" applyAlignment="1" applyProtection="1">
      <alignment horizontal="center" vertical="center" wrapText="1"/>
    </xf>
    <xf numFmtId="0" fontId="34" fillId="24" borderId="34" xfId="37" applyFont="1" applyFill="1" applyBorder="1" applyAlignment="1" applyProtection="1">
      <alignment horizontal="center" vertical="center" wrapText="1"/>
    </xf>
    <xf numFmtId="0" fontId="34" fillId="24" borderId="36" xfId="37" applyFont="1" applyFill="1" applyBorder="1" applyAlignment="1" applyProtection="1">
      <alignment horizontal="center" vertical="center" wrapText="1"/>
    </xf>
    <xf numFmtId="0" fontId="7" fillId="29" borderId="17" xfId="37" applyFont="1" applyFill="1" applyBorder="1" applyAlignment="1" applyProtection="1">
      <alignment vertical="center" wrapText="1"/>
    </xf>
    <xf numFmtId="0" fontId="7" fillId="29" borderId="34" xfId="37" applyFont="1" applyFill="1" applyBorder="1" applyAlignment="1" applyProtection="1">
      <alignment vertical="center" wrapText="1"/>
    </xf>
    <xf numFmtId="0" fontId="7" fillId="29" borderId="36" xfId="37" applyFont="1" applyFill="1" applyBorder="1" applyAlignment="1" applyProtection="1">
      <alignment vertical="center" wrapText="1"/>
    </xf>
    <xf numFmtId="49" fontId="7" fillId="26" borderId="17" xfId="37" applyNumberFormat="1" applyFont="1" applyFill="1" applyBorder="1" applyAlignment="1" applyProtection="1">
      <alignment horizontal="left" vertical="center" wrapText="1"/>
    </xf>
    <xf numFmtId="49" fontId="7" fillId="26" borderId="34" xfId="37" applyNumberFormat="1" applyFont="1" applyFill="1" applyBorder="1" applyAlignment="1" applyProtection="1">
      <alignment horizontal="left" vertical="center" wrapText="1"/>
    </xf>
    <xf numFmtId="49" fontId="7" fillId="26" borderId="36" xfId="37" applyNumberFormat="1" applyFont="1" applyFill="1" applyBorder="1" applyAlignment="1" applyProtection="1">
      <alignment horizontal="left" vertical="center" wrapText="1"/>
    </xf>
    <xf numFmtId="0" fontId="40" fillId="31" borderId="17" xfId="0" applyFont="1" applyFill="1" applyBorder="1" applyAlignment="1" applyProtection="1">
      <alignment horizontal="center" vertical="center" wrapText="1"/>
    </xf>
    <xf numFmtId="0" fontId="40" fillId="31" borderId="36" xfId="0" applyFont="1" applyFill="1" applyBorder="1" applyAlignment="1" applyProtection="1">
      <alignment horizontal="center" vertical="center" wrapText="1"/>
    </xf>
    <xf numFmtId="0" fontId="34" fillId="0" borderId="17" xfId="37" applyFont="1" applyFill="1" applyBorder="1" applyAlignment="1" applyProtection="1">
      <alignment horizontal="center" vertical="center" wrapText="1" shrinkToFit="1"/>
    </xf>
    <xf numFmtId="0" fontId="34" fillId="0" borderId="34" xfId="37" applyFont="1" applyFill="1" applyBorder="1" applyAlignment="1" applyProtection="1">
      <alignment horizontal="center" vertical="center" wrapText="1" shrinkToFit="1"/>
    </xf>
    <xf numFmtId="0" fontId="34" fillId="0" borderId="36" xfId="37" applyFont="1" applyFill="1" applyBorder="1" applyAlignment="1" applyProtection="1">
      <alignment horizontal="center" vertical="center" wrapText="1" shrinkToFit="1"/>
    </xf>
    <xf numFmtId="49" fontId="34" fillId="27" borderId="20" xfId="37" applyNumberFormat="1" applyFont="1" applyFill="1" applyBorder="1" applyAlignment="1" applyProtection="1">
      <alignment horizontal="left" vertical="center" wrapText="1" shrinkToFit="1"/>
    </xf>
    <xf numFmtId="49" fontId="34" fillId="27" borderId="14" xfId="37" applyNumberFormat="1" applyFont="1" applyFill="1" applyBorder="1" applyAlignment="1" applyProtection="1">
      <alignment horizontal="left" vertical="center" wrapText="1" shrinkToFit="1"/>
    </xf>
    <xf numFmtId="49" fontId="34" fillId="27" borderId="13" xfId="37" applyNumberFormat="1" applyFont="1" applyFill="1" applyBorder="1" applyAlignment="1" applyProtection="1">
      <alignment horizontal="center" vertical="center" wrapText="1" shrinkToFit="1"/>
    </xf>
    <xf numFmtId="0" fontId="34" fillId="27" borderId="17" xfId="37" applyFont="1" applyFill="1" applyBorder="1" applyAlignment="1" applyProtection="1">
      <alignment horizontal="left" vertical="center" wrapText="1" shrinkToFit="1"/>
    </xf>
    <xf numFmtId="0" fontId="34" fillId="27" borderId="34" xfId="37" applyFont="1" applyFill="1" applyBorder="1" applyAlignment="1" applyProtection="1">
      <alignment horizontal="left" vertical="center" wrapText="1" shrinkToFit="1"/>
    </xf>
    <xf numFmtId="14" fontId="34" fillId="32" borderId="17" xfId="37" applyNumberFormat="1" applyFont="1" applyFill="1" applyBorder="1" applyAlignment="1" applyProtection="1">
      <alignment horizontal="center" vertical="center" wrapText="1"/>
    </xf>
    <xf numFmtId="14" fontId="34" fillId="32" borderId="34" xfId="37" applyNumberFormat="1" applyFont="1" applyFill="1" applyBorder="1" applyAlignment="1" applyProtection="1">
      <alignment horizontal="center" vertical="center" wrapText="1"/>
    </xf>
    <xf numFmtId="14" fontId="34" fillId="32" borderId="36" xfId="37" applyNumberFormat="1" applyFont="1" applyFill="1" applyBorder="1" applyAlignment="1" applyProtection="1">
      <alignment horizontal="center" vertical="center" wrapText="1"/>
    </xf>
    <xf numFmtId="0" fontId="0" fillId="27" borderId="17" xfId="37" applyFont="1" applyFill="1" applyBorder="1" applyAlignment="1" applyProtection="1">
      <alignment horizontal="left" vertical="center" wrapText="1" shrinkToFit="1"/>
    </xf>
    <xf numFmtId="0" fontId="34" fillId="27" borderId="36" xfId="37" applyFont="1" applyFill="1" applyBorder="1" applyAlignment="1" applyProtection="1">
      <alignment horizontal="left" vertical="center" wrapText="1" shrinkToFit="1"/>
    </xf>
    <xf numFmtId="49" fontId="34" fillId="27" borderId="21" xfId="37" applyNumberFormat="1" applyFont="1" applyFill="1" applyBorder="1" applyAlignment="1" applyProtection="1">
      <alignment horizontal="left" vertical="center" wrapText="1" shrinkToFit="1"/>
    </xf>
    <xf numFmtId="49" fontId="34" fillId="27" borderId="16" xfId="37" applyNumberFormat="1" applyFont="1" applyFill="1" applyBorder="1" applyAlignment="1" applyProtection="1">
      <alignment horizontal="left" vertical="center" wrapText="1" shrinkToFit="1"/>
    </xf>
    <xf numFmtId="0" fontId="34" fillId="32" borderId="17" xfId="37" applyNumberFormat="1" applyFont="1" applyFill="1" applyBorder="1" applyAlignment="1" applyProtection="1">
      <alignment horizontal="center" vertical="center" wrapText="1"/>
    </xf>
    <xf numFmtId="0" fontId="34" fillId="32" borderId="34" xfId="37" applyNumberFormat="1" applyFont="1" applyFill="1" applyBorder="1" applyAlignment="1" applyProtection="1">
      <alignment horizontal="center" vertical="center" wrapText="1"/>
    </xf>
    <xf numFmtId="0" fontId="34" fillId="32" borderId="36" xfId="37" applyNumberFormat="1" applyFont="1" applyFill="1" applyBorder="1" applyAlignment="1" applyProtection="1">
      <alignment horizontal="center" vertical="center" wrapText="1"/>
    </xf>
    <xf numFmtId="0" fontId="9" fillId="31" borderId="17" xfId="0" applyFont="1" applyFill="1" applyBorder="1" applyAlignment="1" applyProtection="1">
      <alignment horizontal="center" vertical="center" wrapText="1"/>
    </xf>
    <xf numFmtId="0" fontId="9" fillId="31" borderId="36" xfId="0" applyFont="1" applyFill="1" applyBorder="1" applyAlignment="1" applyProtection="1">
      <alignment horizontal="center" vertical="center" wrapText="1"/>
    </xf>
    <xf numFmtId="164" fontId="9" fillId="31" borderId="17" xfId="0" applyNumberFormat="1" applyFont="1" applyFill="1" applyBorder="1" applyAlignment="1" applyProtection="1">
      <alignment horizontal="center" vertical="center" wrapText="1"/>
    </xf>
    <xf numFmtId="164" fontId="9" fillId="31" borderId="36" xfId="0" applyNumberFormat="1" applyFont="1" applyFill="1" applyBorder="1" applyAlignment="1" applyProtection="1">
      <alignment horizontal="center" vertical="center" wrapText="1"/>
    </xf>
    <xf numFmtId="0" fontId="8" fillId="0" borderId="0" xfId="37" applyFont="1" applyBorder="1" applyAlignment="1" applyProtection="1">
      <alignment horizontal="center" vertical="center" wrapText="1"/>
    </xf>
    <xf numFmtId="0" fontId="34" fillId="24" borderId="13" xfId="37" applyFont="1" applyFill="1" applyBorder="1" applyAlignment="1" applyProtection="1">
      <alignment horizontal="center" vertical="center" wrapText="1"/>
    </xf>
    <xf numFmtId="0" fontId="8" fillId="24" borderId="13" xfId="37" applyFont="1" applyFill="1" applyBorder="1" applyAlignment="1" applyProtection="1">
      <alignment horizontal="center" vertical="center" wrapText="1"/>
    </xf>
    <xf numFmtId="0" fontId="34" fillId="0" borderId="17" xfId="37" applyFont="1" applyFill="1" applyBorder="1" applyAlignment="1" applyProtection="1">
      <alignment horizontal="center" vertical="center" wrapText="1" shrinkToFit="1"/>
      <protection locked="0"/>
    </xf>
    <xf numFmtId="0" fontId="34" fillId="0" borderId="34" xfId="37" applyFont="1" applyFill="1" applyBorder="1" applyAlignment="1" applyProtection="1">
      <alignment horizontal="center" vertical="center" wrapText="1" shrinkToFit="1"/>
      <protection locked="0"/>
    </xf>
    <xf numFmtId="0" fontId="34" fillId="0" borderId="36" xfId="37" applyFont="1" applyFill="1" applyBorder="1" applyAlignment="1" applyProtection="1">
      <alignment horizontal="center" vertical="center" wrapText="1" shrinkToFit="1"/>
      <protection locked="0"/>
    </xf>
    <xf numFmtId="0" fontId="8" fillId="24" borderId="13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4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Процентный" xfId="41" builtinId="5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341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FF00"/>
      <color rgb="FFCCFFFF"/>
      <color rgb="FFDDDDDD"/>
      <color rgb="FFFF99CC"/>
      <color rgb="FFEEECE1"/>
      <color rgb="FFB2A1C7"/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509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510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2511" name="Rectangle 3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2512" name="Rectangle 4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513" name="Rectangle 1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514" name="Rectangle 11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515" name="Rectangle 11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516" name="Rectangle 11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518" name="Rectangle 12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19" name="Rectangle 12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520" name="Rectangle 12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521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5321011" y="505258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16" name="Rectangle 115"/>
        <xdr:cNvSpPr>
          <a:spLocks noChangeArrowheads="1"/>
        </xdr:cNvSpPr>
      </xdr:nvSpPr>
      <xdr:spPr bwMode="auto">
        <a:xfrm>
          <a:off x="5468216" y="505258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7" name="Rectangle 116"/>
        <xdr:cNvSpPr>
          <a:spLocks noChangeArrowheads="1"/>
        </xdr:cNvSpPr>
      </xdr:nvSpPr>
      <xdr:spPr bwMode="auto">
        <a:xfrm>
          <a:off x="5615420" y="505258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26</xdr:row>
      <xdr:rowOff>47625</xdr:rowOff>
    </xdr:from>
    <xdr:to>
      <xdr:col>40</xdr:col>
      <xdr:colOff>142875</xdr:colOff>
      <xdr:row>26</xdr:row>
      <xdr:rowOff>142875</xdr:rowOff>
    </xdr:to>
    <xdr:sp macro="" textlink="">
      <xdr:nvSpPr>
        <xdr:cNvPr id="20" name="Rectangle 116"/>
        <xdr:cNvSpPr>
          <a:spLocks noChangeArrowheads="1"/>
        </xdr:cNvSpPr>
      </xdr:nvSpPr>
      <xdr:spPr bwMode="auto">
        <a:xfrm>
          <a:off x="5615420" y="525173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517525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4" name="Rectangle 115"/>
        <xdr:cNvSpPr>
          <a:spLocks noChangeArrowheads="1"/>
        </xdr:cNvSpPr>
      </xdr:nvSpPr>
      <xdr:spPr bwMode="auto">
        <a:xfrm>
          <a:off x="5318125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25" name="Rectangle 116"/>
        <xdr:cNvSpPr>
          <a:spLocks noChangeArrowheads="1"/>
        </xdr:cNvSpPr>
      </xdr:nvSpPr>
      <xdr:spPr bwMode="auto">
        <a:xfrm>
          <a:off x="546100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517525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6" name="Rectangle 115"/>
        <xdr:cNvSpPr>
          <a:spLocks noChangeArrowheads="1"/>
        </xdr:cNvSpPr>
      </xdr:nvSpPr>
      <xdr:spPr bwMode="auto">
        <a:xfrm>
          <a:off x="5318125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7" name="Rectangle 116"/>
        <xdr:cNvSpPr>
          <a:spLocks noChangeArrowheads="1"/>
        </xdr:cNvSpPr>
      </xdr:nvSpPr>
      <xdr:spPr bwMode="auto">
        <a:xfrm>
          <a:off x="546100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8" name="Rectangle 117"/>
        <xdr:cNvSpPr>
          <a:spLocks noChangeArrowheads="1"/>
        </xdr:cNvSpPr>
      </xdr:nvSpPr>
      <xdr:spPr bwMode="auto">
        <a:xfrm>
          <a:off x="5603875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9" name="Rectangle 118"/>
        <xdr:cNvSpPr>
          <a:spLocks noChangeArrowheads="1"/>
        </xdr:cNvSpPr>
      </xdr:nvSpPr>
      <xdr:spPr bwMode="auto">
        <a:xfrm>
          <a:off x="574675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26</xdr:row>
      <xdr:rowOff>47625</xdr:rowOff>
    </xdr:from>
    <xdr:to>
      <xdr:col>48</xdr:col>
      <xdr:colOff>142875</xdr:colOff>
      <xdr:row>26</xdr:row>
      <xdr:rowOff>142875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5175250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26</xdr:row>
      <xdr:rowOff>47625</xdr:rowOff>
    </xdr:from>
    <xdr:to>
      <xdr:col>49</xdr:col>
      <xdr:colOff>142875</xdr:colOff>
      <xdr:row>26</xdr:row>
      <xdr:rowOff>142875</xdr:rowOff>
    </xdr:to>
    <xdr:sp macro="" textlink="">
      <xdr:nvSpPr>
        <xdr:cNvPr id="31" name="Rectangle 115"/>
        <xdr:cNvSpPr>
          <a:spLocks noChangeArrowheads="1"/>
        </xdr:cNvSpPr>
      </xdr:nvSpPr>
      <xdr:spPr bwMode="auto">
        <a:xfrm>
          <a:off x="5318125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26</xdr:row>
      <xdr:rowOff>47625</xdr:rowOff>
    </xdr:from>
    <xdr:to>
      <xdr:col>50</xdr:col>
      <xdr:colOff>142875</xdr:colOff>
      <xdr:row>26</xdr:row>
      <xdr:rowOff>142875</xdr:rowOff>
    </xdr:to>
    <xdr:sp macro="" textlink="">
      <xdr:nvSpPr>
        <xdr:cNvPr id="32" name="Rectangle 116"/>
        <xdr:cNvSpPr>
          <a:spLocks noChangeArrowheads="1"/>
        </xdr:cNvSpPr>
      </xdr:nvSpPr>
      <xdr:spPr bwMode="auto">
        <a:xfrm>
          <a:off x="5461000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26</xdr:row>
      <xdr:rowOff>47625</xdr:rowOff>
    </xdr:from>
    <xdr:to>
      <xdr:col>51</xdr:col>
      <xdr:colOff>142875</xdr:colOff>
      <xdr:row>26</xdr:row>
      <xdr:rowOff>142875</xdr:rowOff>
    </xdr:to>
    <xdr:sp macro="" textlink="">
      <xdr:nvSpPr>
        <xdr:cNvPr id="33" name="Rectangle 116"/>
        <xdr:cNvSpPr>
          <a:spLocks noChangeArrowheads="1"/>
        </xdr:cNvSpPr>
      </xdr:nvSpPr>
      <xdr:spPr bwMode="auto">
        <a:xfrm>
          <a:off x="5603875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26</xdr:row>
      <xdr:rowOff>47625</xdr:rowOff>
    </xdr:from>
    <xdr:to>
      <xdr:col>48</xdr:col>
      <xdr:colOff>142875</xdr:colOff>
      <xdr:row>26</xdr:row>
      <xdr:rowOff>142875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5175250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26</xdr:row>
      <xdr:rowOff>47625</xdr:rowOff>
    </xdr:from>
    <xdr:to>
      <xdr:col>49</xdr:col>
      <xdr:colOff>142875</xdr:colOff>
      <xdr:row>26</xdr:row>
      <xdr:rowOff>142875</xdr:rowOff>
    </xdr:to>
    <xdr:sp macro="" textlink="">
      <xdr:nvSpPr>
        <xdr:cNvPr id="35" name="Rectangle 115"/>
        <xdr:cNvSpPr>
          <a:spLocks noChangeArrowheads="1"/>
        </xdr:cNvSpPr>
      </xdr:nvSpPr>
      <xdr:spPr bwMode="auto">
        <a:xfrm>
          <a:off x="5318125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26</xdr:row>
      <xdr:rowOff>47625</xdr:rowOff>
    </xdr:from>
    <xdr:to>
      <xdr:col>50</xdr:col>
      <xdr:colOff>142875</xdr:colOff>
      <xdr:row>26</xdr:row>
      <xdr:rowOff>142875</xdr:rowOff>
    </xdr:to>
    <xdr:sp macro="" textlink="">
      <xdr:nvSpPr>
        <xdr:cNvPr id="36" name="Rectangle 116"/>
        <xdr:cNvSpPr>
          <a:spLocks noChangeArrowheads="1"/>
        </xdr:cNvSpPr>
      </xdr:nvSpPr>
      <xdr:spPr bwMode="auto">
        <a:xfrm>
          <a:off x="5461000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37" name="Rectangle 2"/>
        <xdr:cNvSpPr>
          <a:spLocks noChangeArrowheads="1"/>
        </xdr:cNvSpPr>
      </xdr:nvSpPr>
      <xdr:spPr bwMode="auto">
        <a:xfrm>
          <a:off x="52863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38" name="Rectangle 115"/>
        <xdr:cNvSpPr>
          <a:spLocks noChangeArrowheads="1"/>
        </xdr:cNvSpPr>
      </xdr:nvSpPr>
      <xdr:spPr bwMode="auto">
        <a:xfrm>
          <a:off x="54292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39" name="Rectangle 116"/>
        <xdr:cNvSpPr>
          <a:spLocks noChangeArrowheads="1"/>
        </xdr:cNvSpPr>
      </xdr:nvSpPr>
      <xdr:spPr bwMode="auto">
        <a:xfrm>
          <a:off x="55721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264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vladimir\Documents\2016-2017%20&#1091;&#1095;&#1077;&#1073;&#1085;&#1099;&#1081;%20&#1075;&#1086;&#1076;\&#1059;&#1095;&#1077;&#1073;&#1085;&#1099;&#1077;%20&#1087;&#1083;&#1072;&#1085;&#1099;\&#1047;_&#1054;\&#1059;&#1055;-26.02.03-51%20(&#1057;&#104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 (очная)"/>
      <sheetName val="Учебный план"/>
      <sheetName val="Титульный лист (заочная)"/>
      <sheetName val="Учебный план (заочная)"/>
      <sheetName val="Нормы"/>
      <sheetName val="Компетенции"/>
      <sheetName val="Материально-техническая база"/>
      <sheetName val="Примечание"/>
    </sheetNames>
    <sheetDataSet>
      <sheetData sheetId="0"/>
      <sheetData sheetId="1"/>
      <sheetData sheetId="2">
        <row r="29">
          <cell r="BD29">
            <v>57</v>
          </cell>
        </row>
      </sheetData>
      <sheetData sheetId="3"/>
      <sheetData sheetId="4">
        <row r="20">
          <cell r="D20">
            <v>216</v>
          </cell>
        </row>
        <row r="21">
          <cell r="E21" t="str">
            <v>-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N49"/>
  <sheetViews>
    <sheetView showZeros="0" topLeftCell="A15" workbookViewId="0">
      <selection activeCell="BL20" sqref="BL20:BL23"/>
    </sheetView>
  </sheetViews>
  <sheetFormatPr defaultColWidth="2.83203125" defaultRowHeight="12.75" x14ac:dyDescent="0.2"/>
  <cols>
    <col min="1" max="1" width="3.6640625" style="6" customWidth="1"/>
    <col min="2" max="10" width="2.5" style="6" customWidth="1"/>
    <col min="11" max="11" width="3" style="6" customWidth="1"/>
    <col min="12" max="12" width="2.5" style="6" customWidth="1"/>
    <col min="13" max="13" width="2.6640625" style="6" customWidth="1"/>
    <col min="14" max="14" width="3.1640625" style="6" customWidth="1"/>
    <col min="15" max="53" width="2.5" style="6" customWidth="1"/>
    <col min="54" max="54" width="3.5" style="6" customWidth="1"/>
    <col min="55" max="55" width="3.1640625" style="6" customWidth="1"/>
    <col min="56" max="56" width="4" style="6" customWidth="1"/>
    <col min="57" max="60" width="3.33203125" style="6" customWidth="1"/>
    <col min="61" max="61" width="4.5" style="6" customWidth="1"/>
    <col min="62" max="63" width="3.33203125" style="6" hidden="1" customWidth="1"/>
    <col min="64" max="64" width="5.1640625" style="6" customWidth="1"/>
    <col min="65" max="65" width="3.33203125" style="6" customWidth="1"/>
    <col min="66" max="66" width="4.1640625" style="6" customWidth="1"/>
    <col min="67" max="16384" width="2.83203125" style="6"/>
  </cols>
  <sheetData>
    <row r="1" spans="1:66" ht="15.75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583" t="s">
        <v>34</v>
      </c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  <c r="AO1" s="583"/>
      <c r="AP1" s="583"/>
      <c r="AQ1" s="583"/>
      <c r="AR1" s="583"/>
      <c r="AS1" s="583"/>
      <c r="AT1" s="583"/>
      <c r="AU1" s="583"/>
      <c r="AV1" s="583"/>
      <c r="AW1" s="583"/>
      <c r="AX1" s="583"/>
      <c r="AY1" s="583"/>
      <c r="AZ1" s="583"/>
      <c r="BA1" s="583"/>
      <c r="BB1" s="583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</row>
    <row r="2" spans="1:66" ht="15.75" customHeight="1" x14ac:dyDescent="0.2">
      <c r="A2" s="592" t="s">
        <v>445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84" t="s">
        <v>357</v>
      </c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4"/>
      <c r="AP2" s="584"/>
      <c r="AQ2" s="584"/>
      <c r="AR2" s="584"/>
      <c r="AS2" s="584"/>
      <c r="AT2" s="584"/>
      <c r="AU2" s="584"/>
      <c r="AV2" s="584"/>
      <c r="AW2" s="584"/>
      <c r="AX2" s="584"/>
      <c r="AY2" s="584"/>
      <c r="AZ2" s="584"/>
      <c r="BA2" s="584"/>
      <c r="BB2" s="584"/>
      <c r="BC2" s="595" t="s">
        <v>47</v>
      </c>
      <c r="BD2" s="595"/>
      <c r="BE2" s="595"/>
      <c r="BF2" s="595"/>
      <c r="BG2" s="595"/>
      <c r="BH2" s="595"/>
      <c r="BI2" s="595"/>
      <c r="BJ2" s="595"/>
      <c r="BK2" s="595"/>
      <c r="BL2" s="595"/>
      <c r="BM2" s="595"/>
      <c r="BN2" s="595"/>
    </row>
    <row r="3" spans="1:66" ht="15.75" customHeight="1" x14ac:dyDescent="0.2">
      <c r="A3" s="598"/>
      <c r="B3" s="598"/>
      <c r="C3" s="598"/>
      <c r="D3" s="598"/>
      <c r="E3" s="598"/>
      <c r="F3" s="598"/>
      <c r="G3" s="598"/>
      <c r="H3" s="598" t="s">
        <v>622</v>
      </c>
      <c r="I3" s="598"/>
      <c r="J3" s="598"/>
      <c r="K3" s="598"/>
      <c r="L3" s="598"/>
      <c r="M3" s="598"/>
      <c r="N3" s="598"/>
      <c r="O3" s="584" t="s">
        <v>358</v>
      </c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  <c r="AT3" s="584"/>
      <c r="AU3" s="584"/>
      <c r="AV3" s="584"/>
      <c r="AW3" s="584"/>
      <c r="AX3" s="584"/>
      <c r="AY3" s="584"/>
      <c r="AZ3" s="584"/>
      <c r="BA3" s="584"/>
      <c r="BB3" s="584"/>
      <c r="BC3" s="597" t="s">
        <v>364</v>
      </c>
      <c r="BD3" s="597"/>
      <c r="BE3" s="597"/>
      <c r="BF3" s="597"/>
      <c r="BG3" s="597"/>
      <c r="BH3" s="597"/>
      <c r="BI3" s="597"/>
      <c r="BJ3" s="597"/>
      <c r="BK3" s="597"/>
      <c r="BL3" s="597"/>
      <c r="BM3" s="597"/>
      <c r="BN3" s="597"/>
    </row>
    <row r="4" spans="1:66" ht="15.75" customHeight="1" x14ac:dyDescent="0.2">
      <c r="A4" s="593"/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591" t="s">
        <v>604</v>
      </c>
      <c r="BD4" s="591"/>
      <c r="BE4" s="591"/>
      <c r="BF4" s="591"/>
      <c r="BG4" s="591"/>
      <c r="BH4" s="591"/>
      <c r="BI4" s="591"/>
      <c r="BJ4" s="591"/>
      <c r="BK4" s="591"/>
      <c r="BL4" s="591"/>
      <c r="BM4" s="591"/>
      <c r="BN4" s="591"/>
    </row>
    <row r="5" spans="1:66" ht="15.7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7"/>
      <c r="P5" s="27"/>
      <c r="Q5" s="27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30"/>
      <c r="BD5" s="24"/>
      <c r="BE5" s="24"/>
      <c r="BF5" s="31"/>
      <c r="BG5" s="32"/>
      <c r="BH5" s="32"/>
      <c r="BI5" s="32"/>
      <c r="BJ5" s="32"/>
      <c r="BK5" s="32"/>
      <c r="BL5" s="32"/>
      <c r="BM5" s="32"/>
      <c r="BN5" s="24"/>
    </row>
    <row r="6" spans="1:66" ht="15.7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7"/>
      <c r="P6" s="27"/>
      <c r="Q6" s="27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596"/>
      <c r="BD6" s="596"/>
      <c r="BE6" s="596"/>
      <c r="BF6" s="596"/>
      <c r="BG6" s="596"/>
      <c r="BH6" s="596"/>
      <c r="BI6" s="596"/>
      <c r="BJ6" s="596"/>
      <c r="BK6" s="596"/>
      <c r="BL6" s="596"/>
      <c r="BM6" s="596"/>
      <c r="BN6" s="596"/>
    </row>
    <row r="7" spans="1:66" ht="25.5" x14ac:dyDescent="0.2">
      <c r="A7" s="594" t="s">
        <v>376</v>
      </c>
      <c r="B7" s="594"/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594"/>
      <c r="AD7" s="594"/>
      <c r="AE7" s="594"/>
      <c r="AF7" s="594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/>
      <c r="AU7" s="594"/>
      <c r="AV7" s="594"/>
      <c r="AW7" s="594"/>
      <c r="AX7" s="594"/>
      <c r="AY7" s="594"/>
      <c r="AZ7" s="594"/>
      <c r="BA7" s="594"/>
      <c r="BB7" s="594"/>
      <c r="BC7" s="594"/>
      <c r="BD7" s="594"/>
      <c r="BE7" s="594"/>
      <c r="BF7" s="594"/>
      <c r="BG7" s="594"/>
      <c r="BH7" s="594"/>
      <c r="BI7" s="594"/>
      <c r="BJ7" s="594"/>
      <c r="BK7" s="594"/>
      <c r="BL7" s="594"/>
      <c r="BM7" s="594"/>
      <c r="BN7" s="594"/>
    </row>
    <row r="8" spans="1:66" s="3" customFormat="1" ht="15.75" customHeight="1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555" t="s">
        <v>377</v>
      </c>
      <c r="P8" s="556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56"/>
      <c r="AI8" s="556"/>
      <c r="AJ8" s="556"/>
      <c r="AK8" s="556"/>
      <c r="AL8" s="556"/>
      <c r="AM8" s="556"/>
      <c r="AN8" s="556"/>
      <c r="AO8" s="556"/>
      <c r="AP8" s="556"/>
      <c r="AQ8" s="556"/>
      <c r="AR8" s="556"/>
      <c r="AS8" s="556"/>
      <c r="AT8" s="556"/>
      <c r="AU8" s="556"/>
      <c r="AV8" s="556"/>
      <c r="AW8" s="556"/>
      <c r="AX8" s="556"/>
      <c r="AY8" s="556"/>
      <c r="AZ8" s="556"/>
      <c r="BA8" s="556"/>
      <c r="BB8" s="556"/>
      <c r="BC8" s="29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</row>
    <row r="9" spans="1:66" s="3" customFormat="1" ht="15.75" customHeight="1" x14ac:dyDescent="0.2">
      <c r="A9" s="599" t="s">
        <v>167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600" t="s">
        <v>359</v>
      </c>
      <c r="P9" s="600"/>
      <c r="Q9" s="600"/>
      <c r="R9" s="600"/>
      <c r="S9" s="600"/>
      <c r="T9" s="600"/>
      <c r="U9" s="600"/>
      <c r="V9" s="600"/>
      <c r="W9" s="600"/>
      <c r="X9" s="600"/>
      <c r="Y9" s="600"/>
      <c r="Z9" s="600"/>
      <c r="AA9" s="600"/>
      <c r="AB9" s="600"/>
      <c r="AC9" s="600"/>
      <c r="AD9" s="600"/>
      <c r="AE9" s="600"/>
      <c r="AF9" s="600"/>
      <c r="AG9" s="600"/>
      <c r="AH9" s="600"/>
      <c r="AI9" s="600"/>
      <c r="AJ9" s="600"/>
      <c r="AK9" s="600"/>
      <c r="AL9" s="600"/>
      <c r="AM9" s="600"/>
      <c r="AN9" s="600"/>
      <c r="AO9" s="600"/>
      <c r="AP9" s="600"/>
      <c r="AQ9" s="600"/>
      <c r="AR9" s="600"/>
      <c r="AS9" s="600"/>
      <c r="AT9" s="600"/>
      <c r="AU9" s="600"/>
      <c r="AV9" s="600"/>
      <c r="AW9" s="600"/>
      <c r="AX9" s="600"/>
      <c r="AY9" s="600"/>
      <c r="AZ9" s="600"/>
      <c r="BA9" s="600"/>
      <c r="BB9" s="600"/>
      <c r="BC9" s="601" t="s">
        <v>51</v>
      </c>
      <c r="BD9" s="601"/>
      <c r="BE9" s="601"/>
      <c r="BF9" s="601"/>
      <c r="BG9" s="601"/>
      <c r="BH9" s="601"/>
      <c r="BI9" s="601"/>
      <c r="BJ9" s="601"/>
      <c r="BK9" s="601"/>
      <c r="BL9" s="601"/>
      <c r="BM9" s="601"/>
      <c r="BN9" s="601"/>
    </row>
    <row r="10" spans="1:66" s="3" customFormat="1" ht="15.75" customHeight="1" x14ac:dyDescent="0.2">
      <c r="A10" s="599" t="s">
        <v>164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602" t="s">
        <v>404</v>
      </c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576"/>
      <c r="AR10" s="576"/>
      <c r="AS10" s="576"/>
      <c r="AT10" s="576"/>
      <c r="AU10" s="576"/>
      <c r="AV10" s="576"/>
      <c r="AW10" s="576"/>
      <c r="AX10" s="576"/>
      <c r="AY10" s="576"/>
      <c r="AZ10" s="576"/>
      <c r="BA10" s="576"/>
      <c r="BB10" s="576"/>
      <c r="BC10" s="601"/>
      <c r="BD10" s="601"/>
      <c r="BE10" s="601"/>
      <c r="BF10" s="601"/>
      <c r="BG10" s="601"/>
      <c r="BH10" s="601"/>
      <c r="BI10" s="601"/>
      <c r="BJ10" s="601"/>
      <c r="BK10" s="601"/>
      <c r="BL10" s="601"/>
      <c r="BM10" s="601"/>
      <c r="BN10" s="601"/>
    </row>
    <row r="11" spans="1:66" s="3" customFormat="1" ht="15.75" customHeight="1" x14ac:dyDescent="0.2">
      <c r="A11" s="599" t="s">
        <v>213</v>
      </c>
      <c r="B11" s="599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603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  <c r="AQ11" s="576"/>
      <c r="AR11" s="576"/>
      <c r="AS11" s="576"/>
      <c r="AT11" s="576"/>
      <c r="AU11" s="576"/>
      <c r="AV11" s="576"/>
      <c r="AW11" s="576"/>
      <c r="AX11" s="576"/>
      <c r="AY11" s="576"/>
      <c r="AZ11" s="576"/>
      <c r="BA11" s="576"/>
      <c r="BB11" s="576"/>
      <c r="BC11" s="601"/>
      <c r="BD11" s="601"/>
      <c r="BE11" s="601"/>
      <c r="BF11" s="601"/>
      <c r="BG11" s="601"/>
      <c r="BH11" s="601"/>
      <c r="BI11" s="601"/>
      <c r="BJ11" s="601"/>
      <c r="BK11" s="601"/>
      <c r="BL11" s="601"/>
      <c r="BM11" s="601"/>
      <c r="BN11" s="601"/>
    </row>
    <row r="12" spans="1:66" s="3" customFormat="1" ht="15.75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  <c r="AN12" s="576"/>
      <c r="AO12" s="576"/>
      <c r="AP12" s="576"/>
      <c r="AQ12" s="576"/>
      <c r="AR12" s="576"/>
      <c r="AS12" s="576"/>
      <c r="AT12" s="576"/>
      <c r="AU12" s="576"/>
      <c r="AV12" s="576"/>
      <c r="AW12" s="576"/>
      <c r="AX12" s="576"/>
      <c r="AY12" s="576"/>
      <c r="AZ12" s="576"/>
      <c r="BA12" s="576"/>
      <c r="BB12" s="576"/>
      <c r="BC12" s="601"/>
      <c r="BD12" s="601"/>
      <c r="BE12" s="601"/>
      <c r="BF12" s="601"/>
      <c r="BG12" s="601"/>
      <c r="BH12" s="601"/>
      <c r="BI12" s="601"/>
      <c r="BJ12" s="601"/>
      <c r="BK12" s="601"/>
      <c r="BL12" s="601"/>
      <c r="BM12" s="601"/>
      <c r="BN12" s="601"/>
    </row>
    <row r="13" spans="1:66" s="3" customFormat="1" ht="15.75" customHeight="1" x14ac:dyDescent="0.2">
      <c r="A13" s="599" t="s">
        <v>48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76" t="s">
        <v>166</v>
      </c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  <c r="AA13" s="576"/>
      <c r="AB13" s="576"/>
      <c r="AC13" s="576"/>
      <c r="AD13" s="576"/>
      <c r="AE13" s="576"/>
      <c r="AF13" s="576"/>
      <c r="AG13" s="576"/>
      <c r="AH13" s="576"/>
      <c r="AI13" s="576"/>
      <c r="AJ13" s="576"/>
      <c r="AK13" s="576"/>
      <c r="AL13" s="576"/>
      <c r="AM13" s="576"/>
      <c r="AN13" s="576"/>
      <c r="AO13" s="576"/>
      <c r="AP13" s="576"/>
      <c r="AQ13" s="576"/>
      <c r="AR13" s="576"/>
      <c r="AS13" s="576"/>
      <c r="AT13" s="576"/>
      <c r="AU13" s="576"/>
      <c r="AV13" s="576"/>
      <c r="AW13" s="576"/>
      <c r="AX13" s="576"/>
      <c r="AY13" s="576"/>
      <c r="AZ13" s="576"/>
      <c r="BA13" s="576"/>
      <c r="BB13" s="576"/>
      <c r="BC13" s="604" t="s">
        <v>365</v>
      </c>
      <c r="BD13" s="605"/>
      <c r="BE13" s="605"/>
      <c r="BF13" s="605"/>
      <c r="BG13" s="605"/>
      <c r="BH13" s="605"/>
      <c r="BI13" s="605"/>
      <c r="BJ13" s="605"/>
      <c r="BK13" s="605"/>
      <c r="BL13" s="605"/>
      <c r="BM13" s="605"/>
      <c r="BN13" s="605"/>
    </row>
    <row r="14" spans="1:66" s="3" customFormat="1" ht="15.75" customHeight="1" x14ac:dyDescent="0.2">
      <c r="A14" s="599" t="s">
        <v>168</v>
      </c>
      <c r="B14" s="599"/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76" t="s">
        <v>170</v>
      </c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576"/>
      <c r="AX14" s="576"/>
      <c r="AY14" s="576"/>
      <c r="AZ14" s="576"/>
      <c r="BA14" s="576"/>
      <c r="BB14" s="576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</row>
    <row r="15" spans="1:66" s="3" customFormat="1" ht="15.75" customHeight="1" x14ac:dyDescent="0.2">
      <c r="A15" s="599" t="s">
        <v>49</v>
      </c>
      <c r="B15" s="599"/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76" t="s">
        <v>116</v>
      </c>
      <c r="P15" s="576"/>
      <c r="Q15" s="576"/>
      <c r="R15" s="576"/>
      <c r="S15" s="576"/>
      <c r="T15" s="576"/>
      <c r="U15" s="576"/>
      <c r="V15" s="576"/>
      <c r="W15" s="576"/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6"/>
      <c r="AJ15" s="576"/>
      <c r="AK15" s="576"/>
      <c r="AL15" s="576"/>
      <c r="AM15" s="576"/>
      <c r="AN15" s="576"/>
      <c r="AO15" s="576"/>
      <c r="AP15" s="576"/>
      <c r="AQ15" s="576"/>
      <c r="AR15" s="576"/>
      <c r="AS15" s="576"/>
      <c r="AT15" s="576"/>
      <c r="AU15" s="576"/>
      <c r="AV15" s="576"/>
      <c r="AW15" s="576"/>
      <c r="AX15" s="576"/>
      <c r="AY15" s="576"/>
      <c r="AZ15" s="576"/>
      <c r="BA15" s="576"/>
      <c r="BB15" s="576"/>
      <c r="BC15" s="29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</row>
    <row r="16" spans="1:66" ht="15.75" customHeight="1" x14ac:dyDescent="0.2">
      <c r="A16" s="599" t="s">
        <v>291</v>
      </c>
      <c r="B16" s="599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85">
        <v>4</v>
      </c>
      <c r="P16" s="585"/>
      <c r="Q16" s="586" t="s">
        <v>292</v>
      </c>
      <c r="R16" s="586"/>
      <c r="S16" s="586"/>
      <c r="T16" s="585">
        <v>10</v>
      </c>
      <c r="U16" s="585"/>
      <c r="V16" s="587" t="s">
        <v>293</v>
      </c>
      <c r="W16" s="587"/>
      <c r="X16" s="587"/>
      <c r="Y16" s="587"/>
      <c r="Z16" s="587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27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</row>
    <row r="17" spans="1:66" ht="15.7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556" t="s">
        <v>50</v>
      </c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  <c r="AO17" s="556"/>
      <c r="AP17" s="556"/>
      <c r="AQ17" s="556"/>
      <c r="AR17" s="556"/>
      <c r="AS17" s="556"/>
      <c r="AT17" s="556"/>
      <c r="AU17" s="556"/>
      <c r="AV17" s="556"/>
      <c r="AW17" s="556"/>
      <c r="AX17" s="556"/>
      <c r="AY17" s="556"/>
      <c r="AZ17" s="556"/>
      <c r="BA17" s="556"/>
      <c r="BB17" s="556"/>
      <c r="BC17" s="34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</row>
    <row r="18" spans="1:66" ht="9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</row>
    <row r="19" spans="1:66" ht="12.75" customHeight="1" x14ac:dyDescent="0.2">
      <c r="A19" s="606" t="s">
        <v>10</v>
      </c>
      <c r="B19" s="566" t="s">
        <v>11</v>
      </c>
      <c r="C19" s="567"/>
      <c r="D19" s="567"/>
      <c r="E19" s="568"/>
      <c r="F19" s="574" t="s">
        <v>64</v>
      </c>
      <c r="G19" s="566" t="s">
        <v>25</v>
      </c>
      <c r="H19" s="567"/>
      <c r="I19" s="568"/>
      <c r="J19" s="574" t="s">
        <v>138</v>
      </c>
      <c r="K19" s="566" t="s">
        <v>12</v>
      </c>
      <c r="L19" s="567"/>
      <c r="M19" s="567"/>
      <c r="N19" s="568"/>
      <c r="O19" s="566" t="s">
        <v>13</v>
      </c>
      <c r="P19" s="567"/>
      <c r="Q19" s="567"/>
      <c r="R19" s="568"/>
      <c r="S19" s="574" t="s">
        <v>137</v>
      </c>
      <c r="T19" s="566" t="s">
        <v>14</v>
      </c>
      <c r="U19" s="567"/>
      <c r="V19" s="568"/>
      <c r="W19" s="574" t="s">
        <v>63</v>
      </c>
      <c r="X19" s="566" t="s">
        <v>15</v>
      </c>
      <c r="Y19" s="567"/>
      <c r="Z19" s="568"/>
      <c r="AA19" s="574" t="s">
        <v>133</v>
      </c>
      <c r="AB19" s="566" t="s">
        <v>16</v>
      </c>
      <c r="AC19" s="567"/>
      <c r="AD19" s="567"/>
      <c r="AE19" s="568"/>
      <c r="AF19" s="574" t="s">
        <v>62</v>
      </c>
      <c r="AG19" s="566" t="s">
        <v>17</v>
      </c>
      <c r="AH19" s="567"/>
      <c r="AI19" s="568"/>
      <c r="AJ19" s="574" t="s">
        <v>61</v>
      </c>
      <c r="AK19" s="566" t="s">
        <v>18</v>
      </c>
      <c r="AL19" s="567"/>
      <c r="AM19" s="567"/>
      <c r="AN19" s="568"/>
      <c r="AO19" s="566" t="s">
        <v>19</v>
      </c>
      <c r="AP19" s="567"/>
      <c r="AQ19" s="567"/>
      <c r="AR19" s="568"/>
      <c r="AS19" s="574" t="s">
        <v>136</v>
      </c>
      <c r="AT19" s="566" t="s">
        <v>20</v>
      </c>
      <c r="AU19" s="567"/>
      <c r="AV19" s="568"/>
      <c r="AW19" s="574" t="s">
        <v>132</v>
      </c>
      <c r="AX19" s="566" t="s">
        <v>21</v>
      </c>
      <c r="AY19" s="567"/>
      <c r="AZ19" s="567"/>
      <c r="BA19" s="568"/>
      <c r="BB19" s="588" t="s">
        <v>57</v>
      </c>
      <c r="BC19" s="589"/>
      <c r="BD19" s="589"/>
      <c r="BE19" s="589"/>
      <c r="BF19" s="589"/>
      <c r="BG19" s="589"/>
      <c r="BH19" s="589"/>
      <c r="BI19" s="589"/>
      <c r="BJ19" s="589"/>
      <c r="BK19" s="589"/>
      <c r="BL19" s="589"/>
      <c r="BM19" s="589"/>
      <c r="BN19" s="590"/>
    </row>
    <row r="20" spans="1:66" ht="15.75" customHeight="1" x14ac:dyDescent="0.2">
      <c r="A20" s="607"/>
      <c r="B20" s="569"/>
      <c r="C20" s="570"/>
      <c r="D20" s="570"/>
      <c r="E20" s="571"/>
      <c r="F20" s="575"/>
      <c r="G20" s="569"/>
      <c r="H20" s="570"/>
      <c r="I20" s="571"/>
      <c r="J20" s="575"/>
      <c r="K20" s="569"/>
      <c r="L20" s="570"/>
      <c r="M20" s="570"/>
      <c r="N20" s="571"/>
      <c r="O20" s="569"/>
      <c r="P20" s="570"/>
      <c r="Q20" s="570"/>
      <c r="R20" s="571"/>
      <c r="S20" s="575"/>
      <c r="T20" s="569"/>
      <c r="U20" s="570"/>
      <c r="V20" s="571"/>
      <c r="W20" s="575"/>
      <c r="X20" s="569"/>
      <c r="Y20" s="570"/>
      <c r="Z20" s="571"/>
      <c r="AA20" s="575"/>
      <c r="AB20" s="569"/>
      <c r="AC20" s="570"/>
      <c r="AD20" s="570"/>
      <c r="AE20" s="571"/>
      <c r="AF20" s="575"/>
      <c r="AG20" s="569"/>
      <c r="AH20" s="570"/>
      <c r="AI20" s="571"/>
      <c r="AJ20" s="575"/>
      <c r="AK20" s="569"/>
      <c r="AL20" s="570"/>
      <c r="AM20" s="570"/>
      <c r="AN20" s="571"/>
      <c r="AO20" s="569"/>
      <c r="AP20" s="570"/>
      <c r="AQ20" s="570"/>
      <c r="AR20" s="571"/>
      <c r="AS20" s="575"/>
      <c r="AT20" s="569"/>
      <c r="AU20" s="570"/>
      <c r="AV20" s="571"/>
      <c r="AW20" s="575"/>
      <c r="AX20" s="569"/>
      <c r="AY20" s="570"/>
      <c r="AZ20" s="570"/>
      <c r="BA20" s="571"/>
      <c r="BB20" s="557" t="s">
        <v>8</v>
      </c>
      <c r="BC20" s="558"/>
      <c r="BD20" s="559"/>
      <c r="BE20" s="557" t="s">
        <v>315</v>
      </c>
      <c r="BF20" s="558"/>
      <c r="BG20" s="559"/>
      <c r="BH20" s="577" t="s">
        <v>6</v>
      </c>
      <c r="BI20" s="577" t="s">
        <v>146</v>
      </c>
      <c r="BJ20" s="577" t="s">
        <v>45</v>
      </c>
      <c r="BK20" s="577" t="s">
        <v>58</v>
      </c>
      <c r="BL20" s="577" t="s">
        <v>374</v>
      </c>
      <c r="BM20" s="577" t="s">
        <v>46</v>
      </c>
      <c r="BN20" s="577" t="s">
        <v>1</v>
      </c>
    </row>
    <row r="21" spans="1:66" ht="15.75" customHeight="1" x14ac:dyDescent="0.2">
      <c r="A21" s="607"/>
      <c r="B21" s="7">
        <v>1</v>
      </c>
      <c r="C21" s="7">
        <v>8</v>
      </c>
      <c r="D21" s="7">
        <v>15</v>
      </c>
      <c r="E21" s="7">
        <v>22</v>
      </c>
      <c r="F21" s="572" t="s">
        <v>125</v>
      </c>
      <c r="G21" s="7">
        <v>6</v>
      </c>
      <c r="H21" s="7">
        <v>13</v>
      </c>
      <c r="I21" s="7">
        <v>20</v>
      </c>
      <c r="J21" s="572" t="s">
        <v>126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572" t="s">
        <v>127</v>
      </c>
      <c r="T21" s="7">
        <v>5</v>
      </c>
      <c r="U21" s="7">
        <v>12</v>
      </c>
      <c r="V21" s="7">
        <v>19</v>
      </c>
      <c r="W21" s="572" t="s">
        <v>128</v>
      </c>
      <c r="X21" s="7">
        <v>2</v>
      </c>
      <c r="Y21" s="7">
        <v>9</v>
      </c>
      <c r="Z21" s="7">
        <v>16</v>
      </c>
      <c r="AA21" s="572" t="s">
        <v>134</v>
      </c>
      <c r="AB21" s="7">
        <v>2</v>
      </c>
      <c r="AC21" s="7">
        <v>9</v>
      </c>
      <c r="AD21" s="7">
        <v>16</v>
      </c>
      <c r="AE21" s="7">
        <v>23</v>
      </c>
      <c r="AF21" s="572" t="s">
        <v>130</v>
      </c>
      <c r="AG21" s="7">
        <v>6</v>
      </c>
      <c r="AH21" s="7">
        <v>13</v>
      </c>
      <c r="AI21" s="7">
        <v>20</v>
      </c>
      <c r="AJ21" s="572" t="s">
        <v>131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572" t="s">
        <v>135</v>
      </c>
      <c r="AT21" s="7">
        <v>6</v>
      </c>
      <c r="AU21" s="7">
        <v>13</v>
      </c>
      <c r="AV21" s="7">
        <v>20</v>
      </c>
      <c r="AW21" s="572" t="s">
        <v>129</v>
      </c>
      <c r="AX21" s="7">
        <v>2</v>
      </c>
      <c r="AY21" s="7">
        <v>9</v>
      </c>
      <c r="AZ21" s="7">
        <v>16</v>
      </c>
      <c r="BA21" s="7">
        <v>23</v>
      </c>
      <c r="BB21" s="560"/>
      <c r="BC21" s="561"/>
      <c r="BD21" s="562"/>
      <c r="BE21" s="560"/>
      <c r="BF21" s="561"/>
      <c r="BG21" s="562"/>
      <c r="BH21" s="578"/>
      <c r="BI21" s="578"/>
      <c r="BJ21" s="578"/>
      <c r="BK21" s="578"/>
      <c r="BL21" s="578"/>
      <c r="BM21" s="578"/>
      <c r="BN21" s="578"/>
    </row>
    <row r="22" spans="1:66" ht="18" customHeight="1" x14ac:dyDescent="0.2">
      <c r="A22" s="607"/>
      <c r="B22" s="4">
        <v>7</v>
      </c>
      <c r="C22" s="4">
        <v>14</v>
      </c>
      <c r="D22" s="4">
        <v>21</v>
      </c>
      <c r="E22" s="4">
        <v>28</v>
      </c>
      <c r="F22" s="573"/>
      <c r="G22" s="4">
        <v>12</v>
      </c>
      <c r="H22" s="4">
        <v>19</v>
      </c>
      <c r="I22" s="4">
        <v>26</v>
      </c>
      <c r="J22" s="573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573"/>
      <c r="T22" s="4">
        <v>11</v>
      </c>
      <c r="U22" s="4">
        <v>18</v>
      </c>
      <c r="V22" s="4">
        <v>25</v>
      </c>
      <c r="W22" s="573"/>
      <c r="X22" s="4">
        <v>8</v>
      </c>
      <c r="Y22" s="4">
        <v>15</v>
      </c>
      <c r="Z22" s="4">
        <v>22</v>
      </c>
      <c r="AA22" s="573"/>
      <c r="AB22" s="4">
        <v>8</v>
      </c>
      <c r="AC22" s="4">
        <v>15</v>
      </c>
      <c r="AD22" s="4">
        <v>22</v>
      </c>
      <c r="AE22" s="4">
        <v>29</v>
      </c>
      <c r="AF22" s="573"/>
      <c r="AG22" s="4">
        <v>12</v>
      </c>
      <c r="AH22" s="4">
        <v>19</v>
      </c>
      <c r="AI22" s="4">
        <v>26</v>
      </c>
      <c r="AJ22" s="573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573"/>
      <c r="AT22" s="4">
        <v>12</v>
      </c>
      <c r="AU22" s="4">
        <v>19</v>
      </c>
      <c r="AV22" s="4">
        <v>26</v>
      </c>
      <c r="AW22" s="573"/>
      <c r="AX22" s="4">
        <v>8</v>
      </c>
      <c r="AY22" s="4">
        <v>15</v>
      </c>
      <c r="AZ22" s="4">
        <v>22</v>
      </c>
      <c r="BA22" s="4">
        <v>31</v>
      </c>
      <c r="BB22" s="563"/>
      <c r="BC22" s="564"/>
      <c r="BD22" s="565"/>
      <c r="BE22" s="563"/>
      <c r="BF22" s="564"/>
      <c r="BG22" s="565"/>
      <c r="BH22" s="578"/>
      <c r="BI22" s="578"/>
      <c r="BJ22" s="578"/>
      <c r="BK22" s="578"/>
      <c r="BL22" s="578"/>
      <c r="BM22" s="578"/>
      <c r="BN22" s="578"/>
    </row>
    <row r="23" spans="1:66" ht="15.75" customHeight="1" x14ac:dyDescent="0.2">
      <c r="A23" s="608"/>
      <c r="B23" s="84">
        <v>1</v>
      </c>
      <c r="C23" s="84">
        <v>2</v>
      </c>
      <c r="D23" s="84">
        <v>3</v>
      </c>
      <c r="E23" s="84">
        <v>4</v>
      </c>
      <c r="F23" s="84">
        <v>5</v>
      </c>
      <c r="G23" s="84">
        <v>6</v>
      </c>
      <c r="H23" s="84">
        <v>7</v>
      </c>
      <c r="I23" s="84">
        <v>8</v>
      </c>
      <c r="J23" s="84">
        <v>9</v>
      </c>
      <c r="K23" s="84">
        <v>10</v>
      </c>
      <c r="L23" s="84">
        <v>11</v>
      </c>
      <c r="M23" s="84">
        <v>12</v>
      </c>
      <c r="N23" s="84">
        <v>13</v>
      </c>
      <c r="O23" s="84">
        <v>14</v>
      </c>
      <c r="P23" s="84">
        <v>15</v>
      </c>
      <c r="Q23" s="84">
        <v>16</v>
      </c>
      <c r="R23" s="84">
        <v>17</v>
      </c>
      <c r="S23" s="84">
        <v>18</v>
      </c>
      <c r="T23" s="84">
        <v>19</v>
      </c>
      <c r="U23" s="84">
        <v>20</v>
      </c>
      <c r="V23" s="84">
        <v>21</v>
      </c>
      <c r="W23" s="84">
        <v>22</v>
      </c>
      <c r="X23" s="84">
        <v>23</v>
      </c>
      <c r="Y23" s="84">
        <v>24</v>
      </c>
      <c r="Z23" s="84">
        <v>25</v>
      </c>
      <c r="AA23" s="84">
        <v>26</v>
      </c>
      <c r="AB23" s="84">
        <v>27</v>
      </c>
      <c r="AC23" s="84">
        <v>28</v>
      </c>
      <c r="AD23" s="84">
        <v>29</v>
      </c>
      <c r="AE23" s="84">
        <v>30</v>
      </c>
      <c r="AF23" s="84">
        <v>31</v>
      </c>
      <c r="AG23" s="84">
        <v>32</v>
      </c>
      <c r="AH23" s="84">
        <v>33</v>
      </c>
      <c r="AI23" s="84">
        <v>34</v>
      </c>
      <c r="AJ23" s="84">
        <v>35</v>
      </c>
      <c r="AK23" s="84">
        <v>36</v>
      </c>
      <c r="AL23" s="84">
        <v>37</v>
      </c>
      <c r="AM23" s="84">
        <v>38</v>
      </c>
      <c r="AN23" s="84">
        <v>39</v>
      </c>
      <c r="AO23" s="84">
        <v>40</v>
      </c>
      <c r="AP23" s="84">
        <v>41</v>
      </c>
      <c r="AQ23" s="84">
        <v>42</v>
      </c>
      <c r="AR23" s="84">
        <v>43</v>
      </c>
      <c r="AS23" s="84">
        <v>44</v>
      </c>
      <c r="AT23" s="84">
        <v>45</v>
      </c>
      <c r="AU23" s="84">
        <v>46</v>
      </c>
      <c r="AV23" s="84">
        <v>47</v>
      </c>
      <c r="AW23" s="84">
        <v>48</v>
      </c>
      <c r="AX23" s="84">
        <v>49</v>
      </c>
      <c r="AY23" s="84">
        <v>50</v>
      </c>
      <c r="AZ23" s="84">
        <v>51</v>
      </c>
      <c r="BA23" s="84">
        <v>52</v>
      </c>
      <c r="BB23" s="9" t="s">
        <v>77</v>
      </c>
      <c r="BC23" s="9" t="s">
        <v>33</v>
      </c>
      <c r="BD23" s="10" t="s">
        <v>60</v>
      </c>
      <c r="BE23" s="9" t="s">
        <v>77</v>
      </c>
      <c r="BF23" s="9" t="s">
        <v>33</v>
      </c>
      <c r="BG23" s="10" t="s">
        <v>60</v>
      </c>
      <c r="BH23" s="579"/>
      <c r="BI23" s="579"/>
      <c r="BJ23" s="579"/>
      <c r="BK23" s="579"/>
      <c r="BL23" s="579"/>
      <c r="BM23" s="579"/>
      <c r="BN23" s="579"/>
    </row>
    <row r="24" spans="1:66" ht="15.75" customHeight="1" x14ac:dyDescent="0.2">
      <c r="A24" s="8">
        <v>1</v>
      </c>
      <c r="B24" s="35" t="s">
        <v>77</v>
      </c>
      <c r="C24" s="35" t="s">
        <v>77</v>
      </c>
      <c r="D24" s="35" t="s">
        <v>77</v>
      </c>
      <c r="E24" s="35" t="s">
        <v>77</v>
      </c>
      <c r="F24" s="35" t="s">
        <v>77</v>
      </c>
      <c r="G24" s="35" t="s">
        <v>77</v>
      </c>
      <c r="H24" s="35" t="s">
        <v>77</v>
      </c>
      <c r="I24" s="35" t="s">
        <v>77</v>
      </c>
      <c r="J24" s="35" t="s">
        <v>77</v>
      </c>
      <c r="K24" s="35" t="s">
        <v>77</v>
      </c>
      <c r="L24" s="35" t="s">
        <v>77</v>
      </c>
      <c r="M24" s="35" t="s">
        <v>77</v>
      </c>
      <c r="N24" s="35" t="s">
        <v>77</v>
      </c>
      <c r="O24" s="35" t="s">
        <v>77</v>
      </c>
      <c r="P24" s="35" t="s">
        <v>77</v>
      </c>
      <c r="Q24" s="35" t="s">
        <v>77</v>
      </c>
      <c r="R24" s="35" t="s">
        <v>77</v>
      </c>
      <c r="S24" s="35" t="s">
        <v>28</v>
      </c>
      <c r="T24" s="35" t="s">
        <v>28</v>
      </c>
      <c r="U24" s="35" t="s">
        <v>33</v>
      </c>
      <c r="V24" s="35" t="s">
        <v>33</v>
      </c>
      <c r="W24" s="35" t="s">
        <v>33</v>
      </c>
      <c r="X24" s="35" t="s">
        <v>33</v>
      </c>
      <c r="Y24" s="35" t="s">
        <v>33</v>
      </c>
      <c r="Z24" s="35" t="s">
        <v>33</v>
      </c>
      <c r="AA24" s="35" t="s">
        <v>33</v>
      </c>
      <c r="AB24" s="35" t="s">
        <v>33</v>
      </c>
      <c r="AC24" s="35" t="s">
        <v>33</v>
      </c>
      <c r="AD24" s="35" t="s">
        <v>33</v>
      </c>
      <c r="AE24" s="35" t="s">
        <v>33</v>
      </c>
      <c r="AF24" s="35" t="s">
        <v>33</v>
      </c>
      <c r="AG24" s="35" t="s">
        <v>33</v>
      </c>
      <c r="AH24" s="35" t="s">
        <v>33</v>
      </c>
      <c r="AI24" s="35" t="s">
        <v>33</v>
      </c>
      <c r="AJ24" s="35" t="s">
        <v>33</v>
      </c>
      <c r="AK24" s="35" t="s">
        <v>33</v>
      </c>
      <c r="AL24" s="35" t="s">
        <v>33</v>
      </c>
      <c r="AM24" s="35" t="s">
        <v>33</v>
      </c>
      <c r="AN24" s="35" t="s">
        <v>33</v>
      </c>
      <c r="AO24" s="35" t="s">
        <v>33</v>
      </c>
      <c r="AP24" s="35" t="s">
        <v>33</v>
      </c>
      <c r="AQ24" s="35" t="s">
        <v>228</v>
      </c>
      <c r="AR24" s="35" t="s">
        <v>228</v>
      </c>
      <c r="AS24" s="35" t="s">
        <v>28</v>
      </c>
      <c r="AT24" s="35" t="s">
        <v>28</v>
      </c>
      <c r="AU24" s="35" t="s">
        <v>28</v>
      </c>
      <c r="AV24" s="35" t="s">
        <v>28</v>
      </c>
      <c r="AW24" s="35" t="s">
        <v>28</v>
      </c>
      <c r="AX24" s="35" t="s">
        <v>28</v>
      </c>
      <c r="AY24" s="35" t="s">
        <v>28</v>
      </c>
      <c r="AZ24" s="35" t="s">
        <v>28</v>
      </c>
      <c r="BA24" s="35" t="s">
        <v>28</v>
      </c>
      <c r="BB24" s="22">
        <f>COUNTIF(B24:BA24,"о")</f>
        <v>17</v>
      </c>
      <c r="BC24" s="22">
        <f>COUNTIF(B24:BA24,"в")</f>
        <v>22</v>
      </c>
      <c r="BD24" s="23">
        <f>SUM(BB24:BC24)</f>
        <v>39</v>
      </c>
      <c r="BE24" s="22">
        <f>COUNTIF(B24:BA24,$R$31)</f>
        <v>0</v>
      </c>
      <c r="BF24" s="22">
        <f>COUNTIF(B24:BA24,$R$33)</f>
        <v>2</v>
      </c>
      <c r="BG24" s="23">
        <f>SUM(BE24:BF24)</f>
        <v>2</v>
      </c>
      <c r="BH24" s="23">
        <f>COUNTIF(B24:BA24,$AF$31)</f>
        <v>0</v>
      </c>
      <c r="BI24" s="23">
        <f>COUNTIF(B24:BA24,$AF$33)</f>
        <v>0</v>
      </c>
      <c r="BJ24" s="23">
        <f>COUNTIF(B24:BA24,$AQ$31)</f>
        <v>0</v>
      </c>
      <c r="BK24" s="23">
        <f>COUNTIF(B24:BA24,$AZ$31)</f>
        <v>0</v>
      </c>
      <c r="BL24" s="23">
        <f>COUNTIF(B24:BA24,$AQ$33)</f>
        <v>0</v>
      </c>
      <c r="BM24" s="23">
        <f>COUNTIF(B24:BA24,$AZ$33)</f>
        <v>11</v>
      </c>
      <c r="BN24" s="23">
        <f>SUM(BG24:BM24)+BD24</f>
        <v>52</v>
      </c>
    </row>
    <row r="25" spans="1:66" ht="15.75" customHeight="1" x14ac:dyDescent="0.2">
      <c r="A25" s="8">
        <v>2</v>
      </c>
      <c r="B25" s="35" t="s">
        <v>77</v>
      </c>
      <c r="C25" s="35" t="s">
        <v>77</v>
      </c>
      <c r="D25" s="35" t="s">
        <v>77</v>
      </c>
      <c r="E25" s="35" t="s">
        <v>77</v>
      </c>
      <c r="F25" s="35" t="s">
        <v>77</v>
      </c>
      <c r="G25" s="35" t="s">
        <v>77</v>
      </c>
      <c r="H25" s="35" t="s">
        <v>77</v>
      </c>
      <c r="I25" s="35" t="s">
        <v>77</v>
      </c>
      <c r="J25" s="35" t="s">
        <v>77</v>
      </c>
      <c r="K25" s="35" t="s">
        <v>77</v>
      </c>
      <c r="L25" s="35" t="s">
        <v>77</v>
      </c>
      <c r="M25" s="35" t="s">
        <v>77</v>
      </c>
      <c r="N25" s="35" t="s">
        <v>77</v>
      </c>
      <c r="O25" s="35" t="s">
        <v>77</v>
      </c>
      <c r="P25" s="35" t="s">
        <v>77</v>
      </c>
      <c r="Q25" s="35" t="s">
        <v>77</v>
      </c>
      <c r="R25" s="15" t="s">
        <v>227</v>
      </c>
      <c r="S25" s="35" t="s">
        <v>28</v>
      </c>
      <c r="T25" s="35" t="s">
        <v>28</v>
      </c>
      <c r="U25" s="35" t="s">
        <v>33</v>
      </c>
      <c r="V25" s="35" t="s">
        <v>33</v>
      </c>
      <c r="W25" s="35" t="s">
        <v>33</v>
      </c>
      <c r="X25" s="35" t="s">
        <v>33</v>
      </c>
      <c r="Y25" s="35" t="s">
        <v>33</v>
      </c>
      <c r="Z25" s="35" t="s">
        <v>33</v>
      </c>
      <c r="AA25" s="35" t="s">
        <v>33</v>
      </c>
      <c r="AB25" s="35" t="s">
        <v>33</v>
      </c>
      <c r="AC25" s="35" t="s">
        <v>33</v>
      </c>
      <c r="AD25" s="35" t="s">
        <v>33</v>
      </c>
      <c r="AE25" s="35" t="s">
        <v>33</v>
      </c>
      <c r="AF25" s="35" t="s">
        <v>33</v>
      </c>
      <c r="AG25" s="35" t="s">
        <v>33</v>
      </c>
      <c r="AH25" s="35" t="s">
        <v>33</v>
      </c>
      <c r="AI25" s="35" t="s">
        <v>33</v>
      </c>
      <c r="AJ25" s="35" t="s">
        <v>33</v>
      </c>
      <c r="AK25" s="35" t="s">
        <v>33</v>
      </c>
      <c r="AL25" s="35" t="s">
        <v>228</v>
      </c>
      <c r="AM25" s="35" t="s">
        <v>52</v>
      </c>
      <c r="AN25" s="35" t="s">
        <v>52</v>
      </c>
      <c r="AO25" s="35" t="s">
        <v>52</v>
      </c>
      <c r="AP25" s="35" t="s">
        <v>52</v>
      </c>
      <c r="AQ25" s="35" t="s">
        <v>52</v>
      </c>
      <c r="AR25" s="35" t="s">
        <v>52</v>
      </c>
      <c r="AS25" s="35" t="s">
        <v>52</v>
      </c>
      <c r="AT25" s="35" t="s">
        <v>52</v>
      </c>
      <c r="AU25" s="35" t="s">
        <v>52</v>
      </c>
      <c r="AV25" s="35" t="s">
        <v>28</v>
      </c>
      <c r="AW25" s="35" t="s">
        <v>28</v>
      </c>
      <c r="AX25" s="35" t="s">
        <v>28</v>
      </c>
      <c r="AY25" s="35" t="s">
        <v>28</v>
      </c>
      <c r="AZ25" s="35" t="s">
        <v>28</v>
      </c>
      <c r="BA25" s="35" t="s">
        <v>28</v>
      </c>
      <c r="BB25" s="22">
        <f>COUNTIF(B25:BA25,"о")</f>
        <v>16</v>
      </c>
      <c r="BC25" s="22">
        <f>COUNTIF(B25:BA25,"в")</f>
        <v>17</v>
      </c>
      <c r="BD25" s="23">
        <f>SUM(BB25:BC25)</f>
        <v>33</v>
      </c>
      <c r="BE25" s="22">
        <f>COUNTIF(B25:BA25,$R$31)</f>
        <v>1</v>
      </c>
      <c r="BF25" s="22">
        <f>COUNTIF(B25:BA25,$R$33)</f>
        <v>1</v>
      </c>
      <c r="BG25" s="23">
        <f>SUM(BE25:BF25)</f>
        <v>2</v>
      </c>
      <c r="BH25" s="23">
        <f>COUNTIF(B25:BA25,$AF$31)</f>
        <v>9</v>
      </c>
      <c r="BI25" s="23">
        <f>COUNTIF(B25:BA25,$AF$33)</f>
        <v>0</v>
      </c>
      <c r="BJ25" s="23">
        <f>COUNTIF(B25:BA25,$AQ$31)</f>
        <v>0</v>
      </c>
      <c r="BK25" s="23">
        <f>COUNTIF(B25:BA25,$AZ$31)</f>
        <v>0</v>
      </c>
      <c r="BL25" s="23">
        <f>COUNTIF(B25:BA25,$AQ$33)</f>
        <v>0</v>
      </c>
      <c r="BM25" s="23">
        <f>COUNTIF(B25:BA25,$AZ$33)</f>
        <v>8</v>
      </c>
      <c r="BN25" s="23">
        <f>SUM(BG25:BM25)+BD25</f>
        <v>52</v>
      </c>
    </row>
    <row r="26" spans="1:66" ht="15.75" customHeight="1" x14ac:dyDescent="0.2">
      <c r="A26" s="8">
        <v>3</v>
      </c>
      <c r="B26" s="35" t="s">
        <v>77</v>
      </c>
      <c r="C26" s="35" t="s">
        <v>77</v>
      </c>
      <c r="D26" s="35" t="s">
        <v>77</v>
      </c>
      <c r="E26" s="35" t="s">
        <v>77</v>
      </c>
      <c r="F26" s="35" t="s">
        <v>77</v>
      </c>
      <c r="G26" s="35" t="s">
        <v>77</v>
      </c>
      <c r="H26" s="35" t="s">
        <v>77</v>
      </c>
      <c r="I26" s="35" t="s">
        <v>77</v>
      </c>
      <c r="J26" s="35" t="s">
        <v>77</v>
      </c>
      <c r="K26" s="35" t="s">
        <v>77</v>
      </c>
      <c r="L26" s="35" t="s">
        <v>77</v>
      </c>
      <c r="M26" s="35" t="s">
        <v>77</v>
      </c>
      <c r="N26" s="35" t="s">
        <v>77</v>
      </c>
      <c r="O26" s="35" t="s">
        <v>77</v>
      </c>
      <c r="P26" s="35" t="s">
        <v>77</v>
      </c>
      <c r="Q26" s="35" t="s">
        <v>77</v>
      </c>
      <c r="R26" s="15" t="s">
        <v>227</v>
      </c>
      <c r="S26" s="35" t="s">
        <v>28</v>
      </c>
      <c r="T26" s="35" t="s">
        <v>28</v>
      </c>
      <c r="U26" s="35" t="s">
        <v>33</v>
      </c>
      <c r="V26" s="35" t="s">
        <v>33</v>
      </c>
      <c r="W26" s="35" t="s">
        <v>33</v>
      </c>
      <c r="X26" s="35" t="s">
        <v>33</v>
      </c>
      <c r="Y26" s="35" t="s">
        <v>33</v>
      </c>
      <c r="Z26" s="35" t="s">
        <v>33</v>
      </c>
      <c r="AA26" s="35" t="s">
        <v>33</v>
      </c>
      <c r="AB26" s="35" t="s">
        <v>33</v>
      </c>
      <c r="AC26" s="35" t="s">
        <v>33</v>
      </c>
      <c r="AD26" s="35" t="s">
        <v>33</v>
      </c>
      <c r="AE26" s="35" t="s">
        <v>33</v>
      </c>
      <c r="AF26" s="35" t="s">
        <v>228</v>
      </c>
      <c r="AG26" s="35" t="s">
        <v>28</v>
      </c>
      <c r="AH26" s="35" t="s">
        <v>28</v>
      </c>
      <c r="AI26" s="35" t="s">
        <v>28</v>
      </c>
      <c r="AJ26" s="35" t="s">
        <v>28</v>
      </c>
      <c r="AK26" s="35" t="s">
        <v>28</v>
      </c>
      <c r="AL26" s="35" t="s">
        <v>28</v>
      </c>
      <c r="AM26" s="35" t="s">
        <v>53</v>
      </c>
      <c r="AN26" s="35" t="s">
        <v>53</v>
      </c>
      <c r="AO26" s="35" t="s">
        <v>53</v>
      </c>
      <c r="AP26" s="35" t="s">
        <v>53</v>
      </c>
      <c r="AQ26" s="35" t="s">
        <v>53</v>
      </c>
      <c r="AR26" s="35" t="s">
        <v>53</v>
      </c>
      <c r="AS26" s="35" t="s">
        <v>53</v>
      </c>
      <c r="AT26" s="35" t="s">
        <v>53</v>
      </c>
      <c r="AU26" s="35" t="s">
        <v>53</v>
      </c>
      <c r="AV26" s="35" t="s">
        <v>53</v>
      </c>
      <c r="AW26" s="35" t="s">
        <v>53</v>
      </c>
      <c r="AX26" s="35" t="s">
        <v>53</v>
      </c>
      <c r="AY26" s="35" t="s">
        <v>53</v>
      </c>
      <c r="AZ26" s="35" t="s">
        <v>53</v>
      </c>
      <c r="BA26" s="35" t="s">
        <v>53</v>
      </c>
      <c r="BB26" s="22">
        <f>COUNTIF(B26:BA26,"о")</f>
        <v>16</v>
      </c>
      <c r="BC26" s="22">
        <f>COUNTIF(B26:BA26,"в")</f>
        <v>11</v>
      </c>
      <c r="BD26" s="23">
        <f>SUM(BB26:BC26)</f>
        <v>27</v>
      </c>
      <c r="BE26" s="22">
        <f>COUNTIF(B26:BA26,$R$31)</f>
        <v>1</v>
      </c>
      <c r="BF26" s="22">
        <f>COUNTIF(B26:BA26,$R$33)</f>
        <v>1</v>
      </c>
      <c r="BG26" s="23">
        <f>SUM(BE26:BF26)</f>
        <v>2</v>
      </c>
      <c r="BH26" s="23">
        <f>COUNTIF(B26:BA26,$AF$31)</f>
        <v>0</v>
      </c>
      <c r="BI26" s="23">
        <f>COUNTIF(B26:BA26,$AF$33)</f>
        <v>15</v>
      </c>
      <c r="BJ26" s="23">
        <f>COUNTIF(B26:BA26,$AQ$31)</f>
        <v>0</v>
      </c>
      <c r="BK26" s="23">
        <f>COUNTIF(B26:BA26,$AZ$31)</f>
        <v>0</v>
      </c>
      <c r="BL26" s="23">
        <f>COUNTIF(B26:BA26,$AQ$33)</f>
        <v>0</v>
      </c>
      <c r="BM26" s="23">
        <f>COUNTIF(B26:BA26,$AZ$33)</f>
        <v>8</v>
      </c>
      <c r="BN26" s="23">
        <f>SUM(BG26:BM26)+BD26</f>
        <v>52</v>
      </c>
    </row>
    <row r="27" spans="1:66" ht="15.75" customHeight="1" x14ac:dyDescent="0.2">
      <c r="A27" s="8">
        <v>4</v>
      </c>
      <c r="B27" s="35" t="s">
        <v>53</v>
      </c>
      <c r="C27" s="35" t="s">
        <v>53</v>
      </c>
      <c r="D27" s="35" t="s">
        <v>53</v>
      </c>
      <c r="E27" s="35" t="s">
        <v>53</v>
      </c>
      <c r="F27" s="35" t="s">
        <v>53</v>
      </c>
      <c r="G27" s="35" t="s">
        <v>53</v>
      </c>
      <c r="H27" s="35" t="s">
        <v>77</v>
      </c>
      <c r="I27" s="35" t="s">
        <v>77</v>
      </c>
      <c r="J27" s="35" t="s">
        <v>77</v>
      </c>
      <c r="K27" s="35" t="s">
        <v>77</v>
      </c>
      <c r="L27" s="35" t="s">
        <v>77</v>
      </c>
      <c r="M27" s="35" t="s">
        <v>77</v>
      </c>
      <c r="N27" s="35" t="s">
        <v>77</v>
      </c>
      <c r="O27" s="35" t="s">
        <v>77</v>
      </c>
      <c r="P27" s="35" t="s">
        <v>77</v>
      </c>
      <c r="Q27" s="35" t="s">
        <v>77</v>
      </c>
      <c r="R27" s="35" t="s">
        <v>77</v>
      </c>
      <c r="S27" s="35" t="s">
        <v>28</v>
      </c>
      <c r="T27" s="35" t="s">
        <v>28</v>
      </c>
      <c r="U27" s="35" t="s">
        <v>33</v>
      </c>
      <c r="V27" s="35" t="s">
        <v>33</v>
      </c>
      <c r="W27" s="35" t="s">
        <v>33</v>
      </c>
      <c r="X27" s="35" t="s">
        <v>33</v>
      </c>
      <c r="Y27" s="35" t="s">
        <v>33</v>
      </c>
      <c r="Z27" s="35" t="s">
        <v>33</v>
      </c>
      <c r="AA27" s="35" t="s">
        <v>33</v>
      </c>
      <c r="AB27" s="35" t="s">
        <v>33</v>
      </c>
      <c r="AC27" s="35" t="s">
        <v>33</v>
      </c>
      <c r="AD27" s="35" t="s">
        <v>33</v>
      </c>
      <c r="AE27" s="35" t="s">
        <v>33</v>
      </c>
      <c r="AF27" s="35" t="s">
        <v>228</v>
      </c>
      <c r="AG27" s="35" t="s">
        <v>28</v>
      </c>
      <c r="AH27" s="35" t="s">
        <v>28</v>
      </c>
      <c r="AI27" s="35" t="s">
        <v>28</v>
      </c>
      <c r="AJ27" s="35" t="s">
        <v>28</v>
      </c>
      <c r="AK27" s="35" t="s">
        <v>28</v>
      </c>
      <c r="AL27" s="35" t="s">
        <v>28</v>
      </c>
      <c r="AM27" s="35" t="s">
        <v>53</v>
      </c>
      <c r="AN27" s="35" t="s">
        <v>53</v>
      </c>
      <c r="AO27" s="35" t="s">
        <v>53</v>
      </c>
      <c r="AP27" s="35" t="s">
        <v>53</v>
      </c>
      <c r="AQ27" s="35" t="s">
        <v>53</v>
      </c>
      <c r="AR27" s="35" t="s">
        <v>53</v>
      </c>
      <c r="AS27" s="35" t="s">
        <v>53</v>
      </c>
      <c r="AT27" s="35" t="s">
        <v>53</v>
      </c>
      <c r="AU27" s="35" t="s">
        <v>53</v>
      </c>
      <c r="AV27" s="35" t="s">
        <v>53</v>
      </c>
      <c r="AW27" s="35" t="s">
        <v>53</v>
      </c>
      <c r="AX27" s="35" t="s">
        <v>53</v>
      </c>
      <c r="AY27" s="35" t="s">
        <v>53</v>
      </c>
      <c r="AZ27" s="35" t="s">
        <v>53</v>
      </c>
      <c r="BA27" s="35" t="s">
        <v>53</v>
      </c>
      <c r="BB27" s="22">
        <f>COUNTIF(B27:BA27,"о")</f>
        <v>11</v>
      </c>
      <c r="BC27" s="22">
        <f>COUNTIF(B27:BA27,"в")</f>
        <v>11</v>
      </c>
      <c r="BD27" s="23">
        <f>SUM(BB27:BC27)</f>
        <v>22</v>
      </c>
      <c r="BE27" s="22">
        <f>COUNTIF(B27:BA27,$R$31)</f>
        <v>0</v>
      </c>
      <c r="BF27" s="22">
        <f>COUNTIF(B27:BA27,$R$33)</f>
        <v>1</v>
      </c>
      <c r="BG27" s="23">
        <f>SUM(BE27:BF27)</f>
        <v>1</v>
      </c>
      <c r="BH27" s="23">
        <f>COUNTIF(B27:BA27,$AF$31)</f>
        <v>0</v>
      </c>
      <c r="BI27" s="23">
        <f>COUNTIF(B27:BA27,$AF$33)</f>
        <v>21</v>
      </c>
      <c r="BJ27" s="23">
        <f>COUNTIF(B27:BA27,$AQ$31)</f>
        <v>0</v>
      </c>
      <c r="BK27" s="23">
        <f>COUNTIF(A27:AZ27,$AQ$33)</f>
        <v>0</v>
      </c>
      <c r="BL27" s="23"/>
      <c r="BM27" s="23">
        <f>COUNTIF(B27:BA27,$AZ$33)</f>
        <v>8</v>
      </c>
      <c r="BN27" s="23">
        <f>SUM(BG27:BM27)+BD27</f>
        <v>52</v>
      </c>
    </row>
    <row r="28" spans="1:66" ht="15.75" customHeight="1" x14ac:dyDescent="0.2">
      <c r="A28" s="8">
        <v>5</v>
      </c>
      <c r="B28" s="35" t="s">
        <v>53</v>
      </c>
      <c r="C28" s="35" t="s">
        <v>53</v>
      </c>
      <c r="D28" s="35" t="s">
        <v>53</v>
      </c>
      <c r="E28" s="35" t="s">
        <v>53</v>
      </c>
      <c r="F28" s="35" t="s">
        <v>53</v>
      </c>
      <c r="G28" s="35" t="s">
        <v>53</v>
      </c>
      <c r="H28" s="35" t="s">
        <v>53</v>
      </c>
      <c r="I28" s="35" t="s">
        <v>53</v>
      </c>
      <c r="J28" s="35" t="s">
        <v>53</v>
      </c>
      <c r="K28" s="35" t="s">
        <v>53</v>
      </c>
      <c r="L28" s="35" t="s">
        <v>28</v>
      </c>
      <c r="M28" s="35" t="s">
        <v>28</v>
      </c>
      <c r="N28" s="35" t="s">
        <v>28</v>
      </c>
      <c r="O28" s="35" t="s">
        <v>77</v>
      </c>
      <c r="P28" s="35" t="s">
        <v>77</v>
      </c>
      <c r="Q28" s="35" t="s">
        <v>77</v>
      </c>
      <c r="R28" s="35" t="s">
        <v>77</v>
      </c>
      <c r="S28" s="35" t="s">
        <v>28</v>
      </c>
      <c r="T28" s="35" t="s">
        <v>28</v>
      </c>
      <c r="U28" s="35" t="s">
        <v>33</v>
      </c>
      <c r="V28" s="35" t="s">
        <v>33</v>
      </c>
      <c r="W28" s="35" t="s">
        <v>33</v>
      </c>
      <c r="X28" s="35" t="s">
        <v>33</v>
      </c>
      <c r="Y28" s="35" t="s">
        <v>33</v>
      </c>
      <c r="Z28" s="35" t="s">
        <v>33</v>
      </c>
      <c r="AA28" s="35" t="s">
        <v>33</v>
      </c>
      <c r="AB28" s="35" t="s">
        <v>33</v>
      </c>
      <c r="AC28" s="35" t="s">
        <v>33</v>
      </c>
      <c r="AD28" s="35" t="s">
        <v>33</v>
      </c>
      <c r="AE28" s="35" t="s">
        <v>33</v>
      </c>
      <c r="AF28" s="35" t="s">
        <v>33</v>
      </c>
      <c r="AG28" s="35" t="s">
        <v>33</v>
      </c>
      <c r="AH28" s="35" t="s">
        <v>33</v>
      </c>
      <c r="AI28" s="35" t="s">
        <v>33</v>
      </c>
      <c r="AJ28" s="35" t="s">
        <v>33</v>
      </c>
      <c r="AK28" s="35" t="s">
        <v>33</v>
      </c>
      <c r="AL28" s="35" t="s">
        <v>33</v>
      </c>
      <c r="AM28" s="35" t="s">
        <v>228</v>
      </c>
      <c r="AN28" s="35" t="s">
        <v>228</v>
      </c>
      <c r="AO28" s="35" t="s">
        <v>32</v>
      </c>
      <c r="AP28" s="35" t="s">
        <v>32</v>
      </c>
      <c r="AQ28" s="35" t="s">
        <v>32</v>
      </c>
      <c r="AR28" s="35" t="s">
        <v>32</v>
      </c>
      <c r="AS28" s="35" t="s">
        <v>26</v>
      </c>
      <c r="AT28" s="35" t="s">
        <v>26</v>
      </c>
      <c r="AU28" s="35" t="s">
        <v>26</v>
      </c>
      <c r="AV28" s="35" t="s">
        <v>26</v>
      </c>
      <c r="AW28" s="35" t="s">
        <v>26</v>
      </c>
      <c r="AX28" s="35" t="s">
        <v>26</v>
      </c>
      <c r="AY28" s="35" t="s">
        <v>26</v>
      </c>
      <c r="AZ28" s="35" t="s">
        <v>26</v>
      </c>
      <c r="BA28" s="35" t="s">
        <v>26</v>
      </c>
      <c r="BB28" s="22">
        <f>COUNTIF(B28:BA28,"о")</f>
        <v>4</v>
      </c>
      <c r="BC28" s="22">
        <f>COUNTIF(B28:BA28,"в")</f>
        <v>18</v>
      </c>
      <c r="BD28" s="23">
        <f>SUM(BB28:BC28)</f>
        <v>22</v>
      </c>
      <c r="BE28" s="22">
        <f>COUNTIF(B28:BA28,$R$31)</f>
        <v>0</v>
      </c>
      <c r="BF28" s="22">
        <f>COUNTIF(B28:BA28,$R$33)</f>
        <v>2</v>
      </c>
      <c r="BG28" s="23">
        <f>SUM(BE28:BF28)</f>
        <v>2</v>
      </c>
      <c r="BH28" s="23">
        <f>COUNTIF(B28:BA28,$AF$31)</f>
        <v>0</v>
      </c>
      <c r="BI28" s="23">
        <f>COUNTIF(B28:BA28,$AF$33)</f>
        <v>10</v>
      </c>
      <c r="BJ28" s="23">
        <f>COUNTIF(B28:BA28,$AQ$31)</f>
        <v>0</v>
      </c>
      <c r="BK28" s="23">
        <f>COUNTIF(B28:BA28,$AZ$31)</f>
        <v>0</v>
      </c>
      <c r="BL28" s="23">
        <f>COUNTIF(B28:BA28,$AQ$33)</f>
        <v>4</v>
      </c>
      <c r="BM28" s="23">
        <f>COUNTIF(B28:BA28,$AZ$33)</f>
        <v>5</v>
      </c>
      <c r="BN28" s="23">
        <f>SUM(BG28:BM28)+BD28</f>
        <v>43</v>
      </c>
    </row>
    <row r="29" spans="1:66" ht="15.75" customHeight="1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580" t="s">
        <v>56</v>
      </c>
      <c r="AZ29" s="580"/>
      <c r="BA29" s="580"/>
      <c r="BB29" s="12">
        <f t="shared" ref="BB29:BN29" si="0">SUM(BB24:BB28)</f>
        <v>64</v>
      </c>
      <c r="BC29" s="12">
        <f t="shared" si="0"/>
        <v>79</v>
      </c>
      <c r="BD29" s="12">
        <f>SUM(BD24:BD28)</f>
        <v>143</v>
      </c>
      <c r="BE29" s="12">
        <f t="shared" si="0"/>
        <v>2</v>
      </c>
      <c r="BF29" s="12">
        <f t="shared" si="0"/>
        <v>7</v>
      </c>
      <c r="BG29" s="12">
        <f t="shared" si="0"/>
        <v>9</v>
      </c>
      <c r="BH29" s="12">
        <f t="shared" si="0"/>
        <v>9</v>
      </c>
      <c r="BI29" s="12">
        <f t="shared" si="0"/>
        <v>46</v>
      </c>
      <c r="BJ29" s="12">
        <f t="shared" si="0"/>
        <v>0</v>
      </c>
      <c r="BK29" s="12">
        <f t="shared" si="0"/>
        <v>0</v>
      </c>
      <c r="BL29" s="12">
        <f t="shared" si="0"/>
        <v>4</v>
      </c>
      <c r="BM29" s="12">
        <f t="shared" si="0"/>
        <v>40</v>
      </c>
      <c r="BN29" s="12">
        <f t="shared" si="0"/>
        <v>251</v>
      </c>
    </row>
    <row r="30" spans="1:66" ht="10.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s="5" customFormat="1" ht="11.25" customHeight="1" x14ac:dyDescent="0.2">
      <c r="A31" s="36"/>
      <c r="B31" s="21" t="s">
        <v>77</v>
      </c>
      <c r="C31" s="37" t="s">
        <v>22</v>
      </c>
      <c r="D31" s="609" t="s">
        <v>78</v>
      </c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10"/>
      <c r="R31" s="15" t="s">
        <v>227</v>
      </c>
      <c r="S31" s="37" t="s">
        <v>22</v>
      </c>
      <c r="T31" s="609" t="s">
        <v>225</v>
      </c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9"/>
      <c r="AF31" s="17" t="s">
        <v>52</v>
      </c>
      <c r="AG31" s="37" t="s">
        <v>22</v>
      </c>
      <c r="AH31" s="581" t="s">
        <v>23</v>
      </c>
      <c r="AI31" s="581"/>
      <c r="AJ31" s="581"/>
      <c r="AK31" s="581"/>
      <c r="AL31" s="581"/>
      <c r="AM31" s="581"/>
      <c r="AN31" s="581"/>
      <c r="AO31" s="581"/>
      <c r="AP31" s="581"/>
      <c r="AQ31" s="533"/>
      <c r="AR31" s="37"/>
      <c r="AS31" s="609"/>
      <c r="AT31" s="609"/>
      <c r="AU31" s="609"/>
      <c r="AV31" s="609"/>
      <c r="AW31" s="609"/>
      <c r="AX31" s="609"/>
      <c r="AY31" s="609"/>
      <c r="AZ31" s="532"/>
      <c r="BA31" s="532"/>
      <c r="BB31" s="532"/>
      <c r="BC31" s="532"/>
      <c r="BD31" s="532"/>
      <c r="BE31" s="532"/>
      <c r="BF31" s="532"/>
      <c r="BG31" s="532"/>
      <c r="BH31" s="532"/>
      <c r="BI31" s="36"/>
      <c r="BJ31" s="36"/>
      <c r="BK31" s="36"/>
      <c r="BL31" s="36"/>
      <c r="BM31" s="36"/>
      <c r="BN31" s="36"/>
    </row>
    <row r="32" spans="1:66" s="5" customFormat="1" ht="11.25" x14ac:dyDescent="0.2">
      <c r="A32" s="36"/>
      <c r="B32" s="36"/>
      <c r="C32" s="36"/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7"/>
      <c r="W32" s="38"/>
      <c r="X32" s="38"/>
      <c r="Y32" s="37"/>
      <c r="Z32" s="38"/>
      <c r="AA32" s="38"/>
      <c r="AB32" s="37"/>
      <c r="AC32" s="38"/>
      <c r="AD32" s="38"/>
      <c r="AE32" s="37"/>
      <c r="AF32" s="38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</row>
    <row r="33" spans="1:66" s="5" customFormat="1" ht="12.75" customHeight="1" x14ac:dyDescent="0.2">
      <c r="A33" s="36"/>
      <c r="B33" s="21" t="s">
        <v>33</v>
      </c>
      <c r="C33" s="37" t="s">
        <v>22</v>
      </c>
      <c r="D33" s="609" t="s">
        <v>79</v>
      </c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612"/>
      <c r="Q33" s="613"/>
      <c r="R33" s="15" t="s">
        <v>228</v>
      </c>
      <c r="S33" s="37" t="s">
        <v>22</v>
      </c>
      <c r="T33" s="614" t="s">
        <v>226</v>
      </c>
      <c r="U33" s="614"/>
      <c r="V33" s="614"/>
      <c r="W33" s="614"/>
      <c r="X33" s="614"/>
      <c r="Y33" s="614"/>
      <c r="Z33" s="614"/>
      <c r="AA33" s="614"/>
      <c r="AB33" s="614"/>
      <c r="AC33" s="614"/>
      <c r="AD33" s="614"/>
      <c r="AE33" s="615"/>
      <c r="AF33" s="17" t="s">
        <v>53</v>
      </c>
      <c r="AG33" s="37" t="s">
        <v>22</v>
      </c>
      <c r="AH33" s="289" t="s">
        <v>224</v>
      </c>
      <c r="AI33" s="289"/>
      <c r="AJ33" s="289"/>
      <c r="AK33" s="289"/>
      <c r="AL33" s="289"/>
      <c r="AM33" s="289"/>
      <c r="AN33" s="289"/>
      <c r="AO33" s="289"/>
      <c r="AP33" s="290"/>
      <c r="AQ33" s="15" t="s">
        <v>32</v>
      </c>
      <c r="AR33" s="37" t="s">
        <v>22</v>
      </c>
      <c r="AS33" s="554" t="s">
        <v>374</v>
      </c>
      <c r="AT33" s="554"/>
      <c r="AU33" s="554"/>
      <c r="AV33" s="554"/>
      <c r="AW33" s="554"/>
      <c r="AX33" s="554"/>
      <c r="AY33" s="554"/>
      <c r="AZ33" s="18" t="s">
        <v>28</v>
      </c>
      <c r="BA33" s="37" t="s">
        <v>22</v>
      </c>
      <c r="BB33" s="581" t="s">
        <v>223</v>
      </c>
      <c r="BC33" s="581"/>
      <c r="BD33" s="581"/>
      <c r="BE33" s="581"/>
      <c r="BF33" s="581"/>
      <c r="BG33" s="582"/>
      <c r="BH33" s="11" t="s">
        <v>26</v>
      </c>
      <c r="BI33" s="37" t="s">
        <v>22</v>
      </c>
      <c r="BJ33" s="554" t="s">
        <v>44</v>
      </c>
      <c r="BK33" s="554"/>
      <c r="BL33" s="554"/>
      <c r="BM33" s="554"/>
      <c r="BN33" s="554"/>
    </row>
    <row r="34" spans="1:66" x14ac:dyDescent="0.2">
      <c r="A34" s="28"/>
      <c r="B34" s="28"/>
      <c r="C34" s="28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28"/>
      <c r="S34" s="28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554"/>
      <c r="AT34" s="554"/>
      <c r="AU34" s="554"/>
      <c r="AV34" s="554"/>
      <c r="AW34" s="554"/>
      <c r="AX34" s="554"/>
      <c r="AY34" s="554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554"/>
      <c r="BK34" s="554"/>
      <c r="BL34" s="554"/>
      <c r="BM34" s="554"/>
      <c r="BN34" s="554"/>
    </row>
    <row r="35" spans="1:66" ht="12.75" hidden="1" customHeight="1" x14ac:dyDescent="0.2">
      <c r="A35" s="14"/>
      <c r="B35" s="16" t="str">
        <f>B31</f>
        <v>о</v>
      </c>
      <c r="D35" s="13" t="s">
        <v>116</v>
      </c>
      <c r="L35" s="611" t="s">
        <v>165</v>
      </c>
      <c r="M35" s="611"/>
      <c r="N35" s="611"/>
      <c r="O35" s="611"/>
      <c r="P35" s="611"/>
      <c r="Q35" s="611"/>
      <c r="R35" s="611"/>
      <c r="S35" s="611"/>
      <c r="T35" s="611"/>
      <c r="U35" s="611"/>
    </row>
    <row r="36" spans="1:66" ht="21" hidden="1" customHeight="1" x14ac:dyDescent="0.2">
      <c r="A36" s="14"/>
      <c r="B36" s="16" t="str">
        <f>R31</f>
        <v>оа</v>
      </c>
      <c r="D36" s="13" t="s">
        <v>117</v>
      </c>
      <c r="L36" s="611" t="s">
        <v>166</v>
      </c>
      <c r="M36" s="611"/>
      <c r="N36" s="611"/>
      <c r="O36" s="611"/>
      <c r="P36" s="611"/>
      <c r="Q36" s="611"/>
      <c r="R36" s="611"/>
      <c r="S36" s="611"/>
      <c r="T36" s="611"/>
      <c r="U36" s="611"/>
      <c r="BA36" s="5"/>
      <c r="BK36" s="1"/>
      <c r="BL36" s="1"/>
    </row>
    <row r="37" spans="1:66" ht="12.75" hidden="1" customHeight="1" x14ac:dyDescent="0.2">
      <c r="A37" s="14"/>
      <c r="B37" s="15" t="str">
        <f>B33</f>
        <v>в</v>
      </c>
      <c r="D37" s="13" t="s">
        <v>118</v>
      </c>
      <c r="L37" s="611" t="s">
        <v>169</v>
      </c>
      <c r="M37" s="611"/>
      <c r="N37" s="611"/>
      <c r="O37" s="611"/>
      <c r="P37" s="611"/>
      <c r="Q37" s="611"/>
      <c r="R37" s="611"/>
      <c r="S37" s="611"/>
      <c r="T37" s="611"/>
      <c r="U37" s="611"/>
      <c r="V37" s="611"/>
      <c r="W37" s="611"/>
      <c r="X37" s="611"/>
      <c r="Y37" s="611"/>
      <c r="Z37" s="611"/>
      <c r="AA37" s="611"/>
      <c r="AB37" s="611"/>
      <c r="AC37" s="611"/>
      <c r="AD37" s="611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t="12.75" hidden="1" customHeight="1" x14ac:dyDescent="0.2">
      <c r="A38" s="14"/>
      <c r="B38" s="15" t="str">
        <f>R33</f>
        <v>ва</v>
      </c>
      <c r="D38" s="13"/>
      <c r="L38" s="611" t="s">
        <v>170</v>
      </c>
      <c r="M38" s="611"/>
      <c r="N38" s="611"/>
      <c r="O38" s="611"/>
      <c r="P38" s="611"/>
      <c r="Q38" s="611"/>
      <c r="R38" s="611"/>
      <c r="S38" s="611"/>
      <c r="T38" s="611"/>
      <c r="U38" s="611"/>
      <c r="V38" s="611"/>
      <c r="W38" s="611"/>
      <c r="X38" s="611"/>
      <c r="Y38" s="611"/>
      <c r="Z38" s="611"/>
      <c r="AA38" s="611"/>
      <c r="AB38" s="611"/>
      <c r="AC38" s="611"/>
      <c r="AD38" s="611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14"/>
      <c r="B39" s="17" t="str">
        <f>AF31</f>
        <v>у</v>
      </c>
      <c r="D39" s="13" t="s">
        <v>119</v>
      </c>
      <c r="AQ39" s="5"/>
      <c r="BA39" s="5"/>
    </row>
    <row r="40" spans="1:66" hidden="1" x14ac:dyDescent="0.2">
      <c r="A40" s="14"/>
      <c r="B40" s="17" t="str">
        <f>AF33</f>
        <v>п</v>
      </c>
    </row>
    <row r="41" spans="1:66" hidden="1" x14ac:dyDescent="0.2">
      <c r="A41" s="14"/>
      <c r="B41" s="18" t="str">
        <f>AZ33</f>
        <v>к</v>
      </c>
    </row>
    <row r="42" spans="1:66" hidden="1" x14ac:dyDescent="0.2">
      <c r="A42" s="14"/>
      <c r="B42" s="19">
        <f>AQ31</f>
        <v>0</v>
      </c>
    </row>
    <row r="43" spans="1:66" hidden="1" x14ac:dyDescent="0.2">
      <c r="A43" s="14"/>
      <c r="B43" s="19" t="str">
        <f>AQ33</f>
        <v>А</v>
      </c>
    </row>
    <row r="44" spans="1:66" hidden="1" x14ac:dyDescent="0.2">
      <c r="A44" s="14"/>
      <c r="B44" s="20" t="str">
        <f>BH33</f>
        <v xml:space="preserve"> </v>
      </c>
    </row>
    <row r="45" spans="1:66" hidden="1" x14ac:dyDescent="0.2">
      <c r="K45" s="13" t="s">
        <v>348</v>
      </c>
    </row>
    <row r="46" spans="1:66" hidden="1" x14ac:dyDescent="0.2">
      <c r="K46" s="80" t="s">
        <v>80</v>
      </c>
      <c r="L46" s="81"/>
      <c r="N46" s="82" t="s">
        <v>360</v>
      </c>
      <c r="O46" s="83"/>
      <c r="P46" s="83"/>
      <c r="Q46" s="83"/>
      <c r="R46" s="83"/>
    </row>
    <row r="47" spans="1:66" hidden="1" x14ac:dyDescent="0.2">
      <c r="K47" s="80" t="s">
        <v>81</v>
      </c>
      <c r="L47" s="81"/>
      <c r="N47" s="82" t="s">
        <v>361</v>
      </c>
      <c r="O47" s="83"/>
      <c r="P47" s="83"/>
      <c r="Q47" s="83"/>
      <c r="R47" s="83"/>
    </row>
    <row r="48" spans="1:66" hidden="1" x14ac:dyDescent="0.2">
      <c r="K48" s="80" t="s">
        <v>82</v>
      </c>
      <c r="L48" s="81"/>
      <c r="N48" s="82" t="s">
        <v>362</v>
      </c>
      <c r="O48" s="83"/>
      <c r="P48" s="83"/>
      <c r="Q48" s="83"/>
      <c r="R48" s="83"/>
    </row>
    <row r="49" spans="11:18" hidden="1" x14ac:dyDescent="0.2">
      <c r="K49" s="80" t="s">
        <v>83</v>
      </c>
      <c r="L49" s="81"/>
      <c r="N49" s="82" t="s">
        <v>363</v>
      </c>
      <c r="O49" s="83"/>
      <c r="P49" s="83"/>
      <c r="Q49" s="83"/>
      <c r="R49" s="83"/>
    </row>
  </sheetData>
  <sheetProtection selectLockedCells="1" sort="0" autoFilter="0" pivotTables="0" selectUnlockedCells="1"/>
  <dataConsolidate/>
  <mergeCells count="89">
    <mergeCell ref="L38:AD38"/>
    <mergeCell ref="L37:AD37"/>
    <mergeCell ref="L36:U36"/>
    <mergeCell ref="L35:U35"/>
    <mergeCell ref="D33:Q33"/>
    <mergeCell ref="T33:AE33"/>
    <mergeCell ref="A19:A23"/>
    <mergeCell ref="F19:F20"/>
    <mergeCell ref="AH31:AP31"/>
    <mergeCell ref="AS31:AY31"/>
    <mergeCell ref="T31:AE31"/>
    <mergeCell ref="D31:Q31"/>
    <mergeCell ref="B19:E20"/>
    <mergeCell ref="S19:S20"/>
    <mergeCell ref="F21:F22"/>
    <mergeCell ref="J21:J22"/>
    <mergeCell ref="J19:J20"/>
    <mergeCell ref="G19:I20"/>
    <mergeCell ref="K19:N20"/>
    <mergeCell ref="A14:N14"/>
    <mergeCell ref="O14:BB14"/>
    <mergeCell ref="A16:N16"/>
    <mergeCell ref="A15:N15"/>
    <mergeCell ref="O13:BB13"/>
    <mergeCell ref="A9:N9"/>
    <mergeCell ref="O9:BB9"/>
    <mergeCell ref="BC9:BN12"/>
    <mergeCell ref="A13:N13"/>
    <mergeCell ref="A10:N10"/>
    <mergeCell ref="A11:N11"/>
    <mergeCell ref="O10:BB10"/>
    <mergeCell ref="O11:BB11"/>
    <mergeCell ref="O12:BB12"/>
    <mergeCell ref="BC13:BN13"/>
    <mergeCell ref="BC4:BN4"/>
    <mergeCell ref="A2:N2"/>
    <mergeCell ref="A4:N4"/>
    <mergeCell ref="A7:BN7"/>
    <mergeCell ref="BC2:BN2"/>
    <mergeCell ref="BC6:BN6"/>
    <mergeCell ref="BC3:BN3"/>
    <mergeCell ref="H3:N3"/>
    <mergeCell ref="A3:G3"/>
    <mergeCell ref="BB33:BG33"/>
    <mergeCell ref="AO19:AR20"/>
    <mergeCell ref="AT19:AV20"/>
    <mergeCell ref="AS33:AY34"/>
    <mergeCell ref="O1:BB1"/>
    <mergeCell ref="O2:BB2"/>
    <mergeCell ref="O3:BB3"/>
    <mergeCell ref="O19:R20"/>
    <mergeCell ref="O16:P16"/>
    <mergeCell ref="Q16:S16"/>
    <mergeCell ref="T16:U16"/>
    <mergeCell ref="AF19:AF20"/>
    <mergeCell ref="T19:V20"/>
    <mergeCell ref="V16:Z16"/>
    <mergeCell ref="BB19:BN19"/>
    <mergeCell ref="BH20:BH23"/>
    <mergeCell ref="BN20:BN23"/>
    <mergeCell ref="AY29:BA29"/>
    <mergeCell ref="O17:BB17"/>
    <mergeCell ref="AB19:AE20"/>
    <mergeCell ref="AG19:AI20"/>
    <mergeCell ref="AK19:AN20"/>
    <mergeCell ref="W19:W20"/>
    <mergeCell ref="S21:S22"/>
    <mergeCell ref="AJ19:AJ20"/>
    <mergeCell ref="AW21:AW22"/>
    <mergeCell ref="BI20:BI23"/>
    <mergeCell ref="BJ20:BJ23"/>
    <mergeCell ref="BK20:BK23"/>
    <mergeCell ref="BL20:BL23"/>
    <mergeCell ref="BJ33:BN34"/>
    <mergeCell ref="O8:BB8"/>
    <mergeCell ref="BE20:BG22"/>
    <mergeCell ref="AX19:BA20"/>
    <mergeCell ref="AA21:AA22"/>
    <mergeCell ref="AJ21:AJ22"/>
    <mergeCell ref="AA19:AA20"/>
    <mergeCell ref="BB20:BD22"/>
    <mergeCell ref="AS19:AS20"/>
    <mergeCell ref="AS21:AS22"/>
    <mergeCell ref="AW19:AW20"/>
    <mergeCell ref="W21:W22"/>
    <mergeCell ref="AF21:AF22"/>
    <mergeCell ref="X19:Z20"/>
    <mergeCell ref="O15:BB15"/>
    <mergeCell ref="BM20:BM23"/>
  </mergeCells>
  <phoneticPr fontId="0" type="noConversion"/>
  <conditionalFormatting sqref="A35:A36">
    <cfRule type="cellIs" priority="14" stopIfTrue="1" operator="equal">
      <formula>#REF!</formula>
    </cfRule>
  </conditionalFormatting>
  <conditionalFormatting sqref="A37:A38">
    <cfRule type="expression" dxfId="340" priority="15" stopIfTrue="1">
      <formula>$R$31</formula>
    </cfRule>
  </conditionalFormatting>
  <conditionalFormatting sqref="B35">
    <cfRule type="cellIs" priority="16" stopIfTrue="1" operator="equal">
      <formula>$B$31</formula>
    </cfRule>
  </conditionalFormatting>
  <conditionalFormatting sqref="B36">
    <cfRule type="cellIs" dxfId="339" priority="17" stopIfTrue="1" operator="equal">
      <formula>$R$31</formula>
    </cfRule>
  </conditionalFormatting>
  <conditionalFormatting sqref="B37">
    <cfRule type="cellIs" dxfId="338" priority="18" stopIfTrue="1" operator="equal">
      <formula>$B$33</formula>
    </cfRule>
  </conditionalFormatting>
  <conditionalFormatting sqref="B38">
    <cfRule type="cellIs" dxfId="337" priority="19" stopIfTrue="1" operator="equal">
      <formula>$R$33</formula>
    </cfRule>
  </conditionalFormatting>
  <conditionalFormatting sqref="B39">
    <cfRule type="cellIs" priority="20" stopIfTrue="1" operator="equal">
      <formula>$AF$31</formula>
    </cfRule>
  </conditionalFormatting>
  <conditionalFormatting sqref="B40">
    <cfRule type="cellIs" dxfId="336" priority="21" stopIfTrue="1" operator="equal">
      <formula>$AF$33</formula>
    </cfRule>
  </conditionalFormatting>
  <conditionalFormatting sqref="B41">
    <cfRule type="cellIs" dxfId="335" priority="22" stopIfTrue="1" operator="equal">
      <formula>$AZ$33</formula>
    </cfRule>
  </conditionalFormatting>
  <conditionalFormatting sqref="B42">
    <cfRule type="cellIs" dxfId="334" priority="23" stopIfTrue="1" operator="equal">
      <formula>$AQ$31</formula>
    </cfRule>
  </conditionalFormatting>
  <conditionalFormatting sqref="B43">
    <cfRule type="cellIs" dxfId="333" priority="25" stopIfTrue="1" operator="equal">
      <formula>$AQ$33</formula>
    </cfRule>
  </conditionalFormatting>
  <conditionalFormatting sqref="B44">
    <cfRule type="cellIs" priority="26" stopIfTrue="1" operator="equal">
      <formula>$BH$33</formula>
    </cfRule>
  </conditionalFormatting>
  <conditionalFormatting sqref="R27:R28 R24 L28:AL28 S24:BA28 B24:Q28">
    <cfRule type="expression" dxfId="332" priority="27" stopIfTrue="1">
      <formula>OR(B24=$R$31,B24=$R$33,B24=$AQ$31,B24=$AZ$31,B24=$AQ$33)</formula>
    </cfRule>
    <cfRule type="expression" dxfId="331" priority="28" stopIfTrue="1">
      <formula>OR(B24=$AF$31,B24=$AF$33)</formula>
    </cfRule>
    <cfRule type="cellIs" dxfId="330" priority="29" stopIfTrue="1" operator="equal">
      <formula>$AZ$33</formula>
    </cfRule>
  </conditionalFormatting>
  <conditionalFormatting sqref="B28:AR28">
    <cfRule type="expression" dxfId="329" priority="10" stopIfTrue="1">
      <formula>OR(B28=$R$31,B28=$R$33,B28=$AQ$31,B28=$AZ$31,B28=$AQ$33)</formula>
    </cfRule>
    <cfRule type="expression" dxfId="328" priority="11" stopIfTrue="1">
      <formula>OR(B28=$AF$31,B28=$AF$33)</formula>
    </cfRule>
    <cfRule type="cellIs" dxfId="327" priority="12" stopIfTrue="1" operator="equal">
      <formula>$AZ$33</formula>
    </cfRule>
  </conditionalFormatting>
  <conditionalFormatting sqref="B28:AR28">
    <cfRule type="expression" dxfId="326" priority="7" stopIfTrue="1">
      <formula>OR(B28=$R$31,B28=$R$33,B28=$AQ$31,B28=$AZ$31,B28=$AQ$33)</formula>
    </cfRule>
    <cfRule type="expression" dxfId="325" priority="8" stopIfTrue="1">
      <formula>OR(B28=$AF$31,B28=$AF$33)</formula>
    </cfRule>
    <cfRule type="cellIs" dxfId="324" priority="9" stopIfTrue="1" operator="equal">
      <formula>$AZ$33</formula>
    </cfRule>
  </conditionalFormatting>
  <conditionalFormatting sqref="B28:AR28">
    <cfRule type="expression" dxfId="323" priority="4" stopIfTrue="1">
      <formula>OR(B28=$R$31,B28=$R$33,B28=$AQ$31,B28=$AZ$31,B28=$AQ$33)</formula>
    </cfRule>
    <cfRule type="expression" dxfId="322" priority="5" stopIfTrue="1">
      <formula>OR(B28=$AF$31,B28=$AF$33)</formula>
    </cfRule>
    <cfRule type="cellIs" dxfId="321" priority="6" stopIfTrue="1" operator="equal">
      <formula>$AZ$33</formula>
    </cfRule>
  </conditionalFormatting>
  <conditionalFormatting sqref="B28:AR28">
    <cfRule type="expression" dxfId="320" priority="1" stopIfTrue="1">
      <formula>OR(B28=$R$31,B28=$R$33,B28=$AQ$31,B28=$AZ$31,B28=$AQ$33)</formula>
    </cfRule>
    <cfRule type="expression" dxfId="319" priority="2" stopIfTrue="1">
      <formula>OR(B28=$AF$31,B28=$AF$33)</formula>
    </cfRule>
    <cfRule type="cellIs" dxfId="318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3:BB13">
      <formula1>$L$35:$L$36</formula1>
    </dataValidation>
    <dataValidation type="list" allowBlank="1" showInputMessage="1" showErrorMessage="1" prompt="выберите из списка" sqref="B24:Q28 R24 S24:BA28 R27:R28">
      <formula1>$B$35:$B$44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 verticalCentered="1"/>
  <pageMargins left="0" right="0" top="0.59055118110236227" bottom="0.39370078740157483" header="0.11811023622047245" footer="0.11811023622047245"/>
  <pageSetup paperSize="8" orientation="landscape" horizontalDpi="300" verticalDpi="300" r:id="rId1"/>
  <headerFooter alignWithMargins="0">
    <oddFooter>&amp;L&amp;F&amp;C&amp;A</oddFooter>
  </headerFooter>
  <cellWatches>
    <cellWatch r="B24"/>
    <cellWatch r="O1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 summaryRight="0"/>
    <pageSetUpPr fitToPage="1"/>
  </sheetPr>
  <dimension ref="A1:TK178"/>
  <sheetViews>
    <sheetView showZeros="0" topLeftCell="A3" zoomScale="70" zoomScaleNormal="70" workbookViewId="0">
      <pane xSplit="17" ySplit="7" topLeftCell="BO10" activePane="bottomRight" state="frozen"/>
      <selection activeCell="A3" sqref="A3"/>
      <selection pane="topRight" activeCell="U3" sqref="U3"/>
      <selection pane="bottomLeft" activeCell="A10" sqref="A10"/>
      <selection pane="bottomRight" activeCell="W13" sqref="W13"/>
    </sheetView>
  </sheetViews>
  <sheetFormatPr defaultRowHeight="12.75" x14ac:dyDescent="0.2"/>
  <cols>
    <col min="1" max="1" width="16" style="40" customWidth="1"/>
    <col min="2" max="2" width="45.83203125" style="40" customWidth="1"/>
    <col min="3" max="3" width="17.5" style="40" customWidth="1"/>
    <col min="4" max="4" width="8" style="64" customWidth="1"/>
    <col min="5" max="7" width="7.6640625" style="64" customWidth="1"/>
    <col min="8" max="8" width="8.33203125" style="64" customWidth="1"/>
    <col min="9" max="9" width="8.6640625" style="65" customWidth="1"/>
    <col min="10" max="10" width="9.1640625" style="65" customWidth="1"/>
    <col min="11" max="11" width="0.1640625" style="40" customWidth="1"/>
    <col min="12" max="12" width="8.1640625" style="40" customWidth="1"/>
    <col min="13" max="13" width="7.83203125" style="40" customWidth="1"/>
    <col min="14" max="14" width="7.33203125" style="40" customWidth="1"/>
    <col min="15" max="15" width="6.5" style="40" customWidth="1"/>
    <col min="16" max="16" width="8.1640625" style="40" customWidth="1"/>
    <col min="17" max="17" width="10.1640625" style="40" customWidth="1"/>
    <col min="18" max="19" width="6.83203125" style="40" customWidth="1"/>
    <col min="20" max="20" width="7.6640625" style="40" customWidth="1"/>
    <col min="21" max="22" width="6.83203125" style="40" customWidth="1"/>
    <col min="23" max="23" width="7.83203125" style="40" customWidth="1"/>
    <col min="24" max="30" width="6.83203125" style="40" customWidth="1"/>
    <col min="31" max="31" width="7.33203125" style="40" customWidth="1"/>
    <col min="32" max="34" width="6.83203125" style="40" customWidth="1"/>
    <col min="35" max="35" width="7.1640625" style="40" customWidth="1"/>
    <col min="36" max="53" width="6.83203125" style="40" customWidth="1"/>
    <col min="54" max="54" width="6" style="40" customWidth="1"/>
    <col min="55" max="55" width="7" style="40" customWidth="1"/>
    <col min="56" max="56" width="6.6640625" style="40" customWidth="1"/>
    <col min="57" max="57" width="6.83203125" style="40" customWidth="1"/>
    <col min="58" max="58" width="6.6640625" style="40" customWidth="1"/>
    <col min="59" max="59" width="7.5" style="40" customWidth="1"/>
    <col min="60" max="60" width="7" style="40" customWidth="1"/>
    <col min="61" max="67" width="6.83203125" style="40" customWidth="1"/>
    <col min="68" max="68" width="6.5" style="40" customWidth="1"/>
    <col min="69" max="74" width="6.83203125" style="40" customWidth="1"/>
    <col min="75" max="75" width="7" style="40" customWidth="1"/>
    <col min="76" max="77" width="6.83203125" style="40" customWidth="1"/>
    <col min="78" max="78" width="13" style="44" customWidth="1"/>
    <col min="79" max="79" width="26.1640625" style="44" customWidth="1"/>
    <col min="80" max="84" width="0" style="41" hidden="1" customWidth="1"/>
    <col min="85" max="16384" width="9.33203125" style="41"/>
  </cols>
  <sheetData>
    <row r="1" spans="1:83" ht="15.75" x14ac:dyDescent="0.2">
      <c r="A1" s="713" t="s">
        <v>37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713"/>
      <c r="AC1" s="713"/>
      <c r="AD1" s="713"/>
      <c r="AE1" s="713"/>
      <c r="AF1" s="713"/>
      <c r="AG1" s="713"/>
      <c r="AH1" s="713"/>
      <c r="AI1" s="713"/>
      <c r="AJ1" s="713"/>
      <c r="AK1" s="713"/>
      <c r="AL1" s="713"/>
      <c r="AM1" s="713"/>
      <c r="AN1" s="713"/>
      <c r="AO1" s="713"/>
      <c r="AP1" s="713"/>
      <c r="AQ1" s="713"/>
      <c r="AR1" s="713"/>
      <c r="AS1" s="713"/>
      <c r="AT1" s="713"/>
      <c r="AU1" s="713"/>
      <c r="AV1" s="713"/>
      <c r="AW1" s="713"/>
      <c r="AX1" s="713"/>
      <c r="AY1" s="713"/>
      <c r="AZ1" s="713"/>
      <c r="BA1" s="713"/>
      <c r="BB1" s="713"/>
      <c r="BC1" s="713"/>
      <c r="BD1" s="713"/>
      <c r="BE1" s="713"/>
      <c r="BF1" s="713"/>
      <c r="BG1" s="713"/>
      <c r="BH1" s="713"/>
      <c r="BI1" s="713"/>
      <c r="BJ1" s="713"/>
      <c r="BK1" s="713"/>
      <c r="BL1" s="713"/>
      <c r="BM1" s="713"/>
      <c r="BN1" s="713"/>
      <c r="BO1" s="713"/>
      <c r="BP1" s="713"/>
      <c r="BQ1" s="713"/>
      <c r="BR1" s="713"/>
      <c r="BS1" s="713"/>
      <c r="BT1" s="713"/>
      <c r="BU1" s="713"/>
      <c r="BV1" s="713"/>
      <c r="BW1" s="713"/>
      <c r="BX1" s="713"/>
      <c r="BY1" s="713"/>
      <c r="BZ1" s="714"/>
      <c r="CA1" s="713"/>
    </row>
    <row r="2" spans="1:83" ht="13.5" thickBot="1" x14ac:dyDescent="0.25">
      <c r="B2" s="42"/>
      <c r="C2" s="42"/>
      <c r="D2" s="42"/>
      <c r="E2" s="42"/>
      <c r="F2" s="42"/>
      <c r="G2" s="42"/>
      <c r="H2" s="42"/>
      <c r="I2" s="43"/>
      <c r="J2" s="43"/>
      <c r="K2" s="42"/>
      <c r="L2" s="42"/>
      <c r="M2" s="42"/>
      <c r="N2" s="42"/>
      <c r="O2" s="42"/>
      <c r="P2" s="42"/>
    </row>
    <row r="3" spans="1:83" s="45" customFormat="1" ht="12.75" customHeight="1" x14ac:dyDescent="0.2">
      <c r="A3" s="718" t="s">
        <v>171</v>
      </c>
      <c r="B3" s="730" t="s">
        <v>583</v>
      </c>
      <c r="C3" s="666" t="s">
        <v>75</v>
      </c>
      <c r="D3" s="671" t="s">
        <v>584</v>
      </c>
      <c r="E3" s="672"/>
      <c r="F3" s="672"/>
      <c r="G3" s="672"/>
      <c r="H3" s="672"/>
      <c r="I3" s="616" t="s">
        <v>229</v>
      </c>
      <c r="J3" s="617"/>
      <c r="K3" s="728" t="s">
        <v>2</v>
      </c>
      <c r="L3" s="728"/>
      <c r="M3" s="728"/>
      <c r="N3" s="728"/>
      <c r="O3" s="728"/>
      <c r="P3" s="728"/>
      <c r="Q3" s="728"/>
      <c r="R3" s="87"/>
      <c r="S3" s="627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8"/>
      <c r="BE3" s="628"/>
      <c r="BF3" s="628"/>
      <c r="BG3" s="628"/>
      <c r="BH3" s="628"/>
      <c r="BI3" s="628"/>
      <c r="BJ3" s="628"/>
      <c r="BK3" s="628"/>
      <c r="BL3" s="628"/>
      <c r="BM3" s="628"/>
      <c r="BN3" s="628"/>
      <c r="BO3" s="628"/>
      <c r="BP3" s="628"/>
      <c r="BQ3" s="628"/>
      <c r="BR3" s="628"/>
      <c r="BS3" s="628"/>
      <c r="BT3" s="628"/>
      <c r="BU3" s="628"/>
      <c r="BV3" s="628"/>
      <c r="BW3" s="628"/>
      <c r="BX3" s="628"/>
      <c r="BY3" s="629"/>
      <c r="BZ3" s="715" t="s">
        <v>172</v>
      </c>
      <c r="CA3" s="725" t="s">
        <v>73</v>
      </c>
    </row>
    <row r="4" spans="1:83" s="45" customFormat="1" ht="12.75" customHeight="1" x14ac:dyDescent="0.2">
      <c r="A4" s="719"/>
      <c r="B4" s="731"/>
      <c r="C4" s="667"/>
      <c r="D4" s="673"/>
      <c r="E4" s="674"/>
      <c r="F4" s="674"/>
      <c r="G4" s="674"/>
      <c r="H4" s="674"/>
      <c r="I4" s="618"/>
      <c r="J4" s="619"/>
      <c r="K4" s="624" t="s">
        <v>1</v>
      </c>
      <c r="L4" s="721" t="s">
        <v>3</v>
      </c>
      <c r="M4" s="721"/>
      <c r="N4" s="721"/>
      <c r="O4" s="721"/>
      <c r="P4" s="721"/>
      <c r="Q4" s="722"/>
      <c r="R4" s="627"/>
      <c r="S4" s="628"/>
      <c r="T4" s="628"/>
      <c r="U4" s="628"/>
      <c r="V4" s="628"/>
      <c r="W4" s="628"/>
      <c r="X4" s="628"/>
      <c r="Y4" s="628"/>
      <c r="Z4" s="628"/>
      <c r="AA4" s="628"/>
      <c r="AB4" s="628"/>
      <c r="AC4" s="629"/>
      <c r="AD4" s="627"/>
      <c r="AE4" s="628"/>
      <c r="AF4" s="628"/>
      <c r="AG4" s="628"/>
      <c r="AH4" s="628"/>
      <c r="AI4" s="628"/>
      <c r="AJ4" s="628"/>
      <c r="AK4" s="628"/>
      <c r="AL4" s="628"/>
      <c r="AM4" s="628"/>
      <c r="AN4" s="628"/>
      <c r="AO4" s="629"/>
      <c r="AP4" s="627"/>
      <c r="AQ4" s="628"/>
      <c r="AR4" s="628"/>
      <c r="AS4" s="628"/>
      <c r="AT4" s="628"/>
      <c r="AU4" s="628"/>
      <c r="AV4" s="628"/>
      <c r="AW4" s="628"/>
      <c r="AX4" s="628"/>
      <c r="AY4" s="628"/>
      <c r="AZ4" s="628"/>
      <c r="BA4" s="629"/>
      <c r="BB4" s="627"/>
      <c r="BC4" s="628"/>
      <c r="BD4" s="628"/>
      <c r="BE4" s="628"/>
      <c r="BF4" s="628"/>
      <c r="BG4" s="628"/>
      <c r="BH4" s="628"/>
      <c r="BI4" s="628"/>
      <c r="BJ4" s="628"/>
      <c r="BK4" s="628"/>
      <c r="BL4" s="628"/>
      <c r="BM4" s="629"/>
      <c r="BN4" s="627"/>
      <c r="BO4" s="628"/>
      <c r="BP4" s="628"/>
      <c r="BQ4" s="628"/>
      <c r="BR4" s="628"/>
      <c r="BS4" s="628"/>
      <c r="BT4" s="628"/>
      <c r="BU4" s="628"/>
      <c r="BV4" s="628"/>
      <c r="BW4" s="628"/>
      <c r="BX4" s="628"/>
      <c r="BY4" s="629"/>
      <c r="BZ4" s="716"/>
      <c r="CA4" s="726"/>
    </row>
    <row r="5" spans="1:83" s="45" customFormat="1" ht="12.75" customHeight="1" x14ac:dyDescent="0.2">
      <c r="A5" s="719"/>
      <c r="B5" s="731"/>
      <c r="C5" s="667"/>
      <c r="D5" s="669" t="s">
        <v>65</v>
      </c>
      <c r="E5" s="669" t="s">
        <v>578</v>
      </c>
      <c r="F5" s="334"/>
      <c r="G5" s="669" t="s">
        <v>585</v>
      </c>
      <c r="H5" s="683" t="s">
        <v>586</v>
      </c>
      <c r="I5" s="618"/>
      <c r="J5" s="619"/>
      <c r="K5" s="625"/>
      <c r="L5" s="622" t="s">
        <v>86</v>
      </c>
      <c r="M5" s="733"/>
      <c r="N5" s="733"/>
      <c r="O5" s="733"/>
      <c r="P5" s="734"/>
      <c r="Q5" s="723" t="s">
        <v>87</v>
      </c>
      <c r="R5" s="630" t="s">
        <v>27</v>
      </c>
      <c r="S5" s="631"/>
      <c r="T5" s="339"/>
      <c r="U5" s="339"/>
      <c r="V5" s="339">
        <f>'Титульный лист'!BB24</f>
        <v>17</v>
      </c>
      <c r="W5" s="420">
        <f>'Титульный лист'!BE24</f>
        <v>0</v>
      </c>
      <c r="X5" s="630" t="s">
        <v>31</v>
      </c>
      <c r="Y5" s="631"/>
      <c r="Z5" s="344"/>
      <c r="AA5" s="344"/>
      <c r="AB5" s="339">
        <f>'Титульный лист'!BC24</f>
        <v>22</v>
      </c>
      <c r="AC5" s="420">
        <f>'Титульный лист'!BF24</f>
        <v>2</v>
      </c>
      <c r="AD5" s="631" t="s">
        <v>30</v>
      </c>
      <c r="AE5" s="631"/>
      <c r="AF5" s="86"/>
      <c r="AG5" s="86"/>
      <c r="AH5" s="339">
        <f>'Титульный лист'!BB25</f>
        <v>16</v>
      </c>
      <c r="AI5" s="339">
        <f>'Титульный лист'!BE25</f>
        <v>1</v>
      </c>
      <c r="AJ5" s="630" t="s">
        <v>40</v>
      </c>
      <c r="AK5" s="631"/>
      <c r="AL5" s="344"/>
      <c r="AM5" s="344"/>
      <c r="AN5" s="339">
        <f>'Титульный лист'!BC25</f>
        <v>17</v>
      </c>
      <c r="AO5" s="420">
        <f>'Титульный лист'!BF25</f>
        <v>1</v>
      </c>
      <c r="AP5" s="711" t="s">
        <v>41</v>
      </c>
      <c r="AQ5" s="712"/>
      <c r="AR5" s="86"/>
      <c r="AS5" s="86"/>
      <c r="AT5" s="339">
        <f>'Титульный лист'!BB26</f>
        <v>16</v>
      </c>
      <c r="AU5" s="339">
        <f>'Титульный лист'!BE26</f>
        <v>1</v>
      </c>
      <c r="AV5" s="707" t="s">
        <v>42</v>
      </c>
      <c r="AW5" s="708"/>
      <c r="AX5" s="344"/>
      <c r="AY5" s="344"/>
      <c r="AZ5" s="339">
        <f>'Титульный лист'!BC26</f>
        <v>11</v>
      </c>
      <c r="BA5" s="420">
        <f>'Титульный лист'!BF26</f>
        <v>1</v>
      </c>
      <c r="BB5" s="711" t="s">
        <v>43</v>
      </c>
      <c r="BC5" s="712"/>
      <c r="BD5" s="86"/>
      <c r="BE5" s="86"/>
      <c r="BF5" s="339">
        <f>'Титульный лист'!BB27</f>
        <v>11</v>
      </c>
      <c r="BG5" s="339">
        <f>'Титульный лист'!BE27</f>
        <v>0</v>
      </c>
      <c r="BH5" s="707" t="s">
        <v>38</v>
      </c>
      <c r="BI5" s="708"/>
      <c r="BJ5" s="344"/>
      <c r="BK5" s="344"/>
      <c r="BL5" s="339">
        <f>'Титульный лист'!BC27</f>
        <v>11</v>
      </c>
      <c r="BM5" s="420">
        <f>'Титульный лист'!BF27</f>
        <v>1</v>
      </c>
      <c r="BN5" s="711" t="s">
        <v>39</v>
      </c>
      <c r="BO5" s="712"/>
      <c r="BP5" s="86"/>
      <c r="BQ5" s="86"/>
      <c r="BR5" s="339">
        <f>'Титульный лист'!BB28</f>
        <v>4</v>
      </c>
      <c r="BS5" s="339">
        <f>'Титульный лист'!BE28</f>
        <v>0</v>
      </c>
      <c r="BT5" s="707" t="s">
        <v>85</v>
      </c>
      <c r="BU5" s="708"/>
      <c r="BV5" s="344"/>
      <c r="BW5" s="344"/>
      <c r="BX5" s="339">
        <f>'Титульный лист'!BC28</f>
        <v>18</v>
      </c>
      <c r="BY5" s="420">
        <f>'Титульный лист'!BF28</f>
        <v>2</v>
      </c>
      <c r="BZ5" s="716"/>
      <c r="CA5" s="726"/>
    </row>
    <row r="6" spans="1:83" s="45" customFormat="1" ht="12.75" customHeight="1" x14ac:dyDescent="0.2">
      <c r="A6" s="719"/>
      <c r="B6" s="731"/>
      <c r="C6" s="667"/>
      <c r="D6" s="670"/>
      <c r="E6" s="670"/>
      <c r="F6" s="335"/>
      <c r="G6" s="670"/>
      <c r="H6" s="684"/>
      <c r="I6" s="618"/>
      <c r="J6" s="619"/>
      <c r="K6" s="625"/>
      <c r="L6" s="729"/>
      <c r="M6" s="622" t="s">
        <v>587</v>
      </c>
      <c r="N6" s="622" t="s">
        <v>588</v>
      </c>
      <c r="O6" s="622" t="s">
        <v>232</v>
      </c>
      <c r="P6" s="622" t="s">
        <v>313</v>
      </c>
      <c r="Q6" s="723"/>
      <c r="R6" s="673" t="s">
        <v>72</v>
      </c>
      <c r="S6" s="674"/>
      <c r="T6" s="674" t="s">
        <v>57</v>
      </c>
      <c r="U6" s="674"/>
      <c r="V6" s="674"/>
      <c r="W6" s="421" t="s">
        <v>230</v>
      </c>
      <c r="X6" s="673" t="s">
        <v>72</v>
      </c>
      <c r="Y6" s="674"/>
      <c r="Z6" s="343"/>
      <c r="AA6" s="343"/>
      <c r="AB6" s="343" t="s">
        <v>57</v>
      </c>
      <c r="AC6" s="421" t="s">
        <v>230</v>
      </c>
      <c r="AD6" s="674" t="s">
        <v>72</v>
      </c>
      <c r="AE6" s="674"/>
      <c r="AF6" s="85"/>
      <c r="AG6" s="85"/>
      <c r="AH6" s="338" t="s">
        <v>57</v>
      </c>
      <c r="AI6" s="343" t="s">
        <v>230</v>
      </c>
      <c r="AJ6" s="673" t="s">
        <v>72</v>
      </c>
      <c r="AK6" s="674"/>
      <c r="AL6" s="343"/>
      <c r="AM6" s="343"/>
      <c r="AN6" s="343" t="s">
        <v>57</v>
      </c>
      <c r="AO6" s="421" t="s">
        <v>230</v>
      </c>
      <c r="AP6" s="709" t="s">
        <v>72</v>
      </c>
      <c r="AQ6" s="710"/>
      <c r="AR6" s="85"/>
      <c r="AS6" s="85"/>
      <c r="AT6" s="338" t="s">
        <v>57</v>
      </c>
      <c r="AU6" s="343" t="s">
        <v>230</v>
      </c>
      <c r="AV6" s="705" t="s">
        <v>72</v>
      </c>
      <c r="AW6" s="706"/>
      <c r="AX6" s="343"/>
      <c r="AY6" s="343"/>
      <c r="AZ6" s="343" t="s">
        <v>57</v>
      </c>
      <c r="BA6" s="421" t="s">
        <v>230</v>
      </c>
      <c r="BB6" s="709" t="s">
        <v>72</v>
      </c>
      <c r="BC6" s="710"/>
      <c r="BD6" s="85"/>
      <c r="BE6" s="85"/>
      <c r="BF6" s="338" t="s">
        <v>57</v>
      </c>
      <c r="BG6" s="343" t="s">
        <v>230</v>
      </c>
      <c r="BH6" s="705" t="s">
        <v>72</v>
      </c>
      <c r="BI6" s="706"/>
      <c r="BJ6" s="343"/>
      <c r="BK6" s="343"/>
      <c r="BL6" s="343" t="s">
        <v>57</v>
      </c>
      <c r="BM6" s="421" t="s">
        <v>230</v>
      </c>
      <c r="BN6" s="709" t="s">
        <v>72</v>
      </c>
      <c r="BO6" s="710"/>
      <c r="BP6" s="85"/>
      <c r="BQ6" s="85"/>
      <c r="BR6" s="338" t="s">
        <v>57</v>
      </c>
      <c r="BS6" s="343" t="s">
        <v>230</v>
      </c>
      <c r="BT6" s="705" t="s">
        <v>72</v>
      </c>
      <c r="BU6" s="706"/>
      <c r="BV6" s="343"/>
      <c r="BW6" s="343"/>
      <c r="BX6" s="343" t="s">
        <v>57</v>
      </c>
      <c r="BY6" s="421" t="s">
        <v>230</v>
      </c>
      <c r="BZ6" s="716"/>
      <c r="CA6" s="726"/>
    </row>
    <row r="7" spans="1:83" s="45" customFormat="1" ht="12.75" customHeight="1" x14ac:dyDescent="0.2">
      <c r="A7" s="719"/>
      <c r="B7" s="731"/>
      <c r="C7" s="667"/>
      <c r="D7" s="670"/>
      <c r="E7" s="670"/>
      <c r="F7" s="335"/>
      <c r="G7" s="670"/>
      <c r="H7" s="684"/>
      <c r="I7" s="618"/>
      <c r="J7" s="619"/>
      <c r="K7" s="625"/>
      <c r="L7" s="729"/>
      <c r="M7" s="623"/>
      <c r="N7" s="623"/>
      <c r="O7" s="623"/>
      <c r="P7" s="623"/>
      <c r="Q7" s="723"/>
      <c r="R7" s="635" t="s">
        <v>148</v>
      </c>
      <c r="S7" s="634"/>
      <c r="T7" s="346"/>
      <c r="U7" s="346"/>
      <c r="V7" s="48">
        <f>IF((SUM(S95:W95)+SUM(S100:W100))=0,0,(SUM(S95:W95)+SUM(S100:W100))/Нормы!$G$37)</f>
        <v>0</v>
      </c>
      <c r="W7" s="422" t="s">
        <v>149</v>
      </c>
      <c r="X7" s="635" t="s">
        <v>148</v>
      </c>
      <c r="Y7" s="634"/>
      <c r="Z7" s="346"/>
      <c r="AA7" s="346"/>
      <c r="AB7" s="48">
        <f>IF((SUM(Y95:AC95)+SUM(Y100:AC100))=0,0,(SUM(Y95:AC95)+SUM(Y100:AC100))/Нормы!$G$37)</f>
        <v>0</v>
      </c>
      <c r="AC7" s="422" t="s">
        <v>149</v>
      </c>
      <c r="AD7" s="634" t="s">
        <v>148</v>
      </c>
      <c r="AE7" s="634"/>
      <c r="AF7" s="340"/>
      <c r="AG7" s="340"/>
      <c r="AH7" s="48">
        <f>IF((SUM(AE95:AI95)+SUM(AE100:AI100))=0,0,(SUM(AE95:AI95)+SUM(AE100:AI100))/Нормы!$G$37)</f>
        <v>0</v>
      </c>
      <c r="AI7" s="348" t="s">
        <v>149</v>
      </c>
      <c r="AJ7" s="635" t="s">
        <v>148</v>
      </c>
      <c r="AK7" s="634"/>
      <c r="AL7" s="346"/>
      <c r="AM7" s="346"/>
      <c r="AN7" s="48">
        <f>IF((SUM(AK95:AN95)+SUM(AK100:AN100))=0,0,(SUM(AK95:AN95)+SUM(AK100:AN100))/Нормы!$G$38)</f>
        <v>9</v>
      </c>
      <c r="AO7" s="428" t="s">
        <v>149</v>
      </c>
      <c r="AP7" s="634" t="s">
        <v>148</v>
      </c>
      <c r="AQ7" s="634"/>
      <c r="AR7" s="340"/>
      <c r="AS7" s="340"/>
      <c r="AT7" s="48">
        <f>IF((SUM(AQ95:AT95)+SUM(AQ100:AT100))=0,0,(SUM(AQ95:AT95)+SUM(AQ100:AT100))/Нормы!$G$38)</f>
        <v>0</v>
      </c>
      <c r="AU7" s="348" t="s">
        <v>149</v>
      </c>
      <c r="AV7" s="635" t="s">
        <v>148</v>
      </c>
      <c r="AW7" s="634"/>
      <c r="AX7" s="346"/>
      <c r="AY7" s="346"/>
      <c r="AZ7" s="48">
        <f>IF((SUM(AW95:AZ95)+SUM(AW100:AZ100))=0,0,(SUM(AW95:AZ95)+SUM(AW100:AZ100))/Нормы!$G$38)</f>
        <v>15</v>
      </c>
      <c r="BA7" s="422" t="s">
        <v>149</v>
      </c>
      <c r="BB7" s="634" t="s">
        <v>148</v>
      </c>
      <c r="BC7" s="634"/>
      <c r="BD7" s="340"/>
      <c r="BE7" s="340"/>
      <c r="BF7" s="48">
        <f>IF((SUM(BC95:BF95)+SUM(BC100:BF100))=0,0,(SUM(BC95:BF95)+SUM(BC100:BF100))/Нормы!$G$38)</f>
        <v>6</v>
      </c>
      <c r="BG7" s="348" t="s">
        <v>149</v>
      </c>
      <c r="BH7" s="635" t="s">
        <v>148</v>
      </c>
      <c r="BI7" s="634"/>
      <c r="BJ7" s="346"/>
      <c r="BK7" s="346"/>
      <c r="BL7" s="48">
        <f>IF((SUM(BI95:BL95)+SUM(BI100:BL100))=0,0,(SUM(BI95:BL95)+SUM(BI100:BL100))/Нормы!$G$38)</f>
        <v>15</v>
      </c>
      <c r="BM7" s="422" t="s">
        <v>149</v>
      </c>
      <c r="BN7" s="634" t="s">
        <v>148</v>
      </c>
      <c r="BO7" s="634"/>
      <c r="BP7" s="340"/>
      <c r="BQ7" s="340"/>
      <c r="BR7" s="48">
        <f>IF((SUM(BO95:BR95)+SUM(BO100:BR100))=0,0,(SUM(BO95:BR95)+SUM(BO100:BR100))/Нормы!$G$38)</f>
        <v>10</v>
      </c>
      <c r="BS7" s="348" t="s">
        <v>149</v>
      </c>
      <c r="BT7" s="635" t="s">
        <v>148</v>
      </c>
      <c r="BU7" s="634"/>
      <c r="BV7" s="346"/>
      <c r="BW7" s="346"/>
      <c r="BX7" s="48">
        <f>IF((SUM(BU95:BX95)+SUM(BU100:BX100))=0,0,(SUM(BU95:BX95)+SUM(BU100:BX100))/Нормы!$G$38)</f>
        <v>0</v>
      </c>
      <c r="BY7" s="422" t="s">
        <v>149</v>
      </c>
      <c r="BZ7" s="716"/>
      <c r="CA7" s="726"/>
    </row>
    <row r="8" spans="1:83" s="45" customFormat="1" ht="12.75" customHeight="1" x14ac:dyDescent="0.2">
      <c r="A8" s="719"/>
      <c r="B8" s="731"/>
      <c r="C8" s="667"/>
      <c r="D8" s="670"/>
      <c r="E8" s="670"/>
      <c r="F8" s="335"/>
      <c r="G8" s="670"/>
      <c r="H8" s="684"/>
      <c r="I8" s="620"/>
      <c r="J8" s="621"/>
      <c r="K8" s="625"/>
      <c r="L8" s="729"/>
      <c r="M8" s="623"/>
      <c r="N8" s="623"/>
      <c r="O8" s="623"/>
      <c r="P8" s="623"/>
      <c r="Q8" s="723"/>
      <c r="R8" s="632" t="s">
        <v>150</v>
      </c>
      <c r="S8" s="633"/>
      <c r="T8" s="633"/>
      <c r="U8" s="347"/>
      <c r="V8" s="51">
        <f>IF(SUM(S103:W103)=0,0,SUM(S103:W103)/Нормы!$G$38)</f>
        <v>0</v>
      </c>
      <c r="W8" s="423" t="s">
        <v>149</v>
      </c>
      <c r="X8" s="632" t="s">
        <v>150</v>
      </c>
      <c r="Y8" s="633"/>
      <c r="Z8" s="633"/>
      <c r="AA8" s="347"/>
      <c r="AB8" s="51">
        <f>IF(SUM(Y103:AC103)=0,0,SUM(Y103:AC103)/Нормы!$G$38)</f>
        <v>0</v>
      </c>
      <c r="AC8" s="423" t="s">
        <v>149</v>
      </c>
      <c r="AD8" s="633" t="s">
        <v>150</v>
      </c>
      <c r="AE8" s="633"/>
      <c r="AF8" s="633"/>
      <c r="AG8" s="347"/>
      <c r="AH8" s="51">
        <f>IF(SUM(AE103:AI103)=0,0,SUM(AE103:AI103)/Нормы!$G$38)</f>
        <v>0</v>
      </c>
      <c r="AI8" s="54" t="s">
        <v>149</v>
      </c>
      <c r="AJ8" s="632" t="s">
        <v>150</v>
      </c>
      <c r="AK8" s="633"/>
      <c r="AL8" s="633"/>
      <c r="AM8" s="347"/>
      <c r="AN8" s="51">
        <f>IF(SUM(AK103:AN103)=0,0,SUM(AK103:AN103)/Нормы!$G$38)</f>
        <v>0</v>
      </c>
      <c r="AO8" s="423" t="s">
        <v>149</v>
      </c>
      <c r="AP8" s="633" t="s">
        <v>150</v>
      </c>
      <c r="AQ8" s="633"/>
      <c r="AR8" s="633"/>
      <c r="AS8" s="347"/>
      <c r="AT8" s="51">
        <f>IF(SUM(AQ103:AU103)=0,0,SUM(AQ103:AU103)/Нормы!$G$38)</f>
        <v>0</v>
      </c>
      <c r="AU8" s="54" t="s">
        <v>149</v>
      </c>
      <c r="AV8" s="632" t="s">
        <v>150</v>
      </c>
      <c r="AW8" s="633"/>
      <c r="AX8" s="633"/>
      <c r="AY8" s="347"/>
      <c r="AZ8" s="51">
        <f>IF(SUM(AW103:BA103)=0,0,SUM(AW103:BA103)/Нормы!$G$38)</f>
        <v>0</v>
      </c>
      <c r="BA8" s="423" t="s">
        <v>149</v>
      </c>
      <c r="BB8" s="633" t="s">
        <v>150</v>
      </c>
      <c r="BC8" s="633"/>
      <c r="BD8" s="633"/>
      <c r="BE8" s="347"/>
      <c r="BF8" s="51">
        <f>IF(SUM(BC103:BG103)=0,0,SUM(BC103:BG103)/Нормы!$G$38)</f>
        <v>0</v>
      </c>
      <c r="BG8" s="54" t="s">
        <v>149</v>
      </c>
      <c r="BH8" s="632" t="s">
        <v>150</v>
      </c>
      <c r="BI8" s="633"/>
      <c r="BJ8" s="633"/>
      <c r="BK8" s="347"/>
      <c r="BL8" s="51">
        <f>IF(SUM(BI103:BM103)=0,0,SUM(BI103:BM103)/Нормы!$G$38)</f>
        <v>0</v>
      </c>
      <c r="BM8" s="423" t="s">
        <v>149</v>
      </c>
      <c r="BN8" s="633" t="s">
        <v>150</v>
      </c>
      <c r="BO8" s="633"/>
      <c r="BP8" s="633"/>
      <c r="BQ8" s="347"/>
      <c r="BR8" s="51">
        <f>IF(SUM(BO103:BS103)=0,0,SUM(BO103:BS103)/Нормы!$G$38)</f>
        <v>0</v>
      </c>
      <c r="BS8" s="54" t="s">
        <v>149</v>
      </c>
      <c r="BT8" s="632" t="s">
        <v>150</v>
      </c>
      <c r="BU8" s="633"/>
      <c r="BV8" s="633"/>
      <c r="BW8" s="347"/>
      <c r="BX8" s="51">
        <f>IF(SUM(BU103:BY103)=0,0,SUM(BU103:BY103)/Нормы!$G$38)</f>
        <v>4</v>
      </c>
      <c r="BY8" s="423" t="s">
        <v>149</v>
      </c>
      <c r="BZ8" s="716"/>
      <c r="CA8" s="726"/>
    </row>
    <row r="9" spans="1:83" s="45" customFormat="1" ht="126" customHeight="1" x14ac:dyDescent="0.2">
      <c r="A9" s="720"/>
      <c r="B9" s="732"/>
      <c r="C9" s="668"/>
      <c r="D9" s="670"/>
      <c r="E9" s="670"/>
      <c r="F9" s="335" t="s">
        <v>66</v>
      </c>
      <c r="G9" s="670"/>
      <c r="H9" s="684"/>
      <c r="I9" s="429" t="s">
        <v>180</v>
      </c>
      <c r="J9" s="429" t="s">
        <v>274</v>
      </c>
      <c r="K9" s="626"/>
      <c r="L9" s="729"/>
      <c r="M9" s="623"/>
      <c r="N9" s="623"/>
      <c r="O9" s="623"/>
      <c r="P9" s="623"/>
      <c r="Q9" s="724"/>
      <c r="R9" s="424" t="s">
        <v>139</v>
      </c>
      <c r="S9" s="425" t="s">
        <v>589</v>
      </c>
      <c r="T9" s="426" t="s">
        <v>590</v>
      </c>
      <c r="U9" s="425" t="s">
        <v>232</v>
      </c>
      <c r="V9" s="426" t="s">
        <v>313</v>
      </c>
      <c r="W9" s="426" t="s">
        <v>71</v>
      </c>
      <c r="X9" s="424" t="s">
        <v>139</v>
      </c>
      <c r="Y9" s="425" t="s">
        <v>589</v>
      </c>
      <c r="Z9" s="426" t="s">
        <v>590</v>
      </c>
      <c r="AA9" s="425" t="s">
        <v>232</v>
      </c>
      <c r="AB9" s="426" t="s">
        <v>313</v>
      </c>
      <c r="AC9" s="426" t="s">
        <v>71</v>
      </c>
      <c r="AD9" s="427" t="s">
        <v>139</v>
      </c>
      <c r="AE9" s="336" t="s">
        <v>589</v>
      </c>
      <c r="AF9" s="337" t="s">
        <v>590</v>
      </c>
      <c r="AG9" s="336" t="s">
        <v>232</v>
      </c>
      <c r="AH9" s="337" t="s">
        <v>313</v>
      </c>
      <c r="AI9" s="419" t="s">
        <v>71</v>
      </c>
      <c r="AJ9" s="424" t="s">
        <v>139</v>
      </c>
      <c r="AK9" s="425" t="s">
        <v>589</v>
      </c>
      <c r="AL9" s="426" t="s">
        <v>590</v>
      </c>
      <c r="AM9" s="425" t="s">
        <v>232</v>
      </c>
      <c r="AN9" s="426" t="s">
        <v>313</v>
      </c>
      <c r="AO9" s="426" t="s">
        <v>71</v>
      </c>
      <c r="AP9" s="427" t="s">
        <v>139</v>
      </c>
      <c r="AQ9" s="336" t="s">
        <v>589</v>
      </c>
      <c r="AR9" s="337" t="s">
        <v>590</v>
      </c>
      <c r="AS9" s="336" t="s">
        <v>232</v>
      </c>
      <c r="AT9" s="337" t="s">
        <v>313</v>
      </c>
      <c r="AU9" s="419" t="s">
        <v>71</v>
      </c>
      <c r="AV9" s="424" t="s">
        <v>139</v>
      </c>
      <c r="AW9" s="425" t="s">
        <v>589</v>
      </c>
      <c r="AX9" s="426" t="s">
        <v>590</v>
      </c>
      <c r="AY9" s="425" t="s">
        <v>232</v>
      </c>
      <c r="AZ9" s="426" t="s">
        <v>313</v>
      </c>
      <c r="BA9" s="426" t="s">
        <v>71</v>
      </c>
      <c r="BB9" s="427" t="s">
        <v>139</v>
      </c>
      <c r="BC9" s="336" t="s">
        <v>589</v>
      </c>
      <c r="BD9" s="337" t="s">
        <v>590</v>
      </c>
      <c r="BE9" s="336" t="s">
        <v>232</v>
      </c>
      <c r="BF9" s="337" t="s">
        <v>313</v>
      </c>
      <c r="BG9" s="419" t="s">
        <v>71</v>
      </c>
      <c r="BH9" s="424" t="s">
        <v>139</v>
      </c>
      <c r="BI9" s="425" t="s">
        <v>589</v>
      </c>
      <c r="BJ9" s="426" t="s">
        <v>590</v>
      </c>
      <c r="BK9" s="425" t="s">
        <v>232</v>
      </c>
      <c r="BL9" s="426" t="s">
        <v>313</v>
      </c>
      <c r="BM9" s="426" t="s">
        <v>71</v>
      </c>
      <c r="BN9" s="427" t="s">
        <v>139</v>
      </c>
      <c r="BO9" s="336" t="s">
        <v>589</v>
      </c>
      <c r="BP9" s="337" t="s">
        <v>590</v>
      </c>
      <c r="BQ9" s="336" t="s">
        <v>232</v>
      </c>
      <c r="BR9" s="337" t="s">
        <v>313</v>
      </c>
      <c r="BS9" s="419" t="s">
        <v>71</v>
      </c>
      <c r="BT9" s="424" t="s">
        <v>139</v>
      </c>
      <c r="BU9" s="425" t="s">
        <v>589</v>
      </c>
      <c r="BV9" s="426" t="s">
        <v>590</v>
      </c>
      <c r="BW9" s="425" t="s">
        <v>232</v>
      </c>
      <c r="BX9" s="426" t="s">
        <v>313</v>
      </c>
      <c r="BY9" s="426" t="s">
        <v>71</v>
      </c>
      <c r="BZ9" s="717"/>
      <c r="CA9" s="727"/>
    </row>
    <row r="10" spans="1:83" s="45" customFormat="1" x14ac:dyDescent="0.2">
      <c r="A10" s="296">
        <v>1</v>
      </c>
      <c r="B10" s="291">
        <v>2</v>
      </c>
      <c r="C10" s="291">
        <v>3</v>
      </c>
      <c r="D10" s="291">
        <v>4</v>
      </c>
      <c r="E10" s="291">
        <v>5</v>
      </c>
      <c r="F10" s="333">
        <v>6</v>
      </c>
      <c r="G10" s="333">
        <v>7</v>
      </c>
      <c r="H10" s="333">
        <v>9</v>
      </c>
      <c r="I10" s="333">
        <v>10</v>
      </c>
      <c r="J10" s="333">
        <v>11</v>
      </c>
      <c r="K10" s="333">
        <v>12</v>
      </c>
      <c r="L10" s="333"/>
      <c r="M10" s="333">
        <v>15</v>
      </c>
      <c r="N10" s="333">
        <v>16</v>
      </c>
      <c r="O10" s="333">
        <v>17</v>
      </c>
      <c r="P10" s="333">
        <v>18</v>
      </c>
      <c r="Q10" s="333">
        <v>20</v>
      </c>
      <c r="R10" s="333">
        <v>22</v>
      </c>
      <c r="S10" s="333">
        <v>24</v>
      </c>
      <c r="T10" s="333">
        <v>25</v>
      </c>
      <c r="U10" s="333">
        <v>26</v>
      </c>
      <c r="V10" s="333">
        <v>27</v>
      </c>
      <c r="W10" s="333">
        <v>29</v>
      </c>
      <c r="X10" s="333">
        <v>31</v>
      </c>
      <c r="Y10" s="333">
        <v>33</v>
      </c>
      <c r="Z10" s="333">
        <v>34</v>
      </c>
      <c r="AA10" s="333">
        <v>35</v>
      </c>
      <c r="AB10" s="333">
        <v>36</v>
      </c>
      <c r="AC10" s="333">
        <v>38</v>
      </c>
      <c r="AD10" s="333">
        <v>40</v>
      </c>
      <c r="AE10" s="333">
        <v>42</v>
      </c>
      <c r="AF10" s="333">
        <v>43</v>
      </c>
      <c r="AG10" s="333">
        <v>44</v>
      </c>
      <c r="AH10" s="333">
        <v>45</v>
      </c>
      <c r="AI10" s="333">
        <v>47</v>
      </c>
      <c r="AJ10" s="333">
        <v>49</v>
      </c>
      <c r="AK10" s="333">
        <v>51</v>
      </c>
      <c r="AL10" s="333">
        <v>52</v>
      </c>
      <c r="AM10" s="333">
        <v>53</v>
      </c>
      <c r="AN10" s="333">
        <v>54</v>
      </c>
      <c r="AO10" s="333">
        <v>56</v>
      </c>
      <c r="AP10" s="333">
        <v>58</v>
      </c>
      <c r="AQ10" s="333">
        <v>60</v>
      </c>
      <c r="AR10" s="333">
        <v>61</v>
      </c>
      <c r="AS10" s="333">
        <v>62</v>
      </c>
      <c r="AT10" s="333">
        <v>63</v>
      </c>
      <c r="AU10" s="333">
        <v>65</v>
      </c>
      <c r="AV10" s="333">
        <v>67</v>
      </c>
      <c r="AW10" s="333">
        <v>69</v>
      </c>
      <c r="AX10" s="333">
        <v>70</v>
      </c>
      <c r="AY10" s="333">
        <v>71</v>
      </c>
      <c r="AZ10" s="333">
        <v>72</v>
      </c>
      <c r="BA10" s="333">
        <v>74</v>
      </c>
      <c r="BB10" s="333">
        <v>76</v>
      </c>
      <c r="BC10" s="333">
        <v>78</v>
      </c>
      <c r="BD10" s="333">
        <v>79</v>
      </c>
      <c r="BE10" s="333">
        <v>80</v>
      </c>
      <c r="BF10" s="333">
        <v>81</v>
      </c>
      <c r="BG10" s="333">
        <v>83</v>
      </c>
      <c r="BH10" s="333">
        <v>85</v>
      </c>
      <c r="BI10" s="333">
        <v>87</v>
      </c>
      <c r="BJ10" s="333">
        <v>88</v>
      </c>
      <c r="BK10" s="333">
        <v>89</v>
      </c>
      <c r="BL10" s="333">
        <v>90</v>
      </c>
      <c r="BM10" s="333">
        <v>92</v>
      </c>
      <c r="BN10" s="333">
        <v>94</v>
      </c>
      <c r="BO10" s="333">
        <v>96</v>
      </c>
      <c r="BP10" s="333">
        <v>97</v>
      </c>
      <c r="BQ10" s="333">
        <v>98</v>
      </c>
      <c r="BR10" s="333">
        <v>99</v>
      </c>
      <c r="BS10" s="333">
        <v>101</v>
      </c>
      <c r="BT10" s="333">
        <v>103</v>
      </c>
      <c r="BU10" s="333">
        <v>105</v>
      </c>
      <c r="BV10" s="333">
        <v>106</v>
      </c>
      <c r="BW10" s="333">
        <v>107</v>
      </c>
      <c r="BX10" s="333">
        <v>108</v>
      </c>
      <c r="BY10" s="333">
        <v>110</v>
      </c>
      <c r="BZ10" s="333">
        <v>111</v>
      </c>
      <c r="CA10" s="333">
        <v>112</v>
      </c>
    </row>
    <row r="11" spans="1:83" s="355" customFormat="1" ht="26.1" customHeight="1" x14ac:dyDescent="0.2">
      <c r="A11" s="349"/>
      <c r="B11" s="694" t="s">
        <v>613</v>
      </c>
      <c r="C11" s="695"/>
      <c r="D11" s="695"/>
      <c r="E11" s="695"/>
      <c r="F11" s="695"/>
      <c r="G11" s="695"/>
      <c r="H11" s="695"/>
      <c r="I11" s="351">
        <v>2106</v>
      </c>
      <c r="J11" s="351">
        <v>1404</v>
      </c>
      <c r="K11" s="351">
        <f t="shared" ref="K11:BU11" si="0">K12+K24</f>
        <v>2106</v>
      </c>
      <c r="L11" s="351">
        <f t="shared" si="0"/>
        <v>1404</v>
      </c>
      <c r="M11" s="351">
        <f t="shared" si="0"/>
        <v>1198</v>
      </c>
      <c r="N11" s="351">
        <f t="shared" si="0"/>
        <v>206</v>
      </c>
      <c r="O11" s="351">
        <f t="shared" si="0"/>
        <v>0</v>
      </c>
      <c r="P11" s="351">
        <f t="shared" si="0"/>
        <v>0</v>
      </c>
      <c r="Q11" s="351">
        <f t="shared" si="0"/>
        <v>702</v>
      </c>
      <c r="R11" s="351">
        <f>R12+R24</f>
        <v>918</v>
      </c>
      <c r="S11" s="351">
        <f>S12+S24</f>
        <v>527</v>
      </c>
      <c r="T11" s="351">
        <f t="shared" si="0"/>
        <v>85</v>
      </c>
      <c r="U11" s="351">
        <f t="shared" si="0"/>
        <v>0</v>
      </c>
      <c r="V11" s="351">
        <f t="shared" si="0"/>
        <v>0</v>
      </c>
      <c r="W11" s="351">
        <f t="shared" si="0"/>
        <v>306</v>
      </c>
      <c r="X11" s="351">
        <f t="shared" si="0"/>
        <v>1188</v>
      </c>
      <c r="Y11" s="351">
        <f t="shared" si="0"/>
        <v>671</v>
      </c>
      <c r="Z11" s="351">
        <f t="shared" si="0"/>
        <v>121</v>
      </c>
      <c r="AA11" s="351">
        <f t="shared" si="0"/>
        <v>0</v>
      </c>
      <c r="AB11" s="351">
        <f t="shared" si="0"/>
        <v>0</v>
      </c>
      <c r="AC11" s="351">
        <f t="shared" si="0"/>
        <v>396</v>
      </c>
      <c r="AD11" s="351">
        <f t="shared" si="0"/>
        <v>0</v>
      </c>
      <c r="AE11" s="351">
        <f t="shared" si="0"/>
        <v>0</v>
      </c>
      <c r="AF11" s="351">
        <f t="shared" si="0"/>
        <v>0</v>
      </c>
      <c r="AG11" s="351">
        <f t="shared" si="0"/>
        <v>0</v>
      </c>
      <c r="AH11" s="351">
        <f t="shared" si="0"/>
        <v>0</v>
      </c>
      <c r="AI11" s="351">
        <f t="shared" si="0"/>
        <v>0</v>
      </c>
      <c r="AJ11" s="351">
        <f t="shared" si="0"/>
        <v>0</v>
      </c>
      <c r="AK11" s="351">
        <f t="shared" si="0"/>
        <v>0</v>
      </c>
      <c r="AL11" s="351">
        <f t="shared" si="0"/>
        <v>0</v>
      </c>
      <c r="AM11" s="351">
        <f t="shared" si="0"/>
        <v>0</v>
      </c>
      <c r="AN11" s="351">
        <f t="shared" si="0"/>
        <v>0</v>
      </c>
      <c r="AO11" s="351">
        <f t="shared" si="0"/>
        <v>0</v>
      </c>
      <c r="AP11" s="351">
        <f t="shared" si="0"/>
        <v>0</v>
      </c>
      <c r="AQ11" s="351">
        <f t="shared" si="0"/>
        <v>0</v>
      </c>
      <c r="AR11" s="351">
        <f t="shared" si="0"/>
        <v>0</v>
      </c>
      <c r="AS11" s="351">
        <f t="shared" si="0"/>
        <v>0</v>
      </c>
      <c r="AT11" s="351">
        <f t="shared" si="0"/>
        <v>0</v>
      </c>
      <c r="AU11" s="351">
        <f t="shared" si="0"/>
        <v>0</v>
      </c>
      <c r="AV11" s="351">
        <f t="shared" si="0"/>
        <v>0</v>
      </c>
      <c r="AW11" s="351">
        <f t="shared" si="0"/>
        <v>0</v>
      </c>
      <c r="AX11" s="351">
        <f t="shared" si="0"/>
        <v>0</v>
      </c>
      <c r="AY11" s="351">
        <f t="shared" si="0"/>
        <v>0</v>
      </c>
      <c r="AZ11" s="351">
        <f t="shared" si="0"/>
        <v>0</v>
      </c>
      <c r="BA11" s="351">
        <f t="shared" si="0"/>
        <v>0</v>
      </c>
      <c r="BB11" s="351">
        <f t="shared" si="0"/>
        <v>0</v>
      </c>
      <c r="BC11" s="351">
        <f t="shared" si="0"/>
        <v>0</v>
      </c>
      <c r="BD11" s="351">
        <f t="shared" si="0"/>
        <v>0</v>
      </c>
      <c r="BE11" s="351">
        <f t="shared" si="0"/>
        <v>0</v>
      </c>
      <c r="BF11" s="351">
        <f t="shared" si="0"/>
        <v>0</v>
      </c>
      <c r="BG11" s="351">
        <f t="shared" si="0"/>
        <v>0</v>
      </c>
      <c r="BH11" s="351">
        <f t="shared" si="0"/>
        <v>0</v>
      </c>
      <c r="BI11" s="351">
        <f t="shared" si="0"/>
        <v>0</v>
      </c>
      <c r="BJ11" s="351">
        <f t="shared" si="0"/>
        <v>0</v>
      </c>
      <c r="BK11" s="351">
        <f t="shared" si="0"/>
        <v>0</v>
      </c>
      <c r="BL11" s="351">
        <f t="shared" si="0"/>
        <v>0</v>
      </c>
      <c r="BM11" s="351">
        <f t="shared" si="0"/>
        <v>0</v>
      </c>
      <c r="BN11" s="351">
        <f t="shared" si="0"/>
        <v>0</v>
      </c>
      <c r="BO11" s="351">
        <f t="shared" si="0"/>
        <v>0</v>
      </c>
      <c r="BP11" s="351">
        <f t="shared" si="0"/>
        <v>0</v>
      </c>
      <c r="BQ11" s="351">
        <f t="shared" si="0"/>
        <v>0</v>
      </c>
      <c r="BR11" s="351">
        <f t="shared" si="0"/>
        <v>0</v>
      </c>
      <c r="BS11" s="351">
        <f t="shared" si="0"/>
        <v>0</v>
      </c>
      <c r="BT11" s="351">
        <f t="shared" si="0"/>
        <v>0</v>
      </c>
      <c r="BU11" s="351">
        <f t="shared" si="0"/>
        <v>0</v>
      </c>
      <c r="BV11" s="351">
        <f t="shared" ref="BV11:CE11" si="1">BV12+BV24</f>
        <v>0</v>
      </c>
      <c r="BW11" s="351">
        <f t="shared" si="1"/>
        <v>0</v>
      </c>
      <c r="BX11" s="351">
        <f t="shared" si="1"/>
        <v>0</v>
      </c>
      <c r="BY11" s="351">
        <f t="shared" si="1"/>
        <v>0</v>
      </c>
      <c r="BZ11" s="386">
        <f t="shared" si="1"/>
        <v>0</v>
      </c>
      <c r="CA11" s="386">
        <f t="shared" si="1"/>
        <v>0</v>
      </c>
      <c r="CB11" s="352">
        <f t="shared" si="1"/>
        <v>0</v>
      </c>
      <c r="CC11" s="352">
        <f t="shared" si="1"/>
        <v>0</v>
      </c>
      <c r="CD11" s="353">
        <f t="shared" si="1"/>
        <v>0</v>
      </c>
      <c r="CE11" s="354">
        <f t="shared" si="1"/>
        <v>0</v>
      </c>
    </row>
    <row r="12" spans="1:83" s="355" customFormat="1" ht="26.1" customHeight="1" x14ac:dyDescent="0.2">
      <c r="A12" s="356"/>
      <c r="B12" s="685" t="s">
        <v>606</v>
      </c>
      <c r="C12" s="686"/>
      <c r="D12" s="686"/>
      <c r="E12" s="686"/>
      <c r="F12" s="686"/>
      <c r="G12" s="686"/>
      <c r="H12" s="687"/>
      <c r="I12" s="359" t="s">
        <v>22</v>
      </c>
      <c r="J12" s="359">
        <f t="shared" ref="J12:V12" si="2">SUM(J13:J23)</f>
        <v>910</v>
      </c>
      <c r="K12" s="359">
        <f t="shared" si="2"/>
        <v>1380</v>
      </c>
      <c r="L12" s="359">
        <f t="shared" si="2"/>
        <v>920</v>
      </c>
      <c r="M12" s="359">
        <f t="shared" si="2"/>
        <v>781</v>
      </c>
      <c r="N12" s="359">
        <f t="shared" si="2"/>
        <v>139</v>
      </c>
      <c r="O12" s="359">
        <f t="shared" si="2"/>
        <v>0</v>
      </c>
      <c r="P12" s="359">
        <f t="shared" si="2"/>
        <v>0</v>
      </c>
      <c r="Q12" s="359">
        <f t="shared" si="2"/>
        <v>460</v>
      </c>
      <c r="R12" s="359">
        <f t="shared" si="2"/>
        <v>612</v>
      </c>
      <c r="S12" s="359">
        <f t="shared" si="2"/>
        <v>357</v>
      </c>
      <c r="T12" s="359">
        <f t="shared" si="2"/>
        <v>51</v>
      </c>
      <c r="U12" s="359">
        <f t="shared" si="2"/>
        <v>0</v>
      </c>
      <c r="V12" s="359">
        <f t="shared" si="2"/>
        <v>0</v>
      </c>
      <c r="W12" s="359">
        <f t="shared" ref="W12:CE12" si="3">SUM(W13:W23)</f>
        <v>204</v>
      </c>
      <c r="X12" s="359">
        <f t="shared" si="3"/>
        <v>768</v>
      </c>
      <c r="Y12" s="359">
        <f t="shared" si="3"/>
        <v>424</v>
      </c>
      <c r="Z12" s="359">
        <f t="shared" si="3"/>
        <v>88</v>
      </c>
      <c r="AA12" s="359">
        <f t="shared" si="3"/>
        <v>0</v>
      </c>
      <c r="AB12" s="359">
        <f t="shared" si="3"/>
        <v>0</v>
      </c>
      <c r="AC12" s="359">
        <f t="shared" si="3"/>
        <v>256</v>
      </c>
      <c r="AD12" s="359">
        <f t="shared" si="3"/>
        <v>0</v>
      </c>
      <c r="AE12" s="359">
        <f t="shared" si="3"/>
        <v>0</v>
      </c>
      <c r="AF12" s="359">
        <f t="shared" si="3"/>
        <v>0</v>
      </c>
      <c r="AG12" s="359">
        <f t="shared" si="3"/>
        <v>0</v>
      </c>
      <c r="AH12" s="359">
        <f t="shared" si="3"/>
        <v>0</v>
      </c>
      <c r="AI12" s="359">
        <f t="shared" si="3"/>
        <v>0</v>
      </c>
      <c r="AJ12" s="359">
        <f t="shared" si="3"/>
        <v>0</v>
      </c>
      <c r="AK12" s="359">
        <f t="shared" si="3"/>
        <v>0</v>
      </c>
      <c r="AL12" s="359">
        <f t="shared" si="3"/>
        <v>0</v>
      </c>
      <c r="AM12" s="359">
        <f t="shared" si="3"/>
        <v>0</v>
      </c>
      <c r="AN12" s="359">
        <f t="shared" si="3"/>
        <v>0</v>
      </c>
      <c r="AO12" s="359">
        <f t="shared" si="3"/>
        <v>0</v>
      </c>
      <c r="AP12" s="359">
        <f t="shared" si="3"/>
        <v>0</v>
      </c>
      <c r="AQ12" s="359">
        <f t="shared" si="3"/>
        <v>0</v>
      </c>
      <c r="AR12" s="359">
        <f t="shared" si="3"/>
        <v>0</v>
      </c>
      <c r="AS12" s="359">
        <f t="shared" si="3"/>
        <v>0</v>
      </c>
      <c r="AT12" s="359">
        <f t="shared" si="3"/>
        <v>0</v>
      </c>
      <c r="AU12" s="359">
        <f t="shared" si="3"/>
        <v>0</v>
      </c>
      <c r="AV12" s="359">
        <f t="shared" si="3"/>
        <v>0</v>
      </c>
      <c r="AW12" s="359">
        <f t="shared" si="3"/>
        <v>0</v>
      </c>
      <c r="AX12" s="359">
        <f t="shared" si="3"/>
        <v>0</v>
      </c>
      <c r="AY12" s="359">
        <f t="shared" si="3"/>
        <v>0</v>
      </c>
      <c r="AZ12" s="359">
        <f t="shared" si="3"/>
        <v>0</v>
      </c>
      <c r="BA12" s="359">
        <f t="shared" si="3"/>
        <v>0</v>
      </c>
      <c r="BB12" s="359">
        <f t="shared" si="3"/>
        <v>0</v>
      </c>
      <c r="BC12" s="359">
        <f t="shared" si="3"/>
        <v>0</v>
      </c>
      <c r="BD12" s="359">
        <f t="shared" si="3"/>
        <v>0</v>
      </c>
      <c r="BE12" s="359">
        <f t="shared" si="3"/>
        <v>0</v>
      </c>
      <c r="BF12" s="359">
        <f t="shared" si="3"/>
        <v>0</v>
      </c>
      <c r="BG12" s="359">
        <f t="shared" si="3"/>
        <v>0</v>
      </c>
      <c r="BH12" s="359">
        <f t="shared" si="3"/>
        <v>0</v>
      </c>
      <c r="BI12" s="359">
        <f t="shared" si="3"/>
        <v>0</v>
      </c>
      <c r="BJ12" s="359">
        <f t="shared" si="3"/>
        <v>0</v>
      </c>
      <c r="BK12" s="359">
        <f t="shared" si="3"/>
        <v>0</v>
      </c>
      <c r="BL12" s="359">
        <f t="shared" si="3"/>
        <v>0</v>
      </c>
      <c r="BM12" s="359">
        <f t="shared" si="3"/>
        <v>0</v>
      </c>
      <c r="BN12" s="359">
        <f t="shared" si="3"/>
        <v>0</v>
      </c>
      <c r="BO12" s="359">
        <f t="shared" si="3"/>
        <v>0</v>
      </c>
      <c r="BP12" s="359">
        <f t="shared" si="3"/>
        <v>0</v>
      </c>
      <c r="BQ12" s="359">
        <f t="shared" si="3"/>
        <v>0</v>
      </c>
      <c r="BR12" s="359">
        <f t="shared" si="3"/>
        <v>0</v>
      </c>
      <c r="BS12" s="359">
        <f t="shared" si="3"/>
        <v>0</v>
      </c>
      <c r="BT12" s="359">
        <f t="shared" si="3"/>
        <v>0</v>
      </c>
      <c r="BU12" s="359">
        <f t="shared" si="3"/>
        <v>0</v>
      </c>
      <c r="BV12" s="359">
        <f t="shared" si="3"/>
        <v>0</v>
      </c>
      <c r="BW12" s="359">
        <f t="shared" si="3"/>
        <v>0</v>
      </c>
      <c r="BX12" s="359">
        <f t="shared" si="3"/>
        <v>0</v>
      </c>
      <c r="BY12" s="359">
        <f t="shared" si="3"/>
        <v>0</v>
      </c>
      <c r="BZ12" s="359">
        <f t="shared" si="3"/>
        <v>0</v>
      </c>
      <c r="CA12" s="359">
        <f t="shared" si="3"/>
        <v>0</v>
      </c>
      <c r="CB12" s="360">
        <f t="shared" si="3"/>
        <v>0</v>
      </c>
      <c r="CC12" s="360">
        <f t="shared" si="3"/>
        <v>0</v>
      </c>
      <c r="CD12" s="361">
        <f t="shared" si="3"/>
        <v>0</v>
      </c>
      <c r="CE12" s="362">
        <f t="shared" si="3"/>
        <v>0</v>
      </c>
    </row>
    <row r="13" spans="1:83" s="355" customFormat="1" ht="26.1" customHeight="1" x14ac:dyDescent="0.2">
      <c r="A13" s="529" t="s">
        <v>634</v>
      </c>
      <c r="B13" s="364" t="s">
        <v>607</v>
      </c>
      <c r="C13" s="201"/>
      <c r="D13" s="363" t="s">
        <v>31</v>
      </c>
      <c r="E13" s="363"/>
      <c r="F13" s="363"/>
      <c r="G13" s="363"/>
      <c r="H13" s="363" t="s">
        <v>27</v>
      </c>
      <c r="I13" s="179">
        <v>117</v>
      </c>
      <c r="J13" s="365">
        <v>78</v>
      </c>
      <c r="K13" s="366">
        <f t="shared" ref="K13:K23" si="4">L13+SUM(Q13:Q13)</f>
        <v>117</v>
      </c>
      <c r="L13" s="366">
        <f t="shared" ref="L13:L23" si="5">SUM(M13:P13)</f>
        <v>78</v>
      </c>
      <c r="M13" s="366">
        <f>S13+Y13</f>
        <v>78</v>
      </c>
      <c r="N13" s="366">
        <f t="shared" ref="N13:Q23" si="6">T13+Z13</f>
        <v>0</v>
      </c>
      <c r="O13" s="366">
        <f t="shared" si="6"/>
        <v>0</v>
      </c>
      <c r="P13" s="366">
        <f t="shared" si="6"/>
        <v>0</v>
      </c>
      <c r="Q13" s="366">
        <f t="shared" si="6"/>
        <v>39</v>
      </c>
      <c r="R13" s="367">
        <f t="shared" ref="R13:R23" si="7">SUM(S13:V13)+W13</f>
        <v>51</v>
      </c>
      <c r="S13" s="177">
        <v>34</v>
      </c>
      <c r="T13" s="177"/>
      <c r="U13" s="177"/>
      <c r="V13" s="177"/>
      <c r="W13" s="177">
        <v>17</v>
      </c>
      <c r="X13" s="367">
        <f t="shared" ref="X13:X23" si="8">SUM(Y13:AB13)+AC13</f>
        <v>66</v>
      </c>
      <c r="Y13" s="177">
        <v>44</v>
      </c>
      <c r="Z13" s="177"/>
      <c r="AA13" s="177"/>
      <c r="AB13" s="177"/>
      <c r="AC13" s="177">
        <v>22</v>
      </c>
      <c r="AD13" s="367">
        <f>SUM(AE13:AI13)</f>
        <v>0</v>
      </c>
      <c r="AE13" s="177"/>
      <c r="AF13" s="177"/>
      <c r="AG13" s="177"/>
      <c r="AH13" s="177"/>
      <c r="AI13" s="177"/>
      <c r="AJ13" s="367">
        <f t="shared" ref="AJ13:AJ23" si="9">SUM(AK13:AO13)</f>
        <v>0</v>
      </c>
      <c r="AK13" s="177"/>
      <c r="AL13" s="177"/>
      <c r="AM13" s="177"/>
      <c r="AN13" s="177"/>
      <c r="AO13" s="367">
        <f>SUM(AP13:AT13)</f>
        <v>0</v>
      </c>
      <c r="AP13" s="177"/>
      <c r="AQ13" s="177"/>
      <c r="AR13" s="177"/>
      <c r="AS13" s="177"/>
      <c r="AT13" s="177"/>
      <c r="AU13" s="367">
        <f>SUM(AV13:AZ13)</f>
        <v>0</v>
      </c>
      <c r="AV13" s="177"/>
      <c r="AW13" s="177"/>
      <c r="AX13" s="177"/>
      <c r="AY13" s="177"/>
      <c r="AZ13" s="177"/>
      <c r="BA13" s="367">
        <f>SUM(BB13:BF13)</f>
        <v>0</v>
      </c>
      <c r="BB13" s="177"/>
      <c r="BC13" s="177"/>
      <c r="BD13" s="177"/>
      <c r="BE13" s="177"/>
      <c r="BF13" s="177"/>
      <c r="BG13" s="367">
        <f>SUM(BH13:BL13)</f>
        <v>0</v>
      </c>
      <c r="BH13" s="177"/>
      <c r="BI13" s="177"/>
      <c r="BJ13" s="177"/>
      <c r="BK13" s="177"/>
      <c r="BL13" s="177"/>
      <c r="BM13" s="367">
        <f>SUM(BN13:BR13)</f>
        <v>0</v>
      </c>
      <c r="BN13" s="177"/>
      <c r="BO13" s="177"/>
      <c r="BP13" s="177"/>
      <c r="BQ13" s="177"/>
      <c r="BR13" s="177"/>
      <c r="BS13" s="367">
        <f>SUM(BT13:BX13)</f>
        <v>0</v>
      </c>
      <c r="BT13" s="177"/>
      <c r="BU13" s="177"/>
      <c r="BV13" s="177"/>
      <c r="BW13" s="177"/>
      <c r="BX13" s="177"/>
      <c r="BY13" s="367">
        <f>SUM(BZ13:CD13)</f>
        <v>0</v>
      </c>
      <c r="BZ13" s="387"/>
      <c r="CA13" s="363" t="s">
        <v>495</v>
      </c>
      <c r="CB13" s="368"/>
      <c r="CC13" s="368"/>
      <c r="CD13" s="177"/>
      <c r="CE13" s="369"/>
    </row>
    <row r="14" spans="1:83" s="355" customFormat="1" ht="26.1" customHeight="1" x14ac:dyDescent="0.2">
      <c r="A14" s="529" t="s">
        <v>635</v>
      </c>
      <c r="B14" s="364" t="s">
        <v>608</v>
      </c>
      <c r="C14" s="201"/>
      <c r="D14" s="370"/>
      <c r="E14" s="363" t="s">
        <v>31</v>
      </c>
      <c r="F14" s="363"/>
      <c r="G14" s="363"/>
      <c r="H14" s="363" t="s">
        <v>27</v>
      </c>
      <c r="I14" s="179">
        <v>175</v>
      </c>
      <c r="J14" s="365">
        <v>117</v>
      </c>
      <c r="K14" s="366">
        <f t="shared" si="4"/>
        <v>183</v>
      </c>
      <c r="L14" s="366">
        <f t="shared" si="5"/>
        <v>122</v>
      </c>
      <c r="M14" s="366">
        <f t="shared" ref="M14:M23" si="10">S14+Y14</f>
        <v>122</v>
      </c>
      <c r="N14" s="366">
        <f t="shared" si="6"/>
        <v>0</v>
      </c>
      <c r="O14" s="366">
        <f t="shared" si="6"/>
        <v>0</v>
      </c>
      <c r="P14" s="366">
        <f t="shared" si="6"/>
        <v>0</v>
      </c>
      <c r="Q14" s="366">
        <f t="shared" si="6"/>
        <v>61</v>
      </c>
      <c r="R14" s="367">
        <f t="shared" si="7"/>
        <v>51</v>
      </c>
      <c r="S14" s="177">
        <v>34</v>
      </c>
      <c r="T14" s="177"/>
      <c r="U14" s="177"/>
      <c r="V14" s="177"/>
      <c r="W14" s="177">
        <v>17</v>
      </c>
      <c r="X14" s="367">
        <f t="shared" si="8"/>
        <v>132</v>
      </c>
      <c r="Y14" s="177">
        <v>88</v>
      </c>
      <c r="Z14" s="177"/>
      <c r="AA14" s="177"/>
      <c r="AB14" s="177"/>
      <c r="AC14" s="177">
        <v>44</v>
      </c>
      <c r="AD14" s="367"/>
      <c r="AE14" s="177"/>
      <c r="AF14" s="177"/>
      <c r="AG14" s="177"/>
      <c r="AH14" s="177"/>
      <c r="AI14" s="177"/>
      <c r="AJ14" s="367"/>
      <c r="AK14" s="177"/>
      <c r="AL14" s="177"/>
      <c r="AM14" s="177"/>
      <c r="AN14" s="177"/>
      <c r="AO14" s="367"/>
      <c r="AP14" s="177"/>
      <c r="AQ14" s="177"/>
      <c r="AR14" s="177"/>
      <c r="AS14" s="177"/>
      <c r="AT14" s="177"/>
      <c r="AU14" s="367"/>
      <c r="AV14" s="177"/>
      <c r="AW14" s="177"/>
      <c r="AX14" s="177"/>
      <c r="AY14" s="177"/>
      <c r="AZ14" s="177"/>
      <c r="BA14" s="367"/>
      <c r="BB14" s="177"/>
      <c r="BC14" s="177"/>
      <c r="BD14" s="177"/>
      <c r="BE14" s="177"/>
      <c r="BF14" s="177"/>
      <c r="BG14" s="367"/>
      <c r="BH14" s="177"/>
      <c r="BI14" s="177"/>
      <c r="BJ14" s="177"/>
      <c r="BK14" s="177"/>
      <c r="BL14" s="177"/>
      <c r="BM14" s="367"/>
      <c r="BN14" s="177"/>
      <c r="BO14" s="177"/>
      <c r="BP14" s="177"/>
      <c r="BQ14" s="177"/>
      <c r="BR14" s="177"/>
      <c r="BS14" s="367"/>
      <c r="BT14" s="177"/>
      <c r="BU14" s="177"/>
      <c r="BV14" s="177"/>
      <c r="BW14" s="177"/>
      <c r="BX14" s="177"/>
      <c r="BY14" s="367"/>
      <c r="BZ14" s="387"/>
      <c r="CA14" s="363" t="s">
        <v>495</v>
      </c>
      <c r="CB14" s="368"/>
      <c r="CC14" s="368"/>
      <c r="CD14" s="177"/>
      <c r="CE14" s="369"/>
    </row>
    <row r="15" spans="1:83" s="355" customFormat="1" ht="26.1" customHeight="1" x14ac:dyDescent="0.2">
      <c r="A15" s="529" t="s">
        <v>636</v>
      </c>
      <c r="B15" s="364" t="s">
        <v>142</v>
      </c>
      <c r="C15" s="201"/>
      <c r="D15" s="363"/>
      <c r="E15" s="363" t="s">
        <v>31</v>
      </c>
      <c r="F15" s="363"/>
      <c r="G15" s="363"/>
      <c r="H15" s="363" t="s">
        <v>27</v>
      </c>
      <c r="I15" s="179">
        <v>175</v>
      </c>
      <c r="J15" s="177">
        <v>117</v>
      </c>
      <c r="K15" s="366">
        <f t="shared" si="4"/>
        <v>175</v>
      </c>
      <c r="L15" s="366">
        <f t="shared" si="5"/>
        <v>117</v>
      </c>
      <c r="M15" s="366">
        <f t="shared" si="10"/>
        <v>0</v>
      </c>
      <c r="N15" s="366">
        <f t="shared" si="6"/>
        <v>117</v>
      </c>
      <c r="O15" s="366">
        <f t="shared" si="6"/>
        <v>0</v>
      </c>
      <c r="P15" s="366">
        <f t="shared" si="6"/>
        <v>0</v>
      </c>
      <c r="Q15" s="366">
        <f t="shared" si="6"/>
        <v>58</v>
      </c>
      <c r="R15" s="367">
        <f t="shared" si="7"/>
        <v>76</v>
      </c>
      <c r="S15" s="177"/>
      <c r="T15" s="177">
        <v>51</v>
      </c>
      <c r="U15" s="177"/>
      <c r="V15" s="177"/>
      <c r="W15" s="177">
        <v>25</v>
      </c>
      <c r="X15" s="367">
        <f t="shared" si="8"/>
        <v>99</v>
      </c>
      <c r="Y15" s="177"/>
      <c r="Z15" s="177">
        <v>66</v>
      </c>
      <c r="AA15" s="177"/>
      <c r="AB15" s="177"/>
      <c r="AC15" s="177">
        <v>33</v>
      </c>
      <c r="AD15" s="367">
        <f>SUM(AE15:AI15)</f>
        <v>0</v>
      </c>
      <c r="AE15" s="177"/>
      <c r="AF15" s="177"/>
      <c r="AG15" s="177"/>
      <c r="AH15" s="177"/>
      <c r="AI15" s="177"/>
      <c r="AJ15" s="367">
        <f t="shared" si="9"/>
        <v>0</v>
      </c>
      <c r="AK15" s="177"/>
      <c r="AL15" s="177"/>
      <c r="AM15" s="177"/>
      <c r="AN15" s="177"/>
      <c r="AO15" s="367">
        <f>SUM(AP15:AT15)</f>
        <v>0</v>
      </c>
      <c r="AP15" s="177"/>
      <c r="AQ15" s="177"/>
      <c r="AR15" s="177"/>
      <c r="AS15" s="177"/>
      <c r="AT15" s="177"/>
      <c r="AU15" s="367">
        <f>SUM(AV15:AZ15)</f>
        <v>0</v>
      </c>
      <c r="AV15" s="177"/>
      <c r="AW15" s="177"/>
      <c r="AX15" s="177"/>
      <c r="AY15" s="177"/>
      <c r="AZ15" s="177"/>
      <c r="BA15" s="367">
        <f>SUM(BB15:BF15)</f>
        <v>0</v>
      </c>
      <c r="BB15" s="177"/>
      <c r="BC15" s="177"/>
      <c r="BD15" s="177"/>
      <c r="BE15" s="177"/>
      <c r="BF15" s="177"/>
      <c r="BG15" s="367">
        <f>SUM(BH15:BL15)</f>
        <v>0</v>
      </c>
      <c r="BH15" s="177"/>
      <c r="BI15" s="177"/>
      <c r="BJ15" s="177"/>
      <c r="BK15" s="177"/>
      <c r="BL15" s="177"/>
      <c r="BM15" s="367">
        <f>SUM(BN15:BR15)</f>
        <v>0</v>
      </c>
      <c r="BN15" s="177"/>
      <c r="BO15" s="177"/>
      <c r="BP15" s="177"/>
      <c r="BQ15" s="177"/>
      <c r="BR15" s="177"/>
      <c r="BS15" s="367">
        <f>SUM(BT15:BX15)</f>
        <v>0</v>
      </c>
      <c r="BT15" s="177"/>
      <c r="BU15" s="177"/>
      <c r="BV15" s="177"/>
      <c r="BW15" s="177"/>
      <c r="BX15" s="177"/>
      <c r="BY15" s="367">
        <f>SUM(BZ15:CD15)</f>
        <v>0</v>
      </c>
      <c r="BZ15" s="387"/>
      <c r="CA15" s="363" t="s">
        <v>495</v>
      </c>
      <c r="CB15" s="368"/>
      <c r="CC15" s="368"/>
      <c r="CD15" s="177"/>
      <c r="CE15" s="369"/>
    </row>
    <row r="16" spans="1:83" s="355" customFormat="1" ht="26.1" customHeight="1" x14ac:dyDescent="0.2">
      <c r="A16" s="529" t="s">
        <v>637</v>
      </c>
      <c r="B16" s="364" t="s">
        <v>141</v>
      </c>
      <c r="C16" s="201"/>
      <c r="D16" s="363"/>
      <c r="E16" s="363" t="s">
        <v>31</v>
      </c>
      <c r="F16" s="363"/>
      <c r="G16" s="363"/>
      <c r="H16" s="363" t="s">
        <v>27</v>
      </c>
      <c r="I16" s="179">
        <v>175</v>
      </c>
      <c r="J16" s="177">
        <v>117</v>
      </c>
      <c r="K16" s="366">
        <f t="shared" si="4"/>
        <v>175</v>
      </c>
      <c r="L16" s="366">
        <f t="shared" si="5"/>
        <v>117</v>
      </c>
      <c r="M16" s="366">
        <f t="shared" si="10"/>
        <v>117</v>
      </c>
      <c r="N16" s="366">
        <f t="shared" si="6"/>
        <v>0</v>
      </c>
      <c r="O16" s="366">
        <f t="shared" si="6"/>
        <v>0</v>
      </c>
      <c r="P16" s="366">
        <f t="shared" si="6"/>
        <v>0</v>
      </c>
      <c r="Q16" s="366">
        <f t="shared" si="6"/>
        <v>58</v>
      </c>
      <c r="R16" s="367">
        <f t="shared" si="7"/>
        <v>76</v>
      </c>
      <c r="S16" s="177">
        <v>51</v>
      </c>
      <c r="T16" s="177"/>
      <c r="U16" s="177"/>
      <c r="V16" s="177"/>
      <c r="W16" s="177">
        <v>25</v>
      </c>
      <c r="X16" s="367">
        <f t="shared" si="8"/>
        <v>99</v>
      </c>
      <c r="Y16" s="177">
        <v>66</v>
      </c>
      <c r="Z16" s="177"/>
      <c r="AA16" s="177"/>
      <c r="AB16" s="177"/>
      <c r="AC16" s="177">
        <v>33</v>
      </c>
      <c r="AD16" s="367">
        <f>SUM(AE16:AI16)</f>
        <v>0</v>
      </c>
      <c r="AE16" s="177"/>
      <c r="AF16" s="177"/>
      <c r="AG16" s="177"/>
      <c r="AH16" s="177"/>
      <c r="AI16" s="177"/>
      <c r="AJ16" s="367">
        <f t="shared" si="9"/>
        <v>0</v>
      </c>
      <c r="AK16" s="177"/>
      <c r="AL16" s="177"/>
      <c r="AM16" s="177"/>
      <c r="AN16" s="177"/>
      <c r="AO16" s="367">
        <f>SUM(AP16:AT16)</f>
        <v>0</v>
      </c>
      <c r="AP16" s="177"/>
      <c r="AQ16" s="177"/>
      <c r="AR16" s="177"/>
      <c r="AS16" s="177"/>
      <c r="AT16" s="177"/>
      <c r="AU16" s="367">
        <f>SUM(AV16:AZ16)</f>
        <v>0</v>
      </c>
      <c r="AV16" s="177"/>
      <c r="AW16" s="177"/>
      <c r="AX16" s="177"/>
      <c r="AY16" s="177"/>
      <c r="AZ16" s="177"/>
      <c r="BA16" s="367">
        <f>SUM(BB16:BF16)</f>
        <v>0</v>
      </c>
      <c r="BB16" s="177"/>
      <c r="BC16" s="177"/>
      <c r="BD16" s="177"/>
      <c r="BE16" s="177"/>
      <c r="BF16" s="177"/>
      <c r="BG16" s="367">
        <f>SUM(BH16:BL16)</f>
        <v>0</v>
      </c>
      <c r="BH16" s="177"/>
      <c r="BI16" s="177"/>
      <c r="BJ16" s="177"/>
      <c r="BK16" s="177"/>
      <c r="BL16" s="177"/>
      <c r="BM16" s="367">
        <f>SUM(BN16:BR16)</f>
        <v>0</v>
      </c>
      <c r="BN16" s="177"/>
      <c r="BO16" s="177"/>
      <c r="BP16" s="177"/>
      <c r="BQ16" s="177"/>
      <c r="BR16" s="177"/>
      <c r="BS16" s="367">
        <f>SUM(BT16:BX16)</f>
        <v>0</v>
      </c>
      <c r="BT16" s="177"/>
      <c r="BU16" s="177"/>
      <c r="BV16" s="177"/>
      <c r="BW16" s="177"/>
      <c r="BX16" s="177"/>
      <c r="BY16" s="367">
        <f>SUM(BZ16:CD16)</f>
        <v>0</v>
      </c>
      <c r="BZ16" s="387"/>
      <c r="CA16" s="363" t="s">
        <v>495</v>
      </c>
      <c r="CB16" s="368"/>
      <c r="CC16" s="368"/>
      <c r="CD16" s="177"/>
      <c r="CE16" s="369"/>
    </row>
    <row r="17" spans="1:84" s="355" customFormat="1" ht="26.1" customHeight="1" x14ac:dyDescent="0.2">
      <c r="A17" s="529" t="s">
        <v>638</v>
      </c>
      <c r="B17" s="364" t="s">
        <v>7</v>
      </c>
      <c r="C17" s="201"/>
      <c r="D17" s="363"/>
      <c r="E17" s="363" t="s">
        <v>295</v>
      </c>
      <c r="F17" s="363"/>
      <c r="G17" s="363"/>
      <c r="H17" s="363"/>
      <c r="I17" s="179">
        <v>175</v>
      </c>
      <c r="J17" s="177">
        <v>117</v>
      </c>
      <c r="K17" s="366">
        <f t="shared" si="4"/>
        <v>176</v>
      </c>
      <c r="L17" s="366">
        <f t="shared" si="5"/>
        <v>117</v>
      </c>
      <c r="M17" s="366">
        <f t="shared" si="10"/>
        <v>117</v>
      </c>
      <c r="N17" s="366">
        <f t="shared" si="6"/>
        <v>0</v>
      </c>
      <c r="O17" s="366">
        <f t="shared" si="6"/>
        <v>0</v>
      </c>
      <c r="P17" s="366">
        <f t="shared" si="6"/>
        <v>0</v>
      </c>
      <c r="Q17" s="366">
        <f t="shared" si="6"/>
        <v>59</v>
      </c>
      <c r="R17" s="367">
        <f t="shared" si="7"/>
        <v>77</v>
      </c>
      <c r="S17" s="177">
        <v>51</v>
      </c>
      <c r="T17" s="177"/>
      <c r="U17" s="177"/>
      <c r="V17" s="177"/>
      <c r="W17" s="177">
        <v>26</v>
      </c>
      <c r="X17" s="367">
        <f t="shared" si="8"/>
        <v>99</v>
      </c>
      <c r="Y17" s="177">
        <v>66</v>
      </c>
      <c r="Z17" s="177"/>
      <c r="AA17" s="177"/>
      <c r="AB17" s="177"/>
      <c r="AC17" s="177">
        <v>33</v>
      </c>
      <c r="AD17" s="367">
        <f>SUM(AE17:AI17)</f>
        <v>0</v>
      </c>
      <c r="AE17" s="177"/>
      <c r="AF17" s="177"/>
      <c r="AG17" s="177"/>
      <c r="AH17" s="177"/>
      <c r="AI17" s="177"/>
      <c r="AJ17" s="367">
        <f t="shared" si="9"/>
        <v>0</v>
      </c>
      <c r="AK17" s="177"/>
      <c r="AL17" s="177"/>
      <c r="AM17" s="177"/>
      <c r="AN17" s="177"/>
      <c r="AO17" s="367">
        <f>SUM(AP17:AT17)</f>
        <v>0</v>
      </c>
      <c r="AP17" s="177"/>
      <c r="AQ17" s="177"/>
      <c r="AR17" s="177"/>
      <c r="AS17" s="177"/>
      <c r="AT17" s="177"/>
      <c r="AU17" s="367">
        <f>SUM(AV17:AZ17)</f>
        <v>0</v>
      </c>
      <c r="AV17" s="177"/>
      <c r="AW17" s="177"/>
      <c r="AX17" s="177"/>
      <c r="AY17" s="177"/>
      <c r="AZ17" s="177"/>
      <c r="BA17" s="367">
        <f>SUM(BB17:BF17)</f>
        <v>0</v>
      </c>
      <c r="BB17" s="177"/>
      <c r="BC17" s="177"/>
      <c r="BD17" s="177"/>
      <c r="BE17" s="177"/>
      <c r="BF17" s="177"/>
      <c r="BG17" s="367">
        <f>SUM(BH17:BL17)</f>
        <v>0</v>
      </c>
      <c r="BH17" s="177"/>
      <c r="BI17" s="177"/>
      <c r="BJ17" s="177"/>
      <c r="BK17" s="177"/>
      <c r="BL17" s="177"/>
      <c r="BM17" s="367">
        <f>SUM(BN17:BR17)</f>
        <v>0</v>
      </c>
      <c r="BN17" s="177"/>
      <c r="BO17" s="177"/>
      <c r="BP17" s="177"/>
      <c r="BQ17" s="177"/>
      <c r="BR17" s="177"/>
      <c r="BS17" s="367">
        <f>SUM(BT17:BX17)</f>
        <v>0</v>
      </c>
      <c r="BT17" s="177"/>
      <c r="BU17" s="177"/>
      <c r="BV17" s="177"/>
      <c r="BW17" s="177"/>
      <c r="BX17" s="177"/>
      <c r="BY17" s="367">
        <f>SUM(BZ17:CD17)</f>
        <v>0</v>
      </c>
      <c r="BZ17" s="387"/>
      <c r="CA17" s="363" t="s">
        <v>497</v>
      </c>
      <c r="CB17" s="368"/>
      <c r="CC17" s="368"/>
      <c r="CD17" s="177"/>
      <c r="CE17" s="369"/>
    </row>
    <row r="18" spans="1:84" s="355" customFormat="1" ht="26.1" customHeight="1" x14ac:dyDescent="0.2">
      <c r="A18" s="529" t="s">
        <v>639</v>
      </c>
      <c r="B18" s="364" t="s">
        <v>492</v>
      </c>
      <c r="C18" s="201"/>
      <c r="D18" s="363"/>
      <c r="E18" s="363" t="s">
        <v>31</v>
      </c>
      <c r="F18" s="363"/>
      <c r="G18" s="363"/>
      <c r="H18" s="363" t="s">
        <v>27</v>
      </c>
      <c r="I18" s="179">
        <v>105</v>
      </c>
      <c r="J18" s="177">
        <v>70</v>
      </c>
      <c r="K18" s="366">
        <f t="shared" si="4"/>
        <v>105</v>
      </c>
      <c r="L18" s="366">
        <f t="shared" si="5"/>
        <v>70</v>
      </c>
      <c r="M18" s="366">
        <f t="shared" si="10"/>
        <v>70</v>
      </c>
      <c r="N18" s="366">
        <f t="shared" si="6"/>
        <v>0</v>
      </c>
      <c r="O18" s="366">
        <f t="shared" si="6"/>
        <v>0</v>
      </c>
      <c r="P18" s="366">
        <f t="shared" si="6"/>
        <v>0</v>
      </c>
      <c r="Q18" s="366">
        <f t="shared" si="6"/>
        <v>35</v>
      </c>
      <c r="R18" s="367">
        <f t="shared" si="7"/>
        <v>51</v>
      </c>
      <c r="S18" s="177">
        <v>34</v>
      </c>
      <c r="T18" s="177"/>
      <c r="U18" s="177"/>
      <c r="V18" s="177"/>
      <c r="W18" s="177">
        <v>17</v>
      </c>
      <c r="X18" s="367">
        <f t="shared" si="8"/>
        <v>54</v>
      </c>
      <c r="Y18" s="177">
        <v>36</v>
      </c>
      <c r="Z18" s="177"/>
      <c r="AA18" s="177"/>
      <c r="AB18" s="177"/>
      <c r="AC18" s="177">
        <v>18</v>
      </c>
      <c r="AD18" s="367">
        <f>SUM(AE18:AI18)</f>
        <v>0</v>
      </c>
      <c r="AE18" s="177"/>
      <c r="AF18" s="177"/>
      <c r="AG18" s="177"/>
      <c r="AH18" s="177"/>
      <c r="AI18" s="177"/>
      <c r="AJ18" s="367">
        <f t="shared" si="9"/>
        <v>0</v>
      </c>
      <c r="AK18" s="177"/>
      <c r="AL18" s="177"/>
      <c r="AM18" s="177"/>
      <c r="AN18" s="177"/>
      <c r="AO18" s="367">
        <f>SUM(AP18:AT18)</f>
        <v>0</v>
      </c>
      <c r="AP18" s="177"/>
      <c r="AQ18" s="177"/>
      <c r="AR18" s="177"/>
      <c r="AS18" s="177"/>
      <c r="AT18" s="177"/>
      <c r="AU18" s="367">
        <f>SUM(AV18:AZ18)</f>
        <v>0</v>
      </c>
      <c r="AV18" s="177"/>
      <c r="AW18" s="177"/>
      <c r="AX18" s="177"/>
      <c r="AY18" s="177"/>
      <c r="AZ18" s="177"/>
      <c r="BA18" s="367">
        <f>SUM(BB18:BF18)</f>
        <v>0</v>
      </c>
      <c r="BB18" s="177"/>
      <c r="BC18" s="177"/>
      <c r="BD18" s="177"/>
      <c r="BE18" s="177"/>
      <c r="BF18" s="177"/>
      <c r="BG18" s="367">
        <f>SUM(BH18:BL18)</f>
        <v>0</v>
      </c>
      <c r="BH18" s="177"/>
      <c r="BI18" s="177"/>
      <c r="BJ18" s="177"/>
      <c r="BK18" s="177"/>
      <c r="BL18" s="177"/>
      <c r="BM18" s="367">
        <f>SUM(BN18:BR18)</f>
        <v>0</v>
      </c>
      <c r="BN18" s="177"/>
      <c r="BO18" s="177"/>
      <c r="BP18" s="177"/>
      <c r="BQ18" s="177"/>
      <c r="BR18" s="177"/>
      <c r="BS18" s="367">
        <f>SUM(BT18:BX18)</f>
        <v>0</v>
      </c>
      <c r="BT18" s="177"/>
      <c r="BU18" s="177"/>
      <c r="BV18" s="177"/>
      <c r="BW18" s="177"/>
      <c r="BX18" s="177"/>
      <c r="BY18" s="367">
        <f>SUM(BZ18:CD18)</f>
        <v>0</v>
      </c>
      <c r="BZ18" s="387"/>
      <c r="CA18" s="363" t="s">
        <v>496</v>
      </c>
      <c r="CB18" s="368"/>
      <c r="CC18" s="368"/>
      <c r="CD18" s="177"/>
      <c r="CE18" s="369"/>
    </row>
    <row r="19" spans="1:84" s="355" customFormat="1" ht="26.1" customHeight="1" x14ac:dyDescent="0.2">
      <c r="A19" s="529" t="s">
        <v>640</v>
      </c>
      <c r="B19" s="364" t="s">
        <v>609</v>
      </c>
      <c r="C19" s="201"/>
      <c r="D19" s="363"/>
      <c r="E19" s="363" t="s">
        <v>31</v>
      </c>
      <c r="F19" s="363"/>
      <c r="G19" s="363"/>
      <c r="H19" s="363"/>
      <c r="I19" s="179">
        <v>54</v>
      </c>
      <c r="J19" s="177">
        <v>36</v>
      </c>
      <c r="K19" s="366">
        <f t="shared" si="4"/>
        <v>54</v>
      </c>
      <c r="L19" s="366">
        <f t="shared" si="5"/>
        <v>36</v>
      </c>
      <c r="M19" s="366">
        <f t="shared" si="10"/>
        <v>36</v>
      </c>
      <c r="N19" s="366">
        <f t="shared" si="6"/>
        <v>0</v>
      </c>
      <c r="O19" s="366">
        <f t="shared" si="6"/>
        <v>0</v>
      </c>
      <c r="P19" s="366">
        <f t="shared" si="6"/>
        <v>0</v>
      </c>
      <c r="Q19" s="366">
        <f t="shared" si="6"/>
        <v>18</v>
      </c>
      <c r="R19" s="367">
        <f t="shared" si="7"/>
        <v>0</v>
      </c>
      <c r="S19" s="177"/>
      <c r="T19" s="177"/>
      <c r="U19" s="177"/>
      <c r="V19" s="177"/>
      <c r="W19" s="177"/>
      <c r="X19" s="367">
        <f t="shared" si="8"/>
        <v>54</v>
      </c>
      <c r="Y19" s="177">
        <v>36</v>
      </c>
      <c r="Z19" s="177"/>
      <c r="AA19" s="177"/>
      <c r="AB19" s="177"/>
      <c r="AC19" s="177">
        <v>18</v>
      </c>
      <c r="AD19" s="367"/>
      <c r="AE19" s="177"/>
      <c r="AF19" s="177"/>
      <c r="AG19" s="177"/>
      <c r="AH19" s="177"/>
      <c r="AI19" s="177"/>
      <c r="AJ19" s="367"/>
      <c r="AK19" s="177"/>
      <c r="AL19" s="177"/>
      <c r="AM19" s="177"/>
      <c r="AN19" s="177"/>
      <c r="AO19" s="367"/>
      <c r="AP19" s="177"/>
      <c r="AQ19" s="177"/>
      <c r="AR19" s="177"/>
      <c r="AS19" s="177"/>
      <c r="AT19" s="177"/>
      <c r="AU19" s="367"/>
      <c r="AV19" s="177"/>
      <c r="AW19" s="177"/>
      <c r="AX19" s="177"/>
      <c r="AY19" s="177"/>
      <c r="AZ19" s="177"/>
      <c r="BA19" s="367"/>
      <c r="BB19" s="177"/>
      <c r="BC19" s="177"/>
      <c r="BD19" s="177"/>
      <c r="BE19" s="177"/>
      <c r="BF19" s="177"/>
      <c r="BG19" s="367"/>
      <c r="BH19" s="177"/>
      <c r="BI19" s="177"/>
      <c r="BJ19" s="177"/>
      <c r="BK19" s="177"/>
      <c r="BL19" s="177"/>
      <c r="BM19" s="367"/>
      <c r="BN19" s="177"/>
      <c r="BO19" s="177"/>
      <c r="BP19" s="177"/>
      <c r="BQ19" s="177"/>
      <c r="BR19" s="177"/>
      <c r="BS19" s="367"/>
      <c r="BT19" s="177"/>
      <c r="BU19" s="177"/>
      <c r="BV19" s="177"/>
      <c r="BW19" s="177"/>
      <c r="BX19" s="177"/>
      <c r="BY19" s="367"/>
      <c r="BZ19" s="387"/>
      <c r="CA19" s="363" t="s">
        <v>496</v>
      </c>
      <c r="CB19" s="368"/>
      <c r="CC19" s="371"/>
      <c r="CD19" s="179"/>
      <c r="CE19" s="180"/>
      <c r="CF19" s="372"/>
    </row>
    <row r="20" spans="1:84" s="355" customFormat="1" ht="26.1" customHeight="1" x14ac:dyDescent="0.2">
      <c r="A20" s="529" t="s">
        <v>641</v>
      </c>
      <c r="B20" s="364" t="s">
        <v>186</v>
      </c>
      <c r="C20" s="201"/>
      <c r="D20" s="363"/>
      <c r="E20" s="363" t="s">
        <v>31</v>
      </c>
      <c r="F20" s="363"/>
      <c r="G20" s="363"/>
      <c r="H20" s="363" t="s">
        <v>27</v>
      </c>
      <c r="I20" s="179">
        <v>117</v>
      </c>
      <c r="J20" s="177">
        <v>78</v>
      </c>
      <c r="K20" s="366">
        <f t="shared" si="4"/>
        <v>117</v>
      </c>
      <c r="L20" s="366">
        <f t="shared" si="5"/>
        <v>78</v>
      </c>
      <c r="M20" s="366">
        <f t="shared" si="10"/>
        <v>56</v>
      </c>
      <c r="N20" s="366">
        <f t="shared" si="6"/>
        <v>22</v>
      </c>
      <c r="O20" s="366">
        <f t="shared" si="6"/>
        <v>0</v>
      </c>
      <c r="P20" s="366">
        <f t="shared" si="6"/>
        <v>0</v>
      </c>
      <c r="Q20" s="366">
        <f t="shared" si="6"/>
        <v>39</v>
      </c>
      <c r="R20" s="367">
        <f t="shared" si="7"/>
        <v>51</v>
      </c>
      <c r="S20" s="177">
        <v>34</v>
      </c>
      <c r="T20" s="177"/>
      <c r="U20" s="177"/>
      <c r="V20" s="177"/>
      <c r="W20" s="177">
        <v>17</v>
      </c>
      <c r="X20" s="367">
        <f t="shared" si="8"/>
        <v>66</v>
      </c>
      <c r="Y20" s="177">
        <v>22</v>
      </c>
      <c r="Z20" s="177">
        <v>22</v>
      </c>
      <c r="AA20" s="177"/>
      <c r="AB20" s="177"/>
      <c r="AC20" s="177">
        <v>22</v>
      </c>
      <c r="AD20" s="367">
        <f>SUM(AE20:AI20)</f>
        <v>0</v>
      </c>
      <c r="AE20" s="177"/>
      <c r="AF20" s="177"/>
      <c r="AG20" s="177"/>
      <c r="AH20" s="177"/>
      <c r="AI20" s="177"/>
      <c r="AJ20" s="367">
        <f t="shared" ref="AJ20:AJ21" si="11">SUM(AK20:AO20)</f>
        <v>0</v>
      </c>
      <c r="AK20" s="177"/>
      <c r="AL20" s="177"/>
      <c r="AM20" s="177"/>
      <c r="AN20" s="177"/>
      <c r="AO20" s="367">
        <f>SUM(AP20:AT20)</f>
        <v>0</v>
      </c>
      <c r="AP20" s="177"/>
      <c r="AQ20" s="177"/>
      <c r="AR20" s="177"/>
      <c r="AS20" s="177"/>
      <c r="AT20" s="177"/>
      <c r="AU20" s="367">
        <f>SUM(AV20:AZ20)</f>
        <v>0</v>
      </c>
      <c r="AV20" s="177"/>
      <c r="AW20" s="177"/>
      <c r="AX20" s="177"/>
      <c r="AY20" s="177"/>
      <c r="AZ20" s="177"/>
      <c r="BA20" s="367">
        <f>SUM(BB20:BF20)</f>
        <v>0</v>
      </c>
      <c r="BB20" s="177"/>
      <c r="BC20" s="177"/>
      <c r="BD20" s="177"/>
      <c r="BE20" s="177"/>
      <c r="BF20" s="177"/>
      <c r="BG20" s="367">
        <f>SUM(BH20:BL20)</f>
        <v>0</v>
      </c>
      <c r="BH20" s="177"/>
      <c r="BI20" s="177"/>
      <c r="BJ20" s="177"/>
      <c r="BK20" s="177"/>
      <c r="BL20" s="177"/>
      <c r="BM20" s="367">
        <f>SUM(BN20:BR20)</f>
        <v>0</v>
      </c>
      <c r="BN20" s="177"/>
      <c r="BO20" s="177"/>
      <c r="BP20" s="177"/>
      <c r="BQ20" s="177"/>
      <c r="BR20" s="177"/>
      <c r="BS20" s="367">
        <f>SUM(BT20:BX20)</f>
        <v>0</v>
      </c>
      <c r="BT20" s="177"/>
      <c r="BU20" s="177"/>
      <c r="BV20" s="177"/>
      <c r="BW20" s="177"/>
      <c r="BX20" s="177"/>
      <c r="BY20" s="367">
        <f>SUM(BZ20:CD20)</f>
        <v>0</v>
      </c>
      <c r="BZ20" s="387"/>
      <c r="CA20" s="363" t="s">
        <v>496</v>
      </c>
      <c r="CB20" s="368"/>
      <c r="CC20" s="371"/>
      <c r="CD20" s="179"/>
      <c r="CE20" s="180"/>
      <c r="CF20" s="372"/>
    </row>
    <row r="21" spans="1:84" s="355" customFormat="1" ht="26.1" customHeight="1" x14ac:dyDescent="0.2">
      <c r="A21" s="529" t="s">
        <v>642</v>
      </c>
      <c r="B21" s="364" t="s">
        <v>610</v>
      </c>
      <c r="C21" s="201"/>
      <c r="D21" s="363"/>
      <c r="E21" s="363" t="s">
        <v>31</v>
      </c>
      <c r="F21" s="363"/>
      <c r="G21" s="363"/>
      <c r="H21" s="363" t="s">
        <v>27</v>
      </c>
      <c r="I21" s="179">
        <v>162</v>
      </c>
      <c r="J21" s="177">
        <v>108</v>
      </c>
      <c r="K21" s="366">
        <f t="shared" si="4"/>
        <v>170</v>
      </c>
      <c r="L21" s="366">
        <f t="shared" si="5"/>
        <v>113</v>
      </c>
      <c r="M21" s="366">
        <f t="shared" si="10"/>
        <v>113</v>
      </c>
      <c r="N21" s="366">
        <f t="shared" si="6"/>
        <v>0</v>
      </c>
      <c r="O21" s="366">
        <f t="shared" si="6"/>
        <v>0</v>
      </c>
      <c r="P21" s="366">
        <f t="shared" si="6"/>
        <v>0</v>
      </c>
      <c r="Q21" s="366">
        <f t="shared" si="6"/>
        <v>57</v>
      </c>
      <c r="R21" s="367">
        <f t="shared" si="7"/>
        <v>71</v>
      </c>
      <c r="S21" s="177">
        <v>47</v>
      </c>
      <c r="T21" s="177"/>
      <c r="U21" s="177"/>
      <c r="V21" s="177"/>
      <c r="W21" s="177">
        <v>24</v>
      </c>
      <c r="X21" s="367">
        <f t="shared" si="8"/>
        <v>99</v>
      </c>
      <c r="Y21" s="177">
        <v>66</v>
      </c>
      <c r="Z21" s="177"/>
      <c r="AA21" s="177"/>
      <c r="AB21" s="177"/>
      <c r="AC21" s="177">
        <v>33</v>
      </c>
      <c r="AD21" s="367">
        <f>SUM(AE21:AI21)</f>
        <v>0</v>
      </c>
      <c r="AE21" s="177"/>
      <c r="AF21" s="177"/>
      <c r="AG21" s="177"/>
      <c r="AH21" s="177"/>
      <c r="AI21" s="177"/>
      <c r="AJ21" s="367">
        <f t="shared" si="11"/>
        <v>0</v>
      </c>
      <c r="AK21" s="177"/>
      <c r="AL21" s="177"/>
      <c r="AM21" s="177"/>
      <c r="AN21" s="177"/>
      <c r="AO21" s="367">
        <f>SUM(AP21:AT21)</f>
        <v>0</v>
      </c>
      <c r="AP21" s="177"/>
      <c r="AQ21" s="177"/>
      <c r="AR21" s="177"/>
      <c r="AS21" s="177"/>
      <c r="AT21" s="177"/>
      <c r="AU21" s="367">
        <f>SUM(AV21:AZ21)</f>
        <v>0</v>
      </c>
      <c r="AV21" s="177"/>
      <c r="AW21" s="177"/>
      <c r="AX21" s="177"/>
      <c r="AY21" s="177"/>
      <c r="AZ21" s="177"/>
      <c r="BA21" s="367">
        <f>SUM(BB21:BF21)</f>
        <v>0</v>
      </c>
      <c r="BB21" s="177"/>
      <c r="BC21" s="177"/>
      <c r="BD21" s="177"/>
      <c r="BE21" s="177"/>
      <c r="BF21" s="177"/>
      <c r="BG21" s="367">
        <f>SUM(BH21:BL21)</f>
        <v>0</v>
      </c>
      <c r="BH21" s="177"/>
      <c r="BI21" s="177"/>
      <c r="BJ21" s="177"/>
      <c r="BK21" s="177"/>
      <c r="BL21" s="177"/>
      <c r="BM21" s="367">
        <f>SUM(BN21:BR21)</f>
        <v>0</v>
      </c>
      <c r="BN21" s="177"/>
      <c r="BO21" s="177"/>
      <c r="BP21" s="177"/>
      <c r="BQ21" s="177"/>
      <c r="BR21" s="177"/>
      <c r="BS21" s="367">
        <f>SUM(BT21:BX21)</f>
        <v>0</v>
      </c>
      <c r="BT21" s="177"/>
      <c r="BU21" s="177"/>
      <c r="BV21" s="177"/>
      <c r="BW21" s="177"/>
      <c r="BX21" s="177"/>
      <c r="BY21" s="367">
        <f>SUM(BZ21:CD21)</f>
        <v>0</v>
      </c>
      <c r="BZ21" s="387"/>
      <c r="CA21" s="363" t="s">
        <v>495</v>
      </c>
      <c r="CB21" s="368"/>
      <c r="CC21" s="371"/>
      <c r="CD21" s="179"/>
      <c r="CE21" s="180"/>
      <c r="CF21" s="372"/>
    </row>
    <row r="22" spans="1:84" s="355" customFormat="1" ht="26.1" customHeight="1" x14ac:dyDescent="0.2">
      <c r="A22" s="529" t="s">
        <v>643</v>
      </c>
      <c r="B22" s="364" t="s">
        <v>187</v>
      </c>
      <c r="C22" s="201"/>
      <c r="D22" s="363"/>
      <c r="E22" s="363" t="s">
        <v>27</v>
      </c>
      <c r="F22" s="363"/>
      <c r="G22" s="363"/>
      <c r="H22" s="363"/>
      <c r="I22" s="179">
        <v>54</v>
      </c>
      <c r="J22" s="177">
        <v>36</v>
      </c>
      <c r="K22" s="366">
        <f t="shared" si="4"/>
        <v>54</v>
      </c>
      <c r="L22" s="366">
        <f>SUM(M22:P22)</f>
        <v>36</v>
      </c>
      <c r="M22" s="366">
        <f t="shared" si="10"/>
        <v>36</v>
      </c>
      <c r="N22" s="366">
        <f t="shared" si="6"/>
        <v>0</v>
      </c>
      <c r="O22" s="366">
        <f t="shared" si="6"/>
        <v>0</v>
      </c>
      <c r="P22" s="366">
        <f t="shared" si="6"/>
        <v>0</v>
      </c>
      <c r="Q22" s="366">
        <f t="shared" si="6"/>
        <v>18</v>
      </c>
      <c r="R22" s="367">
        <f t="shared" si="7"/>
        <v>54</v>
      </c>
      <c r="S22" s="177">
        <v>36</v>
      </c>
      <c r="T22" s="177"/>
      <c r="U22" s="177"/>
      <c r="V22" s="177"/>
      <c r="W22" s="177">
        <v>18</v>
      </c>
      <c r="X22" s="367">
        <f t="shared" si="8"/>
        <v>0</v>
      </c>
      <c r="Y22" s="177"/>
      <c r="Z22" s="177"/>
      <c r="AA22" s="177"/>
      <c r="AB22" s="177"/>
      <c r="AC22" s="177"/>
      <c r="AD22" s="367">
        <f>SUM(AE22:AI22)</f>
        <v>0</v>
      </c>
      <c r="AE22" s="177"/>
      <c r="AF22" s="177"/>
      <c r="AG22" s="177"/>
      <c r="AH22" s="177"/>
      <c r="AI22" s="177"/>
      <c r="AJ22" s="367">
        <f t="shared" ref="AJ22" si="12">SUM(AK22:AO22)</f>
        <v>0</v>
      </c>
      <c r="AK22" s="177"/>
      <c r="AL22" s="177"/>
      <c r="AM22" s="177"/>
      <c r="AN22" s="177"/>
      <c r="AO22" s="367">
        <f>SUM(AP22:AT22)</f>
        <v>0</v>
      </c>
      <c r="AP22" s="177"/>
      <c r="AQ22" s="177"/>
      <c r="AR22" s="177"/>
      <c r="AS22" s="177"/>
      <c r="AT22" s="177"/>
      <c r="AU22" s="367">
        <f>SUM(AV22:AZ22)</f>
        <v>0</v>
      </c>
      <c r="AV22" s="177"/>
      <c r="AW22" s="177"/>
      <c r="AX22" s="177"/>
      <c r="AY22" s="177"/>
      <c r="AZ22" s="177"/>
      <c r="BA22" s="367">
        <f>SUM(BB22:BF22)</f>
        <v>0</v>
      </c>
      <c r="BB22" s="177"/>
      <c r="BC22" s="177"/>
      <c r="BD22" s="177"/>
      <c r="BE22" s="177"/>
      <c r="BF22" s="177"/>
      <c r="BG22" s="367">
        <f>SUM(BH22:BL22)</f>
        <v>0</v>
      </c>
      <c r="BH22" s="177"/>
      <c r="BI22" s="177"/>
      <c r="BJ22" s="177"/>
      <c r="BK22" s="177"/>
      <c r="BL22" s="177"/>
      <c r="BM22" s="367">
        <f>SUM(BN22:BR22)</f>
        <v>0</v>
      </c>
      <c r="BN22" s="177"/>
      <c r="BO22" s="177"/>
      <c r="BP22" s="177"/>
      <c r="BQ22" s="177"/>
      <c r="BR22" s="177"/>
      <c r="BS22" s="367">
        <f>SUM(BT22:BX22)</f>
        <v>0</v>
      </c>
      <c r="BT22" s="177"/>
      <c r="BU22" s="177"/>
      <c r="BV22" s="177"/>
      <c r="BW22" s="177"/>
      <c r="BX22" s="177"/>
      <c r="BY22" s="367">
        <f>SUM(BZ22:CD22)</f>
        <v>0</v>
      </c>
      <c r="BZ22" s="387"/>
      <c r="CA22" s="363" t="s">
        <v>495</v>
      </c>
      <c r="CB22" s="368"/>
      <c r="CC22" s="371"/>
      <c r="CD22" s="179"/>
      <c r="CE22" s="180"/>
      <c r="CF22" s="372"/>
    </row>
    <row r="23" spans="1:84" s="355" customFormat="1" ht="26.1" customHeight="1" x14ac:dyDescent="0.2">
      <c r="A23" s="529" t="s">
        <v>644</v>
      </c>
      <c r="B23" s="364" t="s">
        <v>366</v>
      </c>
      <c r="C23" s="201"/>
      <c r="D23" s="363"/>
      <c r="E23" s="363" t="s">
        <v>27</v>
      </c>
      <c r="F23" s="363"/>
      <c r="G23" s="363"/>
      <c r="H23" s="363"/>
      <c r="I23" s="179">
        <v>54</v>
      </c>
      <c r="J23" s="177">
        <v>36</v>
      </c>
      <c r="K23" s="366">
        <f t="shared" si="4"/>
        <v>54</v>
      </c>
      <c r="L23" s="366">
        <f t="shared" si="5"/>
        <v>36</v>
      </c>
      <c r="M23" s="366">
        <f t="shared" si="10"/>
        <v>36</v>
      </c>
      <c r="N23" s="366">
        <f t="shared" si="6"/>
        <v>0</v>
      </c>
      <c r="O23" s="366">
        <f t="shared" si="6"/>
        <v>0</v>
      </c>
      <c r="P23" s="366">
        <f t="shared" si="6"/>
        <v>0</v>
      </c>
      <c r="Q23" s="366">
        <f t="shared" si="6"/>
        <v>18</v>
      </c>
      <c r="R23" s="367">
        <f t="shared" si="7"/>
        <v>54</v>
      </c>
      <c r="S23" s="177">
        <v>36</v>
      </c>
      <c r="T23" s="177"/>
      <c r="U23" s="177"/>
      <c r="V23" s="177"/>
      <c r="W23" s="177">
        <v>18</v>
      </c>
      <c r="X23" s="367">
        <f t="shared" si="8"/>
        <v>0</v>
      </c>
      <c r="Y23" s="177"/>
      <c r="Z23" s="177"/>
      <c r="AA23" s="177"/>
      <c r="AB23" s="177"/>
      <c r="AC23" s="177"/>
      <c r="AD23" s="367">
        <f>SUM(AE23:AI23)</f>
        <v>0</v>
      </c>
      <c r="AE23" s="177"/>
      <c r="AF23" s="177"/>
      <c r="AG23" s="177"/>
      <c r="AH23" s="177"/>
      <c r="AI23" s="177"/>
      <c r="AJ23" s="367">
        <f t="shared" si="9"/>
        <v>0</v>
      </c>
      <c r="AK23" s="177"/>
      <c r="AL23" s="177"/>
      <c r="AM23" s="177"/>
      <c r="AN23" s="177"/>
      <c r="AO23" s="367">
        <f>SUM(AP23:AT23)</f>
        <v>0</v>
      </c>
      <c r="AP23" s="177"/>
      <c r="AQ23" s="177"/>
      <c r="AR23" s="177"/>
      <c r="AS23" s="177"/>
      <c r="AT23" s="177"/>
      <c r="AU23" s="367">
        <f>SUM(AV23:AZ23)</f>
        <v>0</v>
      </c>
      <c r="AV23" s="177"/>
      <c r="AW23" s="177"/>
      <c r="AX23" s="177"/>
      <c r="AY23" s="177"/>
      <c r="AZ23" s="177"/>
      <c r="BA23" s="367">
        <f>SUM(BB23:BF23)</f>
        <v>0</v>
      </c>
      <c r="BB23" s="177"/>
      <c r="BC23" s="177"/>
      <c r="BD23" s="177"/>
      <c r="BE23" s="177"/>
      <c r="BF23" s="177"/>
      <c r="BG23" s="367">
        <f>SUM(BH23:BL23)</f>
        <v>0</v>
      </c>
      <c r="BH23" s="177"/>
      <c r="BI23" s="177"/>
      <c r="BJ23" s="177"/>
      <c r="BK23" s="177"/>
      <c r="BL23" s="177"/>
      <c r="BM23" s="367">
        <f>SUM(BN23:BR23)</f>
        <v>0</v>
      </c>
      <c r="BN23" s="177"/>
      <c r="BO23" s="177"/>
      <c r="BP23" s="177"/>
      <c r="BQ23" s="177"/>
      <c r="BR23" s="177"/>
      <c r="BS23" s="367">
        <f>SUM(BT23:BX23)</f>
        <v>0</v>
      </c>
      <c r="BT23" s="177"/>
      <c r="BU23" s="177"/>
      <c r="BV23" s="177"/>
      <c r="BW23" s="177"/>
      <c r="BX23" s="177"/>
      <c r="BY23" s="367">
        <f>SUM(BZ23:CD23)</f>
        <v>0</v>
      </c>
      <c r="BZ23" s="387"/>
      <c r="CA23" s="363" t="s">
        <v>495</v>
      </c>
      <c r="CB23" s="368"/>
      <c r="CC23" s="368"/>
      <c r="CD23" s="177"/>
      <c r="CE23" s="369"/>
    </row>
    <row r="24" spans="1:84" s="355" customFormat="1" ht="26.1" customHeight="1" x14ac:dyDescent="0.2">
      <c r="A24" s="356"/>
      <c r="B24" s="703" t="s">
        <v>611</v>
      </c>
      <c r="C24" s="704"/>
      <c r="D24" s="704"/>
      <c r="E24" s="704"/>
      <c r="F24" s="704"/>
      <c r="G24" s="704"/>
      <c r="H24" s="704"/>
      <c r="I24" s="359" t="s">
        <v>22</v>
      </c>
      <c r="J24" s="359">
        <f>SUM(J26:J27)</f>
        <v>221</v>
      </c>
      <c r="K24" s="359">
        <f t="shared" ref="K24:AC24" si="13">SUM(K25:K27)</f>
        <v>726</v>
      </c>
      <c r="L24" s="359">
        <f t="shared" si="13"/>
        <v>484</v>
      </c>
      <c r="M24" s="359">
        <f t="shared" si="13"/>
        <v>417</v>
      </c>
      <c r="N24" s="359">
        <f t="shared" si="13"/>
        <v>67</v>
      </c>
      <c r="O24" s="359">
        <f t="shared" si="13"/>
        <v>0</v>
      </c>
      <c r="P24" s="359">
        <f t="shared" si="13"/>
        <v>0</v>
      </c>
      <c r="Q24" s="359">
        <f t="shared" si="13"/>
        <v>242</v>
      </c>
      <c r="R24" s="359">
        <f t="shared" si="13"/>
        <v>306</v>
      </c>
      <c r="S24" s="359">
        <f t="shared" si="13"/>
        <v>170</v>
      </c>
      <c r="T24" s="359">
        <f t="shared" si="13"/>
        <v>34</v>
      </c>
      <c r="U24" s="359">
        <f t="shared" si="13"/>
        <v>0</v>
      </c>
      <c r="V24" s="359">
        <f t="shared" si="13"/>
        <v>0</v>
      </c>
      <c r="W24" s="359">
        <f t="shared" si="13"/>
        <v>102</v>
      </c>
      <c r="X24" s="359">
        <f t="shared" si="13"/>
        <v>420</v>
      </c>
      <c r="Y24" s="359">
        <f t="shared" si="13"/>
        <v>247</v>
      </c>
      <c r="Z24" s="359">
        <f t="shared" si="13"/>
        <v>33</v>
      </c>
      <c r="AA24" s="359">
        <f t="shared" si="13"/>
        <v>0</v>
      </c>
      <c r="AB24" s="359">
        <f t="shared" si="13"/>
        <v>0</v>
      </c>
      <c r="AC24" s="359">
        <f t="shared" si="13"/>
        <v>140</v>
      </c>
      <c r="AD24" s="359">
        <f t="shared" ref="AD24:CE24" si="14">SUM(AD26:AD27)</f>
        <v>0</v>
      </c>
      <c r="AE24" s="359">
        <f t="shared" si="14"/>
        <v>0</v>
      </c>
      <c r="AF24" s="359">
        <f t="shared" si="14"/>
        <v>0</v>
      </c>
      <c r="AG24" s="359">
        <f t="shared" si="14"/>
        <v>0</v>
      </c>
      <c r="AH24" s="359">
        <f t="shared" si="14"/>
        <v>0</v>
      </c>
      <c r="AI24" s="359">
        <f t="shared" si="14"/>
        <v>0</v>
      </c>
      <c r="AJ24" s="359">
        <f t="shared" si="14"/>
        <v>0</v>
      </c>
      <c r="AK24" s="359">
        <f t="shared" si="14"/>
        <v>0</v>
      </c>
      <c r="AL24" s="359">
        <f t="shared" si="14"/>
        <v>0</v>
      </c>
      <c r="AM24" s="359">
        <f t="shared" si="14"/>
        <v>0</v>
      </c>
      <c r="AN24" s="359">
        <f t="shared" si="14"/>
        <v>0</v>
      </c>
      <c r="AO24" s="359">
        <f t="shared" si="14"/>
        <v>0</v>
      </c>
      <c r="AP24" s="359">
        <f t="shared" si="14"/>
        <v>0</v>
      </c>
      <c r="AQ24" s="359">
        <f t="shared" si="14"/>
        <v>0</v>
      </c>
      <c r="AR24" s="359">
        <f t="shared" si="14"/>
        <v>0</v>
      </c>
      <c r="AS24" s="359">
        <f t="shared" si="14"/>
        <v>0</v>
      </c>
      <c r="AT24" s="359">
        <f t="shared" si="14"/>
        <v>0</v>
      </c>
      <c r="AU24" s="359">
        <f t="shared" si="14"/>
        <v>0</v>
      </c>
      <c r="AV24" s="359">
        <f t="shared" si="14"/>
        <v>0</v>
      </c>
      <c r="AW24" s="359">
        <f t="shared" si="14"/>
        <v>0</v>
      </c>
      <c r="AX24" s="359">
        <f t="shared" si="14"/>
        <v>0</v>
      </c>
      <c r="AY24" s="359">
        <f t="shared" si="14"/>
        <v>0</v>
      </c>
      <c r="AZ24" s="359">
        <f t="shared" si="14"/>
        <v>0</v>
      </c>
      <c r="BA24" s="359">
        <f t="shared" si="14"/>
        <v>0</v>
      </c>
      <c r="BB24" s="359">
        <f t="shared" si="14"/>
        <v>0</v>
      </c>
      <c r="BC24" s="359">
        <f t="shared" si="14"/>
        <v>0</v>
      </c>
      <c r="BD24" s="359">
        <f t="shared" si="14"/>
        <v>0</v>
      </c>
      <c r="BE24" s="359">
        <f t="shared" si="14"/>
        <v>0</v>
      </c>
      <c r="BF24" s="359">
        <f t="shared" si="14"/>
        <v>0</v>
      </c>
      <c r="BG24" s="359">
        <f t="shared" si="14"/>
        <v>0</v>
      </c>
      <c r="BH24" s="359">
        <f t="shared" ref="BH24:BY24" si="15">SUM(BH26:BH27)</f>
        <v>0</v>
      </c>
      <c r="BI24" s="359">
        <f t="shared" si="15"/>
        <v>0</v>
      </c>
      <c r="BJ24" s="359">
        <f t="shared" si="15"/>
        <v>0</v>
      </c>
      <c r="BK24" s="359">
        <f t="shared" si="15"/>
        <v>0</v>
      </c>
      <c r="BL24" s="359">
        <f t="shared" si="15"/>
        <v>0</v>
      </c>
      <c r="BM24" s="359">
        <f t="shared" si="15"/>
        <v>0</v>
      </c>
      <c r="BN24" s="359">
        <f t="shared" si="15"/>
        <v>0</v>
      </c>
      <c r="BO24" s="359">
        <f t="shared" si="15"/>
        <v>0</v>
      </c>
      <c r="BP24" s="359">
        <f t="shared" si="15"/>
        <v>0</v>
      </c>
      <c r="BQ24" s="359">
        <f t="shared" si="15"/>
        <v>0</v>
      </c>
      <c r="BR24" s="359">
        <f t="shared" si="15"/>
        <v>0</v>
      </c>
      <c r="BS24" s="359">
        <f t="shared" si="15"/>
        <v>0</v>
      </c>
      <c r="BT24" s="359">
        <f t="shared" si="15"/>
        <v>0</v>
      </c>
      <c r="BU24" s="359">
        <f t="shared" si="15"/>
        <v>0</v>
      </c>
      <c r="BV24" s="359">
        <f t="shared" si="15"/>
        <v>0</v>
      </c>
      <c r="BW24" s="359">
        <f t="shared" si="15"/>
        <v>0</v>
      </c>
      <c r="BX24" s="359">
        <f t="shared" si="15"/>
        <v>0</v>
      </c>
      <c r="BY24" s="359">
        <f t="shared" si="15"/>
        <v>0</v>
      </c>
      <c r="BZ24" s="388">
        <f t="shared" si="14"/>
        <v>0</v>
      </c>
      <c r="CA24" s="388"/>
      <c r="CB24" s="360">
        <f t="shared" si="14"/>
        <v>0</v>
      </c>
      <c r="CC24" s="373">
        <f t="shared" si="14"/>
        <v>0</v>
      </c>
      <c r="CD24" s="164">
        <f t="shared" si="14"/>
        <v>0</v>
      </c>
      <c r="CE24" s="374">
        <f t="shared" si="14"/>
        <v>0</v>
      </c>
      <c r="CF24" s="372"/>
    </row>
    <row r="25" spans="1:84" s="355" customFormat="1" ht="26.1" customHeight="1" x14ac:dyDescent="0.2">
      <c r="A25" s="529" t="s">
        <v>645</v>
      </c>
      <c r="B25" s="364" t="s">
        <v>143</v>
      </c>
      <c r="C25" s="201"/>
      <c r="D25" s="363" t="s">
        <v>31</v>
      </c>
      <c r="E25" s="363"/>
      <c r="F25" s="363"/>
      <c r="G25" s="363"/>
      <c r="H25" s="363" t="s">
        <v>27</v>
      </c>
      <c r="I25" s="177">
        <v>351</v>
      </c>
      <c r="J25" s="177">
        <v>234</v>
      </c>
      <c r="K25" s="366">
        <f>L25+SUM(Q25:Q25)</f>
        <v>384</v>
      </c>
      <c r="L25" s="366">
        <f t="shared" ref="L25:L27" si="16">SUM(M25:P25)</f>
        <v>256</v>
      </c>
      <c r="M25" s="366">
        <f>S25+Y25</f>
        <v>256</v>
      </c>
      <c r="N25" s="366">
        <f t="shared" ref="N25:Q27" si="17">T25+Z25</f>
        <v>0</v>
      </c>
      <c r="O25" s="366">
        <f t="shared" si="17"/>
        <v>0</v>
      </c>
      <c r="P25" s="366">
        <f t="shared" si="17"/>
        <v>0</v>
      </c>
      <c r="Q25" s="366">
        <f t="shared" si="17"/>
        <v>128</v>
      </c>
      <c r="R25" s="367">
        <f>SUM(S25:V25)+W25</f>
        <v>153</v>
      </c>
      <c r="S25" s="177">
        <v>102</v>
      </c>
      <c r="T25" s="177"/>
      <c r="U25" s="177"/>
      <c r="V25" s="177"/>
      <c r="W25" s="177">
        <v>51</v>
      </c>
      <c r="X25" s="367">
        <f>SUM(Y25:AB25)+AC25</f>
        <v>231</v>
      </c>
      <c r="Y25" s="177">
        <v>154</v>
      </c>
      <c r="Z25" s="177"/>
      <c r="AA25" s="177"/>
      <c r="AB25" s="177"/>
      <c r="AC25" s="177">
        <v>77</v>
      </c>
      <c r="AD25" s="367">
        <f>SUM(AE25:AI25)</f>
        <v>0</v>
      </c>
      <c r="AE25" s="177"/>
      <c r="AF25" s="177"/>
      <c r="AG25" s="177"/>
      <c r="AH25" s="177"/>
      <c r="AI25" s="177"/>
      <c r="AJ25" s="367">
        <f>SUM(AK25:AO25)</f>
        <v>0</v>
      </c>
      <c r="AK25" s="177"/>
      <c r="AL25" s="177"/>
      <c r="AM25" s="177"/>
      <c r="AN25" s="177"/>
      <c r="AO25" s="367">
        <f>SUM(AP25:AT25)</f>
        <v>0</v>
      </c>
      <c r="AP25" s="177"/>
      <c r="AQ25" s="177"/>
      <c r="AR25" s="177"/>
      <c r="AS25" s="177"/>
      <c r="AT25" s="177"/>
      <c r="AU25" s="367">
        <f>SUM(AV25:AZ25)</f>
        <v>0</v>
      </c>
      <c r="AV25" s="177"/>
      <c r="AW25" s="177"/>
      <c r="AX25" s="177"/>
      <c r="AY25" s="177"/>
      <c r="AZ25" s="177"/>
      <c r="BA25" s="367">
        <f>SUM(BB25:BF25)</f>
        <v>0</v>
      </c>
      <c r="BB25" s="177"/>
      <c r="BC25" s="177"/>
      <c r="BD25" s="177"/>
      <c r="BE25" s="177"/>
      <c r="BF25" s="177"/>
      <c r="BG25" s="367">
        <f>SUM(BH25:BL25)</f>
        <v>0</v>
      </c>
      <c r="BH25" s="177"/>
      <c r="BI25" s="177"/>
      <c r="BJ25" s="177"/>
      <c r="BK25" s="177"/>
      <c r="BL25" s="177"/>
      <c r="BM25" s="367">
        <f>SUM(BN25:BR25)</f>
        <v>0</v>
      </c>
      <c r="BN25" s="177"/>
      <c r="BO25" s="177"/>
      <c r="BP25" s="177"/>
      <c r="BQ25" s="177"/>
      <c r="BR25" s="177"/>
      <c r="BS25" s="367">
        <f>SUM(BT25:BX25)</f>
        <v>0</v>
      </c>
      <c r="BT25" s="177"/>
      <c r="BU25" s="177"/>
      <c r="BV25" s="177"/>
      <c r="BW25" s="177"/>
      <c r="BX25" s="177"/>
      <c r="BY25" s="367">
        <f>SUM(BZ25:CD25)</f>
        <v>0</v>
      </c>
      <c r="BZ25" s="387"/>
      <c r="CA25" s="363" t="s">
        <v>496</v>
      </c>
      <c r="CB25" s="368"/>
      <c r="CC25" s="368"/>
      <c r="CD25" s="177"/>
      <c r="CE25" s="369"/>
    </row>
    <row r="26" spans="1:84" s="355" customFormat="1" ht="26.1" customHeight="1" x14ac:dyDescent="0.2">
      <c r="A26" s="529" t="s">
        <v>646</v>
      </c>
      <c r="B26" s="364" t="s">
        <v>144</v>
      </c>
      <c r="C26" s="201"/>
      <c r="D26" s="363"/>
      <c r="E26" s="363" t="s">
        <v>31</v>
      </c>
      <c r="F26" s="363"/>
      <c r="G26" s="363"/>
      <c r="H26" s="363" t="s">
        <v>27</v>
      </c>
      <c r="I26" s="179">
        <v>150</v>
      </c>
      <c r="J26" s="177">
        <v>100</v>
      </c>
      <c r="K26" s="366">
        <f>L26+SUM(Q26:Q26)</f>
        <v>150</v>
      </c>
      <c r="L26" s="366">
        <f t="shared" si="16"/>
        <v>100</v>
      </c>
      <c r="M26" s="366">
        <f t="shared" ref="M26:M27" si="18">S26+Y26</f>
        <v>61</v>
      </c>
      <c r="N26" s="366">
        <f t="shared" si="17"/>
        <v>39</v>
      </c>
      <c r="O26" s="366">
        <f t="shared" si="17"/>
        <v>0</v>
      </c>
      <c r="P26" s="366">
        <f t="shared" si="17"/>
        <v>0</v>
      </c>
      <c r="Q26" s="366">
        <f t="shared" si="17"/>
        <v>50</v>
      </c>
      <c r="R26" s="367">
        <f>SUM(S26:V26)+W26</f>
        <v>51</v>
      </c>
      <c r="S26" s="177">
        <v>17</v>
      </c>
      <c r="T26" s="177">
        <v>17</v>
      </c>
      <c r="U26" s="177"/>
      <c r="V26" s="177"/>
      <c r="W26" s="177">
        <v>17</v>
      </c>
      <c r="X26" s="367">
        <f>SUM(Y26:AB26)+AC26</f>
        <v>99</v>
      </c>
      <c r="Y26" s="177">
        <v>44</v>
      </c>
      <c r="Z26" s="177">
        <v>22</v>
      </c>
      <c r="AA26" s="177"/>
      <c r="AB26" s="177"/>
      <c r="AC26" s="177">
        <v>33</v>
      </c>
      <c r="AD26" s="367">
        <f>SUM(AE26:AI26)</f>
        <v>0</v>
      </c>
      <c r="AE26" s="177"/>
      <c r="AF26" s="177"/>
      <c r="AG26" s="177"/>
      <c r="AH26" s="177"/>
      <c r="AI26" s="177"/>
      <c r="AJ26" s="367">
        <f>SUM(AK26:AO26)</f>
        <v>0</v>
      </c>
      <c r="AK26" s="177"/>
      <c r="AL26" s="177"/>
      <c r="AM26" s="177"/>
      <c r="AN26" s="177"/>
      <c r="AO26" s="367">
        <f>SUM(AP26:AT26)</f>
        <v>0</v>
      </c>
      <c r="AP26" s="177"/>
      <c r="AQ26" s="177"/>
      <c r="AR26" s="177"/>
      <c r="AS26" s="177"/>
      <c r="AT26" s="177"/>
      <c r="AU26" s="367">
        <f>SUM(AV26:AZ26)</f>
        <v>0</v>
      </c>
      <c r="AV26" s="177"/>
      <c r="AW26" s="177"/>
      <c r="AX26" s="177"/>
      <c r="AY26" s="177"/>
      <c r="AZ26" s="177"/>
      <c r="BA26" s="367">
        <f>SUM(BB26:BF26)</f>
        <v>0</v>
      </c>
      <c r="BB26" s="177"/>
      <c r="BC26" s="177"/>
      <c r="BD26" s="177"/>
      <c r="BE26" s="177"/>
      <c r="BF26" s="177"/>
      <c r="BG26" s="367">
        <f>SUM(BH26:BL26)</f>
        <v>0</v>
      </c>
      <c r="BH26" s="177"/>
      <c r="BI26" s="177"/>
      <c r="BJ26" s="177"/>
      <c r="BK26" s="177"/>
      <c r="BL26" s="177"/>
      <c r="BM26" s="367">
        <f>SUM(BN26:BR26)</f>
        <v>0</v>
      </c>
      <c r="BN26" s="177"/>
      <c r="BO26" s="177"/>
      <c r="BP26" s="177"/>
      <c r="BQ26" s="177"/>
      <c r="BR26" s="177"/>
      <c r="BS26" s="367">
        <f>SUM(BT26:BX26)</f>
        <v>0</v>
      </c>
      <c r="BT26" s="177"/>
      <c r="BU26" s="177"/>
      <c r="BV26" s="177"/>
      <c r="BW26" s="177"/>
      <c r="BX26" s="177"/>
      <c r="BY26" s="367">
        <f>SUM(BZ26:CD26)</f>
        <v>0</v>
      </c>
      <c r="BZ26" s="387"/>
      <c r="CA26" s="363" t="s">
        <v>496</v>
      </c>
      <c r="CB26" s="368"/>
      <c r="CC26" s="371"/>
      <c r="CD26" s="179"/>
      <c r="CE26" s="180"/>
      <c r="CF26" s="372"/>
    </row>
    <row r="27" spans="1:84" s="355" customFormat="1" ht="26.1" customHeight="1" x14ac:dyDescent="0.2">
      <c r="A27" s="529" t="s">
        <v>647</v>
      </c>
      <c r="B27" s="364" t="s">
        <v>188</v>
      </c>
      <c r="C27" s="201"/>
      <c r="D27" s="363" t="s">
        <v>31</v>
      </c>
      <c r="E27" s="363"/>
      <c r="F27" s="363"/>
      <c r="G27" s="363"/>
      <c r="H27" s="363" t="s">
        <v>27</v>
      </c>
      <c r="I27" s="177">
        <v>181</v>
      </c>
      <c r="J27" s="177">
        <v>121</v>
      </c>
      <c r="K27" s="366">
        <f>L27+SUM(Q27:Q27)</f>
        <v>192</v>
      </c>
      <c r="L27" s="366">
        <f t="shared" si="16"/>
        <v>128</v>
      </c>
      <c r="M27" s="366">
        <f t="shared" si="18"/>
        <v>100</v>
      </c>
      <c r="N27" s="366">
        <f t="shared" si="17"/>
        <v>28</v>
      </c>
      <c r="O27" s="366">
        <f t="shared" si="17"/>
        <v>0</v>
      </c>
      <c r="P27" s="366">
        <f t="shared" si="17"/>
        <v>0</v>
      </c>
      <c r="Q27" s="366">
        <f t="shared" si="17"/>
        <v>64</v>
      </c>
      <c r="R27" s="367">
        <f>SUM(S27:V27)+W27</f>
        <v>102</v>
      </c>
      <c r="S27" s="177">
        <v>51</v>
      </c>
      <c r="T27" s="177">
        <v>17</v>
      </c>
      <c r="U27" s="177"/>
      <c r="V27" s="177"/>
      <c r="W27" s="177">
        <v>34</v>
      </c>
      <c r="X27" s="367">
        <f>SUM(Y27:AB27)+AC27</f>
        <v>90</v>
      </c>
      <c r="Y27" s="177">
        <v>49</v>
      </c>
      <c r="Z27" s="177">
        <v>11</v>
      </c>
      <c r="AA27" s="177"/>
      <c r="AB27" s="177"/>
      <c r="AC27" s="177">
        <v>30</v>
      </c>
      <c r="AD27" s="367">
        <f>SUM(AE27:AI27)</f>
        <v>0</v>
      </c>
      <c r="AE27" s="177"/>
      <c r="AF27" s="177"/>
      <c r="AG27" s="177"/>
      <c r="AH27" s="177"/>
      <c r="AI27" s="177"/>
      <c r="AJ27" s="367">
        <f>SUM(AK27:AO27)</f>
        <v>0</v>
      </c>
      <c r="AK27" s="177"/>
      <c r="AL27" s="177"/>
      <c r="AM27" s="177"/>
      <c r="AN27" s="177"/>
      <c r="AO27" s="367">
        <f>SUM(AP27:AT27)</f>
        <v>0</v>
      </c>
      <c r="AP27" s="177"/>
      <c r="AQ27" s="177"/>
      <c r="AR27" s="177"/>
      <c r="AS27" s="177"/>
      <c r="AT27" s="177"/>
      <c r="AU27" s="367">
        <f>SUM(AV27:AZ27)</f>
        <v>0</v>
      </c>
      <c r="AV27" s="177"/>
      <c r="AW27" s="177"/>
      <c r="AX27" s="177"/>
      <c r="AY27" s="177"/>
      <c r="AZ27" s="177"/>
      <c r="BA27" s="367">
        <f>SUM(BB27:BF27)</f>
        <v>0</v>
      </c>
      <c r="BB27" s="177"/>
      <c r="BC27" s="177"/>
      <c r="BD27" s="177"/>
      <c r="BE27" s="177"/>
      <c r="BF27" s="177"/>
      <c r="BG27" s="367">
        <f>SUM(BH27:BL27)</f>
        <v>0</v>
      </c>
      <c r="BH27" s="177"/>
      <c r="BI27" s="177"/>
      <c r="BJ27" s="177"/>
      <c r="BK27" s="177"/>
      <c r="BL27" s="177"/>
      <c r="BM27" s="367">
        <f>SUM(BN27:BR27)</f>
        <v>0</v>
      </c>
      <c r="BN27" s="177"/>
      <c r="BO27" s="177"/>
      <c r="BP27" s="177"/>
      <c r="BQ27" s="177"/>
      <c r="BR27" s="177"/>
      <c r="BS27" s="367">
        <f>SUM(BT27:BX27)</f>
        <v>0</v>
      </c>
      <c r="BT27" s="177"/>
      <c r="BU27" s="177"/>
      <c r="BV27" s="177"/>
      <c r="BW27" s="177"/>
      <c r="BX27" s="177"/>
      <c r="BY27" s="367">
        <f>SUM(BZ27:CD27)</f>
        <v>0</v>
      </c>
      <c r="BZ27" s="387"/>
      <c r="CA27" s="363" t="s">
        <v>496</v>
      </c>
      <c r="CB27" s="368"/>
      <c r="CC27" s="371"/>
      <c r="CD27" s="179"/>
      <c r="CE27" s="180"/>
      <c r="CF27" s="372"/>
    </row>
    <row r="28" spans="1:84" s="88" customFormat="1" ht="26.1" customHeight="1" x14ac:dyDescent="0.2">
      <c r="A28" s="350"/>
      <c r="B28" s="688" t="s">
        <v>378</v>
      </c>
      <c r="C28" s="689"/>
      <c r="D28" s="689"/>
      <c r="E28" s="689"/>
      <c r="F28" s="689"/>
      <c r="G28" s="689"/>
      <c r="H28" s="690"/>
      <c r="I28" s="351">
        <f>Нормы!D9</f>
        <v>3942</v>
      </c>
      <c r="J28" s="351">
        <f>Нормы!E9</f>
        <v>2628</v>
      </c>
      <c r="K28" s="351">
        <f t="shared" ref="K28:AC28" si="19">K29+K35+K39</f>
        <v>5391</v>
      </c>
      <c r="L28" s="351">
        <f t="shared" si="19"/>
        <v>3594</v>
      </c>
      <c r="M28" s="351">
        <f t="shared" si="19"/>
        <v>2454</v>
      </c>
      <c r="N28" s="351">
        <f t="shared" si="19"/>
        <v>1050</v>
      </c>
      <c r="O28" s="351">
        <f t="shared" si="19"/>
        <v>90</v>
      </c>
      <c r="P28" s="351">
        <f t="shared" si="19"/>
        <v>0</v>
      </c>
      <c r="Q28" s="351">
        <f t="shared" si="19"/>
        <v>1797</v>
      </c>
      <c r="R28" s="351">
        <f t="shared" si="19"/>
        <v>0</v>
      </c>
      <c r="S28" s="351">
        <f t="shared" si="19"/>
        <v>0</v>
      </c>
      <c r="T28" s="351">
        <f t="shared" si="19"/>
        <v>0</v>
      </c>
      <c r="U28" s="351">
        <f t="shared" si="19"/>
        <v>0</v>
      </c>
      <c r="V28" s="351">
        <f t="shared" si="19"/>
        <v>0</v>
      </c>
      <c r="W28" s="351">
        <f t="shared" si="19"/>
        <v>0</v>
      </c>
      <c r="X28" s="351">
        <f t="shared" si="19"/>
        <v>0</v>
      </c>
      <c r="Y28" s="351">
        <f t="shared" si="19"/>
        <v>0</v>
      </c>
      <c r="Z28" s="351">
        <f t="shared" si="19"/>
        <v>0</v>
      </c>
      <c r="AA28" s="351">
        <f t="shared" si="19"/>
        <v>0</v>
      </c>
      <c r="AB28" s="351">
        <f t="shared" si="19"/>
        <v>0</v>
      </c>
      <c r="AC28" s="390">
        <f t="shared" si="19"/>
        <v>0</v>
      </c>
      <c r="AD28" s="351">
        <f t="shared" ref="AD28:AI28" si="20">AD29+AD35+AD39</f>
        <v>816</v>
      </c>
      <c r="AE28" s="351">
        <f t="shared" si="20"/>
        <v>390</v>
      </c>
      <c r="AF28" s="351">
        <f t="shared" si="20"/>
        <v>154</v>
      </c>
      <c r="AG28" s="351">
        <f t="shared" si="20"/>
        <v>0</v>
      </c>
      <c r="AH28" s="351">
        <f t="shared" si="20"/>
        <v>0</v>
      </c>
      <c r="AI28" s="390">
        <f t="shared" si="20"/>
        <v>272</v>
      </c>
      <c r="AJ28" s="351">
        <f t="shared" ref="AJ28:AO28" si="21">AJ29+AJ35+AJ39</f>
        <v>816</v>
      </c>
      <c r="AK28" s="351">
        <f t="shared" si="21"/>
        <v>430</v>
      </c>
      <c r="AL28" s="351">
        <f t="shared" si="21"/>
        <v>114</v>
      </c>
      <c r="AM28" s="351">
        <f t="shared" si="21"/>
        <v>0</v>
      </c>
      <c r="AN28" s="351">
        <f t="shared" si="21"/>
        <v>0</v>
      </c>
      <c r="AO28" s="351">
        <f t="shared" si="21"/>
        <v>272</v>
      </c>
      <c r="AP28" s="351">
        <f t="shared" ref="AP28:AU28" si="22">AP29+AP35+AP39</f>
        <v>864</v>
      </c>
      <c r="AQ28" s="351">
        <f t="shared" si="22"/>
        <v>454</v>
      </c>
      <c r="AR28" s="351">
        <f t="shared" si="22"/>
        <v>122</v>
      </c>
      <c r="AS28" s="351">
        <f t="shared" si="22"/>
        <v>0</v>
      </c>
      <c r="AT28" s="351">
        <f t="shared" si="22"/>
        <v>0</v>
      </c>
      <c r="AU28" s="351">
        <f t="shared" si="22"/>
        <v>288</v>
      </c>
      <c r="AV28" s="351">
        <f t="shared" ref="AV28:BA28" si="23">AV29+AV35+AV39</f>
        <v>594</v>
      </c>
      <c r="AW28" s="351">
        <f t="shared" si="23"/>
        <v>255</v>
      </c>
      <c r="AX28" s="351">
        <f t="shared" si="23"/>
        <v>141</v>
      </c>
      <c r="AY28" s="351">
        <f t="shared" si="23"/>
        <v>0</v>
      </c>
      <c r="AZ28" s="351">
        <f t="shared" si="23"/>
        <v>0</v>
      </c>
      <c r="BA28" s="351">
        <f t="shared" si="23"/>
        <v>198</v>
      </c>
      <c r="BB28" s="351">
        <f t="shared" ref="BB28:BG28" si="24">BB29+BB35+BB39</f>
        <v>594</v>
      </c>
      <c r="BC28" s="351">
        <f t="shared" si="24"/>
        <v>290</v>
      </c>
      <c r="BD28" s="351">
        <f t="shared" si="24"/>
        <v>106</v>
      </c>
      <c r="BE28" s="351">
        <f t="shared" si="24"/>
        <v>0</v>
      </c>
      <c r="BF28" s="351">
        <f t="shared" si="24"/>
        <v>0</v>
      </c>
      <c r="BG28" s="351">
        <f t="shared" si="24"/>
        <v>198</v>
      </c>
      <c r="BH28" s="351">
        <f t="shared" ref="BH28:BY28" si="25">BH29+BH35+BH39</f>
        <v>594</v>
      </c>
      <c r="BI28" s="351">
        <f t="shared" si="25"/>
        <v>308</v>
      </c>
      <c r="BJ28" s="351">
        <f t="shared" si="25"/>
        <v>33</v>
      </c>
      <c r="BK28" s="351">
        <f t="shared" si="25"/>
        <v>55</v>
      </c>
      <c r="BL28" s="351">
        <f t="shared" si="25"/>
        <v>0</v>
      </c>
      <c r="BM28" s="351">
        <f t="shared" si="25"/>
        <v>198</v>
      </c>
      <c r="BN28" s="351">
        <f t="shared" si="25"/>
        <v>192</v>
      </c>
      <c r="BO28" s="351">
        <f t="shared" si="25"/>
        <v>80</v>
      </c>
      <c r="BP28" s="351">
        <f t="shared" si="25"/>
        <v>48</v>
      </c>
      <c r="BQ28" s="351">
        <f t="shared" si="25"/>
        <v>0</v>
      </c>
      <c r="BR28" s="351">
        <f t="shared" si="25"/>
        <v>0</v>
      </c>
      <c r="BS28" s="351">
        <f t="shared" si="25"/>
        <v>64</v>
      </c>
      <c r="BT28" s="351">
        <f t="shared" si="25"/>
        <v>921</v>
      </c>
      <c r="BU28" s="351">
        <f t="shared" si="25"/>
        <v>247</v>
      </c>
      <c r="BV28" s="351">
        <f t="shared" si="25"/>
        <v>332</v>
      </c>
      <c r="BW28" s="351">
        <f t="shared" si="25"/>
        <v>35</v>
      </c>
      <c r="BX28" s="351">
        <f t="shared" si="25"/>
        <v>0</v>
      </c>
      <c r="BY28" s="351">
        <f t="shared" si="25"/>
        <v>307</v>
      </c>
      <c r="BZ28" s="389"/>
      <c r="CA28" s="391"/>
    </row>
    <row r="29" spans="1:84" s="89" customFormat="1" ht="26.1" customHeight="1" x14ac:dyDescent="0.2">
      <c r="A29" s="357" t="s">
        <v>173</v>
      </c>
      <c r="B29" s="691" t="s">
        <v>174</v>
      </c>
      <c r="C29" s="692"/>
      <c r="D29" s="692"/>
      <c r="E29" s="692"/>
      <c r="F29" s="692"/>
      <c r="G29" s="692"/>
      <c r="H29" s="693"/>
      <c r="I29" s="359">
        <f>Нормы!D10</f>
        <v>944</v>
      </c>
      <c r="J29" s="359">
        <f>Нормы!E10</f>
        <v>560</v>
      </c>
      <c r="K29" s="392">
        <f t="shared" ref="K29:AC29" si="26">SUM(K30:K34)</f>
        <v>943</v>
      </c>
      <c r="L29" s="392">
        <f t="shared" si="26"/>
        <v>560</v>
      </c>
      <c r="M29" s="359">
        <f t="shared" si="26"/>
        <v>352</v>
      </c>
      <c r="N29" s="359">
        <f t="shared" si="26"/>
        <v>208</v>
      </c>
      <c r="O29" s="359">
        <f t="shared" si="26"/>
        <v>0</v>
      </c>
      <c r="P29" s="359">
        <f t="shared" si="26"/>
        <v>0</v>
      </c>
      <c r="Q29" s="359">
        <f t="shared" si="26"/>
        <v>383</v>
      </c>
      <c r="R29" s="359">
        <f t="shared" si="26"/>
        <v>0</v>
      </c>
      <c r="S29" s="359">
        <f t="shared" si="26"/>
        <v>0</v>
      </c>
      <c r="T29" s="359">
        <f t="shared" si="26"/>
        <v>0</v>
      </c>
      <c r="U29" s="359">
        <f t="shared" si="26"/>
        <v>0</v>
      </c>
      <c r="V29" s="359">
        <f t="shared" si="26"/>
        <v>0</v>
      </c>
      <c r="W29" s="393">
        <f t="shared" si="26"/>
        <v>0</v>
      </c>
      <c r="X29" s="359">
        <f t="shared" si="26"/>
        <v>0</v>
      </c>
      <c r="Y29" s="359">
        <f t="shared" si="26"/>
        <v>0</v>
      </c>
      <c r="Z29" s="359">
        <f t="shared" si="26"/>
        <v>0</v>
      </c>
      <c r="AA29" s="359">
        <f t="shared" si="26"/>
        <v>0</v>
      </c>
      <c r="AB29" s="359">
        <f t="shared" si="26"/>
        <v>0</v>
      </c>
      <c r="AC29" s="393">
        <f t="shared" si="26"/>
        <v>0</v>
      </c>
      <c r="AD29" s="359">
        <f t="shared" ref="AD29:AY29" si="27">SUM(AD30:AD34)</f>
        <v>256</v>
      </c>
      <c r="AE29" s="359">
        <f t="shared" si="27"/>
        <v>128</v>
      </c>
      <c r="AF29" s="359">
        <f t="shared" si="27"/>
        <v>32</v>
      </c>
      <c r="AG29" s="359">
        <f t="shared" si="27"/>
        <v>0</v>
      </c>
      <c r="AH29" s="359">
        <f t="shared" si="27"/>
        <v>0</v>
      </c>
      <c r="AI29" s="359">
        <f t="shared" si="27"/>
        <v>96</v>
      </c>
      <c r="AJ29" s="359">
        <f t="shared" si="27"/>
        <v>119</v>
      </c>
      <c r="AK29" s="359">
        <f t="shared" si="27"/>
        <v>34</v>
      </c>
      <c r="AL29" s="359">
        <f t="shared" si="27"/>
        <v>34</v>
      </c>
      <c r="AM29" s="359">
        <f t="shared" si="27"/>
        <v>0</v>
      </c>
      <c r="AN29" s="359">
        <f t="shared" si="27"/>
        <v>0</v>
      </c>
      <c r="AO29" s="359">
        <f t="shared" si="27"/>
        <v>51</v>
      </c>
      <c r="AP29" s="359">
        <f t="shared" si="27"/>
        <v>184</v>
      </c>
      <c r="AQ29" s="359">
        <f t="shared" si="27"/>
        <v>80</v>
      </c>
      <c r="AR29" s="359">
        <f t="shared" si="27"/>
        <v>32</v>
      </c>
      <c r="AS29" s="359">
        <f t="shared" si="27"/>
        <v>0</v>
      </c>
      <c r="AT29" s="359">
        <f t="shared" si="27"/>
        <v>0</v>
      </c>
      <c r="AU29" s="359">
        <f t="shared" si="27"/>
        <v>72</v>
      </c>
      <c r="AV29" s="359">
        <f t="shared" si="27"/>
        <v>77</v>
      </c>
      <c r="AW29" s="359">
        <f t="shared" si="27"/>
        <v>22</v>
      </c>
      <c r="AX29" s="359">
        <f t="shared" si="27"/>
        <v>22</v>
      </c>
      <c r="AY29" s="359">
        <f t="shared" si="27"/>
        <v>0</v>
      </c>
      <c r="AZ29" s="359">
        <f t="shared" ref="AZ29:BT29" si="28">SUM(AZ30:AZ34)</f>
        <v>0</v>
      </c>
      <c r="BA29" s="359">
        <f t="shared" si="28"/>
        <v>33</v>
      </c>
      <c r="BB29" s="359">
        <f t="shared" si="28"/>
        <v>76</v>
      </c>
      <c r="BC29" s="359">
        <f t="shared" si="28"/>
        <v>22</v>
      </c>
      <c r="BD29" s="359">
        <f t="shared" si="28"/>
        <v>22</v>
      </c>
      <c r="BE29" s="359">
        <f t="shared" si="28"/>
        <v>0</v>
      </c>
      <c r="BF29" s="359">
        <f t="shared" si="28"/>
        <v>0</v>
      </c>
      <c r="BG29" s="359">
        <f t="shared" si="28"/>
        <v>32</v>
      </c>
      <c r="BH29" s="359">
        <f t="shared" si="28"/>
        <v>77</v>
      </c>
      <c r="BI29" s="359">
        <f t="shared" si="28"/>
        <v>22</v>
      </c>
      <c r="BJ29" s="359">
        <f t="shared" si="28"/>
        <v>22</v>
      </c>
      <c r="BK29" s="359">
        <f t="shared" si="28"/>
        <v>0</v>
      </c>
      <c r="BL29" s="359">
        <f t="shared" si="28"/>
        <v>0</v>
      </c>
      <c r="BM29" s="359">
        <f t="shared" si="28"/>
        <v>33</v>
      </c>
      <c r="BN29" s="359">
        <f t="shared" si="28"/>
        <v>28</v>
      </c>
      <c r="BO29" s="359">
        <f t="shared" si="28"/>
        <v>8</v>
      </c>
      <c r="BP29" s="359">
        <f t="shared" si="28"/>
        <v>8</v>
      </c>
      <c r="BQ29" s="359">
        <f t="shared" si="28"/>
        <v>0</v>
      </c>
      <c r="BR29" s="359">
        <f t="shared" si="28"/>
        <v>0</v>
      </c>
      <c r="BS29" s="359">
        <f t="shared" si="28"/>
        <v>12</v>
      </c>
      <c r="BT29" s="359">
        <f t="shared" si="28"/>
        <v>126</v>
      </c>
      <c r="BU29" s="359">
        <f t="shared" ref="BU29:BY29" si="29">SUM(BU30:BU34)</f>
        <v>36</v>
      </c>
      <c r="BV29" s="359">
        <f t="shared" si="29"/>
        <v>36</v>
      </c>
      <c r="BW29" s="359">
        <f t="shared" si="29"/>
        <v>0</v>
      </c>
      <c r="BX29" s="359">
        <f t="shared" si="29"/>
        <v>0</v>
      </c>
      <c r="BY29" s="359">
        <f t="shared" si="29"/>
        <v>54</v>
      </c>
      <c r="BZ29" s="358"/>
      <c r="CA29" s="394"/>
    </row>
    <row r="30" spans="1:84" s="90" customFormat="1" ht="26.1" customHeight="1" x14ac:dyDescent="0.2">
      <c r="A30" s="395" t="s">
        <v>175</v>
      </c>
      <c r="B30" s="201" t="s">
        <v>179</v>
      </c>
      <c r="C30" s="201"/>
      <c r="D30" s="396"/>
      <c r="E30" s="396" t="s">
        <v>30</v>
      </c>
      <c r="F30" s="396"/>
      <c r="G30" s="363"/>
      <c r="H30" s="363"/>
      <c r="I30" s="179"/>
      <c r="J30" s="177">
        <v>48</v>
      </c>
      <c r="K30" s="376">
        <f>L30+SUM(Q30:Q30)</f>
        <v>72</v>
      </c>
      <c r="L30" s="376">
        <f>SUM(M30:P30)</f>
        <v>48</v>
      </c>
      <c r="M30" s="376">
        <f t="shared" ref="M30:Q34" si="30">S30+Y30+AE30+AK30+AQ30+AW30+BC30+BI30+BO30+BU30</f>
        <v>48</v>
      </c>
      <c r="N30" s="376">
        <f t="shared" si="30"/>
        <v>0</v>
      </c>
      <c r="O30" s="376">
        <f t="shared" si="30"/>
        <v>0</v>
      </c>
      <c r="P30" s="376">
        <f t="shared" si="30"/>
        <v>0</v>
      </c>
      <c r="Q30" s="376">
        <f t="shared" si="30"/>
        <v>24</v>
      </c>
      <c r="R30" s="367">
        <f>SUM(S30:W30)</f>
        <v>0</v>
      </c>
      <c r="S30" s="177"/>
      <c r="T30" s="177"/>
      <c r="U30" s="177"/>
      <c r="V30" s="177"/>
      <c r="W30" s="177"/>
      <c r="X30" s="367">
        <f>SUM(Y30:AC30)</f>
        <v>0</v>
      </c>
      <c r="Y30" s="177"/>
      <c r="Z30" s="177"/>
      <c r="AA30" s="177"/>
      <c r="AB30" s="177"/>
      <c r="AC30" s="177"/>
      <c r="AD30" s="367">
        <f>SUM(AE30:AI30)</f>
        <v>72</v>
      </c>
      <c r="AE30" s="177">
        <v>48</v>
      </c>
      <c r="AF30" s="177"/>
      <c r="AG30" s="177"/>
      <c r="AH30" s="177"/>
      <c r="AI30" s="179">
        <v>24</v>
      </c>
      <c r="AJ30" s="367">
        <f>SUM(AK30:AO30)</f>
        <v>0</v>
      </c>
      <c r="AK30" s="177"/>
      <c r="AL30" s="177"/>
      <c r="AM30" s="177"/>
      <c r="AN30" s="177"/>
      <c r="AO30" s="177"/>
      <c r="AP30" s="367">
        <f>SUM(AQ30:AU30)</f>
        <v>0</v>
      </c>
      <c r="AQ30" s="177"/>
      <c r="AR30" s="177"/>
      <c r="AS30" s="177"/>
      <c r="AT30" s="177"/>
      <c r="AU30" s="177"/>
      <c r="AV30" s="367">
        <f>SUM(AW30:BA30)</f>
        <v>0</v>
      </c>
      <c r="AW30" s="177"/>
      <c r="AX30" s="177"/>
      <c r="AY30" s="177"/>
      <c r="AZ30" s="177"/>
      <c r="BA30" s="177"/>
      <c r="BB30" s="367">
        <f>SUM(BC30:BG30)</f>
        <v>0</v>
      </c>
      <c r="BC30" s="177"/>
      <c r="BD30" s="177"/>
      <c r="BE30" s="177"/>
      <c r="BF30" s="177"/>
      <c r="BG30" s="177"/>
      <c r="BH30" s="367">
        <f>SUM(BI30:BM30)</f>
        <v>0</v>
      </c>
      <c r="BI30" s="177"/>
      <c r="BJ30" s="177"/>
      <c r="BK30" s="177"/>
      <c r="BL30" s="177"/>
      <c r="BM30" s="177"/>
      <c r="BN30" s="367">
        <f>SUM(BO30:BS30)</f>
        <v>0</v>
      </c>
      <c r="BO30" s="177"/>
      <c r="BP30" s="177"/>
      <c r="BQ30" s="177"/>
      <c r="BR30" s="177"/>
      <c r="BS30" s="177"/>
      <c r="BT30" s="367">
        <f>SUM(BU30:BY30)</f>
        <v>0</v>
      </c>
      <c r="BU30" s="177"/>
      <c r="BV30" s="177"/>
      <c r="BW30" s="177"/>
      <c r="BX30" s="177"/>
      <c r="BY30" s="177"/>
      <c r="BZ30" s="363" t="s">
        <v>495</v>
      </c>
      <c r="CA30" s="397" t="s">
        <v>498</v>
      </c>
    </row>
    <row r="31" spans="1:84" s="90" customFormat="1" ht="26.1" customHeight="1" x14ac:dyDescent="0.2">
      <c r="A31" s="395" t="s">
        <v>176</v>
      </c>
      <c r="B31" s="201" t="s">
        <v>141</v>
      </c>
      <c r="C31" s="201"/>
      <c r="D31" s="396"/>
      <c r="E31" s="396" t="s">
        <v>30</v>
      </c>
      <c r="F31" s="396"/>
      <c r="G31" s="363"/>
      <c r="H31" s="363"/>
      <c r="I31" s="177"/>
      <c r="J31" s="177">
        <v>48</v>
      </c>
      <c r="K31" s="376">
        <f>L31+SUM(Q31:Q31)</f>
        <v>72</v>
      </c>
      <c r="L31" s="376">
        <f>SUM(M31:P31)</f>
        <v>48</v>
      </c>
      <c r="M31" s="376">
        <f t="shared" si="30"/>
        <v>48</v>
      </c>
      <c r="N31" s="376">
        <f t="shared" si="30"/>
        <v>0</v>
      </c>
      <c r="O31" s="376">
        <f t="shared" si="30"/>
        <v>0</v>
      </c>
      <c r="P31" s="376">
        <f t="shared" si="30"/>
        <v>0</v>
      </c>
      <c r="Q31" s="376">
        <f t="shared" si="30"/>
        <v>24</v>
      </c>
      <c r="R31" s="367">
        <f>SUM(S31:W31)</f>
        <v>0</v>
      </c>
      <c r="S31" s="177"/>
      <c r="T31" s="177"/>
      <c r="U31" s="177"/>
      <c r="V31" s="177"/>
      <c r="W31" s="177"/>
      <c r="X31" s="367">
        <f>SUM(Y31:AC31)</f>
        <v>0</v>
      </c>
      <c r="Y31" s="177"/>
      <c r="Z31" s="177"/>
      <c r="AA31" s="177"/>
      <c r="AB31" s="177"/>
      <c r="AC31" s="177"/>
      <c r="AD31" s="367">
        <f>SUM(AE31:AI31)</f>
        <v>72</v>
      </c>
      <c r="AE31" s="177">
        <v>48</v>
      </c>
      <c r="AF31" s="177"/>
      <c r="AG31" s="177"/>
      <c r="AH31" s="177"/>
      <c r="AI31" s="179">
        <v>24</v>
      </c>
      <c r="AJ31" s="367">
        <f>SUM(AK31:AO31)</f>
        <v>0</v>
      </c>
      <c r="AK31" s="177"/>
      <c r="AL31" s="177"/>
      <c r="AM31" s="177"/>
      <c r="AN31" s="177"/>
      <c r="AO31" s="177"/>
      <c r="AP31" s="367">
        <f>SUM(AQ31:AU31)</f>
        <v>0</v>
      </c>
      <c r="AQ31" s="177"/>
      <c r="AR31" s="177"/>
      <c r="AS31" s="177"/>
      <c r="AT31" s="177"/>
      <c r="AU31" s="177"/>
      <c r="AV31" s="367">
        <f>SUM(AW31:BA31)</f>
        <v>0</v>
      </c>
      <c r="AW31" s="177"/>
      <c r="AX31" s="177"/>
      <c r="AY31" s="177"/>
      <c r="AZ31" s="177"/>
      <c r="BA31" s="177"/>
      <c r="BB31" s="367">
        <f>SUM(BC31:BG31)</f>
        <v>0</v>
      </c>
      <c r="BC31" s="177"/>
      <c r="BD31" s="177"/>
      <c r="BE31" s="177"/>
      <c r="BF31" s="177"/>
      <c r="BG31" s="177"/>
      <c r="BH31" s="367">
        <f>SUM(BI31:BM31)</f>
        <v>0</v>
      </c>
      <c r="BI31" s="177"/>
      <c r="BJ31" s="177"/>
      <c r="BK31" s="177"/>
      <c r="BL31" s="177"/>
      <c r="BM31" s="177"/>
      <c r="BN31" s="367">
        <f>SUM(BO31:BS31)</f>
        <v>0</v>
      </c>
      <c r="BO31" s="177"/>
      <c r="BP31" s="177"/>
      <c r="BQ31" s="177"/>
      <c r="BR31" s="177"/>
      <c r="BS31" s="177"/>
      <c r="BT31" s="367">
        <f>SUM(BU31:BY31)</f>
        <v>0</v>
      </c>
      <c r="BU31" s="177"/>
      <c r="BV31" s="177"/>
      <c r="BW31" s="177"/>
      <c r="BX31" s="177"/>
      <c r="BY31" s="177"/>
      <c r="BZ31" s="363" t="s">
        <v>495</v>
      </c>
      <c r="CA31" s="397" t="s">
        <v>499</v>
      </c>
    </row>
    <row r="32" spans="1:84" s="90" customFormat="1" ht="26.1" customHeight="1" x14ac:dyDescent="0.2">
      <c r="A32" s="395" t="s">
        <v>177</v>
      </c>
      <c r="B32" s="201" t="s">
        <v>405</v>
      </c>
      <c r="C32" s="201"/>
      <c r="D32" s="396"/>
      <c r="E32" s="396" t="s">
        <v>41</v>
      </c>
      <c r="F32" s="396"/>
      <c r="G32" s="363"/>
      <c r="H32" s="363"/>
      <c r="I32" s="177"/>
      <c r="J32" s="177">
        <v>48</v>
      </c>
      <c r="K32" s="376">
        <f>L32+SUM(Q32:Q32)</f>
        <v>72</v>
      </c>
      <c r="L32" s="376">
        <f>SUM(M32:P32)</f>
        <v>48</v>
      </c>
      <c r="M32" s="376">
        <f t="shared" si="30"/>
        <v>48</v>
      </c>
      <c r="N32" s="376">
        <f t="shared" si="30"/>
        <v>0</v>
      </c>
      <c r="O32" s="376">
        <f t="shared" si="30"/>
        <v>0</v>
      </c>
      <c r="P32" s="376">
        <f t="shared" si="30"/>
        <v>0</v>
      </c>
      <c r="Q32" s="376">
        <f t="shared" si="30"/>
        <v>24</v>
      </c>
      <c r="R32" s="367"/>
      <c r="S32" s="177"/>
      <c r="T32" s="177"/>
      <c r="U32" s="177"/>
      <c r="V32" s="177"/>
      <c r="W32" s="177"/>
      <c r="X32" s="367"/>
      <c r="Y32" s="177"/>
      <c r="Z32" s="177"/>
      <c r="AA32" s="177"/>
      <c r="AB32" s="177"/>
      <c r="AC32" s="177"/>
      <c r="AD32" s="367"/>
      <c r="AE32" s="177"/>
      <c r="AF32" s="177"/>
      <c r="AG32" s="177"/>
      <c r="AH32" s="177"/>
      <c r="AI32" s="179"/>
      <c r="AJ32" s="367"/>
      <c r="AK32" s="177"/>
      <c r="AL32" s="177"/>
      <c r="AM32" s="177"/>
      <c r="AN32" s="177"/>
      <c r="AO32" s="177"/>
      <c r="AP32" s="367">
        <f>SUM(AQ32:AU32)</f>
        <v>72</v>
      </c>
      <c r="AQ32" s="177">
        <v>48</v>
      </c>
      <c r="AR32" s="177"/>
      <c r="AS32" s="177"/>
      <c r="AT32" s="177"/>
      <c r="AU32" s="177">
        <v>24</v>
      </c>
      <c r="AV32" s="367"/>
      <c r="AW32" s="177"/>
      <c r="AX32" s="177"/>
      <c r="AY32" s="177"/>
      <c r="AZ32" s="177"/>
      <c r="BA32" s="177"/>
      <c r="BB32" s="367"/>
      <c r="BC32" s="177"/>
      <c r="BD32" s="177"/>
      <c r="BE32" s="177"/>
      <c r="BF32" s="177"/>
      <c r="BG32" s="177"/>
      <c r="BH32" s="367"/>
      <c r="BI32" s="177"/>
      <c r="BJ32" s="177"/>
      <c r="BK32" s="177"/>
      <c r="BL32" s="177"/>
      <c r="BM32" s="177"/>
      <c r="BN32" s="367"/>
      <c r="BO32" s="177"/>
      <c r="BP32" s="177"/>
      <c r="BQ32" s="177"/>
      <c r="BR32" s="177"/>
      <c r="BS32" s="177"/>
      <c r="BT32" s="367"/>
      <c r="BU32" s="177"/>
      <c r="BV32" s="177"/>
      <c r="BW32" s="177"/>
      <c r="BX32" s="177"/>
      <c r="BY32" s="177"/>
      <c r="BZ32" s="363" t="s">
        <v>495</v>
      </c>
      <c r="CA32" s="397" t="s">
        <v>581</v>
      </c>
    </row>
    <row r="33" spans="1:79" s="90" customFormat="1" ht="26.1" customHeight="1" x14ac:dyDescent="0.2">
      <c r="A33" s="395" t="s">
        <v>178</v>
      </c>
      <c r="B33" s="201" t="s">
        <v>142</v>
      </c>
      <c r="C33" s="201"/>
      <c r="D33" s="363" t="s">
        <v>41</v>
      </c>
      <c r="E33" s="363" t="s">
        <v>471</v>
      </c>
      <c r="F33" s="363"/>
      <c r="G33" s="363"/>
      <c r="H33" s="529" t="s">
        <v>632</v>
      </c>
      <c r="I33" s="177"/>
      <c r="J33" s="177">
        <v>208</v>
      </c>
      <c r="K33" s="376">
        <f>L33+SUM(Q33:Q33)</f>
        <v>311</v>
      </c>
      <c r="L33" s="376">
        <f>SUM(M33:P33)</f>
        <v>208</v>
      </c>
      <c r="M33" s="376">
        <f t="shared" si="30"/>
        <v>0</v>
      </c>
      <c r="N33" s="376">
        <f t="shared" si="30"/>
        <v>208</v>
      </c>
      <c r="O33" s="376">
        <f t="shared" si="30"/>
        <v>0</v>
      </c>
      <c r="P33" s="376">
        <f t="shared" si="30"/>
        <v>0</v>
      </c>
      <c r="Q33" s="376">
        <f t="shared" si="30"/>
        <v>103</v>
      </c>
      <c r="R33" s="367">
        <f>SUM(S33:W33)</f>
        <v>0</v>
      </c>
      <c r="S33" s="177"/>
      <c r="T33" s="177"/>
      <c r="U33" s="177"/>
      <c r="V33" s="177"/>
      <c r="W33" s="177"/>
      <c r="X33" s="367">
        <f>SUM(Y33:AC33)</f>
        <v>0</v>
      </c>
      <c r="Y33" s="177"/>
      <c r="Z33" s="177"/>
      <c r="AA33" s="177"/>
      <c r="AB33" s="177"/>
      <c r="AC33" s="177"/>
      <c r="AD33" s="367">
        <f>SUM(AE33:AI33)</f>
        <v>48</v>
      </c>
      <c r="AE33" s="177"/>
      <c r="AF33" s="177">
        <v>32</v>
      </c>
      <c r="AG33" s="177"/>
      <c r="AH33" s="177"/>
      <c r="AI33" s="177">
        <v>16</v>
      </c>
      <c r="AJ33" s="367">
        <f>SUM(AK33:AO33)</f>
        <v>51</v>
      </c>
      <c r="AK33" s="177"/>
      <c r="AL33" s="177">
        <v>34</v>
      </c>
      <c r="AM33" s="177"/>
      <c r="AN33" s="177"/>
      <c r="AO33" s="177">
        <v>17</v>
      </c>
      <c r="AP33" s="367">
        <f>SUM(AQ33:AU33)</f>
        <v>48</v>
      </c>
      <c r="AQ33" s="177"/>
      <c r="AR33" s="177">
        <v>32</v>
      </c>
      <c r="AS33" s="177"/>
      <c r="AT33" s="177"/>
      <c r="AU33" s="177">
        <v>16</v>
      </c>
      <c r="AV33" s="367">
        <f>SUM(AW33:BA33)</f>
        <v>33</v>
      </c>
      <c r="AW33" s="177"/>
      <c r="AX33" s="177">
        <v>22</v>
      </c>
      <c r="AY33" s="177"/>
      <c r="AZ33" s="177"/>
      <c r="BA33" s="177">
        <v>11</v>
      </c>
      <c r="BB33" s="367">
        <f>SUM(BC33:BG33)</f>
        <v>32</v>
      </c>
      <c r="BC33" s="177"/>
      <c r="BD33" s="177">
        <v>22</v>
      </c>
      <c r="BE33" s="177"/>
      <c r="BF33" s="177"/>
      <c r="BG33" s="177">
        <v>10</v>
      </c>
      <c r="BH33" s="367">
        <f>SUM(BI33:BM33)</f>
        <v>33</v>
      </c>
      <c r="BI33" s="177"/>
      <c r="BJ33" s="177">
        <v>22</v>
      </c>
      <c r="BK33" s="177"/>
      <c r="BL33" s="177"/>
      <c r="BM33" s="177">
        <v>11</v>
      </c>
      <c r="BN33" s="367">
        <f>SUM(BO33:BS33)</f>
        <v>12</v>
      </c>
      <c r="BO33" s="177"/>
      <c r="BP33" s="177">
        <v>8</v>
      </c>
      <c r="BQ33" s="177"/>
      <c r="BR33" s="177"/>
      <c r="BS33" s="177">
        <v>4</v>
      </c>
      <c r="BT33" s="367">
        <f>SUM(BU33:BY33)</f>
        <v>54</v>
      </c>
      <c r="BU33" s="177"/>
      <c r="BV33" s="177">
        <v>36</v>
      </c>
      <c r="BW33" s="177"/>
      <c r="BX33" s="177"/>
      <c r="BY33" s="177">
        <v>18</v>
      </c>
      <c r="BZ33" s="363" t="s">
        <v>495</v>
      </c>
      <c r="CA33" s="397" t="s">
        <v>500</v>
      </c>
    </row>
    <row r="34" spans="1:79" s="90" customFormat="1" ht="45" customHeight="1" x14ac:dyDescent="0.2">
      <c r="A34" s="395" t="s">
        <v>546</v>
      </c>
      <c r="B34" s="201" t="s">
        <v>7</v>
      </c>
      <c r="C34" s="201"/>
      <c r="D34" s="363"/>
      <c r="E34" s="363"/>
      <c r="F34" s="529" t="s">
        <v>621</v>
      </c>
      <c r="G34" s="363"/>
      <c r="H34" s="363"/>
      <c r="I34" s="177">
        <v>416</v>
      </c>
      <c r="J34" s="177">
        <v>208</v>
      </c>
      <c r="K34" s="376">
        <f>L34+SUM(Q34:Q34)</f>
        <v>416</v>
      </c>
      <c r="L34" s="376">
        <f>SUM(M34:P34)</f>
        <v>208</v>
      </c>
      <c r="M34" s="376">
        <f t="shared" si="30"/>
        <v>208</v>
      </c>
      <c r="N34" s="376">
        <f t="shared" si="30"/>
        <v>0</v>
      </c>
      <c r="O34" s="376">
        <f t="shared" si="30"/>
        <v>0</v>
      </c>
      <c r="P34" s="376">
        <f t="shared" si="30"/>
        <v>0</v>
      </c>
      <c r="Q34" s="376">
        <f t="shared" si="30"/>
        <v>208</v>
      </c>
      <c r="R34" s="367">
        <f>SUM(S34:W34)</f>
        <v>0</v>
      </c>
      <c r="S34" s="177"/>
      <c r="T34" s="177"/>
      <c r="U34" s="177"/>
      <c r="V34" s="177"/>
      <c r="W34" s="177"/>
      <c r="X34" s="367">
        <f>SUM(Y34:AC34)</f>
        <v>0</v>
      </c>
      <c r="Y34" s="177"/>
      <c r="Z34" s="177"/>
      <c r="AA34" s="177"/>
      <c r="AB34" s="177"/>
      <c r="AC34" s="177"/>
      <c r="AD34" s="367">
        <f>SUM(AE34:AI34)</f>
        <v>64</v>
      </c>
      <c r="AE34" s="177">
        <v>32</v>
      </c>
      <c r="AF34" s="177"/>
      <c r="AG34" s="177"/>
      <c r="AH34" s="177"/>
      <c r="AI34" s="177">
        <v>32</v>
      </c>
      <c r="AJ34" s="367">
        <f>SUM(AK34:AO34)</f>
        <v>68</v>
      </c>
      <c r="AK34" s="177">
        <v>34</v>
      </c>
      <c r="AL34" s="177"/>
      <c r="AM34" s="177"/>
      <c r="AN34" s="177"/>
      <c r="AO34" s="177">
        <v>34</v>
      </c>
      <c r="AP34" s="367">
        <f>SUM(AQ34:AU34)</f>
        <v>64</v>
      </c>
      <c r="AQ34" s="177">
        <v>32</v>
      </c>
      <c r="AR34" s="177"/>
      <c r="AS34" s="177"/>
      <c r="AT34" s="177"/>
      <c r="AU34" s="177">
        <v>32</v>
      </c>
      <c r="AV34" s="367">
        <f>SUM(AW34:BA34)</f>
        <v>44</v>
      </c>
      <c r="AW34" s="177">
        <v>22</v>
      </c>
      <c r="AX34" s="177"/>
      <c r="AY34" s="177"/>
      <c r="AZ34" s="177"/>
      <c r="BA34" s="177">
        <v>22</v>
      </c>
      <c r="BB34" s="367">
        <f>SUM(BC34:BG34)</f>
        <v>44</v>
      </c>
      <c r="BC34" s="177">
        <v>22</v>
      </c>
      <c r="BD34" s="177"/>
      <c r="BE34" s="177"/>
      <c r="BF34" s="177"/>
      <c r="BG34" s="177">
        <v>22</v>
      </c>
      <c r="BH34" s="367">
        <f>SUM(BI34:BM34)</f>
        <v>44</v>
      </c>
      <c r="BI34" s="177">
        <v>22</v>
      </c>
      <c r="BJ34" s="177"/>
      <c r="BK34" s="177"/>
      <c r="BL34" s="177"/>
      <c r="BM34" s="177">
        <v>22</v>
      </c>
      <c r="BN34" s="367">
        <f>SUM(BO34:BS34)</f>
        <v>16</v>
      </c>
      <c r="BO34" s="177">
        <v>8</v>
      </c>
      <c r="BP34" s="177"/>
      <c r="BQ34" s="177"/>
      <c r="BR34" s="177"/>
      <c r="BS34" s="177">
        <v>8</v>
      </c>
      <c r="BT34" s="367">
        <f>SUM(BU34:BY34)</f>
        <v>72</v>
      </c>
      <c r="BU34" s="177">
        <v>36</v>
      </c>
      <c r="BV34" s="177"/>
      <c r="BW34" s="177"/>
      <c r="BX34" s="177"/>
      <c r="BY34" s="177">
        <v>36</v>
      </c>
      <c r="BZ34" s="363" t="s">
        <v>497</v>
      </c>
      <c r="CA34" s="397" t="s">
        <v>446</v>
      </c>
    </row>
    <row r="35" spans="1:79" s="89" customFormat="1" ht="26.1" customHeight="1" x14ac:dyDescent="0.2">
      <c r="A35" s="357" t="s">
        <v>181</v>
      </c>
      <c r="B35" s="702" t="s">
        <v>290</v>
      </c>
      <c r="C35" s="686"/>
      <c r="D35" s="686"/>
      <c r="E35" s="686"/>
      <c r="F35" s="686"/>
      <c r="G35" s="686"/>
      <c r="H35" s="687"/>
      <c r="I35" s="359">
        <v>198</v>
      </c>
      <c r="J35" s="359">
        <v>132</v>
      </c>
      <c r="K35" s="392">
        <f t="shared" ref="K35:AF35" si="31">SUM(K36:K38)</f>
        <v>198</v>
      </c>
      <c r="L35" s="392">
        <f t="shared" si="31"/>
        <v>132</v>
      </c>
      <c r="M35" s="359">
        <f t="shared" si="31"/>
        <v>100</v>
      </c>
      <c r="N35" s="359">
        <f t="shared" si="31"/>
        <v>32</v>
      </c>
      <c r="O35" s="359">
        <f t="shared" si="31"/>
        <v>0</v>
      </c>
      <c r="P35" s="359">
        <f t="shared" si="31"/>
        <v>0</v>
      </c>
      <c r="Q35" s="398">
        <f t="shared" si="31"/>
        <v>66</v>
      </c>
      <c r="R35" s="359">
        <f t="shared" si="31"/>
        <v>0</v>
      </c>
      <c r="S35" s="359">
        <f t="shared" si="31"/>
        <v>0</v>
      </c>
      <c r="T35" s="359">
        <f t="shared" si="31"/>
        <v>0</v>
      </c>
      <c r="U35" s="359">
        <f t="shared" si="31"/>
        <v>0</v>
      </c>
      <c r="V35" s="359">
        <f t="shared" si="31"/>
        <v>0</v>
      </c>
      <c r="W35" s="398">
        <f t="shared" si="31"/>
        <v>0</v>
      </c>
      <c r="X35" s="359">
        <f t="shared" si="31"/>
        <v>0</v>
      </c>
      <c r="Y35" s="359">
        <f t="shared" si="31"/>
        <v>0</v>
      </c>
      <c r="Z35" s="359">
        <f t="shared" si="31"/>
        <v>0</v>
      </c>
      <c r="AA35" s="359">
        <f t="shared" si="31"/>
        <v>0</v>
      </c>
      <c r="AB35" s="359">
        <f t="shared" si="31"/>
        <v>0</v>
      </c>
      <c r="AC35" s="398">
        <f t="shared" si="31"/>
        <v>0</v>
      </c>
      <c r="AD35" s="359">
        <f t="shared" si="31"/>
        <v>198</v>
      </c>
      <c r="AE35" s="359">
        <f t="shared" si="31"/>
        <v>100</v>
      </c>
      <c r="AF35" s="359">
        <f t="shared" si="31"/>
        <v>32</v>
      </c>
      <c r="AG35" s="359">
        <f t="shared" ref="AG35:BM35" si="32">SUM(AG36:AG38)</f>
        <v>0</v>
      </c>
      <c r="AH35" s="359">
        <f t="shared" si="32"/>
        <v>0</v>
      </c>
      <c r="AI35" s="359">
        <f t="shared" si="32"/>
        <v>66</v>
      </c>
      <c r="AJ35" s="359">
        <f t="shared" si="32"/>
        <v>0</v>
      </c>
      <c r="AK35" s="359">
        <f t="shared" si="32"/>
        <v>0</v>
      </c>
      <c r="AL35" s="359">
        <f t="shared" si="32"/>
        <v>0</v>
      </c>
      <c r="AM35" s="359">
        <f t="shared" si="32"/>
        <v>0</v>
      </c>
      <c r="AN35" s="359">
        <f t="shared" si="32"/>
        <v>0</v>
      </c>
      <c r="AO35" s="359">
        <f t="shared" si="32"/>
        <v>0</v>
      </c>
      <c r="AP35" s="359">
        <f t="shared" si="32"/>
        <v>0</v>
      </c>
      <c r="AQ35" s="359">
        <f t="shared" si="32"/>
        <v>0</v>
      </c>
      <c r="AR35" s="359">
        <f t="shared" si="32"/>
        <v>0</v>
      </c>
      <c r="AS35" s="359">
        <f t="shared" si="32"/>
        <v>0</v>
      </c>
      <c r="AT35" s="359">
        <f t="shared" si="32"/>
        <v>0</v>
      </c>
      <c r="AU35" s="359">
        <f t="shared" si="32"/>
        <v>0</v>
      </c>
      <c r="AV35" s="359">
        <f t="shared" si="32"/>
        <v>0</v>
      </c>
      <c r="AW35" s="359">
        <f t="shared" si="32"/>
        <v>0</v>
      </c>
      <c r="AX35" s="359">
        <f t="shared" si="32"/>
        <v>0</v>
      </c>
      <c r="AY35" s="359">
        <f t="shared" si="32"/>
        <v>0</v>
      </c>
      <c r="AZ35" s="359">
        <f t="shared" si="32"/>
        <v>0</v>
      </c>
      <c r="BA35" s="359">
        <f t="shared" si="32"/>
        <v>0</v>
      </c>
      <c r="BB35" s="359">
        <f t="shared" si="32"/>
        <v>0</v>
      </c>
      <c r="BC35" s="359">
        <f t="shared" si="32"/>
        <v>0</v>
      </c>
      <c r="BD35" s="359">
        <f t="shared" si="32"/>
        <v>0</v>
      </c>
      <c r="BE35" s="359">
        <f t="shared" si="32"/>
        <v>0</v>
      </c>
      <c r="BF35" s="359">
        <f t="shared" si="32"/>
        <v>0</v>
      </c>
      <c r="BG35" s="359">
        <f t="shared" si="32"/>
        <v>0</v>
      </c>
      <c r="BH35" s="359">
        <f t="shared" si="32"/>
        <v>0</v>
      </c>
      <c r="BI35" s="359">
        <f t="shared" si="32"/>
        <v>0</v>
      </c>
      <c r="BJ35" s="359">
        <f t="shared" si="32"/>
        <v>0</v>
      </c>
      <c r="BK35" s="359">
        <f t="shared" si="32"/>
        <v>0</v>
      </c>
      <c r="BL35" s="359">
        <f t="shared" si="32"/>
        <v>0</v>
      </c>
      <c r="BM35" s="359">
        <f t="shared" si="32"/>
        <v>0</v>
      </c>
      <c r="BN35" s="359">
        <f t="shared" ref="BN35:BY35" si="33">SUM(BN36:BN38)</f>
        <v>0</v>
      </c>
      <c r="BO35" s="359">
        <f t="shared" si="33"/>
        <v>0</v>
      </c>
      <c r="BP35" s="359">
        <f t="shared" si="33"/>
        <v>0</v>
      </c>
      <c r="BQ35" s="359">
        <f t="shared" si="33"/>
        <v>0</v>
      </c>
      <c r="BR35" s="359">
        <f t="shared" si="33"/>
        <v>0</v>
      </c>
      <c r="BS35" s="359">
        <f t="shared" si="33"/>
        <v>0</v>
      </c>
      <c r="BT35" s="359">
        <f t="shared" si="33"/>
        <v>0</v>
      </c>
      <c r="BU35" s="359">
        <f t="shared" si="33"/>
        <v>0</v>
      </c>
      <c r="BV35" s="359">
        <f t="shared" si="33"/>
        <v>0</v>
      </c>
      <c r="BW35" s="359">
        <f t="shared" si="33"/>
        <v>0</v>
      </c>
      <c r="BX35" s="359">
        <f t="shared" si="33"/>
        <v>0</v>
      </c>
      <c r="BY35" s="359">
        <f t="shared" si="33"/>
        <v>0</v>
      </c>
      <c r="BZ35" s="358"/>
      <c r="CA35" s="394"/>
    </row>
    <row r="36" spans="1:79" s="90" customFormat="1" ht="26.1" customHeight="1" x14ac:dyDescent="0.2">
      <c r="A36" s="395" t="s">
        <v>182</v>
      </c>
      <c r="B36" s="201" t="s">
        <v>143</v>
      </c>
      <c r="C36" s="201"/>
      <c r="D36" s="363" t="s">
        <v>30</v>
      </c>
      <c r="E36" s="363"/>
      <c r="F36" s="363"/>
      <c r="G36" s="363"/>
      <c r="H36" s="363"/>
      <c r="I36" s="179"/>
      <c r="J36" s="177"/>
      <c r="K36" s="376">
        <f>L36+SUM(Q36:Q36)</f>
        <v>90</v>
      </c>
      <c r="L36" s="376">
        <f>SUM(M36:P36)</f>
        <v>60</v>
      </c>
      <c r="M36" s="376">
        <f t="shared" ref="M36:Q38" si="34">S36+Y36+AE36+AK36+AQ36+AW36+BC36+BI36+BO36+BU36</f>
        <v>60</v>
      </c>
      <c r="N36" s="376">
        <f t="shared" si="34"/>
        <v>0</v>
      </c>
      <c r="O36" s="376">
        <f t="shared" si="34"/>
        <v>0</v>
      </c>
      <c r="P36" s="376">
        <f t="shared" si="34"/>
        <v>0</v>
      </c>
      <c r="Q36" s="376">
        <f t="shared" si="34"/>
        <v>30</v>
      </c>
      <c r="R36" s="367">
        <f>SUM(S36:W36)</f>
        <v>0</v>
      </c>
      <c r="S36" s="177"/>
      <c r="T36" s="177"/>
      <c r="U36" s="177"/>
      <c r="V36" s="177"/>
      <c r="W36" s="177"/>
      <c r="X36" s="367">
        <f>SUM(Y36:AC36)</f>
        <v>0</v>
      </c>
      <c r="Y36" s="177"/>
      <c r="Z36" s="177"/>
      <c r="AA36" s="177"/>
      <c r="AB36" s="177"/>
      <c r="AC36" s="177"/>
      <c r="AD36" s="367">
        <f>SUM(AE36:AI36)</f>
        <v>90</v>
      </c>
      <c r="AE36" s="177">
        <v>60</v>
      </c>
      <c r="AF36" s="177"/>
      <c r="AG36" s="177"/>
      <c r="AH36" s="177"/>
      <c r="AI36" s="177">
        <v>30</v>
      </c>
      <c r="AJ36" s="367">
        <f>SUM(AK36:AO36)</f>
        <v>0</v>
      </c>
      <c r="AK36" s="177"/>
      <c r="AL36" s="177"/>
      <c r="AM36" s="177"/>
      <c r="AN36" s="177"/>
      <c r="AO36" s="177"/>
      <c r="AP36" s="367">
        <f>SUM(AQ36:AU36)</f>
        <v>0</v>
      </c>
      <c r="AQ36" s="177"/>
      <c r="AR36" s="177"/>
      <c r="AS36" s="177"/>
      <c r="AT36" s="177"/>
      <c r="AU36" s="177"/>
      <c r="AV36" s="367">
        <f>SUM(AW36:BA36)</f>
        <v>0</v>
      </c>
      <c r="AW36" s="177"/>
      <c r="AX36" s="177"/>
      <c r="AY36" s="177"/>
      <c r="AZ36" s="177"/>
      <c r="BA36" s="177"/>
      <c r="BB36" s="367">
        <f>SUM(BC36:BG36)</f>
        <v>0</v>
      </c>
      <c r="BC36" s="177"/>
      <c r="BD36" s="177"/>
      <c r="BE36" s="177"/>
      <c r="BF36" s="177"/>
      <c r="BG36" s="177"/>
      <c r="BH36" s="367">
        <f>SUM(BI36:BM36)</f>
        <v>0</v>
      </c>
      <c r="BI36" s="177"/>
      <c r="BJ36" s="177"/>
      <c r="BK36" s="177"/>
      <c r="BL36" s="177"/>
      <c r="BM36" s="177"/>
      <c r="BN36" s="367">
        <f>SUM(BO36:BS36)</f>
        <v>0</v>
      </c>
      <c r="BO36" s="177"/>
      <c r="BP36" s="177"/>
      <c r="BQ36" s="177"/>
      <c r="BR36" s="177"/>
      <c r="BS36" s="177"/>
      <c r="BT36" s="367">
        <f>SUM(BU36:BY36)</f>
        <v>0</v>
      </c>
      <c r="BU36" s="177"/>
      <c r="BV36" s="177"/>
      <c r="BW36" s="177"/>
      <c r="BX36" s="177"/>
      <c r="BY36" s="177"/>
      <c r="BZ36" s="363" t="s">
        <v>496</v>
      </c>
      <c r="CA36" s="397" t="s">
        <v>501</v>
      </c>
    </row>
    <row r="37" spans="1:79" s="90" customFormat="1" ht="26.1" customHeight="1" x14ac:dyDescent="0.2">
      <c r="A37" s="395" t="s">
        <v>183</v>
      </c>
      <c r="B37" s="201" t="s">
        <v>144</v>
      </c>
      <c r="C37" s="201"/>
      <c r="D37" s="363"/>
      <c r="E37" s="396" t="s">
        <v>30</v>
      </c>
      <c r="F37" s="396"/>
      <c r="G37" s="363"/>
      <c r="H37" s="363"/>
      <c r="I37" s="179"/>
      <c r="J37" s="177"/>
      <c r="K37" s="376">
        <f>L37+SUM(Q37:Q37)</f>
        <v>54</v>
      </c>
      <c r="L37" s="376">
        <f>SUM(M37:P37)</f>
        <v>36</v>
      </c>
      <c r="M37" s="376">
        <f t="shared" si="34"/>
        <v>4</v>
      </c>
      <c r="N37" s="376">
        <f t="shared" si="34"/>
        <v>32</v>
      </c>
      <c r="O37" s="376">
        <f t="shared" si="34"/>
        <v>0</v>
      </c>
      <c r="P37" s="376">
        <f t="shared" si="34"/>
        <v>0</v>
      </c>
      <c r="Q37" s="376">
        <f t="shared" si="34"/>
        <v>18</v>
      </c>
      <c r="R37" s="367">
        <f>SUM(S37:W37)</f>
        <v>0</v>
      </c>
      <c r="S37" s="177"/>
      <c r="T37" s="177"/>
      <c r="U37" s="177"/>
      <c r="V37" s="177"/>
      <c r="W37" s="177"/>
      <c r="X37" s="367">
        <f>SUM(Y37:AC37)</f>
        <v>0</v>
      </c>
      <c r="Y37" s="177"/>
      <c r="Z37" s="177"/>
      <c r="AA37" s="177"/>
      <c r="AB37" s="177"/>
      <c r="AC37" s="177"/>
      <c r="AD37" s="367">
        <f>SUM(AE37:AI37)</f>
        <v>54</v>
      </c>
      <c r="AE37" s="179">
        <v>4</v>
      </c>
      <c r="AF37" s="179">
        <v>32</v>
      </c>
      <c r="AG37" s="179"/>
      <c r="AH37" s="177"/>
      <c r="AI37" s="177">
        <v>18</v>
      </c>
      <c r="AJ37" s="367">
        <f>SUM(AK37:AO37)</f>
        <v>0</v>
      </c>
      <c r="AK37" s="177"/>
      <c r="AL37" s="177"/>
      <c r="AM37" s="177"/>
      <c r="AN37" s="177"/>
      <c r="AO37" s="177"/>
      <c r="AP37" s="367">
        <f>SUM(AQ37:AU37)</f>
        <v>0</v>
      </c>
      <c r="AQ37" s="177"/>
      <c r="AR37" s="177"/>
      <c r="AS37" s="177"/>
      <c r="AT37" s="177"/>
      <c r="AU37" s="177"/>
      <c r="AV37" s="367">
        <f>SUM(AW37:BA37)</f>
        <v>0</v>
      </c>
      <c r="AW37" s="177"/>
      <c r="AX37" s="177"/>
      <c r="AY37" s="177"/>
      <c r="AZ37" s="177"/>
      <c r="BA37" s="177"/>
      <c r="BB37" s="367">
        <f>SUM(BC37:BG37)</f>
        <v>0</v>
      </c>
      <c r="BC37" s="177"/>
      <c r="BD37" s="177"/>
      <c r="BE37" s="177"/>
      <c r="BF37" s="177"/>
      <c r="BG37" s="177"/>
      <c r="BH37" s="367">
        <f>SUM(BI37:BM37)</f>
        <v>0</v>
      </c>
      <c r="BI37" s="177"/>
      <c r="BJ37" s="177"/>
      <c r="BK37" s="177"/>
      <c r="BL37" s="177"/>
      <c r="BM37" s="177"/>
      <c r="BN37" s="367">
        <f>SUM(BO37:BS37)</f>
        <v>0</v>
      </c>
      <c r="BO37" s="177"/>
      <c r="BP37" s="177"/>
      <c r="BQ37" s="177"/>
      <c r="BR37" s="177"/>
      <c r="BS37" s="177"/>
      <c r="BT37" s="367">
        <f>SUM(BU37:BY37)</f>
        <v>0</v>
      </c>
      <c r="BU37" s="177"/>
      <c r="BV37" s="177"/>
      <c r="BW37" s="177"/>
      <c r="BX37" s="177"/>
      <c r="BY37" s="177"/>
      <c r="BZ37" s="363" t="s">
        <v>496</v>
      </c>
      <c r="CA37" s="397" t="s">
        <v>502</v>
      </c>
    </row>
    <row r="38" spans="1:79" s="90" customFormat="1" ht="26.1" customHeight="1" x14ac:dyDescent="0.2">
      <c r="A38" s="395" t="s">
        <v>184</v>
      </c>
      <c r="B38" s="201" t="s">
        <v>375</v>
      </c>
      <c r="C38" s="201"/>
      <c r="D38" s="399"/>
      <c r="E38" s="396" t="s">
        <v>30</v>
      </c>
      <c r="F38" s="396"/>
      <c r="G38" s="363"/>
      <c r="H38" s="363"/>
      <c r="I38" s="179"/>
      <c r="J38" s="177"/>
      <c r="K38" s="376">
        <f>L38+SUM(Q38:Q38)</f>
        <v>54</v>
      </c>
      <c r="L38" s="376">
        <f>SUM(M38:P38)</f>
        <v>36</v>
      </c>
      <c r="M38" s="376">
        <f t="shared" si="34"/>
        <v>36</v>
      </c>
      <c r="N38" s="376">
        <f t="shared" si="34"/>
        <v>0</v>
      </c>
      <c r="O38" s="376">
        <f t="shared" si="34"/>
        <v>0</v>
      </c>
      <c r="P38" s="376">
        <f t="shared" si="34"/>
        <v>0</v>
      </c>
      <c r="Q38" s="376">
        <f t="shared" si="34"/>
        <v>18</v>
      </c>
      <c r="R38" s="367">
        <f>SUM(S38:W38)</f>
        <v>0</v>
      </c>
      <c r="S38" s="177"/>
      <c r="T38" s="177"/>
      <c r="U38" s="177"/>
      <c r="V38" s="177"/>
      <c r="W38" s="177"/>
      <c r="X38" s="367">
        <f>SUM(Y38:AC38)</f>
        <v>0</v>
      </c>
      <c r="Y38" s="177"/>
      <c r="Z38" s="177"/>
      <c r="AA38" s="177"/>
      <c r="AB38" s="177"/>
      <c r="AC38" s="177"/>
      <c r="AD38" s="367">
        <f>SUM(AE38:AI38)</f>
        <v>54</v>
      </c>
      <c r="AE38" s="177">
        <v>36</v>
      </c>
      <c r="AF38" s="177"/>
      <c r="AG38" s="177"/>
      <c r="AH38" s="177"/>
      <c r="AI38" s="177">
        <v>18</v>
      </c>
      <c r="AJ38" s="367">
        <f>SUM(AK38:AO38)</f>
        <v>0</v>
      </c>
      <c r="AK38" s="177"/>
      <c r="AL38" s="177"/>
      <c r="AM38" s="177"/>
      <c r="AN38" s="177"/>
      <c r="AO38" s="177"/>
      <c r="AP38" s="367">
        <f>SUM(AQ38:AU38)</f>
        <v>0</v>
      </c>
      <c r="AQ38" s="177"/>
      <c r="AR38" s="177"/>
      <c r="AS38" s="177"/>
      <c r="AT38" s="177"/>
      <c r="AU38" s="177"/>
      <c r="AV38" s="367">
        <f>SUM(AW38:BA38)</f>
        <v>0</v>
      </c>
      <c r="AW38" s="177"/>
      <c r="AX38" s="177"/>
      <c r="AY38" s="177"/>
      <c r="AZ38" s="177"/>
      <c r="BA38" s="177"/>
      <c r="BB38" s="367">
        <f>SUM(BC38:BG38)</f>
        <v>0</v>
      </c>
      <c r="BC38" s="177"/>
      <c r="BD38" s="177"/>
      <c r="BE38" s="177"/>
      <c r="BF38" s="177"/>
      <c r="BG38" s="177"/>
      <c r="BH38" s="367">
        <f>SUM(BI38:BM38)</f>
        <v>0</v>
      </c>
      <c r="BI38" s="177"/>
      <c r="BJ38" s="177"/>
      <c r="BK38" s="177"/>
      <c r="BL38" s="177"/>
      <c r="BM38" s="177"/>
      <c r="BN38" s="367">
        <f>SUM(BO38:BS38)</f>
        <v>0</v>
      </c>
      <c r="BO38" s="177"/>
      <c r="BP38" s="177"/>
      <c r="BQ38" s="177"/>
      <c r="BR38" s="177"/>
      <c r="BS38" s="177"/>
      <c r="BT38" s="367">
        <f>SUM(BU38:BY38)</f>
        <v>0</v>
      </c>
      <c r="BU38" s="177"/>
      <c r="BV38" s="177"/>
      <c r="BW38" s="177"/>
      <c r="BX38" s="177"/>
      <c r="BY38" s="177"/>
      <c r="BZ38" s="363" t="s">
        <v>496</v>
      </c>
      <c r="CA38" s="397" t="s">
        <v>503</v>
      </c>
    </row>
    <row r="39" spans="1:79" s="88" customFormat="1" ht="26.1" customHeight="1" x14ac:dyDescent="0.2">
      <c r="A39" s="442" t="s">
        <v>204</v>
      </c>
      <c r="B39" s="685" t="s">
        <v>76</v>
      </c>
      <c r="C39" s="686"/>
      <c r="D39" s="686"/>
      <c r="E39" s="686"/>
      <c r="F39" s="686"/>
      <c r="G39" s="686"/>
      <c r="H39" s="687"/>
      <c r="I39" s="359">
        <f>Нормы!D12</f>
        <v>2800</v>
      </c>
      <c r="J39" s="359">
        <f>Нормы!E12</f>
        <v>1936</v>
      </c>
      <c r="K39" s="392">
        <f>K40+K48</f>
        <v>4250</v>
      </c>
      <c r="L39" s="392">
        <f>L40+L48</f>
        <v>2902</v>
      </c>
      <c r="M39" s="359">
        <f t="shared" ref="M39:AF39" si="35">M40+M48</f>
        <v>2002</v>
      </c>
      <c r="N39" s="359">
        <f t="shared" si="35"/>
        <v>810</v>
      </c>
      <c r="O39" s="359">
        <f t="shared" si="35"/>
        <v>90</v>
      </c>
      <c r="P39" s="359">
        <f t="shared" si="35"/>
        <v>0</v>
      </c>
      <c r="Q39" s="359">
        <f t="shared" si="35"/>
        <v>1348</v>
      </c>
      <c r="R39" s="359">
        <f t="shared" si="35"/>
        <v>0</v>
      </c>
      <c r="S39" s="359">
        <f t="shared" si="35"/>
        <v>0</v>
      </c>
      <c r="T39" s="359">
        <f t="shared" si="35"/>
        <v>0</v>
      </c>
      <c r="U39" s="359">
        <f t="shared" si="35"/>
        <v>0</v>
      </c>
      <c r="V39" s="359">
        <f t="shared" si="35"/>
        <v>0</v>
      </c>
      <c r="W39" s="398">
        <f t="shared" si="35"/>
        <v>0</v>
      </c>
      <c r="X39" s="359">
        <f t="shared" si="35"/>
        <v>0</v>
      </c>
      <c r="Y39" s="359">
        <f t="shared" si="35"/>
        <v>0</v>
      </c>
      <c r="Z39" s="359">
        <f t="shared" si="35"/>
        <v>0</v>
      </c>
      <c r="AA39" s="359">
        <f t="shared" si="35"/>
        <v>0</v>
      </c>
      <c r="AB39" s="359">
        <f t="shared" si="35"/>
        <v>0</v>
      </c>
      <c r="AC39" s="398">
        <f t="shared" si="35"/>
        <v>0</v>
      </c>
      <c r="AD39" s="359">
        <f t="shared" si="35"/>
        <v>362</v>
      </c>
      <c r="AE39" s="359">
        <f t="shared" si="35"/>
        <v>162</v>
      </c>
      <c r="AF39" s="359">
        <f t="shared" si="35"/>
        <v>90</v>
      </c>
      <c r="AG39" s="359">
        <f t="shared" ref="AG39:AO39" si="36">AG40+AG48</f>
        <v>0</v>
      </c>
      <c r="AH39" s="359">
        <f t="shared" si="36"/>
        <v>0</v>
      </c>
      <c r="AI39" s="359">
        <f t="shared" si="36"/>
        <v>110</v>
      </c>
      <c r="AJ39" s="359">
        <f t="shared" si="36"/>
        <v>697</v>
      </c>
      <c r="AK39" s="359">
        <f t="shared" si="36"/>
        <v>396</v>
      </c>
      <c r="AL39" s="359">
        <f t="shared" si="36"/>
        <v>80</v>
      </c>
      <c r="AM39" s="359">
        <f t="shared" si="36"/>
        <v>0</v>
      </c>
      <c r="AN39" s="359">
        <f t="shared" si="36"/>
        <v>0</v>
      </c>
      <c r="AO39" s="359">
        <f t="shared" si="36"/>
        <v>221</v>
      </c>
      <c r="AP39" s="359">
        <f t="shared" ref="AP39:AU39" si="37">AP40+AP48</f>
        <v>680</v>
      </c>
      <c r="AQ39" s="359">
        <f>AQ40+AQ48</f>
        <v>374</v>
      </c>
      <c r="AR39" s="359">
        <f t="shared" si="37"/>
        <v>90</v>
      </c>
      <c r="AS39" s="359">
        <f t="shared" si="37"/>
        <v>0</v>
      </c>
      <c r="AT39" s="359">
        <f t="shared" si="37"/>
        <v>0</v>
      </c>
      <c r="AU39" s="359">
        <f t="shared" si="37"/>
        <v>216</v>
      </c>
      <c r="AV39" s="359">
        <f t="shared" ref="AV39:BA39" si="38">AV40+AV48</f>
        <v>517</v>
      </c>
      <c r="AW39" s="359">
        <f t="shared" si="38"/>
        <v>233</v>
      </c>
      <c r="AX39" s="359">
        <f t="shared" si="38"/>
        <v>119</v>
      </c>
      <c r="AY39" s="359">
        <f t="shared" si="38"/>
        <v>0</v>
      </c>
      <c r="AZ39" s="359">
        <f t="shared" si="38"/>
        <v>0</v>
      </c>
      <c r="BA39" s="359">
        <f t="shared" si="38"/>
        <v>165</v>
      </c>
      <c r="BB39" s="359">
        <f t="shared" ref="BB39:BG39" si="39">BB40+BB48</f>
        <v>518</v>
      </c>
      <c r="BC39" s="359">
        <f t="shared" si="39"/>
        <v>268</v>
      </c>
      <c r="BD39" s="359">
        <f t="shared" si="39"/>
        <v>84</v>
      </c>
      <c r="BE39" s="359">
        <f t="shared" si="39"/>
        <v>0</v>
      </c>
      <c r="BF39" s="359">
        <f t="shared" si="39"/>
        <v>0</v>
      </c>
      <c r="BG39" s="359">
        <f t="shared" si="39"/>
        <v>166</v>
      </c>
      <c r="BH39" s="359">
        <f t="shared" ref="BH39:BM39" si="40">BH40+BH48</f>
        <v>517</v>
      </c>
      <c r="BI39" s="359">
        <f t="shared" si="40"/>
        <v>286</v>
      </c>
      <c r="BJ39" s="359">
        <f t="shared" si="40"/>
        <v>11</v>
      </c>
      <c r="BK39" s="359">
        <f t="shared" si="40"/>
        <v>55</v>
      </c>
      <c r="BL39" s="359">
        <f t="shared" si="40"/>
        <v>0</v>
      </c>
      <c r="BM39" s="359">
        <f t="shared" si="40"/>
        <v>165</v>
      </c>
      <c r="BN39" s="359">
        <f t="shared" ref="BN39:BY39" si="41">BN40+BN48</f>
        <v>164</v>
      </c>
      <c r="BO39" s="359">
        <f t="shared" si="41"/>
        <v>72</v>
      </c>
      <c r="BP39" s="359">
        <f t="shared" si="41"/>
        <v>40</v>
      </c>
      <c r="BQ39" s="359">
        <f t="shared" si="41"/>
        <v>0</v>
      </c>
      <c r="BR39" s="359">
        <f t="shared" si="41"/>
        <v>0</v>
      </c>
      <c r="BS39" s="359">
        <f t="shared" si="41"/>
        <v>52</v>
      </c>
      <c r="BT39" s="359">
        <f t="shared" si="41"/>
        <v>795</v>
      </c>
      <c r="BU39" s="359">
        <f t="shared" si="41"/>
        <v>211</v>
      </c>
      <c r="BV39" s="359">
        <f t="shared" si="41"/>
        <v>296</v>
      </c>
      <c r="BW39" s="359">
        <f t="shared" si="41"/>
        <v>35</v>
      </c>
      <c r="BX39" s="359">
        <f t="shared" si="41"/>
        <v>0</v>
      </c>
      <c r="BY39" s="359">
        <f t="shared" si="41"/>
        <v>253</v>
      </c>
      <c r="BZ39" s="358"/>
      <c r="CA39" s="394"/>
    </row>
    <row r="40" spans="1:79" s="92" customFormat="1" ht="26.1" customHeight="1" x14ac:dyDescent="0.2">
      <c r="A40" s="437" t="s">
        <v>616</v>
      </c>
      <c r="B40" s="735" t="s">
        <v>191</v>
      </c>
      <c r="C40" s="736"/>
      <c r="D40" s="736"/>
      <c r="E40" s="736"/>
      <c r="F40" s="736"/>
      <c r="G40" s="736"/>
      <c r="H40" s="737"/>
      <c r="I40" s="392">
        <v>552</v>
      </c>
      <c r="J40" s="392">
        <v>368</v>
      </c>
      <c r="K40" s="438">
        <f t="shared" ref="K40:AF40" si="42">SUM(K41:K47)</f>
        <v>620</v>
      </c>
      <c r="L40" s="438">
        <f t="shared" si="42"/>
        <v>413</v>
      </c>
      <c r="M40" s="438">
        <f t="shared" si="42"/>
        <v>347</v>
      </c>
      <c r="N40" s="438">
        <f t="shared" si="42"/>
        <v>66</v>
      </c>
      <c r="O40" s="438">
        <f t="shared" si="42"/>
        <v>0</v>
      </c>
      <c r="P40" s="438">
        <f t="shared" si="42"/>
        <v>0</v>
      </c>
      <c r="Q40" s="438">
        <f t="shared" si="42"/>
        <v>207</v>
      </c>
      <c r="R40" s="438">
        <f t="shared" si="42"/>
        <v>0</v>
      </c>
      <c r="S40" s="438">
        <f t="shared" si="42"/>
        <v>0</v>
      </c>
      <c r="T40" s="438">
        <f t="shared" si="42"/>
        <v>0</v>
      </c>
      <c r="U40" s="438">
        <f t="shared" si="42"/>
        <v>0</v>
      </c>
      <c r="V40" s="438">
        <f t="shared" si="42"/>
        <v>0</v>
      </c>
      <c r="W40" s="439">
        <f t="shared" si="42"/>
        <v>0</v>
      </c>
      <c r="X40" s="438">
        <f t="shared" si="42"/>
        <v>0</v>
      </c>
      <c r="Y40" s="438">
        <f t="shared" si="42"/>
        <v>0</v>
      </c>
      <c r="Z40" s="438">
        <f t="shared" si="42"/>
        <v>0</v>
      </c>
      <c r="AA40" s="438">
        <f t="shared" si="42"/>
        <v>0</v>
      </c>
      <c r="AB40" s="438">
        <f t="shared" si="42"/>
        <v>0</v>
      </c>
      <c r="AC40" s="439">
        <f t="shared" si="42"/>
        <v>0</v>
      </c>
      <c r="AD40" s="438">
        <f t="shared" si="42"/>
        <v>292</v>
      </c>
      <c r="AE40" s="438">
        <f t="shared" si="42"/>
        <v>162</v>
      </c>
      <c r="AF40" s="438">
        <f t="shared" si="42"/>
        <v>32</v>
      </c>
      <c r="AG40" s="438">
        <f t="shared" ref="AG40:AO40" si="43">SUM(AG41:AG47)</f>
        <v>0</v>
      </c>
      <c r="AH40" s="438">
        <f t="shared" si="43"/>
        <v>0</v>
      </c>
      <c r="AI40" s="438">
        <f t="shared" si="43"/>
        <v>98</v>
      </c>
      <c r="AJ40" s="438">
        <f t="shared" si="43"/>
        <v>229</v>
      </c>
      <c r="AK40" s="438">
        <f t="shared" si="43"/>
        <v>119</v>
      </c>
      <c r="AL40" s="438">
        <f t="shared" si="43"/>
        <v>34</v>
      </c>
      <c r="AM40" s="438">
        <f t="shared" si="43"/>
        <v>0</v>
      </c>
      <c r="AN40" s="438">
        <f t="shared" si="43"/>
        <v>0</v>
      </c>
      <c r="AO40" s="438">
        <f t="shared" si="43"/>
        <v>76</v>
      </c>
      <c r="AP40" s="438">
        <f t="shared" ref="AP40:AU40" si="44">SUM(AP41:AP47)</f>
        <v>0</v>
      </c>
      <c r="AQ40" s="438">
        <f t="shared" si="44"/>
        <v>0</v>
      </c>
      <c r="AR40" s="438">
        <f t="shared" si="44"/>
        <v>0</v>
      </c>
      <c r="AS40" s="438">
        <f t="shared" si="44"/>
        <v>0</v>
      </c>
      <c r="AT40" s="438">
        <f t="shared" si="44"/>
        <v>0</v>
      </c>
      <c r="AU40" s="438">
        <f t="shared" si="44"/>
        <v>0</v>
      </c>
      <c r="AV40" s="438">
        <f t="shared" ref="AV40:BA40" si="45">SUM(AV41:AV47)</f>
        <v>0</v>
      </c>
      <c r="AW40" s="438">
        <f t="shared" si="45"/>
        <v>0</v>
      </c>
      <c r="AX40" s="438">
        <f t="shared" si="45"/>
        <v>0</v>
      </c>
      <c r="AY40" s="438">
        <f t="shared" si="45"/>
        <v>0</v>
      </c>
      <c r="AZ40" s="438">
        <f t="shared" si="45"/>
        <v>0</v>
      </c>
      <c r="BA40" s="438">
        <f t="shared" si="45"/>
        <v>0</v>
      </c>
      <c r="BB40" s="438">
        <f t="shared" ref="BB40:BG40" si="46">SUM(BB41:BB47)</f>
        <v>33</v>
      </c>
      <c r="BC40" s="438">
        <f t="shared" si="46"/>
        <v>22</v>
      </c>
      <c r="BD40" s="438">
        <f t="shared" si="46"/>
        <v>0</v>
      </c>
      <c r="BE40" s="438">
        <f t="shared" si="46"/>
        <v>0</v>
      </c>
      <c r="BF40" s="438">
        <f t="shared" si="46"/>
        <v>0</v>
      </c>
      <c r="BG40" s="438">
        <f t="shared" si="46"/>
        <v>11</v>
      </c>
      <c r="BH40" s="438">
        <f t="shared" ref="BH40:BM40" si="47">SUM(BH41:BH47)</f>
        <v>66</v>
      </c>
      <c r="BI40" s="438">
        <f t="shared" si="47"/>
        <v>44</v>
      </c>
      <c r="BJ40" s="438">
        <f t="shared" si="47"/>
        <v>0</v>
      </c>
      <c r="BK40" s="438">
        <f t="shared" si="47"/>
        <v>0</v>
      </c>
      <c r="BL40" s="438">
        <f t="shared" si="47"/>
        <v>0</v>
      </c>
      <c r="BM40" s="438">
        <f t="shared" si="47"/>
        <v>22</v>
      </c>
      <c r="BN40" s="438">
        <f t="shared" ref="BN40:BY40" si="48">SUM(BN41:BN47)</f>
        <v>0</v>
      </c>
      <c r="BO40" s="438">
        <f t="shared" si="48"/>
        <v>0</v>
      </c>
      <c r="BP40" s="438">
        <f t="shared" si="48"/>
        <v>0</v>
      </c>
      <c r="BQ40" s="438">
        <f t="shared" si="48"/>
        <v>0</v>
      </c>
      <c r="BR40" s="438">
        <f t="shared" si="48"/>
        <v>0</v>
      </c>
      <c r="BS40" s="438">
        <f t="shared" si="48"/>
        <v>0</v>
      </c>
      <c r="BT40" s="438">
        <f t="shared" si="48"/>
        <v>0</v>
      </c>
      <c r="BU40" s="438">
        <f t="shared" si="48"/>
        <v>0</v>
      </c>
      <c r="BV40" s="438">
        <f t="shared" si="48"/>
        <v>0</v>
      </c>
      <c r="BW40" s="438">
        <f t="shared" si="48"/>
        <v>0</v>
      </c>
      <c r="BX40" s="438">
        <f t="shared" si="48"/>
        <v>0</v>
      </c>
      <c r="BY40" s="438">
        <f t="shared" si="48"/>
        <v>0</v>
      </c>
      <c r="BZ40" s="440"/>
      <c r="CA40" s="441"/>
    </row>
    <row r="41" spans="1:79" s="90" customFormat="1" ht="26.1" customHeight="1" x14ac:dyDescent="0.2">
      <c r="A41" s="395" t="s">
        <v>192</v>
      </c>
      <c r="B41" s="201" t="s">
        <v>193</v>
      </c>
      <c r="C41" s="201"/>
      <c r="D41" s="363"/>
      <c r="E41" s="363" t="s">
        <v>40</v>
      </c>
      <c r="F41" s="363"/>
      <c r="G41" s="363"/>
      <c r="H41" s="363" t="s">
        <v>30</v>
      </c>
      <c r="I41" s="179"/>
      <c r="J41" s="378"/>
      <c r="K41" s="376">
        <f t="shared" ref="K41:K47" si="49">L41+SUM(Q41:Q41)</f>
        <v>76</v>
      </c>
      <c r="L41" s="376">
        <f t="shared" ref="L41:L47" si="50">SUM(M41:P41)</f>
        <v>50</v>
      </c>
      <c r="M41" s="376">
        <f t="shared" ref="M41:Q47" si="51">S41+Y41+AE41+AK41+AQ41+AW41+BC41+BI41+BO41+BU41</f>
        <v>0</v>
      </c>
      <c r="N41" s="376">
        <f t="shared" si="51"/>
        <v>50</v>
      </c>
      <c r="O41" s="376">
        <f t="shared" si="51"/>
        <v>0</v>
      </c>
      <c r="P41" s="376">
        <f t="shared" si="51"/>
        <v>0</v>
      </c>
      <c r="Q41" s="376">
        <f t="shared" si="51"/>
        <v>26</v>
      </c>
      <c r="R41" s="367">
        <f t="shared" ref="R41:R47" si="52">SUM(S41:W41)</f>
        <v>0</v>
      </c>
      <c r="S41" s="177"/>
      <c r="T41" s="177"/>
      <c r="U41" s="177"/>
      <c r="V41" s="177"/>
      <c r="W41" s="177"/>
      <c r="X41" s="367">
        <f t="shared" ref="X41:X47" si="53">SUM(Y41:AC41)</f>
        <v>0</v>
      </c>
      <c r="Y41" s="177"/>
      <c r="Z41" s="177"/>
      <c r="AA41" s="177"/>
      <c r="AB41" s="177"/>
      <c r="AC41" s="177"/>
      <c r="AD41" s="367">
        <f t="shared" ref="AD41:AD47" si="54">SUM(AE41:AI41)</f>
        <v>25</v>
      </c>
      <c r="AE41" s="177"/>
      <c r="AF41" s="177">
        <v>16</v>
      </c>
      <c r="AG41" s="177"/>
      <c r="AH41" s="177"/>
      <c r="AI41" s="177">
        <v>9</v>
      </c>
      <c r="AJ41" s="367">
        <f t="shared" ref="AJ41:AJ47" si="55">SUM(AK41:AO41)</f>
        <v>51</v>
      </c>
      <c r="AK41" s="177"/>
      <c r="AL41" s="177">
        <v>34</v>
      </c>
      <c r="AM41" s="177"/>
      <c r="AN41" s="177"/>
      <c r="AO41" s="177">
        <v>17</v>
      </c>
      <c r="AP41" s="367">
        <f t="shared" ref="AP41:AP47" si="56">SUM(AQ41:AU41)</f>
        <v>0</v>
      </c>
      <c r="AQ41" s="177"/>
      <c r="AR41" s="177"/>
      <c r="AS41" s="177"/>
      <c r="AT41" s="177"/>
      <c r="AU41" s="177"/>
      <c r="AV41" s="367">
        <f t="shared" ref="AV41:AV47" si="57">SUM(AW41:BA41)</f>
        <v>0</v>
      </c>
      <c r="AW41" s="177"/>
      <c r="AX41" s="177"/>
      <c r="AY41" s="177"/>
      <c r="AZ41" s="177"/>
      <c r="BA41" s="177"/>
      <c r="BB41" s="367">
        <f t="shared" ref="BB41:BB47" si="58">SUM(BC41:BG41)</f>
        <v>0</v>
      </c>
      <c r="BC41" s="177"/>
      <c r="BD41" s="177"/>
      <c r="BE41" s="177"/>
      <c r="BF41" s="177"/>
      <c r="BG41" s="177"/>
      <c r="BH41" s="367">
        <f t="shared" ref="BH41:BH47" si="59">SUM(BI41:BM41)</f>
        <v>0</v>
      </c>
      <c r="BI41" s="177"/>
      <c r="BJ41" s="177"/>
      <c r="BK41" s="177"/>
      <c r="BL41" s="177"/>
      <c r="BM41" s="177"/>
      <c r="BN41" s="367">
        <f t="shared" ref="BN41:BN47" si="60">SUM(BO41:BS41)</f>
        <v>0</v>
      </c>
      <c r="BO41" s="177"/>
      <c r="BP41" s="177"/>
      <c r="BQ41" s="177"/>
      <c r="BR41" s="177"/>
      <c r="BS41" s="177"/>
      <c r="BT41" s="367">
        <f t="shared" ref="BT41:BT47" si="61">SUM(BU41:BY41)</f>
        <v>0</v>
      </c>
      <c r="BU41" s="177"/>
      <c r="BV41" s="177"/>
      <c r="BW41" s="177"/>
      <c r="BX41" s="177"/>
      <c r="BY41" s="177"/>
      <c r="BZ41" s="363" t="s">
        <v>496</v>
      </c>
      <c r="CA41" s="397" t="s">
        <v>580</v>
      </c>
    </row>
    <row r="42" spans="1:79" s="90" customFormat="1" ht="26.1" customHeight="1" x14ac:dyDescent="0.2">
      <c r="A42" s="395" t="s">
        <v>194</v>
      </c>
      <c r="B42" s="201" t="s">
        <v>195</v>
      </c>
      <c r="C42" s="201"/>
      <c r="D42" s="363"/>
      <c r="E42" s="363" t="s">
        <v>40</v>
      </c>
      <c r="F42" s="363"/>
      <c r="G42" s="363"/>
      <c r="H42" s="363"/>
      <c r="I42" s="177"/>
      <c r="J42" s="378"/>
      <c r="K42" s="376">
        <f t="shared" si="49"/>
        <v>76</v>
      </c>
      <c r="L42" s="376">
        <f t="shared" si="50"/>
        <v>51</v>
      </c>
      <c r="M42" s="376">
        <f t="shared" si="51"/>
        <v>51</v>
      </c>
      <c r="N42" s="376">
        <f t="shared" si="51"/>
        <v>0</v>
      </c>
      <c r="O42" s="376">
        <f t="shared" si="51"/>
        <v>0</v>
      </c>
      <c r="P42" s="376">
        <f t="shared" si="51"/>
        <v>0</v>
      </c>
      <c r="Q42" s="376">
        <f t="shared" si="51"/>
        <v>25</v>
      </c>
      <c r="R42" s="367">
        <f t="shared" si="52"/>
        <v>0</v>
      </c>
      <c r="S42" s="177"/>
      <c r="T42" s="177"/>
      <c r="U42" s="177"/>
      <c r="V42" s="177"/>
      <c r="W42" s="177"/>
      <c r="X42" s="367">
        <f t="shared" si="53"/>
        <v>0</v>
      </c>
      <c r="Y42" s="177"/>
      <c r="Z42" s="177"/>
      <c r="AA42" s="177"/>
      <c r="AB42" s="177"/>
      <c r="AC42" s="177"/>
      <c r="AD42" s="367">
        <f t="shared" si="54"/>
        <v>0</v>
      </c>
      <c r="AE42" s="179"/>
      <c r="AF42" s="179"/>
      <c r="AG42" s="179"/>
      <c r="AH42" s="177"/>
      <c r="AI42" s="179"/>
      <c r="AJ42" s="367">
        <f t="shared" si="55"/>
        <v>76</v>
      </c>
      <c r="AK42" s="179">
        <v>51</v>
      </c>
      <c r="AL42" s="179"/>
      <c r="AM42" s="179"/>
      <c r="AN42" s="179"/>
      <c r="AO42" s="179">
        <v>25</v>
      </c>
      <c r="AP42" s="367">
        <f t="shared" si="56"/>
        <v>0</v>
      </c>
      <c r="AQ42" s="177"/>
      <c r="AR42" s="177"/>
      <c r="AS42" s="177"/>
      <c r="AT42" s="177"/>
      <c r="AU42" s="177"/>
      <c r="AV42" s="367">
        <f t="shared" si="57"/>
        <v>0</v>
      </c>
      <c r="AW42" s="177"/>
      <c r="AX42" s="177"/>
      <c r="AY42" s="177"/>
      <c r="AZ42" s="177"/>
      <c r="BA42" s="177"/>
      <c r="BB42" s="367">
        <f t="shared" si="58"/>
        <v>0</v>
      </c>
      <c r="BC42" s="177"/>
      <c r="BD42" s="177"/>
      <c r="BE42" s="177"/>
      <c r="BF42" s="177"/>
      <c r="BG42" s="177"/>
      <c r="BH42" s="367">
        <f t="shared" si="59"/>
        <v>0</v>
      </c>
      <c r="BI42" s="177"/>
      <c r="BJ42" s="177"/>
      <c r="BK42" s="177"/>
      <c r="BL42" s="177"/>
      <c r="BM42" s="177"/>
      <c r="BN42" s="367">
        <f t="shared" si="60"/>
        <v>0</v>
      </c>
      <c r="BO42" s="177"/>
      <c r="BP42" s="177"/>
      <c r="BQ42" s="177"/>
      <c r="BR42" s="177"/>
      <c r="BS42" s="177"/>
      <c r="BT42" s="367">
        <f t="shared" si="61"/>
        <v>0</v>
      </c>
      <c r="BU42" s="177"/>
      <c r="BV42" s="177"/>
      <c r="BW42" s="177"/>
      <c r="BX42" s="177"/>
      <c r="BY42" s="177"/>
      <c r="BZ42" s="363" t="s">
        <v>496</v>
      </c>
      <c r="CA42" s="177" t="s">
        <v>504</v>
      </c>
    </row>
    <row r="43" spans="1:79" s="90" customFormat="1" ht="26.1" customHeight="1" x14ac:dyDescent="0.2">
      <c r="A43" s="395" t="s">
        <v>196</v>
      </c>
      <c r="B43" s="201" t="s">
        <v>197</v>
      </c>
      <c r="C43" s="201" t="s">
        <v>582</v>
      </c>
      <c r="D43" s="363"/>
      <c r="E43" s="396" t="s">
        <v>30</v>
      </c>
      <c r="F43" s="396"/>
      <c r="G43" s="363"/>
      <c r="H43" s="363"/>
      <c r="I43" s="177"/>
      <c r="J43" s="378"/>
      <c r="K43" s="376">
        <f t="shared" si="49"/>
        <v>66</v>
      </c>
      <c r="L43" s="376">
        <f t="shared" si="50"/>
        <v>44</v>
      </c>
      <c r="M43" s="376">
        <f t="shared" si="51"/>
        <v>28</v>
      </c>
      <c r="N43" s="376">
        <f t="shared" si="51"/>
        <v>16</v>
      </c>
      <c r="O43" s="376">
        <f t="shared" si="51"/>
        <v>0</v>
      </c>
      <c r="P43" s="376">
        <f t="shared" si="51"/>
        <v>0</v>
      </c>
      <c r="Q43" s="376">
        <f t="shared" si="51"/>
        <v>22</v>
      </c>
      <c r="R43" s="367">
        <f t="shared" si="52"/>
        <v>0</v>
      </c>
      <c r="S43" s="177"/>
      <c r="T43" s="177"/>
      <c r="U43" s="177"/>
      <c r="V43" s="177"/>
      <c r="W43" s="177"/>
      <c r="X43" s="367">
        <f t="shared" si="53"/>
        <v>0</v>
      </c>
      <c r="Y43" s="177"/>
      <c r="Z43" s="177"/>
      <c r="AA43" s="177"/>
      <c r="AB43" s="177"/>
      <c r="AC43" s="177"/>
      <c r="AD43" s="367">
        <f t="shared" si="54"/>
        <v>66</v>
      </c>
      <c r="AE43" s="179">
        <v>28</v>
      </c>
      <c r="AF43" s="179">
        <v>16</v>
      </c>
      <c r="AG43" s="179"/>
      <c r="AH43" s="177"/>
      <c r="AI43" s="177">
        <v>22</v>
      </c>
      <c r="AJ43" s="367">
        <f t="shared" si="55"/>
        <v>0</v>
      </c>
      <c r="AK43" s="179"/>
      <c r="AL43" s="179"/>
      <c r="AM43" s="179"/>
      <c r="AN43" s="179"/>
      <c r="AO43" s="179"/>
      <c r="AP43" s="367">
        <f t="shared" si="56"/>
        <v>0</v>
      </c>
      <c r="AQ43" s="177"/>
      <c r="AR43" s="177"/>
      <c r="AS43" s="177"/>
      <c r="AT43" s="177"/>
      <c r="AU43" s="177"/>
      <c r="AV43" s="367">
        <f t="shared" si="57"/>
        <v>0</v>
      </c>
      <c r="AW43" s="177"/>
      <c r="AX43" s="177"/>
      <c r="AY43" s="177"/>
      <c r="AZ43" s="177"/>
      <c r="BA43" s="177"/>
      <c r="BB43" s="367">
        <f t="shared" si="58"/>
        <v>0</v>
      </c>
      <c r="BC43" s="177"/>
      <c r="BD43" s="177"/>
      <c r="BE43" s="177"/>
      <c r="BF43" s="177"/>
      <c r="BG43" s="177"/>
      <c r="BH43" s="367">
        <f t="shared" si="59"/>
        <v>0</v>
      </c>
      <c r="BI43" s="177"/>
      <c r="BJ43" s="177"/>
      <c r="BK43" s="177"/>
      <c r="BL43" s="177"/>
      <c r="BM43" s="177"/>
      <c r="BN43" s="367">
        <f t="shared" si="60"/>
        <v>0</v>
      </c>
      <c r="BO43" s="177"/>
      <c r="BP43" s="177"/>
      <c r="BQ43" s="177"/>
      <c r="BR43" s="177"/>
      <c r="BS43" s="177"/>
      <c r="BT43" s="367">
        <f t="shared" si="61"/>
        <v>0</v>
      </c>
      <c r="BU43" s="177"/>
      <c r="BV43" s="177"/>
      <c r="BW43" s="177"/>
      <c r="BX43" s="177"/>
      <c r="BY43" s="177"/>
      <c r="BZ43" s="363" t="s">
        <v>505</v>
      </c>
      <c r="CA43" s="177" t="s">
        <v>447</v>
      </c>
    </row>
    <row r="44" spans="1:79" s="90" customFormat="1" ht="26.1" customHeight="1" x14ac:dyDescent="0.2">
      <c r="A44" s="395" t="s">
        <v>198</v>
      </c>
      <c r="B44" s="201" t="s">
        <v>547</v>
      </c>
      <c r="C44" s="201" t="s">
        <v>563</v>
      </c>
      <c r="D44" s="396" t="s">
        <v>38</v>
      </c>
      <c r="E44" s="396"/>
      <c r="F44" s="396"/>
      <c r="G44" s="363"/>
      <c r="H44" s="363" t="s">
        <v>43</v>
      </c>
      <c r="I44" s="177"/>
      <c r="J44" s="378"/>
      <c r="K44" s="376">
        <f t="shared" si="49"/>
        <v>99</v>
      </c>
      <c r="L44" s="376">
        <f t="shared" si="50"/>
        <v>66</v>
      </c>
      <c r="M44" s="376">
        <f t="shared" si="51"/>
        <v>66</v>
      </c>
      <c r="N44" s="376">
        <f t="shared" si="51"/>
        <v>0</v>
      </c>
      <c r="O44" s="376">
        <f t="shared" si="51"/>
        <v>0</v>
      </c>
      <c r="P44" s="376">
        <f t="shared" si="51"/>
        <v>0</v>
      </c>
      <c r="Q44" s="376">
        <f t="shared" si="51"/>
        <v>33</v>
      </c>
      <c r="R44" s="367">
        <f t="shared" si="52"/>
        <v>0</v>
      </c>
      <c r="S44" s="177"/>
      <c r="T44" s="177"/>
      <c r="U44" s="177"/>
      <c r="V44" s="177"/>
      <c r="W44" s="177"/>
      <c r="X44" s="367">
        <f t="shared" si="53"/>
        <v>0</v>
      </c>
      <c r="Y44" s="177"/>
      <c r="Z44" s="177"/>
      <c r="AA44" s="177"/>
      <c r="AB44" s="177"/>
      <c r="AC44" s="177"/>
      <c r="AD44" s="367">
        <f t="shared" si="54"/>
        <v>0</v>
      </c>
      <c r="AE44" s="179"/>
      <c r="AF44" s="179"/>
      <c r="AG44" s="179"/>
      <c r="AH44" s="177"/>
      <c r="AI44" s="177"/>
      <c r="AJ44" s="367">
        <f t="shared" si="55"/>
        <v>0</v>
      </c>
      <c r="AK44" s="179"/>
      <c r="AL44" s="179"/>
      <c r="AM44" s="179"/>
      <c r="AN44" s="179"/>
      <c r="AO44" s="179"/>
      <c r="AP44" s="367">
        <f t="shared" si="56"/>
        <v>0</v>
      </c>
      <c r="AQ44" s="177"/>
      <c r="AR44" s="177"/>
      <c r="AS44" s="177"/>
      <c r="AT44" s="177"/>
      <c r="AU44" s="177"/>
      <c r="AV44" s="367">
        <f t="shared" si="57"/>
        <v>0</v>
      </c>
      <c r="AW44" s="177"/>
      <c r="AX44" s="177"/>
      <c r="AY44" s="177"/>
      <c r="AZ44" s="177"/>
      <c r="BA44" s="177"/>
      <c r="BB44" s="367">
        <f t="shared" si="58"/>
        <v>33</v>
      </c>
      <c r="BC44" s="179">
        <v>22</v>
      </c>
      <c r="BD44" s="179"/>
      <c r="BE44" s="177"/>
      <c r="BF44" s="177"/>
      <c r="BG44" s="177">
        <v>11</v>
      </c>
      <c r="BH44" s="367">
        <f t="shared" si="59"/>
        <v>66</v>
      </c>
      <c r="BI44" s="177">
        <v>44</v>
      </c>
      <c r="BJ44" s="177"/>
      <c r="BK44" s="177"/>
      <c r="BL44" s="177"/>
      <c r="BM44" s="179">
        <v>22</v>
      </c>
      <c r="BN44" s="367">
        <f t="shared" si="60"/>
        <v>0</v>
      </c>
      <c r="BO44" s="177"/>
      <c r="BP44" s="177"/>
      <c r="BQ44" s="177"/>
      <c r="BR44" s="177"/>
      <c r="BS44" s="177"/>
      <c r="BT44" s="367">
        <f t="shared" si="61"/>
        <v>0</v>
      </c>
      <c r="BU44" s="177"/>
      <c r="BV44" s="177"/>
      <c r="BW44" s="177"/>
      <c r="BX44" s="177"/>
      <c r="BY44" s="177"/>
      <c r="BZ44" s="363" t="s">
        <v>506</v>
      </c>
      <c r="CA44" s="177" t="s">
        <v>507</v>
      </c>
    </row>
    <row r="45" spans="1:79" s="90" customFormat="1" ht="26.1" customHeight="1" x14ac:dyDescent="0.2">
      <c r="A45" s="395" t="s">
        <v>199</v>
      </c>
      <c r="B45" s="201" t="s">
        <v>200</v>
      </c>
      <c r="C45" s="201"/>
      <c r="D45" s="396"/>
      <c r="E45" s="396" t="s">
        <v>30</v>
      </c>
      <c r="F45" s="396"/>
      <c r="G45" s="363"/>
      <c r="H45" s="363"/>
      <c r="I45" s="177"/>
      <c r="J45" s="378"/>
      <c r="K45" s="376">
        <f t="shared" si="49"/>
        <v>54</v>
      </c>
      <c r="L45" s="376">
        <f t="shared" si="50"/>
        <v>36</v>
      </c>
      <c r="M45" s="376">
        <f t="shared" si="51"/>
        <v>36</v>
      </c>
      <c r="N45" s="376">
        <f t="shared" si="51"/>
        <v>0</v>
      </c>
      <c r="O45" s="376">
        <f t="shared" si="51"/>
        <v>0</v>
      </c>
      <c r="P45" s="376">
        <f t="shared" si="51"/>
        <v>0</v>
      </c>
      <c r="Q45" s="376">
        <f t="shared" si="51"/>
        <v>18</v>
      </c>
      <c r="R45" s="367">
        <f t="shared" si="52"/>
        <v>0</v>
      </c>
      <c r="S45" s="177"/>
      <c r="T45" s="177"/>
      <c r="U45" s="177"/>
      <c r="V45" s="177"/>
      <c r="W45" s="177"/>
      <c r="X45" s="367">
        <f t="shared" si="53"/>
        <v>0</v>
      </c>
      <c r="Y45" s="177"/>
      <c r="Z45" s="177"/>
      <c r="AA45" s="177"/>
      <c r="AB45" s="177"/>
      <c r="AC45" s="177"/>
      <c r="AD45" s="367">
        <f t="shared" si="54"/>
        <v>54</v>
      </c>
      <c r="AE45" s="179">
        <v>36</v>
      </c>
      <c r="AF45" s="179"/>
      <c r="AG45" s="179"/>
      <c r="AH45" s="177"/>
      <c r="AI45" s="177">
        <v>18</v>
      </c>
      <c r="AJ45" s="367">
        <f t="shared" si="55"/>
        <v>0</v>
      </c>
      <c r="AK45" s="179"/>
      <c r="AL45" s="179"/>
      <c r="AM45" s="179"/>
      <c r="AN45" s="179"/>
      <c r="AO45" s="179"/>
      <c r="AP45" s="367">
        <f t="shared" si="56"/>
        <v>0</v>
      </c>
      <c r="AQ45" s="177"/>
      <c r="AR45" s="177"/>
      <c r="AS45" s="177"/>
      <c r="AT45" s="177"/>
      <c r="AU45" s="177"/>
      <c r="AV45" s="367">
        <f t="shared" si="57"/>
        <v>0</v>
      </c>
      <c r="AW45" s="177"/>
      <c r="AX45" s="177"/>
      <c r="AY45" s="177"/>
      <c r="AZ45" s="177"/>
      <c r="BA45" s="177"/>
      <c r="BB45" s="367">
        <f t="shared" si="58"/>
        <v>0</v>
      </c>
      <c r="BC45" s="177"/>
      <c r="BD45" s="177"/>
      <c r="BE45" s="177"/>
      <c r="BF45" s="177"/>
      <c r="BG45" s="177"/>
      <c r="BH45" s="367">
        <f t="shared" si="59"/>
        <v>0</v>
      </c>
      <c r="BI45" s="177"/>
      <c r="BJ45" s="177"/>
      <c r="BK45" s="177"/>
      <c r="BL45" s="177"/>
      <c r="BM45" s="177"/>
      <c r="BN45" s="367">
        <f t="shared" si="60"/>
        <v>0</v>
      </c>
      <c r="BO45" s="177"/>
      <c r="BP45" s="177"/>
      <c r="BQ45" s="177"/>
      <c r="BR45" s="177"/>
      <c r="BS45" s="177"/>
      <c r="BT45" s="367">
        <f t="shared" si="61"/>
        <v>0</v>
      </c>
      <c r="BU45" s="177"/>
      <c r="BV45" s="177"/>
      <c r="BW45" s="177"/>
      <c r="BX45" s="177"/>
      <c r="BY45" s="177"/>
      <c r="BZ45" s="363" t="s">
        <v>508</v>
      </c>
      <c r="CA45" s="177" t="s">
        <v>509</v>
      </c>
    </row>
    <row r="46" spans="1:79" s="90" customFormat="1" ht="26.1" customHeight="1" x14ac:dyDescent="0.2">
      <c r="A46" s="395" t="s">
        <v>201</v>
      </c>
      <c r="B46" s="201" t="s">
        <v>202</v>
      </c>
      <c r="C46" s="201" t="s">
        <v>564</v>
      </c>
      <c r="D46" s="363" t="s">
        <v>40</v>
      </c>
      <c r="E46" s="363"/>
      <c r="F46" s="363"/>
      <c r="G46" s="363"/>
      <c r="H46" s="363" t="s">
        <v>30</v>
      </c>
      <c r="I46" s="177"/>
      <c r="J46" s="378"/>
      <c r="K46" s="376">
        <f t="shared" si="49"/>
        <v>147</v>
      </c>
      <c r="L46" s="376">
        <f t="shared" si="50"/>
        <v>98</v>
      </c>
      <c r="M46" s="376">
        <f t="shared" si="51"/>
        <v>98</v>
      </c>
      <c r="N46" s="376">
        <f t="shared" si="51"/>
        <v>0</v>
      </c>
      <c r="O46" s="376">
        <f t="shared" si="51"/>
        <v>0</v>
      </c>
      <c r="P46" s="376">
        <f t="shared" si="51"/>
        <v>0</v>
      </c>
      <c r="Q46" s="376">
        <f t="shared" si="51"/>
        <v>49</v>
      </c>
      <c r="R46" s="367">
        <f t="shared" si="52"/>
        <v>0</v>
      </c>
      <c r="S46" s="177"/>
      <c r="T46" s="177"/>
      <c r="U46" s="177"/>
      <c r="V46" s="177"/>
      <c r="W46" s="177"/>
      <c r="X46" s="367">
        <f t="shared" si="53"/>
        <v>0</v>
      </c>
      <c r="Y46" s="177"/>
      <c r="Z46" s="177"/>
      <c r="AA46" s="177"/>
      <c r="AB46" s="177"/>
      <c r="AC46" s="177"/>
      <c r="AD46" s="367">
        <f t="shared" si="54"/>
        <v>45</v>
      </c>
      <c r="AE46" s="179">
        <v>30</v>
      </c>
      <c r="AF46" s="179"/>
      <c r="AG46" s="179"/>
      <c r="AH46" s="177"/>
      <c r="AI46" s="177">
        <v>15</v>
      </c>
      <c r="AJ46" s="367">
        <f t="shared" si="55"/>
        <v>102</v>
      </c>
      <c r="AK46" s="179">
        <v>68</v>
      </c>
      <c r="AL46" s="179"/>
      <c r="AM46" s="179"/>
      <c r="AN46" s="179"/>
      <c r="AO46" s="179">
        <v>34</v>
      </c>
      <c r="AP46" s="367">
        <f t="shared" si="56"/>
        <v>0</v>
      </c>
      <c r="AQ46" s="177"/>
      <c r="AR46" s="177"/>
      <c r="AS46" s="177"/>
      <c r="AT46" s="177"/>
      <c r="AU46" s="177"/>
      <c r="AV46" s="367">
        <f t="shared" si="57"/>
        <v>0</v>
      </c>
      <c r="AW46" s="177"/>
      <c r="AX46" s="177"/>
      <c r="AY46" s="177"/>
      <c r="AZ46" s="177"/>
      <c r="BA46" s="177"/>
      <c r="BB46" s="367">
        <f t="shared" si="58"/>
        <v>0</v>
      </c>
      <c r="BC46" s="177"/>
      <c r="BD46" s="177"/>
      <c r="BE46" s="177"/>
      <c r="BF46" s="177"/>
      <c r="BG46" s="177"/>
      <c r="BH46" s="367">
        <f t="shared" si="59"/>
        <v>0</v>
      </c>
      <c r="BI46" s="177"/>
      <c r="BJ46" s="177"/>
      <c r="BK46" s="177"/>
      <c r="BL46" s="177"/>
      <c r="BM46" s="177"/>
      <c r="BN46" s="367">
        <f t="shared" si="60"/>
        <v>0</v>
      </c>
      <c r="BO46" s="177"/>
      <c r="BP46" s="177"/>
      <c r="BQ46" s="177"/>
      <c r="BR46" s="177"/>
      <c r="BS46" s="177"/>
      <c r="BT46" s="367">
        <f t="shared" si="61"/>
        <v>0</v>
      </c>
      <c r="BU46" s="177"/>
      <c r="BV46" s="177"/>
      <c r="BW46" s="177"/>
      <c r="BX46" s="177"/>
      <c r="BY46" s="177"/>
      <c r="BZ46" s="363" t="s">
        <v>506</v>
      </c>
      <c r="CA46" s="177" t="s">
        <v>510</v>
      </c>
    </row>
    <row r="47" spans="1:79" s="90" customFormat="1" ht="26.1" customHeight="1" x14ac:dyDescent="0.2">
      <c r="A47" s="395" t="s">
        <v>203</v>
      </c>
      <c r="B47" s="201" t="s">
        <v>145</v>
      </c>
      <c r="C47" s="201"/>
      <c r="D47" s="363" t="s">
        <v>30</v>
      </c>
      <c r="E47" s="396"/>
      <c r="F47" s="396"/>
      <c r="G47" s="363"/>
      <c r="H47" s="363"/>
      <c r="I47" s="179"/>
      <c r="J47" s="179">
        <v>68</v>
      </c>
      <c r="K47" s="376">
        <f t="shared" si="49"/>
        <v>102</v>
      </c>
      <c r="L47" s="376">
        <f t="shared" si="50"/>
        <v>68</v>
      </c>
      <c r="M47" s="376">
        <f t="shared" si="51"/>
        <v>68</v>
      </c>
      <c r="N47" s="376">
        <f t="shared" si="51"/>
        <v>0</v>
      </c>
      <c r="O47" s="376">
        <f t="shared" si="51"/>
        <v>0</v>
      </c>
      <c r="P47" s="376">
        <f t="shared" si="51"/>
        <v>0</v>
      </c>
      <c r="Q47" s="376">
        <f t="shared" si="51"/>
        <v>34</v>
      </c>
      <c r="R47" s="367">
        <f t="shared" si="52"/>
        <v>0</v>
      </c>
      <c r="S47" s="177"/>
      <c r="T47" s="177"/>
      <c r="U47" s="177"/>
      <c r="V47" s="177"/>
      <c r="W47" s="177"/>
      <c r="X47" s="367">
        <f t="shared" si="53"/>
        <v>0</v>
      </c>
      <c r="Y47" s="177"/>
      <c r="Z47" s="177"/>
      <c r="AA47" s="177"/>
      <c r="AB47" s="177"/>
      <c r="AC47" s="177"/>
      <c r="AD47" s="367">
        <f t="shared" si="54"/>
        <v>102</v>
      </c>
      <c r="AE47" s="179">
        <v>68</v>
      </c>
      <c r="AF47" s="179"/>
      <c r="AG47" s="179"/>
      <c r="AH47" s="177"/>
      <c r="AI47" s="177">
        <v>34</v>
      </c>
      <c r="AJ47" s="367">
        <f t="shared" si="55"/>
        <v>0</v>
      </c>
      <c r="AK47" s="179"/>
      <c r="AL47" s="179"/>
      <c r="AM47" s="179"/>
      <c r="AN47" s="179"/>
      <c r="AO47" s="179"/>
      <c r="AP47" s="367">
        <f t="shared" si="56"/>
        <v>0</v>
      </c>
      <c r="AQ47" s="177"/>
      <c r="AR47" s="177"/>
      <c r="AS47" s="177"/>
      <c r="AT47" s="177"/>
      <c r="AU47" s="177"/>
      <c r="AV47" s="367">
        <f t="shared" si="57"/>
        <v>0</v>
      </c>
      <c r="AW47" s="177"/>
      <c r="AX47" s="177"/>
      <c r="AY47" s="177"/>
      <c r="AZ47" s="177"/>
      <c r="BA47" s="177"/>
      <c r="BB47" s="367">
        <f t="shared" si="58"/>
        <v>0</v>
      </c>
      <c r="BC47" s="177"/>
      <c r="BD47" s="177"/>
      <c r="BE47" s="177"/>
      <c r="BF47" s="177"/>
      <c r="BG47" s="177"/>
      <c r="BH47" s="367">
        <f t="shared" si="59"/>
        <v>0</v>
      </c>
      <c r="BI47" s="177"/>
      <c r="BJ47" s="177"/>
      <c r="BK47" s="177"/>
      <c r="BL47" s="177"/>
      <c r="BM47" s="177"/>
      <c r="BN47" s="367">
        <f t="shared" si="60"/>
        <v>0</v>
      </c>
      <c r="BO47" s="177"/>
      <c r="BP47" s="177"/>
      <c r="BQ47" s="177"/>
      <c r="BR47" s="177"/>
      <c r="BS47" s="177"/>
      <c r="BT47" s="367">
        <f t="shared" si="61"/>
        <v>0</v>
      </c>
      <c r="BU47" s="177"/>
      <c r="BV47" s="177"/>
      <c r="BW47" s="177"/>
      <c r="BX47" s="177"/>
      <c r="BY47" s="177"/>
      <c r="BZ47" s="363" t="s">
        <v>506</v>
      </c>
      <c r="CA47" s="177" t="s">
        <v>511</v>
      </c>
    </row>
    <row r="48" spans="1:79" s="93" customFormat="1" ht="26.1" customHeight="1" x14ac:dyDescent="0.2">
      <c r="A48" s="437" t="s">
        <v>185</v>
      </c>
      <c r="B48" s="735" t="s">
        <v>189</v>
      </c>
      <c r="C48" s="736"/>
      <c r="D48" s="736"/>
      <c r="E48" s="736"/>
      <c r="F48" s="736"/>
      <c r="G48" s="736"/>
      <c r="H48" s="737"/>
      <c r="I48" s="392">
        <v>2248</v>
      </c>
      <c r="J48" s="392">
        <v>1568</v>
      </c>
      <c r="K48" s="438">
        <f t="shared" ref="K48:Q48" si="62">SUM(K49,K75,K81,K86,K89)</f>
        <v>3630</v>
      </c>
      <c r="L48" s="438">
        <f t="shared" si="62"/>
        <v>2489</v>
      </c>
      <c r="M48" s="438">
        <f t="shared" si="62"/>
        <v>1655</v>
      </c>
      <c r="N48" s="438">
        <f t="shared" si="62"/>
        <v>744</v>
      </c>
      <c r="O48" s="438">
        <f t="shared" si="62"/>
        <v>90</v>
      </c>
      <c r="P48" s="438">
        <f t="shared" si="62"/>
        <v>0</v>
      </c>
      <c r="Q48" s="438">
        <f t="shared" si="62"/>
        <v>1141</v>
      </c>
      <c r="R48" s="438">
        <f t="shared" ref="R48:AC48" si="63">SUM(R49+R75+R81+R89)</f>
        <v>0</v>
      </c>
      <c r="S48" s="438">
        <f t="shared" si="63"/>
        <v>0</v>
      </c>
      <c r="T48" s="438">
        <f t="shared" si="63"/>
        <v>0</v>
      </c>
      <c r="U48" s="438">
        <f t="shared" si="63"/>
        <v>0</v>
      </c>
      <c r="V48" s="438">
        <f t="shared" si="63"/>
        <v>0</v>
      </c>
      <c r="W48" s="438">
        <f t="shared" si="63"/>
        <v>0</v>
      </c>
      <c r="X48" s="438">
        <f t="shared" si="63"/>
        <v>0</v>
      </c>
      <c r="Y48" s="438">
        <f t="shared" si="63"/>
        <v>0</v>
      </c>
      <c r="Z48" s="438">
        <f t="shared" si="63"/>
        <v>0</v>
      </c>
      <c r="AA48" s="438">
        <f t="shared" si="63"/>
        <v>0</v>
      </c>
      <c r="AB48" s="438">
        <f t="shared" si="63"/>
        <v>0</v>
      </c>
      <c r="AC48" s="438">
        <f t="shared" si="63"/>
        <v>0</v>
      </c>
      <c r="AD48" s="438">
        <f t="shared" ref="AD48:BY48" si="64">SUM(AD49+AD75+AD81+AD89+AD86)</f>
        <v>70</v>
      </c>
      <c r="AE48" s="438">
        <f t="shared" si="64"/>
        <v>0</v>
      </c>
      <c r="AF48" s="438">
        <f t="shared" si="64"/>
        <v>58</v>
      </c>
      <c r="AG48" s="438">
        <f t="shared" si="64"/>
        <v>0</v>
      </c>
      <c r="AH48" s="438">
        <f t="shared" si="64"/>
        <v>0</v>
      </c>
      <c r="AI48" s="438">
        <f t="shared" si="64"/>
        <v>12</v>
      </c>
      <c r="AJ48" s="438">
        <f t="shared" si="64"/>
        <v>468</v>
      </c>
      <c r="AK48" s="438">
        <f t="shared" si="64"/>
        <v>277</v>
      </c>
      <c r="AL48" s="438">
        <f t="shared" si="64"/>
        <v>46</v>
      </c>
      <c r="AM48" s="438">
        <f t="shared" si="64"/>
        <v>0</v>
      </c>
      <c r="AN48" s="438">
        <f t="shared" si="64"/>
        <v>0</v>
      </c>
      <c r="AO48" s="438">
        <f t="shared" si="64"/>
        <v>145</v>
      </c>
      <c r="AP48" s="438">
        <f t="shared" si="64"/>
        <v>680</v>
      </c>
      <c r="AQ48" s="438">
        <f t="shared" si="64"/>
        <v>374</v>
      </c>
      <c r="AR48" s="438">
        <f t="shared" si="64"/>
        <v>90</v>
      </c>
      <c r="AS48" s="438">
        <f t="shared" si="64"/>
        <v>0</v>
      </c>
      <c r="AT48" s="438">
        <f t="shared" si="64"/>
        <v>0</v>
      </c>
      <c r="AU48" s="438">
        <f t="shared" si="64"/>
        <v>216</v>
      </c>
      <c r="AV48" s="438">
        <f t="shared" si="64"/>
        <v>517</v>
      </c>
      <c r="AW48" s="438">
        <f t="shared" si="64"/>
        <v>233</v>
      </c>
      <c r="AX48" s="438">
        <f t="shared" si="64"/>
        <v>119</v>
      </c>
      <c r="AY48" s="438">
        <f t="shared" si="64"/>
        <v>0</v>
      </c>
      <c r="AZ48" s="438">
        <f t="shared" si="64"/>
        <v>0</v>
      </c>
      <c r="BA48" s="438">
        <f t="shared" si="64"/>
        <v>165</v>
      </c>
      <c r="BB48" s="438">
        <f t="shared" si="64"/>
        <v>485</v>
      </c>
      <c r="BC48" s="438">
        <f t="shared" si="64"/>
        <v>246</v>
      </c>
      <c r="BD48" s="438">
        <f t="shared" si="64"/>
        <v>84</v>
      </c>
      <c r="BE48" s="438">
        <f t="shared" si="64"/>
        <v>0</v>
      </c>
      <c r="BF48" s="438">
        <f t="shared" si="64"/>
        <v>0</v>
      </c>
      <c r="BG48" s="438">
        <f t="shared" si="64"/>
        <v>155</v>
      </c>
      <c r="BH48" s="438">
        <f t="shared" si="64"/>
        <v>451</v>
      </c>
      <c r="BI48" s="438">
        <f t="shared" si="64"/>
        <v>242</v>
      </c>
      <c r="BJ48" s="438">
        <f t="shared" si="64"/>
        <v>11</v>
      </c>
      <c r="BK48" s="438">
        <f t="shared" si="64"/>
        <v>55</v>
      </c>
      <c r="BL48" s="438">
        <f t="shared" si="64"/>
        <v>0</v>
      </c>
      <c r="BM48" s="438">
        <f t="shared" si="64"/>
        <v>143</v>
      </c>
      <c r="BN48" s="438">
        <f>SUM(BN49+BN75+BN81+BN89+BN86)</f>
        <v>164</v>
      </c>
      <c r="BO48" s="438">
        <f t="shared" si="64"/>
        <v>72</v>
      </c>
      <c r="BP48" s="438">
        <f t="shared" si="64"/>
        <v>40</v>
      </c>
      <c r="BQ48" s="438">
        <f t="shared" si="64"/>
        <v>0</v>
      </c>
      <c r="BR48" s="438">
        <f t="shared" si="64"/>
        <v>0</v>
      </c>
      <c r="BS48" s="438">
        <f t="shared" si="64"/>
        <v>52</v>
      </c>
      <c r="BT48" s="438">
        <f t="shared" si="64"/>
        <v>795</v>
      </c>
      <c r="BU48" s="438">
        <f t="shared" si="64"/>
        <v>211</v>
      </c>
      <c r="BV48" s="438">
        <f t="shared" si="64"/>
        <v>296</v>
      </c>
      <c r="BW48" s="438">
        <f t="shared" si="64"/>
        <v>35</v>
      </c>
      <c r="BX48" s="438">
        <f t="shared" si="64"/>
        <v>0</v>
      </c>
      <c r="BY48" s="438">
        <f t="shared" si="64"/>
        <v>253</v>
      </c>
      <c r="BZ48" s="440"/>
      <c r="CA48" s="441"/>
    </row>
    <row r="49" spans="1:129" s="94" customFormat="1" ht="26.1" customHeight="1" x14ac:dyDescent="0.2">
      <c r="A49" s="443" t="s">
        <v>205</v>
      </c>
      <c r="B49" s="738" t="s">
        <v>615</v>
      </c>
      <c r="C49" s="676"/>
      <c r="D49" s="676"/>
      <c r="E49" s="676"/>
      <c r="F49" s="676"/>
      <c r="G49" s="676"/>
      <c r="H49" s="677"/>
      <c r="I49" s="444"/>
      <c r="J49" s="444"/>
      <c r="K49" s="380">
        <f t="shared" ref="K49:AL49" si="65">SUM(K50+K56+K63+K70)</f>
        <v>2856</v>
      </c>
      <c r="L49" s="380">
        <f t="shared" si="65"/>
        <v>1951</v>
      </c>
      <c r="M49" s="380">
        <f t="shared" si="65"/>
        <v>1349</v>
      </c>
      <c r="N49" s="380">
        <f t="shared" si="65"/>
        <v>534</v>
      </c>
      <c r="O49" s="380">
        <f t="shared" si="65"/>
        <v>68</v>
      </c>
      <c r="P49" s="380">
        <f t="shared" si="65"/>
        <v>0</v>
      </c>
      <c r="Q49" s="380">
        <f t="shared" si="65"/>
        <v>905</v>
      </c>
      <c r="R49" s="380">
        <f t="shared" si="65"/>
        <v>0</v>
      </c>
      <c r="S49" s="380">
        <f t="shared" si="65"/>
        <v>0</v>
      </c>
      <c r="T49" s="380">
        <f t="shared" si="65"/>
        <v>0</v>
      </c>
      <c r="U49" s="380">
        <f t="shared" si="65"/>
        <v>0</v>
      </c>
      <c r="V49" s="380">
        <f t="shared" si="65"/>
        <v>0</v>
      </c>
      <c r="W49" s="380">
        <f t="shared" si="65"/>
        <v>0</v>
      </c>
      <c r="X49" s="380">
        <f t="shared" si="65"/>
        <v>0</v>
      </c>
      <c r="Y49" s="380">
        <f t="shared" si="65"/>
        <v>0</v>
      </c>
      <c r="Z49" s="380">
        <f t="shared" si="65"/>
        <v>0</v>
      </c>
      <c r="AA49" s="380">
        <f t="shared" si="65"/>
        <v>0</v>
      </c>
      <c r="AB49" s="380">
        <f t="shared" si="65"/>
        <v>0</v>
      </c>
      <c r="AC49" s="380">
        <f t="shared" si="65"/>
        <v>0</v>
      </c>
      <c r="AD49" s="380">
        <f t="shared" si="65"/>
        <v>0</v>
      </c>
      <c r="AE49" s="380">
        <f t="shared" si="65"/>
        <v>0</v>
      </c>
      <c r="AF49" s="380">
        <f t="shared" si="65"/>
        <v>0</v>
      </c>
      <c r="AG49" s="380">
        <f t="shared" si="65"/>
        <v>0</v>
      </c>
      <c r="AH49" s="380">
        <f t="shared" si="65"/>
        <v>0</v>
      </c>
      <c r="AI49" s="380">
        <f t="shared" si="65"/>
        <v>0</v>
      </c>
      <c r="AJ49" s="380">
        <f t="shared" si="65"/>
        <v>330</v>
      </c>
      <c r="AK49" s="380">
        <f t="shared" si="65"/>
        <v>209</v>
      </c>
      <c r="AL49" s="380">
        <f t="shared" si="65"/>
        <v>22</v>
      </c>
      <c r="AM49" s="380">
        <f t="shared" ref="AM49:BM49" si="66">SUM(AM50+AM56+AM63+AM70)</f>
        <v>0</v>
      </c>
      <c r="AN49" s="380">
        <f t="shared" si="66"/>
        <v>0</v>
      </c>
      <c r="AO49" s="380">
        <f t="shared" si="66"/>
        <v>99</v>
      </c>
      <c r="AP49" s="380">
        <f t="shared" si="66"/>
        <v>630</v>
      </c>
      <c r="AQ49" s="380">
        <f t="shared" si="66"/>
        <v>338</v>
      </c>
      <c r="AR49" s="380">
        <f t="shared" si="66"/>
        <v>90</v>
      </c>
      <c r="AS49" s="380">
        <f t="shared" si="66"/>
        <v>0</v>
      </c>
      <c r="AT49" s="380">
        <f t="shared" si="66"/>
        <v>0</v>
      </c>
      <c r="AU49" s="380">
        <f t="shared" si="66"/>
        <v>202</v>
      </c>
      <c r="AV49" s="380">
        <f t="shared" si="66"/>
        <v>517</v>
      </c>
      <c r="AW49" s="380">
        <f t="shared" si="66"/>
        <v>233</v>
      </c>
      <c r="AX49" s="380">
        <f t="shared" si="66"/>
        <v>119</v>
      </c>
      <c r="AY49" s="380">
        <f t="shared" si="66"/>
        <v>0</v>
      </c>
      <c r="AZ49" s="380">
        <f t="shared" si="66"/>
        <v>0</v>
      </c>
      <c r="BA49" s="380">
        <f t="shared" si="66"/>
        <v>165</v>
      </c>
      <c r="BB49" s="380">
        <f t="shared" si="66"/>
        <v>389</v>
      </c>
      <c r="BC49" s="380">
        <f t="shared" si="66"/>
        <v>180</v>
      </c>
      <c r="BD49" s="380">
        <f t="shared" si="66"/>
        <v>84</v>
      </c>
      <c r="BE49" s="380">
        <f t="shared" si="66"/>
        <v>0</v>
      </c>
      <c r="BF49" s="380">
        <f t="shared" si="66"/>
        <v>0</v>
      </c>
      <c r="BG49" s="380">
        <f t="shared" si="66"/>
        <v>125</v>
      </c>
      <c r="BH49" s="380">
        <f t="shared" si="66"/>
        <v>319</v>
      </c>
      <c r="BI49" s="380">
        <f t="shared" si="66"/>
        <v>176</v>
      </c>
      <c r="BJ49" s="380">
        <f t="shared" si="66"/>
        <v>11</v>
      </c>
      <c r="BK49" s="380">
        <f t="shared" si="66"/>
        <v>33</v>
      </c>
      <c r="BL49" s="380">
        <f t="shared" si="66"/>
        <v>0</v>
      </c>
      <c r="BM49" s="380">
        <f t="shared" si="66"/>
        <v>99</v>
      </c>
      <c r="BN49" s="380">
        <f t="shared" ref="BN49:BY49" si="67">SUM(BN50+BN56+BN63+BN70)</f>
        <v>140</v>
      </c>
      <c r="BO49" s="380">
        <f t="shared" si="67"/>
        <v>56</v>
      </c>
      <c r="BP49" s="380">
        <f t="shared" si="67"/>
        <v>40</v>
      </c>
      <c r="BQ49" s="380">
        <f t="shared" si="67"/>
        <v>0</v>
      </c>
      <c r="BR49" s="380">
        <f t="shared" si="67"/>
        <v>0</v>
      </c>
      <c r="BS49" s="380">
        <f t="shared" si="67"/>
        <v>44</v>
      </c>
      <c r="BT49" s="380">
        <f t="shared" si="67"/>
        <v>531</v>
      </c>
      <c r="BU49" s="380">
        <f t="shared" si="67"/>
        <v>157</v>
      </c>
      <c r="BV49" s="380">
        <f t="shared" si="67"/>
        <v>168</v>
      </c>
      <c r="BW49" s="380">
        <f t="shared" si="67"/>
        <v>35</v>
      </c>
      <c r="BX49" s="380">
        <f t="shared" si="67"/>
        <v>0</v>
      </c>
      <c r="BY49" s="380">
        <f t="shared" si="67"/>
        <v>171</v>
      </c>
      <c r="BZ49" s="445"/>
      <c r="CA49" s="550" t="s">
        <v>626</v>
      </c>
      <c r="CB49" s="444" t="s">
        <v>648</v>
      </c>
      <c r="CC49" s="444" t="s">
        <v>649</v>
      </c>
      <c r="CD49" s="444" t="s">
        <v>650</v>
      </c>
      <c r="CE49" s="444" t="s">
        <v>651</v>
      </c>
      <c r="CF49" s="444" t="s">
        <v>652</v>
      </c>
    </row>
    <row r="50" spans="1:129" s="90" customFormat="1" ht="26.1" customHeight="1" x14ac:dyDescent="0.2">
      <c r="A50" s="449" t="s">
        <v>379</v>
      </c>
      <c r="B50" s="678" t="s">
        <v>344</v>
      </c>
      <c r="C50" s="679"/>
      <c r="D50" s="679"/>
      <c r="E50" s="679"/>
      <c r="F50" s="679"/>
      <c r="G50" s="679"/>
      <c r="H50" s="680"/>
      <c r="I50" s="450"/>
      <c r="J50" s="450"/>
      <c r="K50" s="451">
        <f t="shared" ref="K50" si="68">SUM(K51:K55)</f>
        <v>726</v>
      </c>
      <c r="L50" s="451">
        <f t="shared" ref="L50" si="69">SUM(L51:L55)</f>
        <v>484</v>
      </c>
      <c r="M50" s="451">
        <f t="shared" ref="M50" si="70">SUM(M51:M55)</f>
        <v>376</v>
      </c>
      <c r="N50" s="451">
        <f t="shared" ref="N50" si="71">SUM(N51:N55)</f>
        <v>73</v>
      </c>
      <c r="O50" s="451">
        <f t="shared" ref="O50" si="72">SUM(O51:O55)</f>
        <v>35</v>
      </c>
      <c r="P50" s="451">
        <f t="shared" ref="P50" si="73">SUM(P51:P55)</f>
        <v>0</v>
      </c>
      <c r="Q50" s="451">
        <f t="shared" ref="Q50" si="74">SUM(Q51:Q55)</f>
        <v>242</v>
      </c>
      <c r="R50" s="451">
        <f t="shared" ref="R50" si="75">SUM(R51:R55)</f>
        <v>0</v>
      </c>
      <c r="S50" s="451">
        <f t="shared" ref="S50" si="76">SUM(S51:S55)</f>
        <v>0</v>
      </c>
      <c r="T50" s="451">
        <f t="shared" ref="T50" si="77">SUM(T51:T55)</f>
        <v>0</v>
      </c>
      <c r="U50" s="451">
        <f t="shared" ref="U50" si="78">SUM(U51:U55)</f>
        <v>0</v>
      </c>
      <c r="V50" s="451">
        <f t="shared" ref="V50" si="79">SUM(V51:V55)</f>
        <v>0</v>
      </c>
      <c r="W50" s="451">
        <f t="shared" ref="W50" si="80">SUM(W51:W55)</f>
        <v>0</v>
      </c>
      <c r="X50" s="451">
        <f t="shared" ref="X50" si="81">SUM(X51:X55)</f>
        <v>0</v>
      </c>
      <c r="Y50" s="451">
        <f t="shared" ref="Y50" si="82">SUM(Y51:Y55)</f>
        <v>0</v>
      </c>
      <c r="Z50" s="451">
        <f t="shared" ref="Z50" si="83">SUM(Z51:Z55)</f>
        <v>0</v>
      </c>
      <c r="AA50" s="451">
        <f t="shared" ref="AA50" si="84">SUM(AA51:AA55)</f>
        <v>0</v>
      </c>
      <c r="AB50" s="451">
        <f t="shared" ref="AB50" si="85">SUM(AB51:AB55)</f>
        <v>0</v>
      </c>
      <c r="AC50" s="451">
        <f t="shared" ref="AC50" si="86">SUM(AC51:AC55)</f>
        <v>0</v>
      </c>
      <c r="AD50" s="451">
        <f t="shared" ref="AD50" si="87">SUM(AD51:AD55)</f>
        <v>0</v>
      </c>
      <c r="AE50" s="451">
        <f t="shared" ref="AE50" si="88">SUM(AE51:AE55)</f>
        <v>0</v>
      </c>
      <c r="AF50" s="451">
        <f t="shared" ref="AF50" si="89">SUM(AF51:AF55)</f>
        <v>0</v>
      </c>
      <c r="AG50" s="451">
        <f t="shared" ref="AG50" si="90">SUM(AG51:AG55)</f>
        <v>0</v>
      </c>
      <c r="AH50" s="451">
        <f t="shared" ref="AH50" si="91">SUM(AH51:AH55)</f>
        <v>0</v>
      </c>
      <c r="AI50" s="451">
        <f t="shared" ref="AI50" si="92">SUM(AI51:AI55)</f>
        <v>0</v>
      </c>
      <c r="AJ50" s="451">
        <f t="shared" ref="AJ50" si="93">SUM(AJ51:AJ55)</f>
        <v>48</v>
      </c>
      <c r="AK50" s="451">
        <f t="shared" ref="AK50" si="94">SUM(AK51:AK55)</f>
        <v>28</v>
      </c>
      <c r="AL50" s="451">
        <f t="shared" ref="AL50" si="95">SUM(AL51:AL55)</f>
        <v>6</v>
      </c>
      <c r="AM50" s="451">
        <f t="shared" ref="AM50" si="96">SUM(AM51:AM55)</f>
        <v>0</v>
      </c>
      <c r="AN50" s="451">
        <f t="shared" ref="AN50" si="97">SUM(AN51:AN55)</f>
        <v>0</v>
      </c>
      <c r="AO50" s="451">
        <f t="shared" ref="AO50" si="98">SUM(AO51:AO55)</f>
        <v>14</v>
      </c>
      <c r="AP50" s="451">
        <f t="shared" ref="AP50" si="99">SUM(AP51:AP55)</f>
        <v>122</v>
      </c>
      <c r="AQ50" s="451">
        <f t="shared" ref="AQ50" si="100">SUM(AQ51:AQ55)</f>
        <v>60</v>
      </c>
      <c r="AR50" s="451">
        <f t="shared" ref="AR50" si="101">SUM(AR51:AR55)</f>
        <v>16</v>
      </c>
      <c r="AS50" s="451">
        <f t="shared" ref="AS50" si="102">SUM(AS51:AS55)</f>
        <v>0</v>
      </c>
      <c r="AT50" s="451">
        <f t="shared" ref="AT50" si="103">SUM(AT51:AT55)</f>
        <v>0</v>
      </c>
      <c r="AU50" s="451">
        <f t="shared" ref="AU50" si="104">SUM(AU51:AU55)</f>
        <v>46</v>
      </c>
      <c r="AV50" s="451">
        <f t="shared" ref="AV50" si="105">SUM(AV51:AV55)</f>
        <v>99</v>
      </c>
      <c r="AW50" s="451">
        <f t="shared" ref="AW50" si="106">SUM(AW51:AW55)</f>
        <v>55</v>
      </c>
      <c r="AX50" s="451">
        <f t="shared" ref="AX50" si="107">SUM(AX51:AX55)</f>
        <v>11</v>
      </c>
      <c r="AY50" s="451">
        <f t="shared" ref="AY50" si="108">SUM(AY51:AY55)</f>
        <v>0</v>
      </c>
      <c r="AZ50" s="451">
        <f t="shared" ref="AZ50" si="109">SUM(AZ51:AZ55)</f>
        <v>0</v>
      </c>
      <c r="BA50" s="451">
        <f t="shared" ref="BA50" si="110">SUM(BA51:BA55)</f>
        <v>33</v>
      </c>
      <c r="BB50" s="451">
        <f t="shared" ref="BB50" si="111">SUM(BB51:BB55)</f>
        <v>198</v>
      </c>
      <c r="BC50" s="451">
        <f t="shared" ref="BC50" si="112">SUM(BC51:BC55)</f>
        <v>92</v>
      </c>
      <c r="BD50" s="451">
        <f t="shared" ref="BD50" si="113">SUM(BD51:BD55)</f>
        <v>40</v>
      </c>
      <c r="BE50" s="451">
        <f t="shared" ref="BE50" si="114">SUM(BE51:BE55)</f>
        <v>0</v>
      </c>
      <c r="BF50" s="451">
        <f t="shared" ref="BF50" si="115">SUM(BF51:BF55)</f>
        <v>0</v>
      </c>
      <c r="BG50" s="451">
        <f t="shared" ref="BG50" si="116">SUM(BG51:BG55)</f>
        <v>66</v>
      </c>
      <c r="BH50" s="451">
        <f t="shared" ref="BH50" si="117">SUM(BH51:BH55)</f>
        <v>129</v>
      </c>
      <c r="BI50" s="451">
        <f t="shared" ref="BI50" si="118">SUM(BI51:BI55)</f>
        <v>88</v>
      </c>
      <c r="BJ50" s="451">
        <f t="shared" ref="BJ50" si="119">SUM(BJ51:BJ55)</f>
        <v>0</v>
      </c>
      <c r="BK50" s="451">
        <f t="shared" ref="BK50" si="120">SUM(BK51:BK55)</f>
        <v>0</v>
      </c>
      <c r="BL50" s="451">
        <f t="shared" ref="BL50" si="121">SUM(BL51:BL55)</f>
        <v>0</v>
      </c>
      <c r="BM50" s="451">
        <f t="shared" ref="BM50" si="122">SUM(BM51:BM55)</f>
        <v>41</v>
      </c>
      <c r="BN50" s="451">
        <f t="shared" ref="BN50" si="123">SUM(BN51:BN55)</f>
        <v>24</v>
      </c>
      <c r="BO50" s="451">
        <f>SUM(BO51:BO55)</f>
        <v>16</v>
      </c>
      <c r="BP50" s="451">
        <f t="shared" ref="BP50" si="124">SUM(BP51:BP55)</f>
        <v>0</v>
      </c>
      <c r="BQ50" s="451">
        <f t="shared" ref="BQ50" si="125">SUM(BQ51:BQ55)</f>
        <v>0</v>
      </c>
      <c r="BR50" s="451">
        <f t="shared" ref="BR50" si="126">SUM(BR51:BR55)</f>
        <v>0</v>
      </c>
      <c r="BS50" s="451">
        <f t="shared" ref="BS50" si="127">SUM(BS51:BS55)</f>
        <v>8</v>
      </c>
      <c r="BT50" s="451">
        <f t="shared" ref="BT50" si="128">SUM(BT51:BT55)</f>
        <v>106</v>
      </c>
      <c r="BU50" s="451">
        <f>SUM(BU51:BU55)</f>
        <v>37</v>
      </c>
      <c r="BV50" s="451">
        <f t="shared" ref="BV50" si="129">SUM(BV51:BV55)</f>
        <v>0</v>
      </c>
      <c r="BW50" s="451">
        <f t="shared" ref="BW50" si="130">SUM(BW51:BW55)</f>
        <v>35</v>
      </c>
      <c r="BX50" s="451">
        <f t="shared" ref="BX50" si="131">SUM(BX51:BX55)</f>
        <v>0</v>
      </c>
      <c r="BY50" s="451">
        <f t="shared" ref="BY50" si="132">SUM(BY51:BY55)</f>
        <v>34</v>
      </c>
      <c r="BZ50" s="452"/>
      <c r="CA50" s="553"/>
    </row>
    <row r="51" spans="1:129" s="95" customFormat="1" ht="26.1" customHeight="1" x14ac:dyDescent="0.2">
      <c r="A51" s="395"/>
      <c r="B51" s="201" t="s">
        <v>345</v>
      </c>
      <c r="C51" s="201"/>
      <c r="D51" s="363"/>
      <c r="E51" s="363" t="s">
        <v>596</v>
      </c>
      <c r="F51" s="363"/>
      <c r="G51" s="363" t="s">
        <v>416</v>
      </c>
      <c r="H51" s="363" t="s">
        <v>597</v>
      </c>
      <c r="I51" s="177"/>
      <c r="J51" s="177"/>
      <c r="K51" s="376">
        <f>L51+SUM(Q51:Q51)</f>
        <v>312</v>
      </c>
      <c r="L51" s="376">
        <f>SUM(M51:P51)</f>
        <v>204</v>
      </c>
      <c r="M51" s="376">
        <f t="shared" ref="M51:Q55" si="133">S51+Y51+AE51+AK51+AQ51+AW51+BC51+BI51+BO51+BU51</f>
        <v>169</v>
      </c>
      <c r="N51" s="376">
        <f t="shared" si="133"/>
        <v>0</v>
      </c>
      <c r="O51" s="376">
        <f t="shared" si="133"/>
        <v>35</v>
      </c>
      <c r="P51" s="376">
        <f t="shared" si="133"/>
        <v>0</v>
      </c>
      <c r="Q51" s="376">
        <f t="shared" si="133"/>
        <v>108</v>
      </c>
      <c r="R51" s="367">
        <f>SUM(S51:W51)</f>
        <v>0</v>
      </c>
      <c r="S51" s="177"/>
      <c r="T51" s="177"/>
      <c r="U51" s="177"/>
      <c r="V51" s="177"/>
      <c r="W51" s="177"/>
      <c r="X51" s="367">
        <f>SUM(Y51:AC51)</f>
        <v>0</v>
      </c>
      <c r="Y51" s="177"/>
      <c r="Z51" s="177"/>
      <c r="AA51" s="177"/>
      <c r="AB51" s="177"/>
      <c r="AC51" s="177"/>
      <c r="AD51" s="367">
        <f>SUM(AE51:AI51)</f>
        <v>0</v>
      </c>
      <c r="AE51" s="177"/>
      <c r="AF51" s="177"/>
      <c r="AG51" s="177"/>
      <c r="AH51" s="177"/>
      <c r="AI51" s="177"/>
      <c r="AJ51" s="367">
        <f>SUM(AK51:AO51)</f>
        <v>0</v>
      </c>
      <c r="AK51" s="177"/>
      <c r="AL51" s="177"/>
      <c r="AM51" s="177"/>
      <c r="AN51" s="177"/>
      <c r="AO51" s="177"/>
      <c r="AP51" s="367">
        <f>SUM(AQ51:AU51)</f>
        <v>50</v>
      </c>
      <c r="AQ51" s="177">
        <v>28</v>
      </c>
      <c r="AR51" s="177"/>
      <c r="AS51" s="177"/>
      <c r="AT51" s="177"/>
      <c r="AU51" s="177">
        <v>22</v>
      </c>
      <c r="AV51" s="367">
        <f>SUM(AW51:BA51)</f>
        <v>33</v>
      </c>
      <c r="AW51" s="177">
        <v>22</v>
      </c>
      <c r="AX51" s="177"/>
      <c r="AY51" s="177"/>
      <c r="AZ51" s="177"/>
      <c r="BA51" s="177">
        <v>11</v>
      </c>
      <c r="BB51" s="367">
        <f>SUM(BC51:BG51)</f>
        <v>66</v>
      </c>
      <c r="BC51" s="177">
        <v>44</v>
      </c>
      <c r="BD51" s="177"/>
      <c r="BE51" s="177"/>
      <c r="BF51" s="177"/>
      <c r="BG51" s="177">
        <v>22</v>
      </c>
      <c r="BH51" s="367">
        <f>SUM(BI51:BM51)</f>
        <v>33</v>
      </c>
      <c r="BI51" s="177">
        <v>22</v>
      </c>
      <c r="BJ51" s="177"/>
      <c r="BK51" s="177"/>
      <c r="BL51" s="177"/>
      <c r="BM51" s="177">
        <v>11</v>
      </c>
      <c r="BN51" s="367">
        <f>SUM(BO51:BS51)</f>
        <v>24</v>
      </c>
      <c r="BO51" s="177">
        <v>16</v>
      </c>
      <c r="BP51" s="177"/>
      <c r="BQ51" s="177"/>
      <c r="BR51" s="177"/>
      <c r="BS51" s="177">
        <v>8</v>
      </c>
      <c r="BT51" s="367">
        <f>SUM(BU51:BY51)</f>
        <v>106</v>
      </c>
      <c r="BU51" s="177">
        <v>37</v>
      </c>
      <c r="BV51" s="177"/>
      <c r="BW51" s="177">
        <v>35</v>
      </c>
      <c r="BX51" s="177"/>
      <c r="BY51" s="177">
        <v>34</v>
      </c>
      <c r="BZ51" s="363" t="s">
        <v>506</v>
      </c>
      <c r="CA51" s="177" t="s">
        <v>448</v>
      </c>
    </row>
    <row r="52" spans="1:129" s="95" customFormat="1" ht="26.1" customHeight="1" x14ac:dyDescent="0.2">
      <c r="A52" s="395"/>
      <c r="B52" s="364" t="s">
        <v>406</v>
      </c>
      <c r="C52" s="201"/>
      <c r="D52" s="396"/>
      <c r="E52" s="396" t="s">
        <v>41</v>
      </c>
      <c r="F52" s="396"/>
      <c r="G52" s="363"/>
      <c r="H52" s="363" t="s">
        <v>40</v>
      </c>
      <c r="I52" s="177"/>
      <c r="J52" s="177"/>
      <c r="K52" s="376">
        <f>L52+SUM(Q52:Q52)</f>
        <v>120</v>
      </c>
      <c r="L52" s="376">
        <f>SUM(M52:P52)</f>
        <v>82</v>
      </c>
      <c r="M52" s="376">
        <f t="shared" si="133"/>
        <v>60</v>
      </c>
      <c r="N52" s="376">
        <f t="shared" si="133"/>
        <v>22</v>
      </c>
      <c r="O52" s="376">
        <f t="shared" si="133"/>
        <v>0</v>
      </c>
      <c r="P52" s="376">
        <f t="shared" si="133"/>
        <v>0</v>
      </c>
      <c r="Q52" s="376">
        <f t="shared" si="133"/>
        <v>38</v>
      </c>
      <c r="R52" s="367">
        <f>SUM(S52:W52)</f>
        <v>0</v>
      </c>
      <c r="S52" s="177"/>
      <c r="T52" s="177"/>
      <c r="U52" s="177"/>
      <c r="V52" s="177"/>
      <c r="W52" s="177"/>
      <c r="X52" s="367"/>
      <c r="Y52" s="177"/>
      <c r="Z52" s="177"/>
      <c r="AA52" s="177"/>
      <c r="AB52" s="177"/>
      <c r="AC52" s="177"/>
      <c r="AD52" s="367"/>
      <c r="AE52" s="177"/>
      <c r="AF52" s="177"/>
      <c r="AG52" s="177"/>
      <c r="AH52" s="177"/>
      <c r="AI52" s="177"/>
      <c r="AJ52" s="367">
        <f>SUM(AK52:AO52)</f>
        <v>48</v>
      </c>
      <c r="AK52" s="177">
        <v>28</v>
      </c>
      <c r="AL52" s="177">
        <v>6</v>
      </c>
      <c r="AM52" s="177"/>
      <c r="AN52" s="177"/>
      <c r="AO52" s="177">
        <v>14</v>
      </c>
      <c r="AP52" s="367">
        <f>SUM(AQ52:AU52)</f>
        <v>72</v>
      </c>
      <c r="AQ52" s="177">
        <v>32</v>
      </c>
      <c r="AR52" s="177">
        <v>16</v>
      </c>
      <c r="AS52" s="177"/>
      <c r="AT52" s="177"/>
      <c r="AU52" s="177">
        <v>24</v>
      </c>
      <c r="AV52" s="367"/>
      <c r="AW52" s="177"/>
      <c r="AX52" s="177"/>
      <c r="AY52" s="177"/>
      <c r="AZ52" s="177"/>
      <c r="BA52" s="177"/>
      <c r="BB52" s="367">
        <f t="shared" ref="BB52:BB55" si="134">SUM(BC52:BG52)</f>
        <v>0</v>
      </c>
      <c r="BC52" s="177"/>
      <c r="BD52" s="177"/>
      <c r="BE52" s="177"/>
      <c r="BF52" s="177"/>
      <c r="BG52" s="177"/>
      <c r="BH52" s="367"/>
      <c r="BI52" s="177"/>
      <c r="BJ52" s="177"/>
      <c r="BK52" s="177"/>
      <c r="BL52" s="177"/>
      <c r="BM52" s="177"/>
      <c r="BN52" s="367"/>
      <c r="BO52" s="177"/>
      <c r="BP52" s="177"/>
      <c r="BQ52" s="177"/>
      <c r="BR52" s="177"/>
      <c r="BS52" s="177"/>
      <c r="BT52" s="367"/>
      <c r="BU52" s="177"/>
      <c r="BV52" s="177"/>
      <c r="BW52" s="177"/>
      <c r="BX52" s="177"/>
      <c r="BY52" s="177"/>
      <c r="BZ52" s="363" t="s">
        <v>506</v>
      </c>
      <c r="CA52" s="177" t="s">
        <v>448</v>
      </c>
    </row>
    <row r="53" spans="1:129" s="95" customFormat="1" ht="26.1" customHeight="1" x14ac:dyDescent="0.2">
      <c r="A53" s="395"/>
      <c r="B53" s="377" t="s">
        <v>323</v>
      </c>
      <c r="C53" s="201"/>
      <c r="D53" s="363"/>
      <c r="E53" s="363" t="s">
        <v>38</v>
      </c>
      <c r="F53" s="363"/>
      <c r="G53" s="363"/>
      <c r="H53" s="363" t="s">
        <v>579</v>
      </c>
      <c r="I53" s="177"/>
      <c r="J53" s="177"/>
      <c r="K53" s="376">
        <f>L53+SUM(Q53:Q53)</f>
        <v>98</v>
      </c>
      <c r="L53" s="376">
        <f>SUM(M53:P53)</f>
        <v>66</v>
      </c>
      <c r="M53" s="376">
        <f t="shared" si="133"/>
        <v>66</v>
      </c>
      <c r="N53" s="376">
        <f t="shared" si="133"/>
        <v>0</v>
      </c>
      <c r="O53" s="376">
        <f t="shared" si="133"/>
        <v>0</v>
      </c>
      <c r="P53" s="376">
        <f t="shared" si="133"/>
        <v>0</v>
      </c>
      <c r="Q53" s="376">
        <f t="shared" si="133"/>
        <v>32</v>
      </c>
      <c r="R53" s="367">
        <f>SUM(S53:W53)</f>
        <v>0</v>
      </c>
      <c r="S53" s="177"/>
      <c r="T53" s="177"/>
      <c r="U53" s="177"/>
      <c r="V53" s="177"/>
      <c r="W53" s="177"/>
      <c r="X53" s="367"/>
      <c r="Y53" s="177"/>
      <c r="Z53" s="177"/>
      <c r="AA53" s="177"/>
      <c r="AB53" s="177"/>
      <c r="AC53" s="177"/>
      <c r="AD53" s="367">
        <f>SUM(AE53:AI53)</f>
        <v>0</v>
      </c>
      <c r="AE53" s="177"/>
      <c r="AF53" s="177"/>
      <c r="AG53" s="177"/>
      <c r="AH53" s="177"/>
      <c r="AI53" s="177"/>
      <c r="AJ53" s="367">
        <f>SUM(AK53:AO53)</f>
        <v>0</v>
      </c>
      <c r="AK53" s="177"/>
      <c r="AL53" s="177"/>
      <c r="AM53" s="177"/>
      <c r="AN53" s="177"/>
      <c r="AO53" s="177"/>
      <c r="AP53" s="367">
        <f>SUM(AQ53:AU53)</f>
        <v>0</v>
      </c>
      <c r="AQ53" s="177"/>
      <c r="AR53" s="177"/>
      <c r="AS53" s="177"/>
      <c r="AT53" s="177"/>
      <c r="AU53" s="177"/>
      <c r="AV53" s="367">
        <f>SUM(AW53:BA53)</f>
        <v>33</v>
      </c>
      <c r="AW53" s="177">
        <v>22</v>
      </c>
      <c r="AX53" s="177"/>
      <c r="AY53" s="177"/>
      <c r="AZ53" s="177"/>
      <c r="BA53" s="177">
        <v>11</v>
      </c>
      <c r="BB53" s="367">
        <f t="shared" si="134"/>
        <v>33</v>
      </c>
      <c r="BC53" s="177">
        <v>22</v>
      </c>
      <c r="BD53" s="177"/>
      <c r="BE53" s="177"/>
      <c r="BF53" s="177"/>
      <c r="BG53" s="177">
        <v>11</v>
      </c>
      <c r="BH53" s="367">
        <f>SUM(BI53:BM53)</f>
        <v>32</v>
      </c>
      <c r="BI53" s="177">
        <v>22</v>
      </c>
      <c r="BJ53" s="177"/>
      <c r="BK53" s="177"/>
      <c r="BL53" s="177"/>
      <c r="BM53" s="177">
        <v>10</v>
      </c>
      <c r="BN53" s="367"/>
      <c r="BO53" s="177"/>
      <c r="BP53" s="177"/>
      <c r="BQ53" s="177"/>
      <c r="BR53" s="177"/>
      <c r="BS53" s="177"/>
      <c r="BT53" s="367"/>
      <c r="BU53" s="177"/>
      <c r="BV53" s="177"/>
      <c r="BW53" s="177"/>
      <c r="BX53" s="177"/>
      <c r="BY53" s="177"/>
      <c r="BZ53" s="363" t="s">
        <v>506</v>
      </c>
      <c r="CA53" s="177" t="s">
        <v>448</v>
      </c>
    </row>
    <row r="54" spans="1:129" s="95" customFormat="1" ht="26.1" customHeight="1" x14ac:dyDescent="0.2">
      <c r="A54" s="395"/>
      <c r="B54" s="201" t="s">
        <v>324</v>
      </c>
      <c r="C54" s="201"/>
      <c r="D54" s="363" t="s">
        <v>38</v>
      </c>
      <c r="E54" s="363"/>
      <c r="F54" s="363"/>
      <c r="G54" s="363"/>
      <c r="H54" s="363" t="s">
        <v>579</v>
      </c>
      <c r="I54" s="177"/>
      <c r="J54" s="177"/>
      <c r="K54" s="376">
        <f>L54+SUM(Q54:Q54)</f>
        <v>130</v>
      </c>
      <c r="L54" s="376">
        <f>SUM(M54:P54)</f>
        <v>88</v>
      </c>
      <c r="M54" s="376">
        <f t="shared" si="133"/>
        <v>77</v>
      </c>
      <c r="N54" s="376">
        <f t="shared" si="133"/>
        <v>11</v>
      </c>
      <c r="O54" s="376">
        <f t="shared" si="133"/>
        <v>0</v>
      </c>
      <c r="P54" s="376">
        <f t="shared" si="133"/>
        <v>0</v>
      </c>
      <c r="Q54" s="376">
        <f t="shared" si="133"/>
        <v>42</v>
      </c>
      <c r="R54" s="367">
        <f>SUM(S54:W54)</f>
        <v>0</v>
      </c>
      <c r="S54" s="177"/>
      <c r="T54" s="177"/>
      <c r="U54" s="177"/>
      <c r="V54" s="177"/>
      <c r="W54" s="177"/>
      <c r="X54" s="367">
        <f>SUM(Y54:AC54)</f>
        <v>0</v>
      </c>
      <c r="Y54" s="177"/>
      <c r="Z54" s="177"/>
      <c r="AA54" s="177"/>
      <c r="AB54" s="177"/>
      <c r="AC54" s="177"/>
      <c r="AD54" s="367">
        <f>SUM(AE54:AI54)</f>
        <v>0</v>
      </c>
      <c r="AE54" s="177"/>
      <c r="AF54" s="177"/>
      <c r="AG54" s="177"/>
      <c r="AH54" s="177"/>
      <c r="AI54" s="177"/>
      <c r="AJ54" s="367">
        <f>SUM(AK54:AO54)</f>
        <v>0</v>
      </c>
      <c r="AK54" s="177"/>
      <c r="AL54" s="177"/>
      <c r="AM54" s="177"/>
      <c r="AN54" s="177"/>
      <c r="AO54" s="177"/>
      <c r="AP54" s="367">
        <f>SUM(AQ54:AU54)</f>
        <v>0</v>
      </c>
      <c r="AQ54" s="177"/>
      <c r="AR54" s="177"/>
      <c r="AS54" s="177"/>
      <c r="AT54" s="177"/>
      <c r="AU54" s="177"/>
      <c r="AV54" s="367">
        <f>SUM(AW54:BA54)</f>
        <v>33</v>
      </c>
      <c r="AW54" s="177">
        <v>11</v>
      </c>
      <c r="AX54" s="177">
        <v>11</v>
      </c>
      <c r="AY54" s="177"/>
      <c r="AZ54" s="177"/>
      <c r="BA54" s="177">
        <v>11</v>
      </c>
      <c r="BB54" s="367">
        <f t="shared" si="134"/>
        <v>33</v>
      </c>
      <c r="BC54" s="177">
        <v>22</v>
      </c>
      <c r="BD54" s="177"/>
      <c r="BE54" s="177"/>
      <c r="BF54" s="177"/>
      <c r="BG54" s="177">
        <v>11</v>
      </c>
      <c r="BH54" s="367">
        <f>SUM(BI54:BM54)</f>
        <v>64</v>
      </c>
      <c r="BI54" s="177">
        <v>44</v>
      </c>
      <c r="BJ54" s="177"/>
      <c r="BK54" s="177"/>
      <c r="BL54" s="177"/>
      <c r="BM54" s="177">
        <v>20</v>
      </c>
      <c r="BN54" s="367">
        <f>SUM(BO54:BS54)</f>
        <v>0</v>
      </c>
      <c r="BO54" s="177"/>
      <c r="BP54" s="177"/>
      <c r="BQ54" s="177"/>
      <c r="BR54" s="177"/>
      <c r="BS54" s="177"/>
      <c r="BT54" s="367">
        <f>SUM(BU54:BY54)</f>
        <v>0</v>
      </c>
      <c r="BU54" s="177"/>
      <c r="BV54" s="177"/>
      <c r="BW54" s="177"/>
      <c r="BX54" s="177"/>
      <c r="BY54" s="177"/>
      <c r="BZ54" s="363" t="s">
        <v>506</v>
      </c>
      <c r="CA54" s="177" t="s">
        <v>448</v>
      </c>
    </row>
    <row r="55" spans="1:129" s="95" customFormat="1" ht="26.1" customHeight="1" x14ac:dyDescent="0.2">
      <c r="A55" s="395"/>
      <c r="B55" s="201" t="s">
        <v>453</v>
      </c>
      <c r="C55" s="201" t="s">
        <v>565</v>
      </c>
      <c r="D55" s="363"/>
      <c r="E55" s="363"/>
      <c r="F55" s="531" t="s">
        <v>43</v>
      </c>
      <c r="G55" s="363"/>
      <c r="H55" s="363"/>
      <c r="I55" s="177"/>
      <c r="J55" s="177"/>
      <c r="K55" s="376">
        <f>L55+SUM(Q55:Q55)</f>
        <v>66</v>
      </c>
      <c r="L55" s="376">
        <f>SUM(M55:P55)</f>
        <v>44</v>
      </c>
      <c r="M55" s="376">
        <f t="shared" si="133"/>
        <v>4</v>
      </c>
      <c r="N55" s="376">
        <f t="shared" si="133"/>
        <v>40</v>
      </c>
      <c r="O55" s="376">
        <f t="shared" si="133"/>
        <v>0</v>
      </c>
      <c r="P55" s="376">
        <f t="shared" si="133"/>
        <v>0</v>
      </c>
      <c r="Q55" s="376">
        <f t="shared" si="133"/>
        <v>22</v>
      </c>
      <c r="R55" s="367"/>
      <c r="S55" s="177"/>
      <c r="T55" s="177"/>
      <c r="U55" s="177"/>
      <c r="V55" s="177"/>
      <c r="W55" s="177"/>
      <c r="X55" s="367"/>
      <c r="Y55" s="177"/>
      <c r="Z55" s="177"/>
      <c r="AA55" s="177"/>
      <c r="AB55" s="177"/>
      <c r="AC55" s="177"/>
      <c r="AD55" s="367"/>
      <c r="AE55" s="177"/>
      <c r="AF55" s="177"/>
      <c r="AG55" s="177"/>
      <c r="AH55" s="177"/>
      <c r="AI55" s="177"/>
      <c r="AJ55" s="367"/>
      <c r="AK55" s="177"/>
      <c r="AL55" s="177"/>
      <c r="AM55" s="177"/>
      <c r="AN55" s="177"/>
      <c r="AO55" s="177"/>
      <c r="AP55" s="367"/>
      <c r="AQ55" s="177"/>
      <c r="AR55" s="177"/>
      <c r="AS55" s="177"/>
      <c r="AT55" s="177"/>
      <c r="AU55" s="177"/>
      <c r="AV55" s="367">
        <f>SUM(AW55:BA55)</f>
        <v>0</v>
      </c>
      <c r="AW55" s="179"/>
      <c r="AX55" s="179"/>
      <c r="AY55" s="177"/>
      <c r="AZ55" s="177"/>
      <c r="BA55" s="177"/>
      <c r="BB55" s="367">
        <f t="shared" si="134"/>
        <v>66</v>
      </c>
      <c r="BC55" s="177">
        <v>4</v>
      </c>
      <c r="BD55" s="177">
        <v>40</v>
      </c>
      <c r="BE55" s="177"/>
      <c r="BF55" s="177"/>
      <c r="BG55" s="177">
        <v>22</v>
      </c>
      <c r="BH55" s="367"/>
      <c r="BI55" s="177"/>
      <c r="BJ55" s="177"/>
      <c r="BK55" s="177"/>
      <c r="BL55" s="177"/>
      <c r="BM55" s="177"/>
      <c r="BN55" s="367"/>
      <c r="BO55" s="177"/>
      <c r="BP55" s="177"/>
      <c r="BQ55" s="177"/>
      <c r="BR55" s="177"/>
      <c r="BS55" s="177"/>
      <c r="BT55" s="367"/>
      <c r="BU55" s="177"/>
      <c r="BV55" s="177"/>
      <c r="BW55" s="177"/>
      <c r="BX55" s="177"/>
      <c r="BY55" s="177"/>
      <c r="BZ55" s="363" t="s">
        <v>506</v>
      </c>
      <c r="CA55" s="547" t="s">
        <v>653</v>
      </c>
    </row>
    <row r="56" spans="1:129" s="95" customFormat="1" ht="26.1" customHeight="1" x14ac:dyDescent="0.2">
      <c r="A56" s="449" t="s">
        <v>380</v>
      </c>
      <c r="B56" s="678" t="s">
        <v>346</v>
      </c>
      <c r="C56" s="679"/>
      <c r="D56" s="679"/>
      <c r="E56" s="679"/>
      <c r="F56" s="679"/>
      <c r="G56" s="679"/>
      <c r="H56" s="680"/>
      <c r="I56" s="450"/>
      <c r="J56" s="450"/>
      <c r="K56" s="451">
        <f t="shared" ref="K56:Q56" si="135">SUM(K57:K62)</f>
        <v>700</v>
      </c>
      <c r="L56" s="451">
        <f t="shared" si="135"/>
        <v>481</v>
      </c>
      <c r="M56" s="451">
        <f t="shared" si="135"/>
        <v>268</v>
      </c>
      <c r="N56" s="451">
        <f t="shared" si="135"/>
        <v>213</v>
      </c>
      <c r="O56" s="451">
        <f t="shared" si="135"/>
        <v>0</v>
      </c>
      <c r="P56" s="451">
        <f t="shared" si="135"/>
        <v>0</v>
      </c>
      <c r="Q56" s="451">
        <f t="shared" si="135"/>
        <v>219</v>
      </c>
      <c r="R56" s="451">
        <f t="shared" ref="R56:W56" si="136">SUM(R57:R62)</f>
        <v>0</v>
      </c>
      <c r="S56" s="451">
        <f t="shared" si="136"/>
        <v>0</v>
      </c>
      <c r="T56" s="451">
        <f t="shared" si="136"/>
        <v>0</v>
      </c>
      <c r="U56" s="451">
        <f t="shared" si="136"/>
        <v>0</v>
      </c>
      <c r="V56" s="451">
        <f t="shared" si="136"/>
        <v>0</v>
      </c>
      <c r="W56" s="451">
        <f t="shared" si="136"/>
        <v>0</v>
      </c>
      <c r="X56" s="451">
        <f t="shared" ref="X56:AC56" si="137">SUM(X57:X62)</f>
        <v>0</v>
      </c>
      <c r="Y56" s="451">
        <f t="shared" si="137"/>
        <v>0</v>
      </c>
      <c r="Z56" s="451">
        <f t="shared" si="137"/>
        <v>0</v>
      </c>
      <c r="AA56" s="451">
        <f t="shared" si="137"/>
        <v>0</v>
      </c>
      <c r="AB56" s="451">
        <f t="shared" si="137"/>
        <v>0</v>
      </c>
      <c r="AC56" s="451">
        <f t="shared" si="137"/>
        <v>0</v>
      </c>
      <c r="AD56" s="451">
        <f t="shared" ref="AD56:AI56" si="138">SUM(AD57:AD62)</f>
        <v>0</v>
      </c>
      <c r="AE56" s="451">
        <f t="shared" si="138"/>
        <v>0</v>
      </c>
      <c r="AF56" s="451">
        <f t="shared" si="138"/>
        <v>0</v>
      </c>
      <c r="AG56" s="451">
        <f t="shared" si="138"/>
        <v>0</v>
      </c>
      <c r="AH56" s="451">
        <f t="shared" si="138"/>
        <v>0</v>
      </c>
      <c r="AI56" s="451">
        <f t="shared" si="138"/>
        <v>0</v>
      </c>
      <c r="AJ56" s="451">
        <f t="shared" ref="AJ56:AO56" si="139">SUM(AJ57:AJ62)</f>
        <v>96</v>
      </c>
      <c r="AK56" s="451">
        <f t="shared" si="139"/>
        <v>52</v>
      </c>
      <c r="AL56" s="451">
        <f t="shared" si="139"/>
        <v>16</v>
      </c>
      <c r="AM56" s="451">
        <f t="shared" si="139"/>
        <v>0</v>
      </c>
      <c r="AN56" s="451">
        <f t="shared" si="139"/>
        <v>0</v>
      </c>
      <c r="AO56" s="451">
        <f t="shared" si="139"/>
        <v>28</v>
      </c>
      <c r="AP56" s="451">
        <f t="shared" ref="AP56:BY56" si="140">SUM(AP57:AP62)</f>
        <v>146</v>
      </c>
      <c r="AQ56" s="534">
        <f t="shared" si="140"/>
        <v>84</v>
      </c>
      <c r="AR56" s="534">
        <f t="shared" si="140"/>
        <v>16</v>
      </c>
      <c r="AS56" s="534">
        <f t="shared" si="140"/>
        <v>0</v>
      </c>
      <c r="AT56" s="534">
        <f t="shared" si="140"/>
        <v>0</v>
      </c>
      <c r="AU56" s="534">
        <f t="shared" si="140"/>
        <v>46</v>
      </c>
      <c r="AV56" s="534">
        <f t="shared" si="140"/>
        <v>128</v>
      </c>
      <c r="AW56" s="534">
        <f t="shared" si="140"/>
        <v>50</v>
      </c>
      <c r="AX56" s="534">
        <f t="shared" si="140"/>
        <v>38</v>
      </c>
      <c r="AY56" s="534">
        <f t="shared" si="140"/>
        <v>0</v>
      </c>
      <c r="AZ56" s="534">
        <f t="shared" si="140"/>
        <v>0</v>
      </c>
      <c r="BA56" s="534">
        <f t="shared" si="140"/>
        <v>40</v>
      </c>
      <c r="BB56" s="534">
        <f t="shared" si="140"/>
        <v>66</v>
      </c>
      <c r="BC56" s="534">
        <f t="shared" si="140"/>
        <v>22</v>
      </c>
      <c r="BD56" s="534">
        <f t="shared" si="140"/>
        <v>22</v>
      </c>
      <c r="BE56" s="534">
        <f t="shared" si="140"/>
        <v>0</v>
      </c>
      <c r="BF56" s="534">
        <f t="shared" si="140"/>
        <v>0</v>
      </c>
      <c r="BG56" s="534">
        <f t="shared" si="140"/>
        <v>22</v>
      </c>
      <c r="BH56" s="534">
        <f t="shared" si="140"/>
        <v>47</v>
      </c>
      <c r="BI56" s="534">
        <f>SUM(BI57:BI62)</f>
        <v>22</v>
      </c>
      <c r="BJ56" s="534">
        <f t="shared" si="140"/>
        <v>11</v>
      </c>
      <c r="BK56" s="534">
        <f t="shared" si="140"/>
        <v>0</v>
      </c>
      <c r="BL56" s="534">
        <f t="shared" si="140"/>
        <v>0</v>
      </c>
      <c r="BM56" s="534">
        <f t="shared" si="140"/>
        <v>14</v>
      </c>
      <c r="BN56" s="534">
        <f t="shared" si="140"/>
        <v>58</v>
      </c>
      <c r="BO56" s="534">
        <f t="shared" si="140"/>
        <v>8</v>
      </c>
      <c r="BP56" s="534">
        <f t="shared" si="140"/>
        <v>32</v>
      </c>
      <c r="BQ56" s="534">
        <f t="shared" si="140"/>
        <v>0</v>
      </c>
      <c r="BR56" s="534">
        <f t="shared" si="140"/>
        <v>0</v>
      </c>
      <c r="BS56" s="534">
        <f t="shared" si="140"/>
        <v>18</v>
      </c>
      <c r="BT56" s="534">
        <f t="shared" si="140"/>
        <v>159</v>
      </c>
      <c r="BU56" s="534">
        <f t="shared" si="140"/>
        <v>30</v>
      </c>
      <c r="BV56" s="534">
        <f t="shared" si="140"/>
        <v>78</v>
      </c>
      <c r="BW56" s="534">
        <f t="shared" si="140"/>
        <v>0</v>
      </c>
      <c r="BX56" s="534">
        <f t="shared" si="140"/>
        <v>0</v>
      </c>
      <c r="BY56" s="534">
        <f t="shared" si="140"/>
        <v>51</v>
      </c>
      <c r="BZ56" s="450"/>
      <c r="CA56" s="552"/>
    </row>
    <row r="57" spans="1:129" s="95" customFormat="1" ht="26.1" customHeight="1" x14ac:dyDescent="0.2">
      <c r="A57" s="395"/>
      <c r="B57" s="400" t="s">
        <v>481</v>
      </c>
      <c r="C57" s="201"/>
      <c r="D57" s="396"/>
      <c r="E57" s="396" t="s">
        <v>43</v>
      </c>
      <c r="F57" s="396"/>
      <c r="G57" s="396"/>
      <c r="H57" s="396" t="s">
        <v>42</v>
      </c>
      <c r="I57" s="177"/>
      <c r="J57" s="378"/>
      <c r="K57" s="376">
        <f t="shared" ref="K57:K62" si="141">L57+SUM(Q57:Q57)</f>
        <v>161</v>
      </c>
      <c r="L57" s="376">
        <f>SUM(M57:P57)</f>
        <v>110</v>
      </c>
      <c r="M57" s="376">
        <f t="shared" ref="M57:Q62" si="142">S57+Y57+AE57+AK57+AQ57+AW57+BC57+BI57+BO57+BU57</f>
        <v>58</v>
      </c>
      <c r="N57" s="376">
        <f t="shared" si="142"/>
        <v>52</v>
      </c>
      <c r="O57" s="376">
        <f t="shared" si="142"/>
        <v>0</v>
      </c>
      <c r="P57" s="376">
        <f t="shared" si="142"/>
        <v>0</v>
      </c>
      <c r="Q57" s="376">
        <f t="shared" si="142"/>
        <v>51</v>
      </c>
      <c r="R57" s="367">
        <f>SUM(S57:W57)</f>
        <v>0</v>
      </c>
      <c r="S57" s="177"/>
      <c r="T57" s="177"/>
      <c r="U57" s="177"/>
      <c r="V57" s="177"/>
      <c r="W57" s="177"/>
      <c r="X57" s="367"/>
      <c r="Y57" s="177"/>
      <c r="Z57" s="177"/>
      <c r="AA57" s="177"/>
      <c r="AB57" s="177"/>
      <c r="AC57" s="177"/>
      <c r="AD57" s="367">
        <f>SUM(AE57:AI57)</f>
        <v>0</v>
      </c>
      <c r="AE57" s="177"/>
      <c r="AF57" s="177"/>
      <c r="AG57" s="177"/>
      <c r="AH57" s="177"/>
      <c r="AI57" s="177"/>
      <c r="AJ57" s="367">
        <f>SUM(AK57:AO57)</f>
        <v>0</v>
      </c>
      <c r="AK57" s="177"/>
      <c r="AL57" s="177"/>
      <c r="AM57" s="177"/>
      <c r="AN57" s="177"/>
      <c r="AO57" s="177"/>
      <c r="AP57" s="367">
        <f t="shared" ref="AP57:AP62" si="143">SUM(AQ57:AU57)</f>
        <v>0</v>
      </c>
      <c r="AQ57" s="177"/>
      <c r="AR57" s="177"/>
      <c r="AS57" s="177"/>
      <c r="AT57" s="177"/>
      <c r="AU57" s="177"/>
      <c r="AV57" s="367">
        <f t="shared" ref="AV57:AV62" si="144">SUM(AW57:BA57)</f>
        <v>95</v>
      </c>
      <c r="AW57" s="177">
        <v>36</v>
      </c>
      <c r="AX57" s="177">
        <v>30</v>
      </c>
      <c r="AY57" s="177"/>
      <c r="AZ57" s="177"/>
      <c r="BA57" s="177">
        <v>29</v>
      </c>
      <c r="BB57" s="367">
        <f t="shared" ref="BB57:BB62" si="145">SUM(BC57:BG57)</f>
        <v>66</v>
      </c>
      <c r="BC57" s="177">
        <v>22</v>
      </c>
      <c r="BD57" s="177">
        <v>22</v>
      </c>
      <c r="BE57" s="177"/>
      <c r="BF57" s="177"/>
      <c r="BG57" s="177">
        <v>22</v>
      </c>
      <c r="BH57" s="367">
        <f>SUM(BI57:BM57)</f>
        <v>0</v>
      </c>
      <c r="BI57" s="177"/>
      <c r="BJ57" s="177"/>
      <c r="BK57" s="177"/>
      <c r="BL57" s="177"/>
      <c r="BM57" s="177"/>
      <c r="BN57" s="367"/>
      <c r="BO57" s="177"/>
      <c r="BP57" s="177"/>
      <c r="BQ57" s="177"/>
      <c r="BR57" s="177"/>
      <c r="BS57" s="177"/>
      <c r="BT57" s="367"/>
      <c r="BU57" s="177"/>
      <c r="BV57" s="177"/>
      <c r="BW57" s="177"/>
      <c r="BX57" s="177"/>
      <c r="BY57" s="177"/>
      <c r="BZ57" s="363" t="s">
        <v>506</v>
      </c>
      <c r="CA57" s="177" t="s">
        <v>449</v>
      </c>
    </row>
    <row r="58" spans="1:129" s="95" customFormat="1" ht="26.1" customHeight="1" x14ac:dyDescent="0.2">
      <c r="A58" s="395"/>
      <c r="B58" s="364" t="s">
        <v>569</v>
      </c>
      <c r="C58" s="201" t="s">
        <v>570</v>
      </c>
      <c r="D58" s="396"/>
      <c r="E58" s="396" t="s">
        <v>41</v>
      </c>
      <c r="F58" s="396"/>
      <c r="G58" s="396"/>
      <c r="H58" s="396" t="s">
        <v>40</v>
      </c>
      <c r="I58" s="177"/>
      <c r="J58" s="378"/>
      <c r="K58" s="376">
        <f t="shared" si="141"/>
        <v>95</v>
      </c>
      <c r="L58" s="376">
        <f>SUM(M58:P58)</f>
        <v>66</v>
      </c>
      <c r="M58" s="376">
        <f t="shared" si="142"/>
        <v>50</v>
      </c>
      <c r="N58" s="376">
        <f t="shared" si="142"/>
        <v>16</v>
      </c>
      <c r="O58" s="376">
        <f t="shared" si="142"/>
        <v>0</v>
      </c>
      <c r="P58" s="376">
        <f t="shared" si="142"/>
        <v>0</v>
      </c>
      <c r="Q58" s="376">
        <f t="shared" si="142"/>
        <v>29</v>
      </c>
      <c r="R58" s="367">
        <f>SUM(S58:W58)</f>
        <v>0</v>
      </c>
      <c r="S58" s="177"/>
      <c r="T58" s="177"/>
      <c r="U58" s="177"/>
      <c r="V58" s="177"/>
      <c r="W58" s="177"/>
      <c r="X58" s="367"/>
      <c r="Y58" s="177"/>
      <c r="Z58" s="177"/>
      <c r="AA58" s="177"/>
      <c r="AB58" s="177"/>
      <c r="AC58" s="177"/>
      <c r="AD58" s="367">
        <f>SUM(AE58:AI58)</f>
        <v>0</v>
      </c>
      <c r="AE58" s="177"/>
      <c r="AF58" s="177"/>
      <c r="AG58" s="177"/>
      <c r="AH58" s="177"/>
      <c r="AI58" s="177"/>
      <c r="AJ58" s="367">
        <f>SUM(AK58:AO58)</f>
        <v>48</v>
      </c>
      <c r="AK58" s="177">
        <v>26</v>
      </c>
      <c r="AL58" s="177">
        <v>8</v>
      </c>
      <c r="AM58" s="177"/>
      <c r="AN58" s="177"/>
      <c r="AO58" s="177">
        <v>14</v>
      </c>
      <c r="AP58" s="367">
        <f t="shared" si="143"/>
        <v>47</v>
      </c>
      <c r="AQ58" s="177">
        <v>24</v>
      </c>
      <c r="AR58" s="177">
        <v>8</v>
      </c>
      <c r="AS58" s="177"/>
      <c r="AT58" s="177"/>
      <c r="AU58" s="177">
        <v>15</v>
      </c>
      <c r="AV58" s="367">
        <f t="shared" si="144"/>
        <v>0</v>
      </c>
      <c r="AW58" s="177"/>
      <c r="AX58" s="177"/>
      <c r="AY58" s="177"/>
      <c r="AZ58" s="177"/>
      <c r="BA58" s="177"/>
      <c r="BB58" s="367">
        <f t="shared" si="145"/>
        <v>0</v>
      </c>
      <c r="BC58" s="177"/>
      <c r="BD58" s="177"/>
      <c r="BE58" s="177"/>
      <c r="BF58" s="177"/>
      <c r="BG58" s="177"/>
      <c r="BH58" s="367">
        <f>SUM(BI58:BM58)</f>
        <v>0</v>
      </c>
      <c r="BI58" s="177"/>
      <c r="BJ58" s="177"/>
      <c r="BK58" s="177"/>
      <c r="BL58" s="177"/>
      <c r="BM58" s="177"/>
      <c r="BN58" s="367"/>
      <c r="BO58" s="177"/>
      <c r="BP58" s="177"/>
      <c r="BQ58" s="177"/>
      <c r="BR58" s="177"/>
      <c r="BS58" s="177"/>
      <c r="BT58" s="367"/>
      <c r="BU58" s="177"/>
      <c r="BV58" s="177"/>
      <c r="BW58" s="177"/>
      <c r="BX58" s="177"/>
      <c r="BY58" s="177"/>
      <c r="BZ58" s="363" t="s">
        <v>506</v>
      </c>
      <c r="CA58" s="177" t="s">
        <v>450</v>
      </c>
    </row>
    <row r="59" spans="1:129" s="95" customFormat="1" ht="26.1" customHeight="1" x14ac:dyDescent="0.2">
      <c r="A59" s="395"/>
      <c r="B59" s="201" t="s">
        <v>407</v>
      </c>
      <c r="C59" s="201" t="s">
        <v>568</v>
      </c>
      <c r="D59" s="363" t="s">
        <v>42</v>
      </c>
      <c r="E59" s="363"/>
      <c r="F59" s="363"/>
      <c r="G59" s="363"/>
      <c r="H59" s="363" t="s">
        <v>559</v>
      </c>
      <c r="I59" s="177"/>
      <c r="J59" s="378"/>
      <c r="K59" s="376">
        <f t="shared" si="141"/>
        <v>128</v>
      </c>
      <c r="L59" s="376">
        <f>SUM(M59:P59)</f>
        <v>88</v>
      </c>
      <c r="M59" s="376">
        <f t="shared" si="142"/>
        <v>64</v>
      </c>
      <c r="N59" s="376">
        <f t="shared" si="142"/>
        <v>24</v>
      </c>
      <c r="O59" s="376">
        <f t="shared" si="142"/>
        <v>0</v>
      </c>
      <c r="P59" s="376">
        <f t="shared" si="142"/>
        <v>0</v>
      </c>
      <c r="Q59" s="376">
        <f t="shared" si="142"/>
        <v>40</v>
      </c>
      <c r="R59" s="367">
        <f>SUM(S59:W59)</f>
        <v>0</v>
      </c>
      <c r="S59" s="177"/>
      <c r="T59" s="177"/>
      <c r="U59" s="177"/>
      <c r="V59" s="177"/>
      <c r="W59" s="177"/>
      <c r="X59" s="367"/>
      <c r="Y59" s="177"/>
      <c r="Z59" s="177"/>
      <c r="AA59" s="177"/>
      <c r="AB59" s="177"/>
      <c r="AC59" s="177"/>
      <c r="AD59" s="367">
        <f>SUM(AE59:AI59)</f>
        <v>0</v>
      </c>
      <c r="AE59" s="177"/>
      <c r="AF59" s="177"/>
      <c r="AG59" s="177"/>
      <c r="AH59" s="177"/>
      <c r="AI59" s="177"/>
      <c r="AJ59" s="367">
        <f>SUM(AK59:AO59)</f>
        <v>48</v>
      </c>
      <c r="AK59" s="177">
        <v>26</v>
      </c>
      <c r="AL59" s="177">
        <v>8</v>
      </c>
      <c r="AM59" s="177"/>
      <c r="AN59" s="177"/>
      <c r="AO59" s="177">
        <v>14</v>
      </c>
      <c r="AP59" s="367">
        <f t="shared" si="143"/>
        <v>47</v>
      </c>
      <c r="AQ59" s="177">
        <v>24</v>
      </c>
      <c r="AR59" s="177">
        <v>8</v>
      </c>
      <c r="AS59" s="177"/>
      <c r="AT59" s="177"/>
      <c r="AU59" s="177">
        <v>15</v>
      </c>
      <c r="AV59" s="367">
        <f t="shared" si="144"/>
        <v>33</v>
      </c>
      <c r="AW59" s="177">
        <v>14</v>
      </c>
      <c r="AX59" s="177">
        <v>8</v>
      </c>
      <c r="AY59" s="177"/>
      <c r="AZ59" s="177"/>
      <c r="BA59" s="177">
        <v>11</v>
      </c>
      <c r="BB59" s="367">
        <f t="shared" si="145"/>
        <v>0</v>
      </c>
      <c r="BC59" s="177"/>
      <c r="BD59" s="177"/>
      <c r="BE59" s="177"/>
      <c r="BF59" s="177"/>
      <c r="BG59" s="177"/>
      <c r="BH59" s="367">
        <f t="shared" ref="BH59:BH62" si="146">SUM(BI59:BM59)</f>
        <v>0</v>
      </c>
      <c r="BI59" s="177"/>
      <c r="BJ59" s="177"/>
      <c r="BK59" s="177"/>
      <c r="BL59" s="177"/>
      <c r="BM59" s="177"/>
      <c r="BN59" s="367">
        <f>SUM(BO59:BS59)</f>
        <v>0</v>
      </c>
      <c r="BO59" s="177"/>
      <c r="BP59" s="177"/>
      <c r="BQ59" s="177"/>
      <c r="BR59" s="177"/>
      <c r="BS59" s="177"/>
      <c r="BT59" s="367"/>
      <c r="BU59" s="177"/>
      <c r="BV59" s="177"/>
      <c r="BW59" s="177"/>
      <c r="BX59" s="177"/>
      <c r="BY59" s="177"/>
      <c r="BZ59" s="363" t="s">
        <v>506</v>
      </c>
      <c r="CA59" s="177" t="s">
        <v>450</v>
      </c>
    </row>
    <row r="60" spans="1:129" s="96" customFormat="1" ht="26.1" customHeight="1" x14ac:dyDescent="0.2">
      <c r="A60" s="395"/>
      <c r="B60" s="364" t="s">
        <v>480</v>
      </c>
      <c r="C60" s="401" t="s">
        <v>566</v>
      </c>
      <c r="D60" s="97"/>
      <c r="E60" s="363"/>
      <c r="F60" s="529" t="s">
        <v>416</v>
      </c>
      <c r="G60" s="97"/>
      <c r="H60" s="363" t="s">
        <v>39</v>
      </c>
      <c r="I60" s="163"/>
      <c r="J60" s="379"/>
      <c r="K60" s="376">
        <f t="shared" si="141"/>
        <v>140</v>
      </c>
      <c r="L60" s="376">
        <f>SUM(M60:P60)</f>
        <v>96</v>
      </c>
      <c r="M60" s="376">
        <f t="shared" si="142"/>
        <v>38</v>
      </c>
      <c r="N60" s="376">
        <f t="shared" si="142"/>
        <v>58</v>
      </c>
      <c r="O60" s="376">
        <f t="shared" si="142"/>
        <v>0</v>
      </c>
      <c r="P60" s="376">
        <f t="shared" si="142"/>
        <v>0</v>
      </c>
      <c r="Q60" s="376">
        <f t="shared" si="142"/>
        <v>44</v>
      </c>
      <c r="R60" s="367">
        <f>SUM(S60:W60)</f>
        <v>0</v>
      </c>
      <c r="S60" s="163"/>
      <c r="T60" s="163"/>
      <c r="U60" s="163"/>
      <c r="V60" s="163"/>
      <c r="W60" s="163"/>
      <c r="X60" s="380"/>
      <c r="Y60" s="163"/>
      <c r="Z60" s="163"/>
      <c r="AA60" s="163"/>
      <c r="AB60" s="163"/>
      <c r="AC60" s="163"/>
      <c r="AD60" s="367">
        <f>SUM(AE60:AI60)</f>
        <v>0</v>
      </c>
      <c r="AE60" s="163"/>
      <c r="AF60" s="163"/>
      <c r="AG60" s="163"/>
      <c r="AH60" s="163"/>
      <c r="AI60" s="381"/>
      <c r="AJ60" s="367">
        <f>SUM(AK60:AO60)</f>
        <v>0</v>
      </c>
      <c r="AK60" s="163"/>
      <c r="AL60" s="163"/>
      <c r="AM60" s="163"/>
      <c r="AN60" s="163"/>
      <c r="AO60" s="163"/>
      <c r="AP60" s="367">
        <f t="shared" si="143"/>
        <v>0</v>
      </c>
      <c r="AQ60" s="163"/>
      <c r="AR60" s="163"/>
      <c r="AS60" s="163"/>
      <c r="AT60" s="163"/>
      <c r="AU60" s="163"/>
      <c r="AV60" s="367">
        <f t="shared" si="144"/>
        <v>0</v>
      </c>
      <c r="AW60" s="163"/>
      <c r="AX60" s="163"/>
      <c r="AY60" s="163"/>
      <c r="AZ60" s="163"/>
      <c r="BA60" s="163"/>
      <c r="BB60" s="367">
        <f t="shared" si="145"/>
        <v>0</v>
      </c>
      <c r="BC60" s="163"/>
      <c r="BD60" s="163"/>
      <c r="BE60" s="163"/>
      <c r="BF60" s="163"/>
      <c r="BG60" s="163"/>
      <c r="BH60" s="367">
        <f t="shared" si="146"/>
        <v>0</v>
      </c>
      <c r="BI60" s="163"/>
      <c r="BJ60" s="163"/>
      <c r="BK60" s="163"/>
      <c r="BL60" s="163"/>
      <c r="BM60" s="163"/>
      <c r="BN60" s="367">
        <f>SUM(BO60:BS60)</f>
        <v>34</v>
      </c>
      <c r="BO60" s="163">
        <v>8</v>
      </c>
      <c r="BP60" s="163">
        <v>16</v>
      </c>
      <c r="BQ60" s="163"/>
      <c r="BR60" s="163"/>
      <c r="BS60" s="163">
        <v>10</v>
      </c>
      <c r="BT60" s="367">
        <f>SUM(BU60:BY60)</f>
        <v>106</v>
      </c>
      <c r="BU60" s="163">
        <v>30</v>
      </c>
      <c r="BV60" s="163">
        <v>42</v>
      </c>
      <c r="BW60" s="163"/>
      <c r="BX60" s="163"/>
      <c r="BY60" s="163">
        <v>34</v>
      </c>
      <c r="BZ60" s="363" t="s">
        <v>506</v>
      </c>
      <c r="CA60" s="547" t="s">
        <v>653</v>
      </c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</row>
    <row r="61" spans="1:129" s="96" customFormat="1" ht="26.1" customHeight="1" x14ac:dyDescent="0.2">
      <c r="A61" s="395"/>
      <c r="B61" s="401" t="s">
        <v>595</v>
      </c>
      <c r="C61" s="401"/>
      <c r="D61" s="97"/>
      <c r="E61" s="363" t="s">
        <v>41</v>
      </c>
      <c r="F61" s="363"/>
      <c r="G61" s="97"/>
      <c r="H61" s="363"/>
      <c r="I61" s="163"/>
      <c r="J61" s="379"/>
      <c r="K61" s="376">
        <f t="shared" si="141"/>
        <v>52</v>
      </c>
      <c r="L61" s="376">
        <f t="shared" ref="L61" si="147">SUM(M61:P61)</f>
        <v>36</v>
      </c>
      <c r="M61" s="376">
        <f t="shared" si="142"/>
        <v>36</v>
      </c>
      <c r="N61" s="376">
        <f t="shared" si="142"/>
        <v>0</v>
      </c>
      <c r="O61" s="376">
        <f t="shared" si="142"/>
        <v>0</v>
      </c>
      <c r="P61" s="376">
        <f t="shared" si="142"/>
        <v>0</v>
      </c>
      <c r="Q61" s="376">
        <f t="shared" si="142"/>
        <v>16</v>
      </c>
      <c r="R61" s="367">
        <f t="shared" ref="R61" si="148">SUM(S61:W61)</f>
        <v>0</v>
      </c>
      <c r="S61" s="163"/>
      <c r="T61" s="163"/>
      <c r="U61" s="163"/>
      <c r="V61" s="163"/>
      <c r="W61" s="163"/>
      <c r="X61" s="380"/>
      <c r="Y61" s="163"/>
      <c r="Z61" s="163"/>
      <c r="AA61" s="163"/>
      <c r="AB61" s="163"/>
      <c r="AC61" s="163"/>
      <c r="AD61" s="367">
        <f t="shared" ref="AD61" si="149">SUM(AE61:AI61)</f>
        <v>0</v>
      </c>
      <c r="AE61" s="163"/>
      <c r="AF61" s="163"/>
      <c r="AG61" s="163"/>
      <c r="AH61" s="163"/>
      <c r="AI61" s="381"/>
      <c r="AJ61" s="367">
        <f t="shared" ref="AJ61" si="150">SUM(AK61:AO61)</f>
        <v>0</v>
      </c>
      <c r="AK61" s="163"/>
      <c r="AL61" s="163"/>
      <c r="AM61" s="163"/>
      <c r="AN61" s="163"/>
      <c r="AO61" s="163"/>
      <c r="AP61" s="367">
        <f t="shared" si="143"/>
        <v>52</v>
      </c>
      <c r="AQ61" s="177">
        <v>36</v>
      </c>
      <c r="AR61" s="177"/>
      <c r="AS61" s="177"/>
      <c r="AT61" s="177"/>
      <c r="AU61" s="177">
        <v>16</v>
      </c>
      <c r="AV61" s="367">
        <f t="shared" si="144"/>
        <v>0</v>
      </c>
      <c r="AW61" s="163"/>
      <c r="AX61" s="163"/>
      <c r="AY61" s="163"/>
      <c r="AZ61" s="163"/>
      <c r="BA61" s="163"/>
      <c r="BB61" s="367">
        <f t="shared" si="145"/>
        <v>0</v>
      </c>
      <c r="BC61" s="163"/>
      <c r="BD61" s="163"/>
      <c r="BE61" s="163"/>
      <c r="BF61" s="163"/>
      <c r="BG61" s="163"/>
      <c r="BH61" s="367">
        <f t="shared" si="146"/>
        <v>0</v>
      </c>
      <c r="BI61" s="163"/>
      <c r="BJ61" s="163"/>
      <c r="BK61" s="163"/>
      <c r="BL61" s="163"/>
      <c r="BM61" s="163"/>
      <c r="BN61" s="367">
        <f>SUM(BO61:BS61)</f>
        <v>0</v>
      </c>
      <c r="BO61" s="163"/>
      <c r="BP61" s="163"/>
      <c r="BQ61" s="163"/>
      <c r="BR61" s="163"/>
      <c r="BS61" s="163"/>
      <c r="BT61" s="367">
        <f>SUM(BU61:BY61)</f>
        <v>0</v>
      </c>
      <c r="BU61" s="163"/>
      <c r="BV61" s="163"/>
      <c r="BW61" s="163"/>
      <c r="BX61" s="163"/>
      <c r="BY61" s="163"/>
      <c r="BZ61" s="363" t="s">
        <v>506</v>
      </c>
      <c r="CA61" s="547" t="s">
        <v>654</v>
      </c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</row>
    <row r="62" spans="1:129" s="96" customFormat="1" ht="26.1" customHeight="1" x14ac:dyDescent="0.2">
      <c r="A62" s="395"/>
      <c r="B62" s="548" t="s">
        <v>631</v>
      </c>
      <c r="C62" s="401" t="s">
        <v>567</v>
      </c>
      <c r="D62" s="97"/>
      <c r="E62" s="363"/>
      <c r="F62" s="529" t="s">
        <v>416</v>
      </c>
      <c r="G62" s="97"/>
      <c r="H62" s="529" t="s">
        <v>630</v>
      </c>
      <c r="I62" s="163"/>
      <c r="J62" s="379"/>
      <c r="K62" s="376">
        <f t="shared" si="141"/>
        <v>124</v>
      </c>
      <c r="L62" s="376">
        <f>SUM(M62:P62)</f>
        <v>85</v>
      </c>
      <c r="M62" s="376">
        <f t="shared" si="142"/>
        <v>22</v>
      </c>
      <c r="N62" s="376">
        <f t="shared" si="142"/>
        <v>63</v>
      </c>
      <c r="O62" s="376">
        <f t="shared" si="142"/>
        <v>0</v>
      </c>
      <c r="P62" s="376">
        <f t="shared" si="142"/>
        <v>0</v>
      </c>
      <c r="Q62" s="376">
        <f t="shared" si="142"/>
        <v>39</v>
      </c>
      <c r="R62" s="367">
        <f>SUM(S62:W62)</f>
        <v>0</v>
      </c>
      <c r="S62" s="163"/>
      <c r="T62" s="163"/>
      <c r="U62" s="163"/>
      <c r="V62" s="163"/>
      <c r="W62" s="163"/>
      <c r="X62" s="380"/>
      <c r="Y62" s="163"/>
      <c r="Z62" s="163"/>
      <c r="AA62" s="163"/>
      <c r="AB62" s="163"/>
      <c r="AC62" s="163"/>
      <c r="AD62" s="367">
        <f>SUM(AE62:AI62)</f>
        <v>0</v>
      </c>
      <c r="AE62" s="163"/>
      <c r="AF62" s="163"/>
      <c r="AG62" s="163"/>
      <c r="AH62" s="163"/>
      <c r="AI62" s="381"/>
      <c r="AJ62" s="367">
        <f>SUM(AK62:AO62)</f>
        <v>0</v>
      </c>
      <c r="AK62" s="163"/>
      <c r="AL62" s="163"/>
      <c r="AM62" s="163"/>
      <c r="AN62" s="163"/>
      <c r="AO62" s="163"/>
      <c r="AP62" s="367">
        <f t="shared" si="143"/>
        <v>0</v>
      </c>
      <c r="AQ62" s="163"/>
      <c r="AR62" s="163"/>
      <c r="AS62" s="163"/>
      <c r="AT62" s="163"/>
      <c r="AU62" s="163"/>
      <c r="AV62" s="367">
        <f t="shared" si="144"/>
        <v>0</v>
      </c>
      <c r="AW62" s="163"/>
      <c r="AX62" s="163"/>
      <c r="AY62" s="163"/>
      <c r="AZ62" s="163"/>
      <c r="BA62" s="163"/>
      <c r="BB62" s="367">
        <f t="shared" si="145"/>
        <v>0</v>
      </c>
      <c r="BC62" s="163"/>
      <c r="BD62" s="163"/>
      <c r="BE62" s="163"/>
      <c r="BF62" s="163"/>
      <c r="BG62" s="163"/>
      <c r="BH62" s="367">
        <f t="shared" si="146"/>
        <v>47</v>
      </c>
      <c r="BI62" s="163">
        <v>22</v>
      </c>
      <c r="BJ62" s="163">
        <v>11</v>
      </c>
      <c r="BK62" s="163"/>
      <c r="BL62" s="163"/>
      <c r="BM62" s="163">
        <v>14</v>
      </c>
      <c r="BN62" s="367">
        <f>SUM(BO62:BS62)</f>
        <v>24</v>
      </c>
      <c r="BO62" s="163"/>
      <c r="BP62" s="163">
        <v>16</v>
      </c>
      <c r="BQ62" s="163"/>
      <c r="BR62" s="163"/>
      <c r="BS62" s="163">
        <v>8</v>
      </c>
      <c r="BT62" s="367">
        <f>SUM(BU62:BY62)</f>
        <v>53</v>
      </c>
      <c r="BU62" s="163"/>
      <c r="BV62" s="163">
        <v>36</v>
      </c>
      <c r="BW62" s="163"/>
      <c r="BX62" s="163"/>
      <c r="BY62" s="163">
        <v>17</v>
      </c>
      <c r="BZ62" s="363" t="s">
        <v>506</v>
      </c>
      <c r="CA62" s="547" t="s">
        <v>654</v>
      </c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</row>
    <row r="63" spans="1:129" s="95" customFormat="1" ht="26.1" customHeight="1" x14ac:dyDescent="0.2">
      <c r="A63" s="449" t="s">
        <v>408</v>
      </c>
      <c r="B63" s="678" t="s">
        <v>415</v>
      </c>
      <c r="C63" s="679"/>
      <c r="D63" s="679"/>
      <c r="E63" s="679"/>
      <c r="F63" s="679"/>
      <c r="G63" s="679"/>
      <c r="H63" s="680"/>
      <c r="I63" s="450"/>
      <c r="J63" s="450"/>
      <c r="K63" s="451">
        <f>SUM(K64:K69)</f>
        <v>874</v>
      </c>
      <c r="L63" s="451">
        <f t="shared" ref="L63:P63" si="151">SUM(L64:L69)</f>
        <v>613</v>
      </c>
      <c r="M63" s="451">
        <f>SUM(M64:M69)</f>
        <v>430</v>
      </c>
      <c r="N63" s="451">
        <f t="shared" si="151"/>
        <v>183</v>
      </c>
      <c r="O63" s="451">
        <f t="shared" si="151"/>
        <v>0</v>
      </c>
      <c r="P63" s="451">
        <f t="shared" si="151"/>
        <v>0</v>
      </c>
      <c r="Q63" s="451">
        <f>SUM(Q64:Q69)</f>
        <v>261</v>
      </c>
      <c r="R63" s="451">
        <f t="shared" ref="R63:W63" si="152">SUM(R64:R74)</f>
        <v>0</v>
      </c>
      <c r="S63" s="451">
        <f t="shared" si="152"/>
        <v>0</v>
      </c>
      <c r="T63" s="451">
        <f t="shared" si="152"/>
        <v>0</v>
      </c>
      <c r="U63" s="451">
        <f t="shared" si="152"/>
        <v>0</v>
      </c>
      <c r="V63" s="451">
        <f t="shared" si="152"/>
        <v>0</v>
      </c>
      <c r="W63" s="451">
        <f t="shared" si="152"/>
        <v>0</v>
      </c>
      <c r="X63" s="451">
        <f t="shared" ref="X63:AC63" si="153">SUM(X64:X74)</f>
        <v>0</v>
      </c>
      <c r="Y63" s="451">
        <f t="shared" si="153"/>
        <v>0</v>
      </c>
      <c r="Z63" s="451">
        <f t="shared" si="153"/>
        <v>0</v>
      </c>
      <c r="AA63" s="451">
        <f t="shared" si="153"/>
        <v>0</v>
      </c>
      <c r="AB63" s="451">
        <f t="shared" si="153"/>
        <v>0</v>
      </c>
      <c r="AC63" s="451">
        <f t="shared" si="153"/>
        <v>0</v>
      </c>
      <c r="AD63" s="451">
        <f>SUM(AD64:AD69)</f>
        <v>0</v>
      </c>
      <c r="AE63" s="451">
        <f t="shared" ref="AE63:AP63" si="154">SUM(AE64:AE69)</f>
        <v>0</v>
      </c>
      <c r="AF63" s="451">
        <f t="shared" si="154"/>
        <v>0</v>
      </c>
      <c r="AG63" s="451">
        <f t="shared" si="154"/>
        <v>0</v>
      </c>
      <c r="AH63" s="451">
        <f t="shared" si="154"/>
        <v>0</v>
      </c>
      <c r="AI63" s="451">
        <f t="shared" si="154"/>
        <v>0</v>
      </c>
      <c r="AJ63" s="451">
        <f t="shared" si="154"/>
        <v>48</v>
      </c>
      <c r="AK63" s="451">
        <f t="shared" si="154"/>
        <v>34</v>
      </c>
      <c r="AL63" s="451">
        <f t="shared" si="154"/>
        <v>0</v>
      </c>
      <c r="AM63" s="451">
        <f t="shared" si="154"/>
        <v>0</v>
      </c>
      <c r="AN63" s="451">
        <f t="shared" si="154"/>
        <v>0</v>
      </c>
      <c r="AO63" s="451">
        <f t="shared" si="154"/>
        <v>14</v>
      </c>
      <c r="AP63" s="451">
        <f t="shared" si="154"/>
        <v>182</v>
      </c>
      <c r="AQ63" s="534">
        <f>SUM(AQ64:AQ69)</f>
        <v>102</v>
      </c>
      <c r="AR63" s="534">
        <f t="shared" ref="AR63:BT63" si="155">SUM(AR64:AR69)</f>
        <v>26</v>
      </c>
      <c r="AS63" s="534">
        <f t="shared" si="155"/>
        <v>0</v>
      </c>
      <c r="AT63" s="534">
        <f t="shared" si="155"/>
        <v>0</v>
      </c>
      <c r="AU63" s="534">
        <f t="shared" si="155"/>
        <v>54</v>
      </c>
      <c r="AV63" s="534">
        <f t="shared" si="155"/>
        <v>195</v>
      </c>
      <c r="AW63" s="534">
        <f t="shared" si="155"/>
        <v>106</v>
      </c>
      <c r="AX63" s="534">
        <f t="shared" si="155"/>
        <v>37</v>
      </c>
      <c r="AY63" s="534">
        <f t="shared" si="155"/>
        <v>0</v>
      </c>
      <c r="AZ63" s="534">
        <f t="shared" si="155"/>
        <v>0</v>
      </c>
      <c r="BA63" s="534">
        <f t="shared" si="155"/>
        <v>52</v>
      </c>
      <c r="BB63" s="534">
        <f t="shared" si="155"/>
        <v>92</v>
      </c>
      <c r="BC63" s="534">
        <f t="shared" si="155"/>
        <v>44</v>
      </c>
      <c r="BD63" s="534">
        <f t="shared" si="155"/>
        <v>22</v>
      </c>
      <c r="BE63" s="534">
        <f t="shared" si="155"/>
        <v>0</v>
      </c>
      <c r="BF63" s="534">
        <f t="shared" si="155"/>
        <v>0</v>
      </c>
      <c r="BG63" s="534">
        <f t="shared" si="155"/>
        <v>26</v>
      </c>
      <c r="BH63" s="534">
        <f t="shared" si="155"/>
        <v>33</v>
      </c>
      <c r="BI63" s="534">
        <f t="shared" si="155"/>
        <v>22</v>
      </c>
      <c r="BJ63" s="534">
        <f t="shared" si="155"/>
        <v>0</v>
      </c>
      <c r="BK63" s="534">
        <f t="shared" si="155"/>
        <v>0</v>
      </c>
      <c r="BL63" s="534">
        <f t="shared" si="155"/>
        <v>0</v>
      </c>
      <c r="BM63" s="534">
        <f t="shared" si="155"/>
        <v>11</v>
      </c>
      <c r="BN63" s="534">
        <f t="shared" si="155"/>
        <v>58</v>
      </c>
      <c r="BO63" s="534">
        <f>SUM(BO64:BO69)</f>
        <v>32</v>
      </c>
      <c r="BP63" s="534">
        <f t="shared" si="155"/>
        <v>8</v>
      </c>
      <c r="BQ63" s="534">
        <f t="shared" si="155"/>
        <v>0</v>
      </c>
      <c r="BR63" s="534">
        <f t="shared" si="155"/>
        <v>0</v>
      </c>
      <c r="BS63" s="534">
        <f t="shared" si="155"/>
        <v>18</v>
      </c>
      <c r="BT63" s="534">
        <f t="shared" si="155"/>
        <v>266</v>
      </c>
      <c r="BU63" s="534">
        <f>SUM(BU64:BU69)</f>
        <v>90</v>
      </c>
      <c r="BV63" s="534">
        <f t="shared" ref="BV63:BY63" si="156">SUM(BV64:BV69)</f>
        <v>90</v>
      </c>
      <c r="BW63" s="534">
        <f t="shared" si="156"/>
        <v>0</v>
      </c>
      <c r="BX63" s="534">
        <f t="shared" si="156"/>
        <v>0</v>
      </c>
      <c r="BY63" s="534">
        <f t="shared" si="156"/>
        <v>86</v>
      </c>
      <c r="BZ63" s="450"/>
      <c r="CA63" s="450"/>
    </row>
    <row r="64" spans="1:129" s="178" customFormat="1" ht="26.1" customHeight="1" x14ac:dyDescent="0.2">
      <c r="A64" s="395"/>
      <c r="B64" s="201" t="s">
        <v>409</v>
      </c>
      <c r="C64" s="364" t="s">
        <v>571</v>
      </c>
      <c r="D64" s="363"/>
      <c r="E64" s="396" t="s">
        <v>41</v>
      </c>
      <c r="F64" s="396"/>
      <c r="G64" s="181"/>
      <c r="H64" s="363" t="s">
        <v>40</v>
      </c>
      <c r="I64" s="179"/>
      <c r="J64" s="179"/>
      <c r="K64" s="376">
        <f t="shared" ref="K64:K69" si="157">L64+SUM(Q64:Q64)</f>
        <v>142</v>
      </c>
      <c r="L64" s="376">
        <f t="shared" ref="L64:L69" si="158">SUM(M64:P64)</f>
        <v>98</v>
      </c>
      <c r="M64" s="376">
        <f t="shared" ref="M64:Q69" si="159">S64+Y64+AE64+AK64+AQ64+AW64+BC64+BI64+BO64+BU64</f>
        <v>82</v>
      </c>
      <c r="N64" s="376">
        <f t="shared" si="159"/>
        <v>16</v>
      </c>
      <c r="O64" s="376">
        <f t="shared" si="159"/>
        <v>0</v>
      </c>
      <c r="P64" s="376">
        <f t="shared" si="159"/>
        <v>0</v>
      </c>
      <c r="Q64" s="376">
        <f t="shared" si="159"/>
        <v>44</v>
      </c>
      <c r="R64" s="367">
        <f>SUM(S64:W64)</f>
        <v>0</v>
      </c>
      <c r="S64" s="163"/>
      <c r="T64" s="163"/>
      <c r="U64" s="163"/>
      <c r="V64" s="163"/>
      <c r="W64" s="163"/>
      <c r="X64" s="367">
        <f>SUM(Y64:AC64)</f>
        <v>0</v>
      </c>
      <c r="Y64" s="163"/>
      <c r="Z64" s="163"/>
      <c r="AA64" s="163"/>
      <c r="AB64" s="163"/>
      <c r="AC64" s="163"/>
      <c r="AD64" s="367">
        <f t="shared" ref="AD64:AD69" si="160">SUM(AE64:AI64)</f>
        <v>0</v>
      </c>
      <c r="AE64" s="163"/>
      <c r="AF64" s="163"/>
      <c r="AG64" s="163"/>
      <c r="AH64" s="163"/>
      <c r="AI64" s="163"/>
      <c r="AJ64" s="367">
        <f t="shared" ref="AJ64:AJ69" si="161">SUM(AK64:AO64)</f>
        <v>48</v>
      </c>
      <c r="AK64" s="163">
        <v>34</v>
      </c>
      <c r="AL64" s="163"/>
      <c r="AM64" s="163"/>
      <c r="AN64" s="163"/>
      <c r="AO64" s="163">
        <v>14</v>
      </c>
      <c r="AP64" s="367">
        <f t="shared" ref="AP64:AP69" si="162">SUM(AQ64:AU64)</f>
        <v>94</v>
      </c>
      <c r="AQ64" s="177">
        <v>48</v>
      </c>
      <c r="AR64" s="177">
        <v>16</v>
      </c>
      <c r="AS64" s="163"/>
      <c r="AT64" s="163"/>
      <c r="AU64" s="163">
        <v>30</v>
      </c>
      <c r="AV64" s="367">
        <f t="shared" ref="AV64:AV69" si="163">SUM(AW64:BA64)</f>
        <v>0</v>
      </c>
      <c r="AW64" s="163"/>
      <c r="AX64" s="163"/>
      <c r="AY64" s="163"/>
      <c r="AZ64" s="163"/>
      <c r="BA64" s="163"/>
      <c r="BB64" s="367">
        <f t="shared" ref="BB64:BB69" si="164">SUM(BC64:BG64)</f>
        <v>0</v>
      </c>
      <c r="BC64" s="163"/>
      <c r="BD64" s="163"/>
      <c r="BE64" s="163"/>
      <c r="BF64" s="163"/>
      <c r="BG64" s="163"/>
      <c r="BH64" s="367">
        <f t="shared" ref="BH64:BH69" si="165">SUM(BI64:BM64)</f>
        <v>0</v>
      </c>
      <c r="BI64" s="163"/>
      <c r="BJ64" s="163"/>
      <c r="BK64" s="163"/>
      <c r="BL64" s="163"/>
      <c r="BM64" s="163"/>
      <c r="BN64" s="367">
        <f t="shared" ref="BN64:BN69" si="166">SUM(BO64:BS64)</f>
        <v>0</v>
      </c>
      <c r="BO64" s="179"/>
      <c r="BP64" s="179"/>
      <c r="BQ64" s="179"/>
      <c r="BR64" s="179"/>
      <c r="BS64" s="179"/>
      <c r="BT64" s="367">
        <f t="shared" ref="BT64:BT69" si="167">SUM(BU64:BY64)</f>
        <v>0</v>
      </c>
      <c r="BU64" s="179"/>
      <c r="BV64" s="179"/>
      <c r="BW64" s="179"/>
      <c r="BX64" s="179"/>
      <c r="BY64" s="179"/>
      <c r="BZ64" s="363" t="s">
        <v>505</v>
      </c>
      <c r="CA64" s="179" t="s">
        <v>451</v>
      </c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</row>
    <row r="65" spans="1:129" s="90" customFormat="1" ht="26.1" customHeight="1" x14ac:dyDescent="0.2">
      <c r="A65" s="395"/>
      <c r="B65" s="201" t="s">
        <v>472</v>
      </c>
      <c r="C65" s="201" t="s">
        <v>572</v>
      </c>
      <c r="D65" s="396"/>
      <c r="E65" s="529" t="s">
        <v>623</v>
      </c>
      <c r="F65" s="363"/>
      <c r="G65" s="363"/>
      <c r="H65" s="529" t="s">
        <v>624</v>
      </c>
      <c r="I65" s="177"/>
      <c r="J65" s="378"/>
      <c r="K65" s="376">
        <f t="shared" si="157"/>
        <v>414</v>
      </c>
      <c r="L65" s="376">
        <f t="shared" si="158"/>
        <v>285</v>
      </c>
      <c r="M65" s="376">
        <f t="shared" si="159"/>
        <v>186</v>
      </c>
      <c r="N65" s="376">
        <f t="shared" si="159"/>
        <v>99</v>
      </c>
      <c r="O65" s="376">
        <f t="shared" si="159"/>
        <v>0</v>
      </c>
      <c r="P65" s="376">
        <f t="shared" si="159"/>
        <v>0</v>
      </c>
      <c r="Q65" s="376">
        <f t="shared" si="159"/>
        <v>129</v>
      </c>
      <c r="R65" s="367">
        <f>SUM(S65:W65)</f>
        <v>0</v>
      </c>
      <c r="S65" s="177"/>
      <c r="T65" s="177"/>
      <c r="U65" s="177"/>
      <c r="V65" s="177"/>
      <c r="W65" s="177"/>
      <c r="X65" s="367"/>
      <c r="Y65" s="177"/>
      <c r="Z65" s="177"/>
      <c r="AA65" s="177"/>
      <c r="AB65" s="177"/>
      <c r="AC65" s="177"/>
      <c r="AD65" s="367">
        <f t="shared" si="160"/>
        <v>0</v>
      </c>
      <c r="AE65" s="179"/>
      <c r="AF65" s="179"/>
      <c r="AG65" s="177"/>
      <c r="AH65" s="177"/>
      <c r="AI65" s="177"/>
      <c r="AJ65" s="367">
        <f t="shared" si="161"/>
        <v>0</v>
      </c>
      <c r="AK65" s="402"/>
      <c r="AL65" s="179"/>
      <c r="AM65" s="177"/>
      <c r="AN65" s="177"/>
      <c r="AO65" s="177"/>
      <c r="AP65" s="367">
        <f t="shared" si="162"/>
        <v>44</v>
      </c>
      <c r="AQ65" s="177">
        <v>28</v>
      </c>
      <c r="AR65" s="177">
        <v>4</v>
      </c>
      <c r="AS65" s="177"/>
      <c r="AT65" s="177"/>
      <c r="AU65" s="177">
        <v>12</v>
      </c>
      <c r="AV65" s="367">
        <f t="shared" si="163"/>
        <v>98</v>
      </c>
      <c r="AW65" s="179">
        <v>44</v>
      </c>
      <c r="AX65" s="177">
        <v>22</v>
      </c>
      <c r="AY65" s="177"/>
      <c r="AZ65" s="177"/>
      <c r="BA65" s="177">
        <v>32</v>
      </c>
      <c r="BB65" s="367">
        <f t="shared" si="164"/>
        <v>43</v>
      </c>
      <c r="BC65" s="179">
        <v>22</v>
      </c>
      <c r="BD65" s="177">
        <v>11</v>
      </c>
      <c r="BE65" s="177"/>
      <c r="BF65" s="177"/>
      <c r="BG65" s="177">
        <v>10</v>
      </c>
      <c r="BH65" s="367">
        <f t="shared" si="165"/>
        <v>33</v>
      </c>
      <c r="BI65" s="177">
        <v>22</v>
      </c>
      <c r="BJ65" s="177"/>
      <c r="BK65" s="177"/>
      <c r="BL65" s="177"/>
      <c r="BM65" s="177">
        <v>11</v>
      </c>
      <c r="BN65" s="367">
        <f t="shared" si="166"/>
        <v>36</v>
      </c>
      <c r="BO65" s="177">
        <v>16</v>
      </c>
      <c r="BP65" s="177">
        <v>8</v>
      </c>
      <c r="BQ65" s="177"/>
      <c r="BR65" s="177"/>
      <c r="BS65" s="177">
        <v>12</v>
      </c>
      <c r="BT65" s="367">
        <f t="shared" si="167"/>
        <v>160</v>
      </c>
      <c r="BU65" s="177">
        <v>54</v>
      </c>
      <c r="BV65" s="177">
        <v>54</v>
      </c>
      <c r="BW65" s="177"/>
      <c r="BX65" s="177"/>
      <c r="BY65" s="177">
        <v>52</v>
      </c>
      <c r="BZ65" s="363" t="s">
        <v>505</v>
      </c>
      <c r="CA65" s="179" t="s">
        <v>451</v>
      </c>
    </row>
    <row r="66" spans="1:129" s="178" customFormat="1" ht="26.1" customHeight="1" x14ac:dyDescent="0.2">
      <c r="A66" s="395"/>
      <c r="B66" s="201" t="s">
        <v>454</v>
      </c>
      <c r="C66" s="364" t="s">
        <v>573</v>
      </c>
      <c r="D66" s="363"/>
      <c r="E66" s="363" t="s">
        <v>42</v>
      </c>
      <c r="F66" s="363"/>
      <c r="G66" s="181"/>
      <c r="H66" s="363" t="s">
        <v>41</v>
      </c>
      <c r="I66" s="179"/>
      <c r="J66" s="179"/>
      <c r="K66" s="376">
        <f t="shared" si="157"/>
        <v>76</v>
      </c>
      <c r="L66" s="376">
        <f t="shared" si="158"/>
        <v>54</v>
      </c>
      <c r="M66" s="376">
        <f t="shared" si="159"/>
        <v>44</v>
      </c>
      <c r="N66" s="376">
        <f t="shared" si="159"/>
        <v>10</v>
      </c>
      <c r="O66" s="376">
        <f t="shared" si="159"/>
        <v>0</v>
      </c>
      <c r="P66" s="376">
        <f t="shared" si="159"/>
        <v>0</v>
      </c>
      <c r="Q66" s="376">
        <f t="shared" si="159"/>
        <v>22</v>
      </c>
      <c r="R66" s="367">
        <f>SUM(S66:W66)</f>
        <v>0</v>
      </c>
      <c r="S66" s="163"/>
      <c r="T66" s="163"/>
      <c r="U66" s="163"/>
      <c r="V66" s="163"/>
      <c r="W66" s="163"/>
      <c r="X66" s="367">
        <f>SUM(Y66:AC66)</f>
        <v>0</v>
      </c>
      <c r="Y66" s="163"/>
      <c r="Z66" s="163"/>
      <c r="AA66" s="163"/>
      <c r="AB66" s="163"/>
      <c r="AC66" s="163"/>
      <c r="AD66" s="367">
        <f t="shared" si="160"/>
        <v>0</v>
      </c>
      <c r="AE66" s="163"/>
      <c r="AF66" s="163"/>
      <c r="AG66" s="163"/>
      <c r="AH66" s="163"/>
      <c r="AI66" s="163"/>
      <c r="AJ66" s="367">
        <f t="shared" si="161"/>
        <v>0</v>
      </c>
      <c r="AK66" s="163"/>
      <c r="AL66" s="163"/>
      <c r="AM66" s="163"/>
      <c r="AN66" s="163"/>
      <c r="AO66" s="163"/>
      <c r="AP66" s="367">
        <f t="shared" si="162"/>
        <v>44</v>
      </c>
      <c r="AQ66" s="163">
        <v>26</v>
      </c>
      <c r="AR66" s="163">
        <v>6</v>
      </c>
      <c r="AS66" s="163"/>
      <c r="AT66" s="163"/>
      <c r="AU66" s="163">
        <v>12</v>
      </c>
      <c r="AV66" s="367">
        <f t="shared" si="163"/>
        <v>32</v>
      </c>
      <c r="AW66" s="163">
        <v>18</v>
      </c>
      <c r="AX66" s="163">
        <v>4</v>
      </c>
      <c r="AY66" s="163"/>
      <c r="AZ66" s="163"/>
      <c r="BA66" s="163">
        <v>10</v>
      </c>
      <c r="BB66" s="367">
        <f t="shared" si="164"/>
        <v>0</v>
      </c>
      <c r="BC66" s="163"/>
      <c r="BD66" s="163"/>
      <c r="BE66" s="163"/>
      <c r="BF66" s="163"/>
      <c r="BG66" s="163"/>
      <c r="BH66" s="367">
        <f t="shared" si="165"/>
        <v>0</v>
      </c>
      <c r="BI66" s="163"/>
      <c r="BJ66" s="163"/>
      <c r="BK66" s="163"/>
      <c r="BL66" s="163"/>
      <c r="BM66" s="163"/>
      <c r="BN66" s="367">
        <f t="shared" si="166"/>
        <v>0</v>
      </c>
      <c r="BO66" s="179"/>
      <c r="BP66" s="179"/>
      <c r="BQ66" s="179"/>
      <c r="BR66" s="179"/>
      <c r="BS66" s="179"/>
      <c r="BT66" s="367">
        <f t="shared" si="167"/>
        <v>0</v>
      </c>
      <c r="BU66" s="179"/>
      <c r="BV66" s="179"/>
      <c r="BW66" s="179"/>
      <c r="BX66" s="179"/>
      <c r="BY66" s="179"/>
      <c r="BZ66" s="363" t="s">
        <v>512</v>
      </c>
      <c r="CA66" s="551" t="s">
        <v>451</v>
      </c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</row>
    <row r="67" spans="1:129" s="178" customFormat="1" ht="26.1" customHeight="1" x14ac:dyDescent="0.2">
      <c r="A67" s="395"/>
      <c r="B67" s="201" t="s">
        <v>455</v>
      </c>
      <c r="C67" s="364"/>
      <c r="D67" s="363"/>
      <c r="E67" s="363" t="s">
        <v>416</v>
      </c>
      <c r="F67" s="363"/>
      <c r="G67" s="181"/>
      <c r="H67" s="363" t="s">
        <v>39</v>
      </c>
      <c r="I67" s="179"/>
      <c r="J67" s="179"/>
      <c r="K67" s="376">
        <f t="shared" si="157"/>
        <v>128</v>
      </c>
      <c r="L67" s="376">
        <f t="shared" si="158"/>
        <v>88</v>
      </c>
      <c r="M67" s="376">
        <f t="shared" si="159"/>
        <v>52</v>
      </c>
      <c r="N67" s="376">
        <f t="shared" si="159"/>
        <v>36</v>
      </c>
      <c r="O67" s="376">
        <f t="shared" si="159"/>
        <v>0</v>
      </c>
      <c r="P67" s="376">
        <f t="shared" si="159"/>
        <v>0</v>
      </c>
      <c r="Q67" s="376">
        <f t="shared" si="159"/>
        <v>40</v>
      </c>
      <c r="R67" s="367"/>
      <c r="S67" s="163"/>
      <c r="T67" s="163"/>
      <c r="U67" s="163"/>
      <c r="V67" s="163"/>
      <c r="W67" s="163"/>
      <c r="X67" s="367"/>
      <c r="Y67" s="163"/>
      <c r="Z67" s="163"/>
      <c r="AA67" s="163"/>
      <c r="AB67" s="163"/>
      <c r="AC67" s="163"/>
      <c r="AD67" s="367">
        <f t="shared" si="160"/>
        <v>0</v>
      </c>
      <c r="AE67" s="163"/>
      <c r="AF67" s="163"/>
      <c r="AG67" s="163"/>
      <c r="AH67" s="163"/>
      <c r="AI67" s="163"/>
      <c r="AJ67" s="367">
        <f t="shared" si="161"/>
        <v>0</v>
      </c>
      <c r="AK67" s="163"/>
      <c r="AL67" s="163"/>
      <c r="AM67" s="163"/>
      <c r="AN67" s="163"/>
      <c r="AO67" s="163"/>
      <c r="AP67" s="367">
        <f t="shared" si="162"/>
        <v>0</v>
      </c>
      <c r="AQ67" s="163"/>
      <c r="AR67" s="163"/>
      <c r="AS67" s="163"/>
      <c r="AT67" s="163"/>
      <c r="AU67" s="163"/>
      <c r="AV67" s="367">
        <f t="shared" si="163"/>
        <v>0</v>
      </c>
      <c r="AW67" s="163"/>
      <c r="AX67" s="163"/>
      <c r="AY67" s="163"/>
      <c r="AZ67" s="163"/>
      <c r="BA67" s="163"/>
      <c r="BB67" s="367">
        <f t="shared" si="164"/>
        <v>0</v>
      </c>
      <c r="BC67" s="163"/>
      <c r="BD67" s="163"/>
      <c r="BE67" s="163"/>
      <c r="BF67" s="163"/>
      <c r="BG67" s="163"/>
      <c r="BH67" s="367">
        <f t="shared" si="165"/>
        <v>0</v>
      </c>
      <c r="BI67" s="163"/>
      <c r="BJ67" s="163"/>
      <c r="BK67" s="163"/>
      <c r="BL67" s="163"/>
      <c r="BM67" s="163"/>
      <c r="BN67" s="367">
        <f t="shared" si="166"/>
        <v>22</v>
      </c>
      <c r="BO67" s="179">
        <v>16</v>
      </c>
      <c r="BP67" s="179"/>
      <c r="BQ67" s="179"/>
      <c r="BR67" s="179"/>
      <c r="BS67" s="179">
        <v>6</v>
      </c>
      <c r="BT67" s="367">
        <f t="shared" si="167"/>
        <v>106</v>
      </c>
      <c r="BU67" s="179">
        <v>36</v>
      </c>
      <c r="BV67" s="179">
        <v>36</v>
      </c>
      <c r="BW67" s="179"/>
      <c r="BX67" s="179"/>
      <c r="BY67" s="179">
        <v>34</v>
      </c>
      <c r="BZ67" s="363" t="s">
        <v>505</v>
      </c>
      <c r="CA67" s="179" t="s">
        <v>451</v>
      </c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</row>
    <row r="68" spans="1:129" s="178" customFormat="1" ht="26.1" customHeight="1" x14ac:dyDescent="0.2">
      <c r="A68" s="395"/>
      <c r="B68" s="201" t="s">
        <v>410</v>
      </c>
      <c r="C68" s="364"/>
      <c r="D68" s="298"/>
      <c r="E68" s="363" t="s">
        <v>42</v>
      </c>
      <c r="F68" s="363"/>
      <c r="G68" s="181"/>
      <c r="H68" s="363"/>
      <c r="I68" s="179"/>
      <c r="J68" s="179"/>
      <c r="K68" s="376">
        <f t="shared" si="157"/>
        <v>65</v>
      </c>
      <c r="L68" s="376">
        <f t="shared" si="158"/>
        <v>55</v>
      </c>
      <c r="M68" s="376">
        <f t="shared" si="159"/>
        <v>44</v>
      </c>
      <c r="N68" s="376">
        <f t="shared" si="159"/>
        <v>11</v>
      </c>
      <c r="O68" s="376">
        <f t="shared" si="159"/>
        <v>0</v>
      </c>
      <c r="P68" s="376">
        <f t="shared" si="159"/>
        <v>0</v>
      </c>
      <c r="Q68" s="376">
        <f t="shared" si="159"/>
        <v>10</v>
      </c>
      <c r="R68" s="367">
        <f>SUM(S68:W68)</f>
        <v>0</v>
      </c>
      <c r="S68" s="163"/>
      <c r="T68" s="163"/>
      <c r="U68" s="163"/>
      <c r="V68" s="163"/>
      <c r="W68" s="163"/>
      <c r="X68" s="367">
        <f>SUM(Y68:AC68)</f>
        <v>0</v>
      </c>
      <c r="Y68" s="163"/>
      <c r="Z68" s="163"/>
      <c r="AA68" s="163"/>
      <c r="AB68" s="163"/>
      <c r="AC68" s="163"/>
      <c r="AD68" s="367">
        <f t="shared" si="160"/>
        <v>0</v>
      </c>
      <c r="AE68" s="163"/>
      <c r="AF68" s="163"/>
      <c r="AG68" s="163"/>
      <c r="AH68" s="163"/>
      <c r="AI68" s="163"/>
      <c r="AJ68" s="367">
        <f t="shared" si="161"/>
        <v>0</v>
      </c>
      <c r="AK68" s="163"/>
      <c r="AL68" s="163"/>
      <c r="AM68" s="163"/>
      <c r="AN68" s="163"/>
      <c r="AO68" s="163"/>
      <c r="AP68" s="367">
        <f t="shared" si="162"/>
        <v>0</v>
      </c>
      <c r="AQ68" s="163"/>
      <c r="AR68" s="163"/>
      <c r="AS68" s="163"/>
      <c r="AT68" s="163"/>
      <c r="AU68" s="163"/>
      <c r="AV68" s="367">
        <f t="shared" si="163"/>
        <v>65</v>
      </c>
      <c r="AW68" s="163">
        <v>44</v>
      </c>
      <c r="AX68" s="163">
        <v>11</v>
      </c>
      <c r="AY68" s="163"/>
      <c r="AZ68" s="163"/>
      <c r="BA68" s="163">
        <v>10</v>
      </c>
      <c r="BB68" s="367">
        <f t="shared" si="164"/>
        <v>0</v>
      </c>
      <c r="BC68" s="163"/>
      <c r="BD68" s="163"/>
      <c r="BE68" s="163"/>
      <c r="BF68" s="163"/>
      <c r="BG68" s="163"/>
      <c r="BH68" s="367">
        <f t="shared" si="165"/>
        <v>0</v>
      </c>
      <c r="BI68" s="163"/>
      <c r="BJ68" s="163"/>
      <c r="BK68" s="163"/>
      <c r="BL68" s="163"/>
      <c r="BM68" s="163"/>
      <c r="BN68" s="367">
        <f t="shared" si="166"/>
        <v>0</v>
      </c>
      <c r="BO68" s="179"/>
      <c r="BP68" s="179"/>
      <c r="BQ68" s="179"/>
      <c r="BR68" s="179"/>
      <c r="BS68" s="179"/>
      <c r="BT68" s="367">
        <f t="shared" si="167"/>
        <v>0</v>
      </c>
      <c r="BU68" s="179"/>
      <c r="BV68" s="179"/>
      <c r="BW68" s="179"/>
      <c r="BX68" s="179"/>
      <c r="BY68" s="179"/>
      <c r="BZ68" s="363" t="s">
        <v>512</v>
      </c>
      <c r="CA68" s="177" t="s">
        <v>513</v>
      </c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</row>
    <row r="69" spans="1:129" s="178" customFormat="1" ht="26.1" customHeight="1" x14ac:dyDescent="0.2">
      <c r="A69" s="395"/>
      <c r="B69" s="201" t="s">
        <v>479</v>
      </c>
      <c r="C69" s="364"/>
      <c r="D69" s="298"/>
      <c r="E69" s="363" t="s">
        <v>43</v>
      </c>
      <c r="F69" s="363"/>
      <c r="G69" s="181"/>
      <c r="H69" s="363"/>
      <c r="I69" s="179"/>
      <c r="J69" s="179"/>
      <c r="K69" s="376">
        <f t="shared" si="157"/>
        <v>49</v>
      </c>
      <c r="L69" s="376">
        <f t="shared" si="158"/>
        <v>33</v>
      </c>
      <c r="M69" s="376">
        <f t="shared" si="159"/>
        <v>22</v>
      </c>
      <c r="N69" s="376">
        <f t="shared" si="159"/>
        <v>11</v>
      </c>
      <c r="O69" s="376">
        <f t="shared" si="159"/>
        <v>0</v>
      </c>
      <c r="P69" s="376">
        <f t="shared" si="159"/>
        <v>0</v>
      </c>
      <c r="Q69" s="376">
        <f t="shared" si="159"/>
        <v>16</v>
      </c>
      <c r="R69" s="367">
        <f>SUM(S69:W69)</f>
        <v>0</v>
      </c>
      <c r="S69" s="163"/>
      <c r="T69" s="163"/>
      <c r="U69" s="163"/>
      <c r="V69" s="163"/>
      <c r="W69" s="163"/>
      <c r="X69" s="367">
        <f>SUM(Y69:AC69)</f>
        <v>0</v>
      </c>
      <c r="Y69" s="163"/>
      <c r="Z69" s="163"/>
      <c r="AA69" s="163"/>
      <c r="AB69" s="163"/>
      <c r="AC69" s="163"/>
      <c r="AD69" s="367">
        <f t="shared" si="160"/>
        <v>0</v>
      </c>
      <c r="AE69" s="163"/>
      <c r="AF69" s="163"/>
      <c r="AG69" s="163"/>
      <c r="AH69" s="163"/>
      <c r="AI69" s="163"/>
      <c r="AJ69" s="367">
        <f t="shared" si="161"/>
        <v>0</v>
      </c>
      <c r="AK69" s="163"/>
      <c r="AL69" s="163"/>
      <c r="AM69" s="163"/>
      <c r="AN69" s="163"/>
      <c r="AO69" s="163"/>
      <c r="AP69" s="367">
        <f t="shared" si="162"/>
        <v>0</v>
      </c>
      <c r="AQ69" s="163"/>
      <c r="AR69" s="163"/>
      <c r="AS69" s="163"/>
      <c r="AT69" s="163"/>
      <c r="AU69" s="163"/>
      <c r="AV69" s="367">
        <f t="shared" si="163"/>
        <v>0</v>
      </c>
      <c r="AW69" s="163"/>
      <c r="AX69" s="163"/>
      <c r="AY69" s="163"/>
      <c r="AZ69" s="163"/>
      <c r="BA69" s="163"/>
      <c r="BB69" s="367">
        <f t="shared" si="164"/>
        <v>49</v>
      </c>
      <c r="BC69" s="163">
        <v>22</v>
      </c>
      <c r="BD69" s="163">
        <v>11</v>
      </c>
      <c r="BE69" s="163"/>
      <c r="BF69" s="163"/>
      <c r="BG69" s="163">
        <v>16</v>
      </c>
      <c r="BH69" s="367">
        <f t="shared" si="165"/>
        <v>0</v>
      </c>
      <c r="BI69" s="163"/>
      <c r="BJ69" s="163"/>
      <c r="BK69" s="163"/>
      <c r="BL69" s="163"/>
      <c r="BM69" s="163"/>
      <c r="BN69" s="367">
        <f t="shared" si="166"/>
        <v>0</v>
      </c>
      <c r="BO69" s="179"/>
      <c r="BP69" s="179"/>
      <c r="BQ69" s="179"/>
      <c r="BR69" s="179"/>
      <c r="BS69" s="179"/>
      <c r="BT69" s="367">
        <f t="shared" si="167"/>
        <v>0</v>
      </c>
      <c r="BU69" s="179"/>
      <c r="BV69" s="179"/>
      <c r="BW69" s="179"/>
      <c r="BX69" s="179"/>
      <c r="BY69" s="179"/>
      <c r="BZ69" s="363" t="s">
        <v>512</v>
      </c>
      <c r="CA69" s="177" t="s">
        <v>514</v>
      </c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</row>
    <row r="70" spans="1:129" s="178" customFormat="1" ht="26.1" customHeight="1" x14ac:dyDescent="0.2">
      <c r="A70" s="449" t="s">
        <v>554</v>
      </c>
      <c r="B70" s="678" t="s">
        <v>456</v>
      </c>
      <c r="C70" s="679"/>
      <c r="D70" s="679"/>
      <c r="E70" s="679"/>
      <c r="F70" s="679"/>
      <c r="G70" s="679"/>
      <c r="H70" s="680"/>
      <c r="I70" s="450"/>
      <c r="J70" s="450"/>
      <c r="K70" s="451">
        <f>SUM(K71:K73)</f>
        <v>556</v>
      </c>
      <c r="L70" s="451">
        <f t="shared" ref="L70:Q70" si="168">SUM(L71:L73)</f>
        <v>373</v>
      </c>
      <c r="M70" s="451">
        <f t="shared" si="168"/>
        <v>275</v>
      </c>
      <c r="N70" s="451">
        <f t="shared" si="168"/>
        <v>65</v>
      </c>
      <c r="O70" s="451">
        <f t="shared" si="168"/>
        <v>33</v>
      </c>
      <c r="P70" s="451">
        <f t="shared" si="168"/>
        <v>0</v>
      </c>
      <c r="Q70" s="451">
        <f t="shared" si="168"/>
        <v>183</v>
      </c>
      <c r="R70" s="451">
        <f>SUM(R71:R73)</f>
        <v>0</v>
      </c>
      <c r="S70" s="451">
        <f t="shared" ref="S70:AP70" si="169">SUM(S71:S73)</f>
        <v>0</v>
      </c>
      <c r="T70" s="451">
        <f t="shared" si="169"/>
        <v>0</v>
      </c>
      <c r="U70" s="451">
        <f t="shared" si="169"/>
        <v>0</v>
      </c>
      <c r="V70" s="451">
        <f t="shared" si="169"/>
        <v>0</v>
      </c>
      <c r="W70" s="451">
        <f t="shared" si="169"/>
        <v>0</v>
      </c>
      <c r="X70" s="451">
        <f t="shared" si="169"/>
        <v>0</v>
      </c>
      <c r="Y70" s="451">
        <f t="shared" si="169"/>
        <v>0</v>
      </c>
      <c r="Z70" s="451">
        <f t="shared" si="169"/>
        <v>0</v>
      </c>
      <c r="AA70" s="451">
        <f t="shared" si="169"/>
        <v>0</v>
      </c>
      <c r="AB70" s="451">
        <f t="shared" si="169"/>
        <v>0</v>
      </c>
      <c r="AC70" s="451">
        <f t="shared" si="169"/>
        <v>0</v>
      </c>
      <c r="AD70" s="451">
        <f t="shared" si="169"/>
        <v>0</v>
      </c>
      <c r="AE70" s="451">
        <f t="shared" si="169"/>
        <v>0</v>
      </c>
      <c r="AF70" s="451">
        <f t="shared" si="169"/>
        <v>0</v>
      </c>
      <c r="AG70" s="451">
        <f t="shared" si="169"/>
        <v>0</v>
      </c>
      <c r="AH70" s="451">
        <f t="shared" si="169"/>
        <v>0</v>
      </c>
      <c r="AI70" s="451">
        <f t="shared" si="169"/>
        <v>0</v>
      </c>
      <c r="AJ70" s="451">
        <f t="shared" si="169"/>
        <v>138</v>
      </c>
      <c r="AK70" s="451">
        <f t="shared" si="169"/>
        <v>95</v>
      </c>
      <c r="AL70" s="451">
        <f t="shared" si="169"/>
        <v>0</v>
      </c>
      <c r="AM70" s="451">
        <f t="shared" si="169"/>
        <v>0</v>
      </c>
      <c r="AN70" s="451">
        <f t="shared" si="169"/>
        <v>0</v>
      </c>
      <c r="AO70" s="451">
        <f t="shared" si="169"/>
        <v>43</v>
      </c>
      <c r="AP70" s="451">
        <f t="shared" si="169"/>
        <v>180</v>
      </c>
      <c r="AQ70" s="535">
        <f>SUM(AQ71:AQ73)</f>
        <v>92</v>
      </c>
      <c r="AR70" s="535">
        <f t="shared" ref="AR70:BY70" si="170">SUM(AR71:AR73)</f>
        <v>32</v>
      </c>
      <c r="AS70" s="535">
        <f t="shared" si="170"/>
        <v>0</v>
      </c>
      <c r="AT70" s="535">
        <f t="shared" si="170"/>
        <v>0</v>
      </c>
      <c r="AU70" s="535">
        <f t="shared" si="170"/>
        <v>56</v>
      </c>
      <c r="AV70" s="535">
        <f t="shared" si="170"/>
        <v>95</v>
      </c>
      <c r="AW70" s="535">
        <f t="shared" si="170"/>
        <v>22</v>
      </c>
      <c r="AX70" s="535">
        <f t="shared" si="170"/>
        <v>33</v>
      </c>
      <c r="AY70" s="535">
        <f t="shared" si="170"/>
        <v>0</v>
      </c>
      <c r="AZ70" s="535">
        <f t="shared" si="170"/>
        <v>0</v>
      </c>
      <c r="BA70" s="535">
        <f t="shared" si="170"/>
        <v>40</v>
      </c>
      <c r="BB70" s="535">
        <f t="shared" si="170"/>
        <v>33</v>
      </c>
      <c r="BC70" s="535">
        <f t="shared" si="170"/>
        <v>22</v>
      </c>
      <c r="BD70" s="535">
        <f t="shared" si="170"/>
        <v>0</v>
      </c>
      <c r="BE70" s="535">
        <f t="shared" si="170"/>
        <v>0</v>
      </c>
      <c r="BF70" s="535">
        <f t="shared" si="170"/>
        <v>0</v>
      </c>
      <c r="BG70" s="535">
        <f t="shared" si="170"/>
        <v>11</v>
      </c>
      <c r="BH70" s="535">
        <f t="shared" si="170"/>
        <v>110</v>
      </c>
      <c r="BI70" s="535">
        <f t="shared" si="170"/>
        <v>44</v>
      </c>
      <c r="BJ70" s="535">
        <f t="shared" si="170"/>
        <v>0</v>
      </c>
      <c r="BK70" s="535">
        <f t="shared" si="170"/>
        <v>33</v>
      </c>
      <c r="BL70" s="535">
        <f t="shared" si="170"/>
        <v>0</v>
      </c>
      <c r="BM70" s="535">
        <f t="shared" si="170"/>
        <v>33</v>
      </c>
      <c r="BN70" s="535">
        <f>SUM(BN71:BN73)</f>
        <v>0</v>
      </c>
      <c r="BO70" s="535">
        <f>SUM(BO71:BO73)</f>
        <v>0</v>
      </c>
      <c r="BP70" s="535">
        <f t="shared" si="170"/>
        <v>0</v>
      </c>
      <c r="BQ70" s="535">
        <f t="shared" si="170"/>
        <v>0</v>
      </c>
      <c r="BR70" s="535">
        <f t="shared" si="170"/>
        <v>0</v>
      </c>
      <c r="BS70" s="535">
        <f t="shared" si="170"/>
        <v>0</v>
      </c>
      <c r="BT70" s="535">
        <f t="shared" si="170"/>
        <v>0</v>
      </c>
      <c r="BU70" s="535">
        <f>SUM(BU71:BU73)</f>
        <v>0</v>
      </c>
      <c r="BV70" s="535">
        <f t="shared" si="170"/>
        <v>0</v>
      </c>
      <c r="BW70" s="535">
        <f t="shared" si="170"/>
        <v>0</v>
      </c>
      <c r="BX70" s="535">
        <f t="shared" si="170"/>
        <v>0</v>
      </c>
      <c r="BY70" s="535">
        <f t="shared" si="170"/>
        <v>0</v>
      </c>
      <c r="BZ70" s="450"/>
      <c r="CA70" s="450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</row>
    <row r="71" spans="1:129" s="178" customFormat="1" ht="26.1" customHeight="1" x14ac:dyDescent="0.2">
      <c r="A71" s="403"/>
      <c r="B71" s="201" t="s">
        <v>457</v>
      </c>
      <c r="C71" s="364"/>
      <c r="D71" s="363" t="s">
        <v>42</v>
      </c>
      <c r="E71" s="529" t="s">
        <v>38</v>
      </c>
      <c r="F71" s="363"/>
      <c r="G71" s="529" t="s">
        <v>38</v>
      </c>
      <c r="H71" s="529" t="s">
        <v>629</v>
      </c>
      <c r="I71" s="179"/>
      <c r="J71" s="179"/>
      <c r="K71" s="376">
        <f>L71+SUM(Q71:Q71)</f>
        <v>297</v>
      </c>
      <c r="L71" s="376">
        <f>SUM(M71:P71)</f>
        <v>204</v>
      </c>
      <c r="M71" s="376">
        <f t="shared" ref="M71:Q73" si="171">S71+Y71+AE71+AK71+AQ71+AW71+BC71+BI71+BO71+BU71</f>
        <v>171</v>
      </c>
      <c r="N71" s="376">
        <f t="shared" si="171"/>
        <v>0</v>
      </c>
      <c r="O71" s="376">
        <f t="shared" si="171"/>
        <v>33</v>
      </c>
      <c r="P71" s="376">
        <f t="shared" si="171"/>
        <v>0</v>
      </c>
      <c r="Q71" s="376">
        <f t="shared" si="171"/>
        <v>93</v>
      </c>
      <c r="R71" s="367">
        <f>SUM(S71:W71)</f>
        <v>0</v>
      </c>
      <c r="S71" s="163"/>
      <c r="T71" s="163"/>
      <c r="U71" s="163"/>
      <c r="V71" s="163"/>
      <c r="W71" s="163"/>
      <c r="X71" s="367">
        <f>SUM(Y71:AC71)</f>
        <v>0</v>
      </c>
      <c r="Y71" s="163"/>
      <c r="Z71" s="163"/>
      <c r="AA71" s="163"/>
      <c r="AB71" s="163"/>
      <c r="AC71" s="163"/>
      <c r="AD71" s="367">
        <f>SUM(AE71:AI71)</f>
        <v>0</v>
      </c>
      <c r="AE71" s="163"/>
      <c r="AF71" s="163"/>
      <c r="AG71" s="163"/>
      <c r="AH71" s="163"/>
      <c r="AI71" s="163"/>
      <c r="AJ71" s="367">
        <f>SUM(AK71:AO71)</f>
        <v>76</v>
      </c>
      <c r="AK71" s="163">
        <v>51</v>
      </c>
      <c r="AL71" s="163"/>
      <c r="AM71" s="163"/>
      <c r="AN71" s="163"/>
      <c r="AO71" s="163">
        <v>25</v>
      </c>
      <c r="AP71" s="367">
        <f>SUM(AQ71:AU71)</f>
        <v>46</v>
      </c>
      <c r="AQ71" s="163">
        <v>32</v>
      </c>
      <c r="AR71" s="163"/>
      <c r="AS71" s="163"/>
      <c r="AT71" s="163"/>
      <c r="AU71" s="163">
        <v>14</v>
      </c>
      <c r="AV71" s="367">
        <f>SUM(AW71:BA71)</f>
        <v>32</v>
      </c>
      <c r="AW71" s="163">
        <v>22</v>
      </c>
      <c r="AX71" s="163"/>
      <c r="AY71" s="163"/>
      <c r="AZ71" s="163"/>
      <c r="BA71" s="163">
        <v>10</v>
      </c>
      <c r="BB71" s="367">
        <f>SUM(BC71:BG71)</f>
        <v>33</v>
      </c>
      <c r="BC71" s="163">
        <v>22</v>
      </c>
      <c r="BD71" s="163"/>
      <c r="BE71" s="163"/>
      <c r="BF71" s="163"/>
      <c r="BG71" s="163">
        <v>11</v>
      </c>
      <c r="BH71" s="367">
        <f>SUM(BI71:BM71)</f>
        <v>110</v>
      </c>
      <c r="BI71" s="163">
        <v>44</v>
      </c>
      <c r="BJ71" s="163"/>
      <c r="BK71" s="163">
        <v>33</v>
      </c>
      <c r="BL71" s="163"/>
      <c r="BM71" s="163">
        <v>33</v>
      </c>
      <c r="BN71" s="367">
        <f>SUM(BO71:BS71)</f>
        <v>0</v>
      </c>
      <c r="BO71" s="179"/>
      <c r="BP71" s="179"/>
      <c r="BQ71" s="179"/>
      <c r="BR71" s="179"/>
      <c r="BS71" s="179"/>
      <c r="BT71" s="367">
        <f>SUM(BU71:BY71)</f>
        <v>0</v>
      </c>
      <c r="BU71" s="179"/>
      <c r="BV71" s="179"/>
      <c r="BW71" s="179"/>
      <c r="BX71" s="179"/>
      <c r="BY71" s="179"/>
      <c r="BZ71" s="363" t="s">
        <v>506</v>
      </c>
      <c r="CA71" s="179" t="s">
        <v>451</v>
      </c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</row>
    <row r="72" spans="1:129" s="178" customFormat="1" ht="26.1" customHeight="1" x14ac:dyDescent="0.2">
      <c r="A72" s="403"/>
      <c r="B72" s="201" t="s">
        <v>458</v>
      </c>
      <c r="C72" s="364" t="s">
        <v>575</v>
      </c>
      <c r="D72" s="298"/>
      <c r="E72" s="396" t="s">
        <v>41</v>
      </c>
      <c r="F72" s="396"/>
      <c r="G72" s="363"/>
      <c r="H72" s="363" t="s">
        <v>40</v>
      </c>
      <c r="I72" s="179"/>
      <c r="J72" s="179"/>
      <c r="K72" s="376">
        <f>L72+SUM(Q72:Q72)</f>
        <v>126</v>
      </c>
      <c r="L72" s="376">
        <f>SUM(M72:P72)</f>
        <v>88</v>
      </c>
      <c r="M72" s="376">
        <f t="shared" si="171"/>
        <v>88</v>
      </c>
      <c r="N72" s="376">
        <f t="shared" si="171"/>
        <v>0</v>
      </c>
      <c r="O72" s="376">
        <f t="shared" si="171"/>
        <v>0</v>
      </c>
      <c r="P72" s="376">
        <f t="shared" si="171"/>
        <v>0</v>
      </c>
      <c r="Q72" s="376">
        <f t="shared" si="171"/>
        <v>38</v>
      </c>
      <c r="R72" s="367">
        <f>SUM(S72:W72)</f>
        <v>0</v>
      </c>
      <c r="S72" s="163"/>
      <c r="T72" s="163"/>
      <c r="U72" s="163"/>
      <c r="V72" s="163"/>
      <c r="W72" s="163"/>
      <c r="X72" s="367">
        <f>SUM(Y72:AC72)</f>
        <v>0</v>
      </c>
      <c r="Y72" s="163"/>
      <c r="Z72" s="163"/>
      <c r="AA72" s="163"/>
      <c r="AB72" s="163"/>
      <c r="AC72" s="163"/>
      <c r="AD72" s="367">
        <f>SUM(AE72:AI72)</f>
        <v>0</v>
      </c>
      <c r="AE72" s="163"/>
      <c r="AF72" s="163"/>
      <c r="AG72" s="163"/>
      <c r="AH72" s="163"/>
      <c r="AI72" s="163"/>
      <c r="AJ72" s="367">
        <f>SUM(AK72:AO72)</f>
        <v>62</v>
      </c>
      <c r="AK72" s="163">
        <v>44</v>
      </c>
      <c r="AL72" s="163"/>
      <c r="AM72" s="163"/>
      <c r="AN72" s="163"/>
      <c r="AO72" s="163">
        <v>18</v>
      </c>
      <c r="AP72" s="367">
        <f>SUM(AQ72:AU72)</f>
        <v>64</v>
      </c>
      <c r="AQ72" s="163">
        <v>44</v>
      </c>
      <c r="AR72" s="163"/>
      <c r="AS72" s="163"/>
      <c r="AT72" s="163"/>
      <c r="AU72" s="163">
        <v>20</v>
      </c>
      <c r="AV72" s="367">
        <f>SUM(AW72:BA72)</f>
        <v>0</v>
      </c>
      <c r="AW72" s="163"/>
      <c r="AX72" s="163"/>
      <c r="AY72" s="163"/>
      <c r="AZ72" s="163"/>
      <c r="BA72" s="163"/>
      <c r="BB72" s="367">
        <f>SUM(BC72:BG72)</f>
        <v>0</v>
      </c>
      <c r="BC72" s="163"/>
      <c r="BD72" s="163"/>
      <c r="BE72" s="163"/>
      <c r="BF72" s="163"/>
      <c r="BG72" s="163"/>
      <c r="BH72" s="367">
        <f>SUM(BI72:BM72)</f>
        <v>0</v>
      </c>
      <c r="BI72" s="163"/>
      <c r="BJ72" s="163"/>
      <c r="BK72" s="163"/>
      <c r="BL72" s="163"/>
      <c r="BM72" s="163"/>
      <c r="BN72" s="367">
        <f>SUM(BO72:BS72)</f>
        <v>0</v>
      </c>
      <c r="BO72" s="179"/>
      <c r="BP72" s="179"/>
      <c r="BQ72" s="179"/>
      <c r="BR72" s="179"/>
      <c r="BS72" s="179"/>
      <c r="BT72" s="367">
        <f>SUM(BU72:BY72)</f>
        <v>0</v>
      </c>
      <c r="BU72" s="179"/>
      <c r="BV72" s="179"/>
      <c r="BW72" s="179"/>
      <c r="BX72" s="179"/>
      <c r="BY72" s="179"/>
      <c r="BZ72" s="363" t="s">
        <v>506</v>
      </c>
      <c r="CA72" s="179" t="s">
        <v>451</v>
      </c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</row>
    <row r="73" spans="1:129" s="178" customFormat="1" ht="26.1" customHeight="1" x14ac:dyDescent="0.2">
      <c r="A73" s="403"/>
      <c r="B73" s="364" t="s">
        <v>371</v>
      </c>
      <c r="C73" s="364" t="s">
        <v>574</v>
      </c>
      <c r="D73" s="399"/>
      <c r="E73" s="531"/>
      <c r="F73" s="531" t="s">
        <v>42</v>
      </c>
      <c r="G73" s="363"/>
      <c r="H73" s="529" t="s">
        <v>41</v>
      </c>
      <c r="I73" s="179"/>
      <c r="J73" s="179"/>
      <c r="K73" s="376">
        <f>L73+SUM(Q73:Q73)</f>
        <v>133</v>
      </c>
      <c r="L73" s="376">
        <f>SUM(M73:P73)</f>
        <v>81</v>
      </c>
      <c r="M73" s="376">
        <f t="shared" si="171"/>
        <v>16</v>
      </c>
      <c r="N73" s="376">
        <f t="shared" si="171"/>
        <v>65</v>
      </c>
      <c r="O73" s="376">
        <f t="shared" si="171"/>
        <v>0</v>
      </c>
      <c r="P73" s="376">
        <f t="shared" si="171"/>
        <v>0</v>
      </c>
      <c r="Q73" s="376">
        <f t="shared" si="171"/>
        <v>52</v>
      </c>
      <c r="R73" s="367">
        <f>SUM(S73:W73)</f>
        <v>0</v>
      </c>
      <c r="S73" s="163"/>
      <c r="T73" s="163"/>
      <c r="U73" s="163"/>
      <c r="V73" s="163"/>
      <c r="W73" s="163"/>
      <c r="X73" s="367">
        <f>SUM(Y73:AC73)</f>
        <v>0</v>
      </c>
      <c r="Y73" s="163"/>
      <c r="Z73" s="163"/>
      <c r="AA73" s="163"/>
      <c r="AB73" s="163"/>
      <c r="AC73" s="163"/>
      <c r="AD73" s="367">
        <f>SUM(AE73:AI73)</f>
        <v>0</v>
      </c>
      <c r="AE73" s="163"/>
      <c r="AF73" s="163"/>
      <c r="AG73" s="163"/>
      <c r="AH73" s="163"/>
      <c r="AI73" s="163"/>
      <c r="AJ73" s="367">
        <f>SUM(AK73:AO73)</f>
        <v>0</v>
      </c>
      <c r="AK73" s="163"/>
      <c r="AL73" s="163"/>
      <c r="AM73" s="163"/>
      <c r="AN73" s="163"/>
      <c r="AO73" s="163"/>
      <c r="AP73" s="367">
        <f>SUM(AQ73:AU73)</f>
        <v>70</v>
      </c>
      <c r="AQ73" s="163">
        <v>16</v>
      </c>
      <c r="AR73" s="163">
        <v>32</v>
      </c>
      <c r="AS73" s="163"/>
      <c r="AT73" s="163"/>
      <c r="AU73" s="163">
        <v>22</v>
      </c>
      <c r="AV73" s="367">
        <f>SUM(AW73:BA73)</f>
        <v>63</v>
      </c>
      <c r="AW73" s="163"/>
      <c r="AX73" s="163">
        <v>33</v>
      </c>
      <c r="AY73" s="163"/>
      <c r="AZ73" s="163"/>
      <c r="BA73" s="163">
        <v>30</v>
      </c>
      <c r="BB73" s="367">
        <f>SUM(BC73:BG73)</f>
        <v>0</v>
      </c>
      <c r="BC73" s="163"/>
      <c r="BD73" s="163"/>
      <c r="BE73" s="163"/>
      <c r="BF73" s="163"/>
      <c r="BG73" s="163"/>
      <c r="BH73" s="367">
        <f>SUM(BI73:BM73)</f>
        <v>0</v>
      </c>
      <c r="BI73" s="163"/>
      <c r="BJ73" s="163"/>
      <c r="BK73" s="163"/>
      <c r="BL73" s="163"/>
      <c r="BM73" s="163"/>
      <c r="BN73" s="367">
        <f>SUM(BO73:BS73)</f>
        <v>0</v>
      </c>
      <c r="BO73" s="179"/>
      <c r="BP73" s="179"/>
      <c r="BQ73" s="179"/>
      <c r="BR73" s="179"/>
      <c r="BS73" s="179"/>
      <c r="BT73" s="367">
        <f>SUM(BU73:BY73)</f>
        <v>0</v>
      </c>
      <c r="BU73" s="179"/>
      <c r="BV73" s="179"/>
      <c r="BW73" s="179"/>
      <c r="BX73" s="179"/>
      <c r="BY73" s="179"/>
      <c r="BZ73" s="363" t="s">
        <v>506</v>
      </c>
      <c r="CA73" s="179" t="s">
        <v>451</v>
      </c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</row>
    <row r="74" spans="1:129" s="95" customFormat="1" ht="12" customHeight="1" x14ac:dyDescent="0.2">
      <c r="A74" s="382" t="s">
        <v>385</v>
      </c>
      <c r="B74" s="382"/>
      <c r="C74" s="382"/>
      <c r="D74" s="404" t="s">
        <v>416</v>
      </c>
      <c r="E74" s="383"/>
      <c r="F74" s="383"/>
      <c r="G74" s="382"/>
      <c r="H74" s="405"/>
      <c r="I74" s="406"/>
      <c r="J74" s="406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406"/>
      <c r="Y74" s="406"/>
      <c r="Z74" s="406"/>
      <c r="AA74" s="406"/>
      <c r="AB74" s="406"/>
      <c r="AC74" s="406"/>
      <c r="AD74" s="406"/>
      <c r="AE74" s="406"/>
      <c r="AF74" s="406"/>
      <c r="AG74" s="406"/>
      <c r="AH74" s="406"/>
      <c r="AI74" s="406"/>
      <c r="AJ74" s="406"/>
      <c r="AK74" s="406"/>
      <c r="AL74" s="406"/>
      <c r="AM74" s="406"/>
      <c r="AN74" s="406"/>
      <c r="AO74" s="406"/>
      <c r="AP74" s="406"/>
      <c r="AQ74" s="406"/>
      <c r="AR74" s="406"/>
      <c r="AS74" s="406"/>
      <c r="AT74" s="406"/>
      <c r="AU74" s="406"/>
      <c r="AV74" s="406"/>
      <c r="AW74" s="406"/>
      <c r="AX74" s="406"/>
      <c r="AY74" s="406"/>
      <c r="AZ74" s="406"/>
      <c r="BA74" s="406"/>
      <c r="BB74" s="406"/>
      <c r="BC74" s="406"/>
      <c r="BD74" s="406"/>
      <c r="BE74" s="406"/>
      <c r="BF74" s="406"/>
      <c r="BG74" s="406"/>
      <c r="BH74" s="406"/>
      <c r="BI74" s="406"/>
      <c r="BJ74" s="406"/>
      <c r="BK74" s="406"/>
      <c r="BL74" s="406"/>
      <c r="BM74" s="406"/>
      <c r="BN74" s="406"/>
      <c r="BO74" s="406"/>
      <c r="BP74" s="406"/>
      <c r="BQ74" s="406"/>
      <c r="BR74" s="406"/>
      <c r="BS74" s="406"/>
      <c r="BT74" s="406"/>
      <c r="BU74" s="406"/>
      <c r="BV74" s="406"/>
      <c r="BW74" s="406"/>
      <c r="BX74" s="406"/>
      <c r="BY74" s="406"/>
      <c r="BZ74" s="405"/>
      <c r="CA74" s="406"/>
    </row>
    <row r="75" spans="1:129" s="94" customFormat="1" ht="26.1" customHeight="1" x14ac:dyDescent="0.2">
      <c r="A75" s="443" t="s">
        <v>206</v>
      </c>
      <c r="B75" s="675" t="s">
        <v>207</v>
      </c>
      <c r="C75" s="676"/>
      <c r="D75" s="676"/>
      <c r="E75" s="676"/>
      <c r="F75" s="676"/>
      <c r="G75" s="676"/>
      <c r="H75" s="677"/>
      <c r="I75" s="444"/>
      <c r="J75" s="444"/>
      <c r="K75" s="380">
        <f>K76</f>
        <v>420</v>
      </c>
      <c r="L75" s="380">
        <f>L76</f>
        <v>300</v>
      </c>
      <c r="M75" s="380">
        <f t="shared" ref="M75:Q75" si="172">M76</f>
        <v>90</v>
      </c>
      <c r="N75" s="380">
        <f t="shared" si="172"/>
        <v>210</v>
      </c>
      <c r="O75" s="380">
        <f t="shared" si="172"/>
        <v>0</v>
      </c>
      <c r="P75" s="380">
        <f t="shared" si="172"/>
        <v>0</v>
      </c>
      <c r="Q75" s="380">
        <f t="shared" si="172"/>
        <v>120</v>
      </c>
      <c r="R75" s="380">
        <f t="shared" ref="R75" si="173">SUM(R76)</f>
        <v>0</v>
      </c>
      <c r="S75" s="380">
        <f t="shared" ref="S75" si="174">SUM(S76)</f>
        <v>0</v>
      </c>
      <c r="T75" s="380">
        <f t="shared" ref="T75" si="175">SUM(T76)</f>
        <v>0</v>
      </c>
      <c r="U75" s="380">
        <f t="shared" ref="U75" si="176">SUM(U76)</f>
        <v>0</v>
      </c>
      <c r="V75" s="380">
        <f t="shared" ref="V75" si="177">SUM(V76)</f>
        <v>0</v>
      </c>
      <c r="W75" s="380">
        <f t="shared" ref="W75" si="178">SUM(W76)</f>
        <v>0</v>
      </c>
      <c r="X75" s="380">
        <f t="shared" ref="X75" si="179">SUM(X76)</f>
        <v>0</v>
      </c>
      <c r="Y75" s="380">
        <f t="shared" ref="Y75" si="180">SUM(Y76)</f>
        <v>0</v>
      </c>
      <c r="Z75" s="380">
        <f t="shared" ref="Z75" si="181">SUM(Z76)</f>
        <v>0</v>
      </c>
      <c r="AA75" s="380">
        <f t="shared" ref="AA75" si="182">SUM(AA76)</f>
        <v>0</v>
      </c>
      <c r="AB75" s="380">
        <f t="shared" ref="AB75" si="183">SUM(AB76)</f>
        <v>0</v>
      </c>
      <c r="AC75" s="380">
        <f t="shared" ref="AC75" si="184">SUM(AC76)</f>
        <v>0</v>
      </c>
      <c r="AD75" s="380">
        <f t="shared" ref="AD75" si="185">SUM(AD76)</f>
        <v>70</v>
      </c>
      <c r="AE75" s="380">
        <f t="shared" ref="AE75" si="186">SUM(AE76)</f>
        <v>0</v>
      </c>
      <c r="AF75" s="380">
        <f t="shared" ref="AF75" si="187">SUM(AF76)</f>
        <v>58</v>
      </c>
      <c r="AG75" s="380">
        <f t="shared" ref="AG75" si="188">SUM(AG76)</f>
        <v>0</v>
      </c>
      <c r="AH75" s="380">
        <f t="shared" ref="AH75" si="189">SUM(AH76)</f>
        <v>0</v>
      </c>
      <c r="AI75" s="380">
        <f t="shared" ref="AI75" si="190">SUM(AI76)</f>
        <v>12</v>
      </c>
      <c r="AJ75" s="380">
        <f t="shared" ref="AJ75" si="191">SUM(AJ76)</f>
        <v>36</v>
      </c>
      <c r="AK75" s="380">
        <f t="shared" ref="AK75" si="192">SUM(AK76)</f>
        <v>0</v>
      </c>
      <c r="AL75" s="380">
        <f t="shared" ref="AL75" si="193">SUM(AL76)</f>
        <v>24</v>
      </c>
      <c r="AM75" s="380">
        <f t="shared" ref="AM75" si="194">SUM(AM76)</f>
        <v>0</v>
      </c>
      <c r="AN75" s="380">
        <f t="shared" ref="AN75" si="195">SUM(AN76)</f>
        <v>0</v>
      </c>
      <c r="AO75" s="380">
        <f t="shared" ref="AO75" si="196">SUM(AO76)</f>
        <v>12</v>
      </c>
      <c r="AP75" s="380">
        <f t="shared" ref="AP75" si="197">SUM(AP76)</f>
        <v>50</v>
      </c>
      <c r="AQ75" s="380">
        <f>SUM(AQ76)</f>
        <v>36</v>
      </c>
      <c r="AR75" s="380">
        <f t="shared" ref="AR75" si="198">SUM(AR76)</f>
        <v>0</v>
      </c>
      <c r="AS75" s="380">
        <f t="shared" ref="AS75" si="199">SUM(AS76)</f>
        <v>0</v>
      </c>
      <c r="AT75" s="380">
        <f t="shared" ref="AT75" si="200">SUM(AT76)</f>
        <v>0</v>
      </c>
      <c r="AU75" s="380">
        <f t="shared" ref="AU75" si="201">SUM(AU76)</f>
        <v>14</v>
      </c>
      <c r="AV75" s="380">
        <f t="shared" ref="AV75" si="202">SUM(AV76)</f>
        <v>0</v>
      </c>
      <c r="AW75" s="380">
        <f t="shared" ref="AW75" si="203">SUM(AW76)</f>
        <v>0</v>
      </c>
      <c r="AX75" s="380">
        <f t="shared" ref="AX75" si="204">SUM(AX76)</f>
        <v>0</v>
      </c>
      <c r="AY75" s="380">
        <f t="shared" ref="AY75" si="205">SUM(AY76)</f>
        <v>0</v>
      </c>
      <c r="AZ75" s="380">
        <f t="shared" ref="AZ75" si="206">SUM(AZ76)</f>
        <v>0</v>
      </c>
      <c r="BA75" s="380">
        <f t="shared" ref="BA75" si="207">SUM(BA76)</f>
        <v>0</v>
      </c>
      <c r="BB75" s="380">
        <f t="shared" ref="BB75" si="208">SUM(BB76)</f>
        <v>0</v>
      </c>
      <c r="BC75" s="380">
        <f t="shared" ref="BC75" si="209">SUM(BC76)</f>
        <v>0</v>
      </c>
      <c r="BD75" s="380">
        <f t="shared" ref="BD75" si="210">SUM(BD76)</f>
        <v>0</v>
      </c>
      <c r="BE75" s="380">
        <f t="shared" ref="BE75" si="211">SUM(BE76)</f>
        <v>0</v>
      </c>
      <c r="BF75" s="380">
        <f t="shared" ref="BF75" si="212">SUM(BF76)</f>
        <v>0</v>
      </c>
      <c r="BG75" s="380">
        <f t="shared" ref="BG75" si="213">SUM(BG76)</f>
        <v>0</v>
      </c>
      <c r="BH75" s="380">
        <f>SUM(BH76)</f>
        <v>0</v>
      </c>
      <c r="BI75" s="380">
        <f>SUM(BI76)</f>
        <v>0</v>
      </c>
      <c r="BJ75" s="380">
        <f t="shared" ref="BJ75" si="214">SUM(BJ76)</f>
        <v>0</v>
      </c>
      <c r="BK75" s="380">
        <f t="shared" ref="BK75" si="215">SUM(BK76)</f>
        <v>0</v>
      </c>
      <c r="BL75" s="380">
        <f t="shared" ref="BL75" si="216">SUM(BL76)</f>
        <v>0</v>
      </c>
      <c r="BM75" s="380">
        <f t="shared" ref="BM75" si="217">SUM(BM76)</f>
        <v>0</v>
      </c>
      <c r="BN75" s="380">
        <f t="shared" ref="BN75" si="218">BN76</f>
        <v>0</v>
      </c>
      <c r="BO75" s="380">
        <f>BO76</f>
        <v>0</v>
      </c>
      <c r="BP75" s="380">
        <f t="shared" ref="BP75:BS75" si="219">BP76</f>
        <v>0</v>
      </c>
      <c r="BQ75" s="380">
        <f t="shared" si="219"/>
        <v>0</v>
      </c>
      <c r="BR75" s="380">
        <f t="shared" si="219"/>
        <v>0</v>
      </c>
      <c r="BS75" s="380">
        <f t="shared" si="219"/>
        <v>0</v>
      </c>
      <c r="BT75" s="380">
        <f t="shared" ref="BT75" si="220">BT76</f>
        <v>264</v>
      </c>
      <c r="BU75" s="380">
        <f>BU76</f>
        <v>54</v>
      </c>
      <c r="BV75" s="380">
        <f t="shared" ref="BV75" si="221">BV76</f>
        <v>128</v>
      </c>
      <c r="BW75" s="380">
        <f t="shared" ref="BW75" si="222">BW76</f>
        <v>0</v>
      </c>
      <c r="BX75" s="380">
        <f t="shared" ref="BX75" si="223">BX76</f>
        <v>0</v>
      </c>
      <c r="BY75" s="380">
        <f t="shared" ref="BY75" si="224">BY76</f>
        <v>82</v>
      </c>
      <c r="BZ75" s="445"/>
      <c r="CA75" s="444" t="s">
        <v>381</v>
      </c>
    </row>
    <row r="76" spans="1:129" s="95" customFormat="1" ht="26.1" customHeight="1" x14ac:dyDescent="0.2">
      <c r="A76" s="449" t="s">
        <v>208</v>
      </c>
      <c r="B76" s="678" t="s">
        <v>367</v>
      </c>
      <c r="C76" s="679"/>
      <c r="D76" s="679"/>
      <c r="E76" s="679"/>
      <c r="F76" s="679"/>
      <c r="G76" s="679"/>
      <c r="H76" s="680"/>
      <c r="I76" s="450"/>
      <c r="J76" s="450"/>
      <c r="K76" s="451">
        <f>L76+SUM(Q76:Q76)</f>
        <v>420</v>
      </c>
      <c r="L76" s="451">
        <f>SUM(M76:P76)</f>
        <v>300</v>
      </c>
      <c r="M76" s="451">
        <f t="shared" ref="M76:Q79" si="225">S76+Y76+AE76+AK76+AQ76+AW76+BC76+BI76+BO76+BU76</f>
        <v>90</v>
      </c>
      <c r="N76" s="451">
        <f t="shared" si="225"/>
        <v>210</v>
      </c>
      <c r="O76" s="451">
        <f t="shared" si="225"/>
        <v>0</v>
      </c>
      <c r="P76" s="451">
        <f t="shared" si="225"/>
        <v>0</v>
      </c>
      <c r="Q76" s="451">
        <f t="shared" si="225"/>
        <v>120</v>
      </c>
      <c r="R76" s="451">
        <f t="shared" ref="R76:AW76" si="226">SUM(R77:R79)</f>
        <v>0</v>
      </c>
      <c r="S76" s="451">
        <f t="shared" si="226"/>
        <v>0</v>
      </c>
      <c r="T76" s="451">
        <f t="shared" si="226"/>
        <v>0</v>
      </c>
      <c r="U76" s="451">
        <f t="shared" si="226"/>
        <v>0</v>
      </c>
      <c r="V76" s="451">
        <f t="shared" si="226"/>
        <v>0</v>
      </c>
      <c r="W76" s="451">
        <f t="shared" si="226"/>
        <v>0</v>
      </c>
      <c r="X76" s="451">
        <f t="shared" si="226"/>
        <v>0</v>
      </c>
      <c r="Y76" s="451">
        <f t="shared" si="226"/>
        <v>0</v>
      </c>
      <c r="Z76" s="451">
        <f t="shared" si="226"/>
        <v>0</v>
      </c>
      <c r="AA76" s="451">
        <f t="shared" si="226"/>
        <v>0</v>
      </c>
      <c r="AB76" s="451">
        <f t="shared" si="226"/>
        <v>0</v>
      </c>
      <c r="AC76" s="451">
        <f t="shared" si="226"/>
        <v>0</v>
      </c>
      <c r="AD76" s="451">
        <f t="shared" si="226"/>
        <v>70</v>
      </c>
      <c r="AE76" s="451">
        <f t="shared" si="226"/>
        <v>0</v>
      </c>
      <c r="AF76" s="451">
        <f t="shared" si="226"/>
        <v>58</v>
      </c>
      <c r="AG76" s="451">
        <f t="shared" si="226"/>
        <v>0</v>
      </c>
      <c r="AH76" s="451">
        <f t="shared" si="226"/>
        <v>0</v>
      </c>
      <c r="AI76" s="451">
        <f t="shared" si="226"/>
        <v>12</v>
      </c>
      <c r="AJ76" s="451">
        <f t="shared" si="226"/>
        <v>36</v>
      </c>
      <c r="AK76" s="451">
        <f t="shared" si="226"/>
        <v>0</v>
      </c>
      <c r="AL76" s="451">
        <f t="shared" si="226"/>
        <v>24</v>
      </c>
      <c r="AM76" s="451">
        <f t="shared" si="226"/>
        <v>0</v>
      </c>
      <c r="AN76" s="451">
        <f t="shared" si="226"/>
        <v>0</v>
      </c>
      <c r="AO76" s="451">
        <f t="shared" si="226"/>
        <v>12</v>
      </c>
      <c r="AP76" s="451">
        <f t="shared" si="226"/>
        <v>50</v>
      </c>
      <c r="AQ76" s="451">
        <f t="shared" si="226"/>
        <v>36</v>
      </c>
      <c r="AR76" s="451">
        <f t="shared" si="226"/>
        <v>0</v>
      </c>
      <c r="AS76" s="451">
        <f t="shared" si="226"/>
        <v>0</v>
      </c>
      <c r="AT76" s="451">
        <f t="shared" si="226"/>
        <v>0</v>
      </c>
      <c r="AU76" s="451">
        <f t="shared" si="226"/>
        <v>14</v>
      </c>
      <c r="AV76" s="451">
        <f t="shared" si="226"/>
        <v>0</v>
      </c>
      <c r="AW76" s="451">
        <f t="shared" si="226"/>
        <v>0</v>
      </c>
      <c r="AX76" s="451">
        <f t="shared" ref="AX76:BY76" si="227">SUM(AX77:AX79)</f>
        <v>0</v>
      </c>
      <c r="AY76" s="451">
        <f t="shared" si="227"/>
        <v>0</v>
      </c>
      <c r="AZ76" s="451">
        <f t="shared" si="227"/>
        <v>0</v>
      </c>
      <c r="BA76" s="451">
        <f t="shared" si="227"/>
        <v>0</v>
      </c>
      <c r="BB76" s="451">
        <f t="shared" si="227"/>
        <v>0</v>
      </c>
      <c r="BC76" s="451">
        <f t="shared" si="227"/>
        <v>0</v>
      </c>
      <c r="BD76" s="451">
        <f t="shared" si="227"/>
        <v>0</v>
      </c>
      <c r="BE76" s="451">
        <f t="shared" si="227"/>
        <v>0</v>
      </c>
      <c r="BF76" s="451">
        <f t="shared" si="227"/>
        <v>0</v>
      </c>
      <c r="BG76" s="451">
        <f t="shared" si="227"/>
        <v>0</v>
      </c>
      <c r="BH76" s="451">
        <f t="shared" si="227"/>
        <v>0</v>
      </c>
      <c r="BI76" s="451">
        <f t="shared" si="227"/>
        <v>0</v>
      </c>
      <c r="BJ76" s="451">
        <f t="shared" si="227"/>
        <v>0</v>
      </c>
      <c r="BK76" s="451">
        <f t="shared" si="227"/>
        <v>0</v>
      </c>
      <c r="BL76" s="451">
        <f t="shared" si="227"/>
        <v>0</v>
      </c>
      <c r="BM76" s="451">
        <f t="shared" si="227"/>
        <v>0</v>
      </c>
      <c r="BN76" s="451">
        <f t="shared" si="227"/>
        <v>0</v>
      </c>
      <c r="BO76" s="451">
        <f t="shared" si="227"/>
        <v>0</v>
      </c>
      <c r="BP76" s="451">
        <f t="shared" si="227"/>
        <v>0</v>
      </c>
      <c r="BQ76" s="451">
        <f t="shared" si="227"/>
        <v>0</v>
      </c>
      <c r="BR76" s="451">
        <f t="shared" si="227"/>
        <v>0</v>
      </c>
      <c r="BS76" s="451">
        <f t="shared" si="227"/>
        <v>0</v>
      </c>
      <c r="BT76" s="451">
        <f t="shared" si="227"/>
        <v>264</v>
      </c>
      <c r="BU76" s="451">
        <f t="shared" si="227"/>
        <v>54</v>
      </c>
      <c r="BV76" s="451">
        <f t="shared" si="227"/>
        <v>128</v>
      </c>
      <c r="BW76" s="451">
        <f t="shared" si="227"/>
        <v>0</v>
      </c>
      <c r="BX76" s="451">
        <f t="shared" si="227"/>
        <v>0</v>
      </c>
      <c r="BY76" s="451">
        <f t="shared" si="227"/>
        <v>82</v>
      </c>
      <c r="BZ76" s="451"/>
      <c r="CA76" s="451"/>
    </row>
    <row r="77" spans="1:129" s="95" customFormat="1" ht="26.1" customHeight="1" x14ac:dyDescent="0.2">
      <c r="A77" s="395"/>
      <c r="B77" s="536" t="s">
        <v>459</v>
      </c>
      <c r="C77" s="200" t="s">
        <v>576</v>
      </c>
      <c r="D77" s="298"/>
      <c r="E77" s="529"/>
      <c r="F77" s="529" t="s">
        <v>625</v>
      </c>
      <c r="G77" s="537"/>
      <c r="H77" s="529" t="s">
        <v>30</v>
      </c>
      <c r="I77" s="177"/>
      <c r="J77" s="177"/>
      <c r="K77" s="376">
        <f>L77+SUM(Q77:Q77)</f>
        <v>291</v>
      </c>
      <c r="L77" s="376">
        <f>SUM(M77:P77)</f>
        <v>210</v>
      </c>
      <c r="M77" s="376">
        <f t="shared" si="225"/>
        <v>0</v>
      </c>
      <c r="N77" s="376">
        <f t="shared" si="225"/>
        <v>210</v>
      </c>
      <c r="O77" s="376">
        <f t="shared" si="225"/>
        <v>0</v>
      </c>
      <c r="P77" s="376">
        <f t="shared" si="225"/>
        <v>0</v>
      </c>
      <c r="Q77" s="376">
        <f t="shared" si="225"/>
        <v>81</v>
      </c>
      <c r="R77" s="367">
        <f>SUM(S77:W77)</f>
        <v>0</v>
      </c>
      <c r="S77" s="177"/>
      <c r="T77" s="177"/>
      <c r="U77" s="177"/>
      <c r="V77" s="177"/>
      <c r="W77" s="177"/>
      <c r="X77" s="367"/>
      <c r="Y77" s="177"/>
      <c r="Z77" s="177"/>
      <c r="AA77" s="177"/>
      <c r="AB77" s="177"/>
      <c r="AC77" s="177"/>
      <c r="AD77" s="367">
        <f>SUM(AE77:AI77)</f>
        <v>70</v>
      </c>
      <c r="AE77" s="177"/>
      <c r="AF77" s="177">
        <v>58</v>
      </c>
      <c r="AG77" s="177"/>
      <c r="AH77" s="177"/>
      <c r="AI77" s="177">
        <v>12</v>
      </c>
      <c r="AJ77" s="367">
        <f>SUM(AK77:AO77)</f>
        <v>36</v>
      </c>
      <c r="AK77" s="177"/>
      <c r="AL77" s="177">
        <v>24</v>
      </c>
      <c r="AM77" s="177"/>
      <c r="AN77" s="177"/>
      <c r="AO77" s="177">
        <v>12</v>
      </c>
      <c r="AP77" s="367">
        <f>SUM(AQ77:AU77)</f>
        <v>0</v>
      </c>
      <c r="AQ77" s="177"/>
      <c r="AR77" s="177"/>
      <c r="AS77" s="177"/>
      <c r="AT77" s="177"/>
      <c r="AU77" s="177"/>
      <c r="AV77" s="367">
        <f>SUM(AW77:BA77)</f>
        <v>0</v>
      </c>
      <c r="AW77" s="177"/>
      <c r="AX77" s="177"/>
      <c r="AY77" s="177"/>
      <c r="AZ77" s="177"/>
      <c r="BA77" s="177"/>
      <c r="BB77" s="367">
        <f>SUM(BC77:BG77)</f>
        <v>0</v>
      </c>
      <c r="BC77" s="177"/>
      <c r="BD77" s="177"/>
      <c r="BE77" s="177"/>
      <c r="BF77" s="177"/>
      <c r="BG77" s="177"/>
      <c r="BH77" s="367">
        <f>SUM(BI77:BM77)</f>
        <v>0</v>
      </c>
      <c r="BI77" s="177"/>
      <c r="BJ77" s="177"/>
      <c r="BK77" s="177"/>
      <c r="BL77" s="177"/>
      <c r="BM77" s="177"/>
      <c r="BN77" s="367">
        <f>SUM(BO77:BS77)</f>
        <v>0</v>
      </c>
      <c r="BO77" s="177"/>
      <c r="BP77" s="177"/>
      <c r="BQ77" s="177"/>
      <c r="BR77" s="177"/>
      <c r="BS77" s="177"/>
      <c r="BT77" s="367">
        <f t="shared" ref="BT77:BT79" si="228">SUM(BU77:BY77)</f>
        <v>185</v>
      </c>
      <c r="BU77" s="177"/>
      <c r="BV77" s="177">
        <v>128</v>
      </c>
      <c r="BW77" s="177"/>
      <c r="BX77" s="177"/>
      <c r="BY77" s="177">
        <v>57</v>
      </c>
      <c r="BZ77" s="363" t="s">
        <v>41</v>
      </c>
      <c r="CA77" s="547" t="s">
        <v>627</v>
      </c>
    </row>
    <row r="78" spans="1:129" s="95" customFormat="1" ht="26.1" customHeight="1" x14ac:dyDescent="0.2">
      <c r="A78" s="395"/>
      <c r="B78" s="538" t="s">
        <v>460</v>
      </c>
      <c r="C78" s="539"/>
      <c r="D78" s="298"/>
      <c r="E78" s="529" t="s">
        <v>38</v>
      </c>
      <c r="F78" s="529"/>
      <c r="G78" s="537"/>
      <c r="H78" s="529"/>
      <c r="I78" s="177"/>
      <c r="J78" s="177"/>
      <c r="K78" s="376">
        <f>L78+SUM(Q78:Q78)</f>
        <v>79</v>
      </c>
      <c r="L78" s="376">
        <f>SUM(M78:P78)</f>
        <v>54</v>
      </c>
      <c r="M78" s="376">
        <f t="shared" si="225"/>
        <v>54</v>
      </c>
      <c r="N78" s="376">
        <f t="shared" si="225"/>
        <v>0</v>
      </c>
      <c r="O78" s="376">
        <f t="shared" si="225"/>
        <v>0</v>
      </c>
      <c r="P78" s="376">
        <f t="shared" si="225"/>
        <v>0</v>
      </c>
      <c r="Q78" s="376">
        <f t="shared" si="225"/>
        <v>25</v>
      </c>
      <c r="R78" s="367">
        <f>SUM(S78:W78)</f>
        <v>0</v>
      </c>
      <c r="S78" s="177"/>
      <c r="T78" s="177"/>
      <c r="U78" s="177"/>
      <c r="V78" s="177"/>
      <c r="W78" s="177"/>
      <c r="X78" s="367"/>
      <c r="Y78" s="177"/>
      <c r="Z78" s="177"/>
      <c r="AA78" s="177"/>
      <c r="AB78" s="177"/>
      <c r="AC78" s="177"/>
      <c r="AD78" s="367"/>
      <c r="AE78" s="177"/>
      <c r="AF78" s="177"/>
      <c r="AG78" s="177"/>
      <c r="AH78" s="177"/>
      <c r="AI78" s="177"/>
      <c r="AJ78" s="367"/>
      <c r="AK78" s="177"/>
      <c r="AL78" s="177"/>
      <c r="AM78" s="177"/>
      <c r="AN78" s="177"/>
      <c r="AO78" s="177"/>
      <c r="AP78" s="367"/>
      <c r="AQ78" s="177"/>
      <c r="AR78" s="177"/>
      <c r="AS78" s="177"/>
      <c r="AT78" s="177"/>
      <c r="AU78" s="177"/>
      <c r="AV78" s="367"/>
      <c r="AW78" s="177"/>
      <c r="AX78" s="177"/>
      <c r="AY78" s="177"/>
      <c r="AZ78" s="177"/>
      <c r="BA78" s="177"/>
      <c r="BB78" s="367">
        <f>SUM(BC78:BG78)</f>
        <v>0</v>
      </c>
      <c r="BC78" s="179"/>
      <c r="BD78" s="179"/>
      <c r="BE78" s="179"/>
      <c r="BF78" s="179"/>
      <c r="BG78" s="179"/>
      <c r="BH78" s="367">
        <f>SUM(BI78:BM78)</f>
        <v>0</v>
      </c>
      <c r="BI78" s="177"/>
      <c r="BJ78" s="177"/>
      <c r="BK78" s="177"/>
      <c r="BL78" s="177"/>
      <c r="BM78" s="177"/>
      <c r="BN78" s="367">
        <f>SUM(BO78:BS78)</f>
        <v>0</v>
      </c>
      <c r="BO78" s="177"/>
      <c r="BP78" s="177"/>
      <c r="BQ78" s="177"/>
      <c r="BR78" s="177"/>
      <c r="BS78" s="177"/>
      <c r="BT78" s="367">
        <f t="shared" si="228"/>
        <v>79</v>
      </c>
      <c r="BU78" s="177">
        <v>54</v>
      </c>
      <c r="BV78" s="177"/>
      <c r="BW78" s="177"/>
      <c r="BX78" s="177"/>
      <c r="BY78" s="177">
        <v>25</v>
      </c>
      <c r="BZ78" s="363" t="s">
        <v>506</v>
      </c>
      <c r="CA78" s="177" t="s">
        <v>452</v>
      </c>
    </row>
    <row r="79" spans="1:129" s="95" customFormat="1" ht="26.1" customHeight="1" x14ac:dyDescent="0.2">
      <c r="A79" s="395"/>
      <c r="B79" s="200" t="s">
        <v>325</v>
      </c>
      <c r="C79" s="539"/>
      <c r="D79" s="363" t="s">
        <v>41</v>
      </c>
      <c r="E79" s="529"/>
      <c r="F79" s="529"/>
      <c r="G79" s="537"/>
      <c r="H79" s="529"/>
      <c r="I79" s="177"/>
      <c r="J79" s="179"/>
      <c r="K79" s="376">
        <f>L79+SUM(Q79:Q79)</f>
        <v>50</v>
      </c>
      <c r="L79" s="376">
        <f>SUM(M79:P79)</f>
        <v>36</v>
      </c>
      <c r="M79" s="376">
        <f t="shared" si="225"/>
        <v>36</v>
      </c>
      <c r="N79" s="376">
        <f t="shared" si="225"/>
        <v>0</v>
      </c>
      <c r="O79" s="376">
        <f t="shared" si="225"/>
        <v>0</v>
      </c>
      <c r="P79" s="376">
        <f t="shared" si="225"/>
        <v>0</v>
      </c>
      <c r="Q79" s="376">
        <f t="shared" si="225"/>
        <v>14</v>
      </c>
      <c r="R79" s="367">
        <f>SUM(S79:W79)</f>
        <v>0</v>
      </c>
      <c r="S79" s="177"/>
      <c r="T79" s="177"/>
      <c r="U79" s="177"/>
      <c r="V79" s="177"/>
      <c r="W79" s="177"/>
      <c r="X79" s="367"/>
      <c r="Y79" s="177"/>
      <c r="Z79" s="177"/>
      <c r="AA79" s="177"/>
      <c r="AB79" s="177"/>
      <c r="AC79" s="177"/>
      <c r="AD79" s="367">
        <f>SUM(AE79:AI79)</f>
        <v>0</v>
      </c>
      <c r="AE79" s="177"/>
      <c r="AF79" s="177"/>
      <c r="AG79" s="177"/>
      <c r="AH79" s="177"/>
      <c r="AI79" s="177"/>
      <c r="AJ79" s="367">
        <f>SUM(AK79:AO79)</f>
        <v>0</v>
      </c>
      <c r="AK79" s="177"/>
      <c r="AL79" s="177"/>
      <c r="AM79" s="177"/>
      <c r="AN79" s="177"/>
      <c r="AO79" s="177"/>
      <c r="AP79" s="367">
        <f>SUM(AQ79:AU79)</f>
        <v>50</v>
      </c>
      <c r="AQ79" s="177">
        <v>36</v>
      </c>
      <c r="AR79" s="177"/>
      <c r="AS79" s="177"/>
      <c r="AT79" s="177"/>
      <c r="AU79" s="177">
        <v>14</v>
      </c>
      <c r="AV79" s="367">
        <f>SUM(AW79:BA79)</f>
        <v>0</v>
      </c>
      <c r="AW79" s="177"/>
      <c r="AX79" s="177"/>
      <c r="AY79" s="177"/>
      <c r="AZ79" s="177"/>
      <c r="BA79" s="177"/>
      <c r="BB79" s="367">
        <f>SUM(BC79:BG79)</f>
        <v>0</v>
      </c>
      <c r="BC79" s="177"/>
      <c r="BD79" s="177"/>
      <c r="BE79" s="177"/>
      <c r="BF79" s="177"/>
      <c r="BG79" s="177"/>
      <c r="BH79" s="367">
        <f>SUM(BI79:BM79)</f>
        <v>0</v>
      </c>
      <c r="BI79" s="177"/>
      <c r="BJ79" s="177"/>
      <c r="BK79" s="177"/>
      <c r="BL79" s="177"/>
      <c r="BM79" s="177"/>
      <c r="BN79" s="367">
        <f>SUM(BO79:BS79)</f>
        <v>0</v>
      </c>
      <c r="BO79" s="177"/>
      <c r="BP79" s="177"/>
      <c r="BQ79" s="177"/>
      <c r="BR79" s="177"/>
      <c r="BS79" s="177"/>
      <c r="BT79" s="367">
        <f t="shared" si="228"/>
        <v>0</v>
      </c>
      <c r="BU79" s="177"/>
      <c r="BV79" s="177"/>
      <c r="BW79" s="177"/>
      <c r="BX79" s="177"/>
      <c r="BY79" s="177"/>
      <c r="BZ79" s="363" t="s">
        <v>506</v>
      </c>
      <c r="CA79" s="177" t="s">
        <v>381</v>
      </c>
    </row>
    <row r="80" spans="1:129" s="95" customFormat="1" ht="12" customHeight="1" x14ac:dyDescent="0.2">
      <c r="A80" s="382" t="s">
        <v>385</v>
      </c>
      <c r="B80" s="382"/>
      <c r="C80" s="382"/>
      <c r="D80" s="409" t="s">
        <v>416</v>
      </c>
      <c r="E80" s="385"/>
      <c r="F80" s="385"/>
      <c r="G80" s="382"/>
      <c r="H80" s="405"/>
      <c r="I80" s="406"/>
      <c r="J80" s="406"/>
      <c r="K80" s="384"/>
      <c r="L80" s="384"/>
      <c r="M80" s="384"/>
      <c r="N80" s="384"/>
      <c r="O80" s="384"/>
      <c r="P80" s="384"/>
      <c r="Q80" s="384"/>
      <c r="R80" s="384"/>
      <c r="S80" s="406"/>
      <c r="T80" s="406"/>
      <c r="U80" s="406"/>
      <c r="V80" s="406"/>
      <c r="W80" s="406"/>
      <c r="X80" s="384"/>
      <c r="Y80" s="406"/>
      <c r="Z80" s="406"/>
      <c r="AA80" s="406"/>
      <c r="AB80" s="406"/>
      <c r="AC80" s="406"/>
      <c r="AD80" s="384"/>
      <c r="AE80" s="406"/>
      <c r="AF80" s="406"/>
      <c r="AG80" s="406"/>
      <c r="AH80" s="406"/>
      <c r="AI80" s="406"/>
      <c r="AJ80" s="384"/>
      <c r="AK80" s="406"/>
      <c r="AL80" s="406"/>
      <c r="AM80" s="406"/>
      <c r="AN80" s="406"/>
      <c r="AO80" s="406"/>
      <c r="AP80" s="384"/>
      <c r="AQ80" s="406"/>
      <c r="AR80" s="406"/>
      <c r="AS80" s="406"/>
      <c r="AT80" s="406"/>
      <c r="AU80" s="406"/>
      <c r="AV80" s="384"/>
      <c r="AW80" s="406"/>
      <c r="AX80" s="406"/>
      <c r="AY80" s="406"/>
      <c r="AZ80" s="406"/>
      <c r="BA80" s="406"/>
      <c r="BB80" s="384"/>
      <c r="BC80" s="406"/>
      <c r="BD80" s="406"/>
      <c r="BE80" s="406"/>
      <c r="BF80" s="406"/>
      <c r="BG80" s="406"/>
      <c r="BH80" s="384"/>
      <c r="BI80" s="406"/>
      <c r="BJ80" s="406"/>
      <c r="BK80" s="406"/>
      <c r="BL80" s="406"/>
      <c r="BM80" s="406"/>
      <c r="BN80" s="384"/>
      <c r="BO80" s="406"/>
      <c r="BP80" s="406"/>
      <c r="BQ80" s="406"/>
      <c r="BR80" s="406"/>
      <c r="BS80" s="406"/>
      <c r="BT80" s="384"/>
      <c r="BU80" s="406"/>
      <c r="BV80" s="406"/>
      <c r="BW80" s="406"/>
      <c r="BX80" s="406"/>
      <c r="BY80" s="406"/>
      <c r="BZ80" s="405"/>
      <c r="CA80" s="406"/>
    </row>
    <row r="81" spans="1:531" s="94" customFormat="1" ht="26.1" customHeight="1" x14ac:dyDescent="0.2">
      <c r="A81" s="443" t="s">
        <v>209</v>
      </c>
      <c r="B81" s="675" t="s">
        <v>210</v>
      </c>
      <c r="C81" s="676"/>
      <c r="D81" s="676"/>
      <c r="E81" s="676"/>
      <c r="F81" s="676"/>
      <c r="G81" s="676"/>
      <c r="H81" s="677"/>
      <c r="I81" s="444"/>
      <c r="J81" s="444"/>
      <c r="K81" s="380">
        <f>SUM(K83:K84)</f>
        <v>163</v>
      </c>
      <c r="L81" s="380">
        <f t="shared" ref="L81:Q81" si="229">SUM(L83:L84)</f>
        <v>110</v>
      </c>
      <c r="M81" s="380">
        <f t="shared" si="229"/>
        <v>88</v>
      </c>
      <c r="N81" s="380">
        <f t="shared" si="229"/>
        <v>0</v>
      </c>
      <c r="O81" s="380">
        <f t="shared" si="229"/>
        <v>22</v>
      </c>
      <c r="P81" s="380">
        <f t="shared" si="229"/>
        <v>0</v>
      </c>
      <c r="Q81" s="380">
        <f t="shared" si="229"/>
        <v>53</v>
      </c>
      <c r="R81" s="380">
        <f>SUM(R82)</f>
        <v>0</v>
      </c>
      <c r="S81" s="380">
        <f t="shared" ref="S81" si="230">SUM(S82)</f>
        <v>0</v>
      </c>
      <c r="T81" s="380">
        <f t="shared" ref="T81" si="231">SUM(T82)</f>
        <v>0</v>
      </c>
      <c r="U81" s="380">
        <f t="shared" ref="U81" si="232">SUM(U82)</f>
        <v>0</v>
      </c>
      <c r="V81" s="380">
        <f t="shared" ref="V81" si="233">SUM(V82)</f>
        <v>0</v>
      </c>
      <c r="W81" s="380">
        <f t="shared" ref="W81" si="234">SUM(W82)</f>
        <v>0</v>
      </c>
      <c r="X81" s="380">
        <f>SUM(X82)</f>
        <v>0</v>
      </c>
      <c r="Y81" s="380">
        <f t="shared" ref="Y81" si="235">SUM(Y82)</f>
        <v>0</v>
      </c>
      <c r="Z81" s="380">
        <f t="shared" ref="Z81" si="236">SUM(Z82)</f>
        <v>0</v>
      </c>
      <c r="AA81" s="380">
        <f t="shared" ref="AA81" si="237">SUM(AA82)</f>
        <v>0</v>
      </c>
      <c r="AB81" s="380">
        <f t="shared" ref="AB81" si="238">SUM(AB82)</f>
        <v>0</v>
      </c>
      <c r="AC81" s="380">
        <f t="shared" ref="AC81" si="239">SUM(AC82)</f>
        <v>0</v>
      </c>
      <c r="AD81" s="380">
        <f>SUM(AD82)</f>
        <v>0</v>
      </c>
      <c r="AE81" s="380">
        <f t="shared" ref="AE81:AI81" si="240">SUM(AE82)</f>
        <v>0</v>
      </c>
      <c r="AF81" s="380">
        <f t="shared" si="240"/>
        <v>0</v>
      </c>
      <c r="AG81" s="380">
        <f t="shared" si="240"/>
        <v>0</v>
      </c>
      <c r="AH81" s="380">
        <f t="shared" si="240"/>
        <v>0</v>
      </c>
      <c r="AI81" s="380">
        <f t="shared" si="240"/>
        <v>0</v>
      </c>
      <c r="AJ81" s="380">
        <f>SUM(AJ82)</f>
        <v>0</v>
      </c>
      <c r="AK81" s="380">
        <f t="shared" ref="AK81" si="241">SUM(AK82)</f>
        <v>0</v>
      </c>
      <c r="AL81" s="380">
        <f t="shared" ref="AL81" si="242">SUM(AL82)</f>
        <v>0</v>
      </c>
      <c r="AM81" s="380">
        <f t="shared" ref="AM81" si="243">SUM(AM82)</f>
        <v>0</v>
      </c>
      <c r="AN81" s="380">
        <f t="shared" ref="AN81" si="244">SUM(AN82)</f>
        <v>0</v>
      </c>
      <c r="AO81" s="380">
        <f t="shared" ref="AO81" si="245">SUM(AO82)</f>
        <v>0</v>
      </c>
      <c r="AP81" s="380">
        <f>SUM(AP82)</f>
        <v>0</v>
      </c>
      <c r="AQ81" s="380">
        <f t="shared" ref="AQ81" si="246">SUM(AQ82)</f>
        <v>0</v>
      </c>
      <c r="AR81" s="380">
        <f t="shared" ref="AR81" si="247">SUM(AR82)</f>
        <v>0</v>
      </c>
      <c r="AS81" s="380">
        <f t="shared" ref="AS81" si="248">SUM(AS82)</f>
        <v>0</v>
      </c>
      <c r="AT81" s="380">
        <f t="shared" ref="AT81" si="249">SUM(AT82)</f>
        <v>0</v>
      </c>
      <c r="AU81" s="380">
        <f t="shared" ref="AU81" si="250">SUM(AU82)</f>
        <v>0</v>
      </c>
      <c r="AV81" s="380">
        <f>SUM(AV82)</f>
        <v>0</v>
      </c>
      <c r="AW81" s="380">
        <f>SUM(AW82)</f>
        <v>0</v>
      </c>
      <c r="AX81" s="380">
        <f t="shared" ref="AX81" si="251">SUM(AX82)</f>
        <v>0</v>
      </c>
      <c r="AY81" s="380">
        <f t="shared" ref="AY81" si="252">SUM(AY82)</f>
        <v>0</v>
      </c>
      <c r="AZ81" s="380">
        <f t="shared" ref="AZ81" si="253">SUM(AZ82)</f>
        <v>0</v>
      </c>
      <c r="BA81" s="380">
        <f t="shared" ref="BA81" si="254">SUM(BA82)</f>
        <v>0</v>
      </c>
      <c r="BB81" s="380">
        <f>SUM(BB82)</f>
        <v>64</v>
      </c>
      <c r="BC81" s="380">
        <f t="shared" ref="BC81" si="255">SUM(BC82)</f>
        <v>44</v>
      </c>
      <c r="BD81" s="380">
        <f t="shared" ref="BD81" si="256">SUM(BD82)</f>
        <v>0</v>
      </c>
      <c r="BE81" s="380">
        <f t="shared" ref="BE81" si="257">SUM(BE82)</f>
        <v>0</v>
      </c>
      <c r="BF81" s="380">
        <f t="shared" ref="BF81" si="258">SUM(BF82)</f>
        <v>0</v>
      </c>
      <c r="BG81" s="380">
        <f t="shared" ref="BG81" si="259">SUM(BG82)</f>
        <v>20</v>
      </c>
      <c r="BH81" s="380">
        <f>SUM(BH82)</f>
        <v>99</v>
      </c>
      <c r="BI81" s="380">
        <f t="shared" ref="BI81" si="260">SUM(BI82)</f>
        <v>44</v>
      </c>
      <c r="BJ81" s="380">
        <f t="shared" ref="BJ81" si="261">SUM(BJ82)</f>
        <v>0</v>
      </c>
      <c r="BK81" s="380">
        <f t="shared" ref="BK81" si="262">SUM(BK82)</f>
        <v>22</v>
      </c>
      <c r="BL81" s="380">
        <f t="shared" ref="BL81" si="263">SUM(BL82)</f>
        <v>0</v>
      </c>
      <c r="BM81" s="380">
        <f t="shared" ref="BM81" si="264">SUM(BM82)</f>
        <v>33</v>
      </c>
      <c r="BN81" s="380">
        <f>SUM(BO81:BS81)</f>
        <v>0</v>
      </c>
      <c r="BO81" s="380">
        <f t="shared" ref="BO81:BS81" si="265">SUM(BO83:BO83)</f>
        <v>0</v>
      </c>
      <c r="BP81" s="380">
        <f t="shared" si="265"/>
        <v>0</v>
      </c>
      <c r="BQ81" s="380">
        <f t="shared" si="265"/>
        <v>0</v>
      </c>
      <c r="BR81" s="380">
        <f t="shared" si="265"/>
        <v>0</v>
      </c>
      <c r="BS81" s="380">
        <f t="shared" si="265"/>
        <v>0</v>
      </c>
      <c r="BT81" s="380">
        <f>SUM(BU81:BY81)</f>
        <v>0</v>
      </c>
      <c r="BU81" s="380">
        <f t="shared" ref="BU81:BY81" si="266">SUM(BU83:BU83)</f>
        <v>0</v>
      </c>
      <c r="BV81" s="380">
        <f t="shared" si="266"/>
        <v>0</v>
      </c>
      <c r="BW81" s="380">
        <f t="shared" si="266"/>
        <v>0</v>
      </c>
      <c r="BX81" s="380">
        <f t="shared" si="266"/>
        <v>0</v>
      </c>
      <c r="BY81" s="380">
        <f t="shared" si="266"/>
        <v>0</v>
      </c>
      <c r="BZ81" s="445"/>
      <c r="CA81" s="446" t="s">
        <v>382</v>
      </c>
    </row>
    <row r="82" spans="1:531" s="94" customFormat="1" ht="26.1" customHeight="1" x14ac:dyDescent="0.2">
      <c r="A82" s="449" t="s">
        <v>368</v>
      </c>
      <c r="B82" s="453" t="s">
        <v>369</v>
      </c>
      <c r="C82" s="453"/>
      <c r="D82" s="453"/>
      <c r="E82" s="454"/>
      <c r="F82" s="454"/>
      <c r="G82" s="453"/>
      <c r="H82" s="452"/>
      <c r="I82" s="450"/>
      <c r="J82" s="450"/>
      <c r="K82" s="451">
        <f>SUM(K83,K84)</f>
        <v>163</v>
      </c>
      <c r="L82" s="451">
        <f t="shared" ref="L82:Q82" si="267">SUM(L83,L84)</f>
        <v>110</v>
      </c>
      <c r="M82" s="451">
        <f t="shared" si="267"/>
        <v>88</v>
      </c>
      <c r="N82" s="451">
        <f t="shared" si="267"/>
        <v>0</v>
      </c>
      <c r="O82" s="451">
        <f t="shared" si="267"/>
        <v>22</v>
      </c>
      <c r="P82" s="451">
        <f t="shared" si="267"/>
        <v>0</v>
      </c>
      <c r="Q82" s="451">
        <f t="shared" si="267"/>
        <v>53</v>
      </c>
      <c r="R82" s="451">
        <f>SUM(R83,R84)</f>
        <v>0</v>
      </c>
      <c r="S82" s="451">
        <f t="shared" ref="S82:W82" si="268">SUM(S83,S84)</f>
        <v>0</v>
      </c>
      <c r="T82" s="451">
        <f t="shared" si="268"/>
        <v>0</v>
      </c>
      <c r="U82" s="451">
        <f t="shared" si="268"/>
        <v>0</v>
      </c>
      <c r="V82" s="451">
        <f t="shared" si="268"/>
        <v>0</v>
      </c>
      <c r="W82" s="451">
        <f t="shared" si="268"/>
        <v>0</v>
      </c>
      <c r="X82" s="451">
        <f>SUM(X83,X84)</f>
        <v>0</v>
      </c>
      <c r="Y82" s="451">
        <f t="shared" ref="Y82" si="269">SUM(Y83,Y84)</f>
        <v>0</v>
      </c>
      <c r="Z82" s="451">
        <f t="shared" ref="Z82" si="270">SUM(Z83,Z84)</f>
        <v>0</v>
      </c>
      <c r="AA82" s="451">
        <f t="shared" ref="AA82" si="271">SUM(AA83,AA84)</f>
        <v>0</v>
      </c>
      <c r="AB82" s="451">
        <f t="shared" ref="AB82" si="272">SUM(AB83,AB84)</f>
        <v>0</v>
      </c>
      <c r="AC82" s="451">
        <f t="shared" ref="AC82" si="273">SUM(AC83,AC84)</f>
        <v>0</v>
      </c>
      <c r="AD82" s="451">
        <f>SUM(AD83,AD84)</f>
        <v>0</v>
      </c>
      <c r="AE82" s="451">
        <f t="shared" ref="AE82" si="274">SUM(AE83,AE84)</f>
        <v>0</v>
      </c>
      <c r="AF82" s="451">
        <f t="shared" ref="AF82" si="275">SUM(AF83,AF84)</f>
        <v>0</v>
      </c>
      <c r="AG82" s="451">
        <f t="shared" ref="AG82" si="276">SUM(AG83,AG84)</f>
        <v>0</v>
      </c>
      <c r="AH82" s="451">
        <f t="shared" ref="AH82" si="277">SUM(AH83,AH84)</f>
        <v>0</v>
      </c>
      <c r="AI82" s="451">
        <f t="shared" ref="AI82" si="278">SUM(AI83,AI84)</f>
        <v>0</v>
      </c>
      <c r="AJ82" s="451">
        <f>SUM(AJ83,AJ84)</f>
        <v>0</v>
      </c>
      <c r="AK82" s="451">
        <f t="shared" ref="AK82" si="279">SUM(AK83,AK84)</f>
        <v>0</v>
      </c>
      <c r="AL82" s="451">
        <f t="shared" ref="AL82" si="280">SUM(AL83,AL84)</f>
        <v>0</v>
      </c>
      <c r="AM82" s="451">
        <f t="shared" ref="AM82" si="281">SUM(AM83,AM84)</f>
        <v>0</v>
      </c>
      <c r="AN82" s="451">
        <f t="shared" ref="AN82" si="282">SUM(AN83,AN84)</f>
        <v>0</v>
      </c>
      <c r="AO82" s="451">
        <f t="shared" ref="AO82" si="283">SUM(AO83,AO84)</f>
        <v>0</v>
      </c>
      <c r="AP82" s="451">
        <f>SUM(AP83,AP84)</f>
        <v>0</v>
      </c>
      <c r="AQ82" s="451">
        <f t="shared" ref="AQ82" si="284">SUM(AQ83,AQ84)</f>
        <v>0</v>
      </c>
      <c r="AR82" s="451">
        <f t="shared" ref="AR82" si="285">SUM(AR83,AR84)</f>
        <v>0</v>
      </c>
      <c r="AS82" s="451">
        <f t="shared" ref="AS82" si="286">SUM(AS83,AS84)</f>
        <v>0</v>
      </c>
      <c r="AT82" s="451">
        <f t="shared" ref="AT82" si="287">SUM(AT83,AT84)</f>
        <v>0</v>
      </c>
      <c r="AU82" s="451">
        <f t="shared" ref="AU82" si="288">SUM(AU83,AU84)</f>
        <v>0</v>
      </c>
      <c r="AV82" s="451">
        <f>SUM(AV83,AV84)</f>
        <v>0</v>
      </c>
      <c r="AW82" s="451">
        <f>SUM(AW83,AW84)</f>
        <v>0</v>
      </c>
      <c r="AX82" s="451">
        <f t="shared" ref="AX82" si="289">SUM(AX83,AX84)</f>
        <v>0</v>
      </c>
      <c r="AY82" s="451">
        <f t="shared" ref="AY82" si="290">SUM(AY83,AY84)</f>
        <v>0</v>
      </c>
      <c r="AZ82" s="451">
        <f t="shared" ref="AZ82" si="291">SUM(AZ83,AZ84)</f>
        <v>0</v>
      </c>
      <c r="BA82" s="451">
        <f t="shared" ref="BA82" si="292">SUM(BA83,BA84)</f>
        <v>0</v>
      </c>
      <c r="BB82" s="451">
        <f>SUM(BB83,BB84)</f>
        <v>64</v>
      </c>
      <c r="BC82" s="451">
        <f t="shared" ref="BC82" si="293">SUM(BC83,BC84)</f>
        <v>44</v>
      </c>
      <c r="BD82" s="451">
        <f t="shared" ref="BD82" si="294">SUM(BD83,BD84)</f>
        <v>0</v>
      </c>
      <c r="BE82" s="451">
        <f t="shared" ref="BE82" si="295">SUM(BE83,BE84)</f>
        <v>0</v>
      </c>
      <c r="BF82" s="451">
        <f t="shared" ref="BF82" si="296">SUM(BF83,BF84)</f>
        <v>0</v>
      </c>
      <c r="BG82" s="451">
        <f t="shared" ref="BG82" si="297">SUM(BG83,BG84)</f>
        <v>20</v>
      </c>
      <c r="BH82" s="451">
        <f>SUM(BH83,BH84)</f>
        <v>99</v>
      </c>
      <c r="BI82" s="451">
        <f t="shared" ref="BI82" si="298">SUM(BI83,BI84)</f>
        <v>44</v>
      </c>
      <c r="BJ82" s="451">
        <f t="shared" ref="BJ82" si="299">SUM(BJ83,BJ84)</f>
        <v>0</v>
      </c>
      <c r="BK82" s="451">
        <f t="shared" ref="BK82" si="300">SUM(BK83,BK84)</f>
        <v>22</v>
      </c>
      <c r="BL82" s="451">
        <f t="shared" ref="BL82" si="301">SUM(BL83,BL84)</f>
        <v>0</v>
      </c>
      <c r="BM82" s="451">
        <f t="shared" ref="BM82" si="302">SUM(BM83,BM84)</f>
        <v>33</v>
      </c>
      <c r="BN82" s="451"/>
      <c r="BO82" s="451"/>
      <c r="BP82" s="451"/>
      <c r="BQ82" s="451"/>
      <c r="BR82" s="451"/>
      <c r="BS82" s="451"/>
      <c r="BT82" s="451"/>
      <c r="BU82" s="451"/>
      <c r="BV82" s="451"/>
      <c r="BW82" s="451"/>
      <c r="BX82" s="451"/>
      <c r="BY82" s="451"/>
      <c r="BZ82" s="452"/>
      <c r="CA82" s="454"/>
    </row>
    <row r="83" spans="1:531" s="95" customFormat="1" ht="26.1" customHeight="1" x14ac:dyDescent="0.2">
      <c r="A83" s="395"/>
      <c r="B83" s="91" t="s">
        <v>349</v>
      </c>
      <c r="C83" s="539"/>
      <c r="D83" s="537"/>
      <c r="E83" s="529" t="s">
        <v>38</v>
      </c>
      <c r="F83" s="529"/>
      <c r="G83" s="537"/>
      <c r="H83" s="529" t="s">
        <v>43</v>
      </c>
      <c r="I83" s="177"/>
      <c r="J83" s="177"/>
      <c r="K83" s="376">
        <f>L83+SUM(Q83:Q83)</f>
        <v>65</v>
      </c>
      <c r="L83" s="376">
        <f>SUM(M83:P83)</f>
        <v>44</v>
      </c>
      <c r="M83" s="376">
        <f t="shared" ref="M83:Q84" si="303">S83+Y83+AE83+AK83+AQ83+AW83+BC83+BI83+BO83+BU83</f>
        <v>44</v>
      </c>
      <c r="N83" s="376">
        <f t="shared" si="303"/>
        <v>0</v>
      </c>
      <c r="O83" s="376">
        <f t="shared" si="303"/>
        <v>0</v>
      </c>
      <c r="P83" s="376">
        <f t="shared" si="303"/>
        <v>0</v>
      </c>
      <c r="Q83" s="376">
        <f t="shared" si="303"/>
        <v>21</v>
      </c>
      <c r="R83" s="367">
        <f>SUM(S83:W83)</f>
        <v>0</v>
      </c>
      <c r="S83" s="177"/>
      <c r="T83" s="177"/>
      <c r="U83" s="177"/>
      <c r="V83" s="177"/>
      <c r="W83" s="177"/>
      <c r="X83" s="367">
        <f>SUM(Y83:AC83)</f>
        <v>0</v>
      </c>
      <c r="Y83" s="177"/>
      <c r="Z83" s="177"/>
      <c r="AA83" s="177"/>
      <c r="AB83" s="177"/>
      <c r="AC83" s="177"/>
      <c r="AD83" s="367">
        <f>SUM(AE83:AI83)</f>
        <v>0</v>
      </c>
      <c r="AE83" s="177"/>
      <c r="AF83" s="177"/>
      <c r="AG83" s="177"/>
      <c r="AH83" s="177"/>
      <c r="AI83" s="177"/>
      <c r="AJ83" s="367">
        <f>SUM(AK83:AO83)</f>
        <v>0</v>
      </c>
      <c r="AK83" s="177"/>
      <c r="AL83" s="177"/>
      <c r="AM83" s="177"/>
      <c r="AN83" s="177"/>
      <c r="AO83" s="177"/>
      <c r="AP83" s="367">
        <f>SUM(AQ83:AU83)</f>
        <v>0</v>
      </c>
      <c r="AQ83" s="177"/>
      <c r="AR83" s="177"/>
      <c r="AS83" s="177"/>
      <c r="AT83" s="177"/>
      <c r="AU83" s="177"/>
      <c r="AV83" s="367">
        <f>SUM(AW83:BA83)</f>
        <v>0</v>
      </c>
      <c r="AW83" s="177"/>
      <c r="AX83" s="177"/>
      <c r="AY83" s="177"/>
      <c r="AZ83" s="177"/>
      <c r="BA83" s="177"/>
      <c r="BB83" s="367">
        <f>SUM(BC83:BG83)</f>
        <v>32</v>
      </c>
      <c r="BC83" s="177">
        <v>22</v>
      </c>
      <c r="BD83" s="177"/>
      <c r="BE83" s="177"/>
      <c r="BF83" s="177"/>
      <c r="BG83" s="177">
        <v>10</v>
      </c>
      <c r="BH83" s="367">
        <f>SUM(BI83:BM83)</f>
        <v>33</v>
      </c>
      <c r="BI83" s="177">
        <v>22</v>
      </c>
      <c r="BJ83" s="177"/>
      <c r="BK83" s="177"/>
      <c r="BL83" s="177"/>
      <c r="BM83" s="177">
        <v>11</v>
      </c>
      <c r="BN83" s="367">
        <f>SUM(BO83:BS83)</f>
        <v>0</v>
      </c>
      <c r="BO83" s="177"/>
      <c r="BP83" s="177"/>
      <c r="BQ83" s="177"/>
      <c r="BR83" s="177"/>
      <c r="BS83" s="177"/>
      <c r="BT83" s="367">
        <f>SUM(BU83:BY83)</f>
        <v>0</v>
      </c>
      <c r="BU83" s="177"/>
      <c r="BV83" s="177"/>
      <c r="BW83" s="177"/>
      <c r="BX83" s="177"/>
      <c r="BY83" s="177"/>
      <c r="BZ83" s="363" t="s">
        <v>515</v>
      </c>
      <c r="CA83" s="547" t="s">
        <v>382</v>
      </c>
    </row>
    <row r="84" spans="1:531" s="95" customFormat="1" ht="26.1" customHeight="1" x14ac:dyDescent="0.2">
      <c r="A84" s="395"/>
      <c r="B84" s="91" t="s">
        <v>370</v>
      </c>
      <c r="C84" s="539"/>
      <c r="D84" s="531"/>
      <c r="E84" s="531" t="s">
        <v>38</v>
      </c>
      <c r="F84" s="531"/>
      <c r="G84" s="529" t="s">
        <v>38</v>
      </c>
      <c r="H84" s="529" t="s">
        <v>43</v>
      </c>
      <c r="I84" s="177"/>
      <c r="J84" s="378"/>
      <c r="K84" s="376">
        <f>L84+SUM(Q84:Q84)</f>
        <v>98</v>
      </c>
      <c r="L84" s="376">
        <f>SUM(M84:P84)</f>
        <v>66</v>
      </c>
      <c r="M84" s="376">
        <f t="shared" si="303"/>
        <v>44</v>
      </c>
      <c r="N84" s="376">
        <f t="shared" si="303"/>
        <v>0</v>
      </c>
      <c r="O84" s="376">
        <f t="shared" si="303"/>
        <v>22</v>
      </c>
      <c r="P84" s="376">
        <f t="shared" si="303"/>
        <v>0</v>
      </c>
      <c r="Q84" s="376">
        <f t="shared" si="303"/>
        <v>32</v>
      </c>
      <c r="R84" s="367">
        <f>SUM(S84:W84)</f>
        <v>0</v>
      </c>
      <c r="S84" s="177"/>
      <c r="T84" s="177"/>
      <c r="U84" s="177"/>
      <c r="V84" s="177"/>
      <c r="W84" s="177"/>
      <c r="X84" s="367">
        <f>SUM(Y84:AC84)</f>
        <v>0</v>
      </c>
      <c r="Y84" s="177"/>
      <c r="Z84" s="177"/>
      <c r="AA84" s="177"/>
      <c r="AB84" s="177"/>
      <c r="AC84" s="177"/>
      <c r="AD84" s="367">
        <f>SUM(AE84:AI84)</f>
        <v>0</v>
      </c>
      <c r="AE84" s="177"/>
      <c r="AF84" s="177"/>
      <c r="AG84" s="177"/>
      <c r="AH84" s="177"/>
      <c r="AI84" s="177"/>
      <c r="AJ84" s="367">
        <f>SUM(AK84:AO84)</f>
        <v>0</v>
      </c>
      <c r="AK84" s="177"/>
      <c r="AL84" s="177"/>
      <c r="AM84" s="177"/>
      <c r="AN84" s="177"/>
      <c r="AO84" s="177"/>
      <c r="AP84" s="367">
        <f>SUM(AQ84:AU84)</f>
        <v>0</v>
      </c>
      <c r="AQ84" s="177"/>
      <c r="AR84" s="179"/>
      <c r="AS84" s="177"/>
      <c r="AT84" s="177"/>
      <c r="AU84" s="177"/>
      <c r="AV84" s="367">
        <f>SUM(AW84:BA84)</f>
        <v>0</v>
      </c>
      <c r="AW84" s="177"/>
      <c r="AX84" s="179"/>
      <c r="AY84" s="179"/>
      <c r="AZ84" s="177"/>
      <c r="BA84" s="177"/>
      <c r="BB84" s="367">
        <f>SUM(BC84:BG84)</f>
        <v>32</v>
      </c>
      <c r="BC84" s="177">
        <v>22</v>
      </c>
      <c r="BD84" s="177"/>
      <c r="BE84" s="177"/>
      <c r="BF84" s="177"/>
      <c r="BG84" s="177">
        <v>10</v>
      </c>
      <c r="BH84" s="367">
        <f>SUM(BI84:BM84)</f>
        <v>66</v>
      </c>
      <c r="BI84" s="177">
        <v>22</v>
      </c>
      <c r="BJ84" s="177"/>
      <c r="BK84" s="177">
        <v>22</v>
      </c>
      <c r="BL84" s="177"/>
      <c r="BM84" s="177">
        <v>22</v>
      </c>
      <c r="BN84" s="367"/>
      <c r="BO84" s="177"/>
      <c r="BP84" s="177"/>
      <c r="BQ84" s="177"/>
      <c r="BR84" s="177"/>
      <c r="BS84" s="177"/>
      <c r="BT84" s="367"/>
      <c r="BU84" s="177"/>
      <c r="BV84" s="177"/>
      <c r="BW84" s="177"/>
      <c r="BX84" s="177"/>
      <c r="BY84" s="177"/>
      <c r="BZ84" s="363" t="s">
        <v>515</v>
      </c>
      <c r="CA84" s="177" t="s">
        <v>382</v>
      </c>
    </row>
    <row r="85" spans="1:531" s="95" customFormat="1" ht="12" customHeight="1" x14ac:dyDescent="0.2">
      <c r="A85" s="382" t="s">
        <v>385</v>
      </c>
      <c r="B85" s="382"/>
      <c r="C85" s="382"/>
      <c r="D85" s="385">
        <v>8</v>
      </c>
      <c r="E85" s="382"/>
      <c r="F85" s="382"/>
      <c r="G85" s="382"/>
      <c r="H85" s="405"/>
      <c r="I85" s="406"/>
      <c r="J85" s="406"/>
      <c r="K85" s="384"/>
      <c r="L85" s="384"/>
      <c r="M85" s="384"/>
      <c r="N85" s="384"/>
      <c r="O85" s="384"/>
      <c r="P85" s="384"/>
      <c r="Q85" s="384"/>
      <c r="R85" s="384"/>
      <c r="S85" s="406"/>
      <c r="T85" s="406"/>
      <c r="U85" s="406"/>
      <c r="V85" s="406"/>
      <c r="W85" s="406"/>
      <c r="X85" s="384"/>
      <c r="Y85" s="406"/>
      <c r="Z85" s="406"/>
      <c r="AA85" s="406"/>
      <c r="AB85" s="406"/>
      <c r="AC85" s="406"/>
      <c r="AD85" s="384"/>
      <c r="AE85" s="406"/>
      <c r="AF85" s="406"/>
      <c r="AG85" s="406"/>
      <c r="AH85" s="406"/>
      <c r="AI85" s="406"/>
      <c r="AJ85" s="384"/>
      <c r="AK85" s="406"/>
      <c r="AL85" s="406"/>
      <c r="AM85" s="406"/>
      <c r="AN85" s="406"/>
      <c r="AO85" s="406"/>
      <c r="AP85" s="384"/>
      <c r="AQ85" s="406"/>
      <c r="AR85" s="406"/>
      <c r="AS85" s="406"/>
      <c r="AT85" s="406"/>
      <c r="AU85" s="406"/>
      <c r="AV85" s="384"/>
      <c r="AW85" s="406"/>
      <c r="AX85" s="406"/>
      <c r="AY85" s="406"/>
      <c r="AZ85" s="406"/>
      <c r="BA85" s="406"/>
      <c r="BB85" s="384"/>
      <c r="BC85" s="406"/>
      <c r="BD85" s="406"/>
      <c r="BE85" s="406"/>
      <c r="BF85" s="406"/>
      <c r="BG85" s="406"/>
      <c r="BH85" s="384"/>
      <c r="BI85" s="406"/>
      <c r="BJ85" s="406"/>
      <c r="BK85" s="406"/>
      <c r="BL85" s="406"/>
      <c r="BM85" s="406"/>
      <c r="BN85" s="384"/>
      <c r="BO85" s="406"/>
      <c r="BP85" s="406"/>
      <c r="BQ85" s="406"/>
      <c r="BR85" s="406"/>
      <c r="BS85" s="406"/>
      <c r="BT85" s="384"/>
      <c r="BU85" s="406"/>
      <c r="BV85" s="406"/>
      <c r="BW85" s="406"/>
      <c r="BX85" s="406"/>
      <c r="BY85" s="406"/>
      <c r="BZ85" s="405"/>
      <c r="CA85" s="406"/>
    </row>
    <row r="86" spans="1:531" s="95" customFormat="1" ht="26.1" customHeight="1" x14ac:dyDescent="0.2">
      <c r="A86" s="443" t="s">
        <v>211</v>
      </c>
      <c r="B86" s="675" t="s">
        <v>411</v>
      </c>
      <c r="C86" s="676"/>
      <c r="D86" s="676"/>
      <c r="E86" s="676"/>
      <c r="F86" s="676"/>
      <c r="G86" s="676"/>
      <c r="H86" s="677"/>
      <c r="I86" s="444"/>
      <c r="J86" s="444"/>
      <c r="K86" s="380">
        <f>K87</f>
        <v>89</v>
      </c>
      <c r="L86" s="380">
        <f t="shared" ref="L86:Q86" si="304">L87</f>
        <v>60</v>
      </c>
      <c r="M86" s="380">
        <f t="shared" si="304"/>
        <v>60</v>
      </c>
      <c r="N86" s="380">
        <f t="shared" si="304"/>
        <v>0</v>
      </c>
      <c r="O86" s="380">
        <f t="shared" si="304"/>
        <v>0</v>
      </c>
      <c r="P86" s="380">
        <f t="shared" si="304"/>
        <v>0</v>
      </c>
      <c r="Q86" s="380">
        <f t="shared" si="304"/>
        <v>29</v>
      </c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0"/>
      <c r="AL86" s="380"/>
      <c r="AM86" s="380"/>
      <c r="AN86" s="380"/>
      <c r="AO86" s="380"/>
      <c r="AP86" s="380">
        <f>SUM(AP87)</f>
        <v>0</v>
      </c>
      <c r="AQ86" s="380">
        <f>SUM(AQ87)</f>
        <v>0</v>
      </c>
      <c r="AR86" s="380">
        <f t="shared" ref="AR86:AU86" si="305">SUM(AR87)</f>
        <v>0</v>
      </c>
      <c r="AS86" s="380">
        <f t="shared" si="305"/>
        <v>0</v>
      </c>
      <c r="AT86" s="380">
        <f t="shared" si="305"/>
        <v>0</v>
      </c>
      <c r="AU86" s="380">
        <f t="shared" si="305"/>
        <v>0</v>
      </c>
      <c r="AV86" s="380">
        <f>SUM(AV87)</f>
        <v>0</v>
      </c>
      <c r="AW86" s="380">
        <f>SUM(AW87)</f>
        <v>0</v>
      </c>
      <c r="AX86" s="380">
        <f t="shared" ref="AX86:BA86" si="306">SUM(AX87)</f>
        <v>0</v>
      </c>
      <c r="AY86" s="380">
        <f t="shared" si="306"/>
        <v>0</v>
      </c>
      <c r="AZ86" s="380">
        <f t="shared" si="306"/>
        <v>0</v>
      </c>
      <c r="BA86" s="380">
        <f t="shared" si="306"/>
        <v>0</v>
      </c>
      <c r="BB86" s="380">
        <f>SUM(BB87)</f>
        <v>32</v>
      </c>
      <c r="BC86" s="380">
        <f>SUM(BC87)</f>
        <v>22</v>
      </c>
      <c r="BD86" s="380">
        <f t="shared" ref="BD86:BG86" si="307">SUM(BD87)</f>
        <v>0</v>
      </c>
      <c r="BE86" s="380">
        <f t="shared" si="307"/>
        <v>0</v>
      </c>
      <c r="BF86" s="380">
        <f t="shared" si="307"/>
        <v>0</v>
      </c>
      <c r="BG86" s="380">
        <f t="shared" si="307"/>
        <v>10</v>
      </c>
      <c r="BH86" s="380">
        <f>SUM(BH87)</f>
        <v>33</v>
      </c>
      <c r="BI86" s="380">
        <f>SUM(BI87)</f>
        <v>22</v>
      </c>
      <c r="BJ86" s="380">
        <f t="shared" ref="BJ86:BM86" si="308">SUM(BJ87)</f>
        <v>0</v>
      </c>
      <c r="BK86" s="380">
        <f t="shared" si="308"/>
        <v>0</v>
      </c>
      <c r="BL86" s="380">
        <f t="shared" si="308"/>
        <v>0</v>
      </c>
      <c r="BM86" s="380">
        <f t="shared" si="308"/>
        <v>11</v>
      </c>
      <c r="BN86" s="380">
        <f>SUM(BN87)</f>
        <v>24</v>
      </c>
      <c r="BO86" s="380">
        <f>SUM(BO87)</f>
        <v>16</v>
      </c>
      <c r="BP86" s="380">
        <f t="shared" ref="BP86:BS86" si="309">SUM(BP87)</f>
        <v>0</v>
      </c>
      <c r="BQ86" s="380">
        <f t="shared" si="309"/>
        <v>0</v>
      </c>
      <c r="BR86" s="380">
        <f t="shared" si="309"/>
        <v>0</v>
      </c>
      <c r="BS86" s="380">
        <f t="shared" si="309"/>
        <v>8</v>
      </c>
      <c r="BT86" s="380">
        <f>SUM(BT87)</f>
        <v>0</v>
      </c>
      <c r="BU86" s="380">
        <f>SUM(BU87)</f>
        <v>0</v>
      </c>
      <c r="BV86" s="380">
        <f t="shared" ref="BV86:BY86" si="310">SUM(BV87)</f>
        <v>0</v>
      </c>
      <c r="BW86" s="380">
        <f t="shared" si="310"/>
        <v>0</v>
      </c>
      <c r="BX86" s="380">
        <f t="shared" si="310"/>
        <v>0</v>
      </c>
      <c r="BY86" s="380">
        <f t="shared" si="310"/>
        <v>0</v>
      </c>
      <c r="BZ86" s="445"/>
      <c r="CA86" s="446" t="s">
        <v>470</v>
      </c>
    </row>
    <row r="87" spans="1:531" s="95" customFormat="1" ht="26.1" customHeight="1" x14ac:dyDescent="0.2">
      <c r="A87" s="455" t="s">
        <v>412</v>
      </c>
      <c r="B87" s="540" t="s">
        <v>413</v>
      </c>
      <c r="C87" s="541"/>
      <c r="D87" s="542"/>
      <c r="E87" s="543">
        <v>9</v>
      </c>
      <c r="F87" s="543"/>
      <c r="G87" s="544"/>
      <c r="H87" s="545" t="s">
        <v>628</v>
      </c>
      <c r="I87" s="450"/>
      <c r="J87" s="450"/>
      <c r="K87" s="451">
        <f>L87+SUM(Q87:Q87)</f>
        <v>89</v>
      </c>
      <c r="L87" s="451">
        <f>SUM(M87:P87)</f>
        <v>60</v>
      </c>
      <c r="M87" s="451">
        <f>S87+Y87+AE87+AK87+AQ87+AW87+BC87+BI87+BO87+BU87</f>
        <v>60</v>
      </c>
      <c r="N87" s="451">
        <f>T87+Z87+AF87+AL87+AR87+AX87+BD87+BJ87+BP87+BV87</f>
        <v>0</v>
      </c>
      <c r="O87" s="451">
        <f>U87+AA87+AG87+AM87+AS87+AY87+BE87+BK87+BQ87+BW87</f>
        <v>0</v>
      </c>
      <c r="P87" s="451">
        <f>V87+AB87+AH87+AN87+AT87+AZ87+BF87+BL87+BR87+BX87</f>
        <v>0</v>
      </c>
      <c r="Q87" s="451">
        <f>W87+AC87+AI87+AO87+AU87+BA87+BG87+BM87+BS87+BY87</f>
        <v>29</v>
      </c>
      <c r="R87" s="451">
        <f>SUM(S87:W87)</f>
        <v>0</v>
      </c>
      <c r="S87" s="450"/>
      <c r="T87" s="450"/>
      <c r="U87" s="450"/>
      <c r="V87" s="450"/>
      <c r="W87" s="450"/>
      <c r="X87" s="451">
        <f>SUM(Y87:AC87)</f>
        <v>0</v>
      </c>
      <c r="Y87" s="450"/>
      <c r="Z87" s="450"/>
      <c r="AA87" s="450"/>
      <c r="AB87" s="450"/>
      <c r="AC87" s="450"/>
      <c r="AD87" s="451">
        <f>SUM(AE87:AI87)</f>
        <v>0</v>
      </c>
      <c r="AE87" s="450"/>
      <c r="AF87" s="450"/>
      <c r="AG87" s="450"/>
      <c r="AH87" s="450"/>
      <c r="AI87" s="450"/>
      <c r="AJ87" s="451">
        <f>SUM(AK87:AO87)</f>
        <v>0</v>
      </c>
      <c r="AK87" s="450"/>
      <c r="AL87" s="450"/>
      <c r="AM87" s="450"/>
      <c r="AN87" s="450"/>
      <c r="AO87" s="450"/>
      <c r="AP87" s="451">
        <f>SUM(AQ87:AU87)</f>
        <v>0</v>
      </c>
      <c r="AQ87" s="450"/>
      <c r="AR87" s="450"/>
      <c r="AS87" s="450"/>
      <c r="AT87" s="450"/>
      <c r="AU87" s="450"/>
      <c r="AV87" s="451">
        <f>SUM(AW87:BA87)</f>
        <v>0</v>
      </c>
      <c r="AW87" s="450"/>
      <c r="AX87" s="450"/>
      <c r="AY87" s="450"/>
      <c r="AZ87" s="450"/>
      <c r="BA87" s="450"/>
      <c r="BB87" s="451">
        <f>SUM(BC87:BG87)</f>
        <v>32</v>
      </c>
      <c r="BC87" s="450">
        <v>22</v>
      </c>
      <c r="BD87" s="450"/>
      <c r="BE87" s="450"/>
      <c r="BF87" s="450"/>
      <c r="BG87" s="450">
        <v>10</v>
      </c>
      <c r="BH87" s="451">
        <f>SUM(BI87:BM87)</f>
        <v>33</v>
      </c>
      <c r="BI87" s="450">
        <v>22</v>
      </c>
      <c r="BJ87" s="450"/>
      <c r="BK87" s="450"/>
      <c r="BL87" s="450"/>
      <c r="BM87" s="450">
        <v>11</v>
      </c>
      <c r="BN87" s="451">
        <f>SUM(BO87:BS87)</f>
        <v>24</v>
      </c>
      <c r="BO87" s="450">
        <v>16</v>
      </c>
      <c r="BP87" s="450"/>
      <c r="BQ87" s="450"/>
      <c r="BR87" s="450"/>
      <c r="BS87" s="450">
        <v>8</v>
      </c>
      <c r="BT87" s="451">
        <f>SUM(BU87:BY87)</f>
        <v>0</v>
      </c>
      <c r="BU87" s="450"/>
      <c r="BV87" s="450"/>
      <c r="BW87" s="450"/>
      <c r="BX87" s="450"/>
      <c r="BY87" s="450"/>
      <c r="BZ87" s="456" t="s">
        <v>505</v>
      </c>
      <c r="CA87" s="450" t="s">
        <v>470</v>
      </c>
    </row>
    <row r="88" spans="1:531" s="95" customFormat="1" ht="12" customHeight="1" x14ac:dyDescent="0.2">
      <c r="A88" s="382" t="s">
        <v>385</v>
      </c>
      <c r="B88" s="382"/>
      <c r="C88" s="382"/>
      <c r="D88" s="409">
        <v>8</v>
      </c>
      <c r="E88" s="382"/>
      <c r="F88" s="382"/>
      <c r="G88" s="382"/>
      <c r="H88" s="405"/>
      <c r="I88" s="406"/>
      <c r="J88" s="406"/>
      <c r="K88" s="384"/>
      <c r="L88" s="384"/>
      <c r="M88" s="384"/>
      <c r="N88" s="384"/>
      <c r="O88" s="384"/>
      <c r="P88" s="384"/>
      <c r="Q88" s="384"/>
      <c r="R88" s="384"/>
      <c r="S88" s="406"/>
      <c r="T88" s="406"/>
      <c r="U88" s="406"/>
      <c r="V88" s="406"/>
      <c r="W88" s="406"/>
      <c r="X88" s="384"/>
      <c r="Y88" s="406"/>
      <c r="Z88" s="406"/>
      <c r="AA88" s="406"/>
      <c r="AB88" s="406"/>
      <c r="AC88" s="406"/>
      <c r="AD88" s="384"/>
      <c r="AE88" s="406"/>
      <c r="AF88" s="406"/>
      <c r="AG88" s="406"/>
      <c r="AH88" s="406"/>
      <c r="AI88" s="406"/>
      <c r="AJ88" s="384"/>
      <c r="AK88" s="406"/>
      <c r="AL88" s="406"/>
      <c r="AM88" s="406"/>
      <c r="AN88" s="406"/>
      <c r="AO88" s="406"/>
      <c r="AP88" s="384"/>
      <c r="AQ88" s="406"/>
      <c r="AR88" s="406"/>
      <c r="AS88" s="406"/>
      <c r="AT88" s="406"/>
      <c r="AU88" s="406"/>
      <c r="AV88" s="384"/>
      <c r="AW88" s="406"/>
      <c r="AX88" s="406"/>
      <c r="AY88" s="406"/>
      <c r="AZ88" s="406"/>
      <c r="BA88" s="406"/>
      <c r="BB88" s="384"/>
      <c r="BC88" s="406"/>
      <c r="BD88" s="406"/>
      <c r="BE88" s="406"/>
      <c r="BF88" s="406"/>
      <c r="BG88" s="406"/>
      <c r="BH88" s="384"/>
      <c r="BI88" s="406"/>
      <c r="BJ88" s="406"/>
      <c r="BK88" s="406"/>
      <c r="BL88" s="406"/>
      <c r="BM88" s="406"/>
      <c r="BN88" s="384"/>
      <c r="BO88" s="406"/>
      <c r="BP88" s="406"/>
      <c r="BQ88" s="406"/>
      <c r="BR88" s="406"/>
      <c r="BS88" s="406"/>
      <c r="BT88" s="384"/>
      <c r="BU88" s="406"/>
      <c r="BV88" s="406"/>
      <c r="BW88" s="406"/>
      <c r="BX88" s="406"/>
      <c r="BY88" s="406"/>
      <c r="BZ88" s="405"/>
      <c r="CA88" s="406"/>
    </row>
    <row r="89" spans="1:531" s="95" customFormat="1" ht="26.1" customHeight="1" x14ac:dyDescent="0.2">
      <c r="A89" s="443" t="s">
        <v>414</v>
      </c>
      <c r="B89" s="675" t="s">
        <v>212</v>
      </c>
      <c r="C89" s="676"/>
      <c r="D89" s="676"/>
      <c r="E89" s="676"/>
      <c r="F89" s="676"/>
      <c r="G89" s="676"/>
      <c r="H89" s="677"/>
      <c r="I89" s="444"/>
      <c r="J89" s="444"/>
      <c r="K89" s="380">
        <f t="shared" ref="K89:Q89" si="311">SUM(K90:K90)</f>
        <v>102</v>
      </c>
      <c r="L89" s="380">
        <f t="shared" si="311"/>
        <v>68</v>
      </c>
      <c r="M89" s="380">
        <f t="shared" si="311"/>
        <v>68</v>
      </c>
      <c r="N89" s="380">
        <f t="shared" si="311"/>
        <v>0</v>
      </c>
      <c r="O89" s="380">
        <f t="shared" si="311"/>
        <v>0</v>
      </c>
      <c r="P89" s="380">
        <f t="shared" si="311"/>
        <v>0</v>
      </c>
      <c r="Q89" s="380">
        <f t="shared" si="311"/>
        <v>34</v>
      </c>
      <c r="R89" s="380"/>
      <c r="S89" s="380"/>
      <c r="T89" s="380"/>
      <c r="U89" s="380"/>
      <c r="V89" s="380"/>
      <c r="W89" s="380"/>
      <c r="X89" s="380"/>
      <c r="Y89" s="380"/>
      <c r="Z89" s="380"/>
      <c r="AA89" s="380"/>
      <c r="AB89" s="380"/>
      <c r="AC89" s="380"/>
      <c r="AD89" s="380"/>
      <c r="AE89" s="380"/>
      <c r="AF89" s="380"/>
      <c r="AG89" s="380"/>
      <c r="AH89" s="380"/>
      <c r="AI89" s="380"/>
      <c r="AJ89" s="380">
        <f>AJ90</f>
        <v>102</v>
      </c>
      <c r="AK89" s="380">
        <f>AK90</f>
        <v>68</v>
      </c>
      <c r="AL89" s="380">
        <f t="shared" ref="AL89:AO89" si="312">AL90</f>
        <v>0</v>
      </c>
      <c r="AM89" s="380">
        <f t="shared" si="312"/>
        <v>0</v>
      </c>
      <c r="AN89" s="380">
        <f t="shared" si="312"/>
        <v>0</v>
      </c>
      <c r="AO89" s="380">
        <f t="shared" si="312"/>
        <v>34</v>
      </c>
      <c r="AP89" s="380">
        <f>SUM(AP90)</f>
        <v>0</v>
      </c>
      <c r="AQ89" s="380">
        <f>SUM(AQ90)</f>
        <v>0</v>
      </c>
      <c r="AR89" s="380">
        <f t="shared" ref="AR89:AU89" si="313">SUM(AR90)</f>
        <v>0</v>
      </c>
      <c r="AS89" s="380">
        <f t="shared" si="313"/>
        <v>0</v>
      </c>
      <c r="AT89" s="380">
        <f t="shared" si="313"/>
        <v>0</v>
      </c>
      <c r="AU89" s="380">
        <f t="shared" si="313"/>
        <v>0</v>
      </c>
      <c r="AV89" s="380">
        <f>SUM(AV90)</f>
        <v>0</v>
      </c>
      <c r="AW89" s="380">
        <f>SUM(AW90)</f>
        <v>0</v>
      </c>
      <c r="AX89" s="380">
        <f t="shared" ref="AX89:BA89" si="314">SUM(AX90)</f>
        <v>0</v>
      </c>
      <c r="AY89" s="380">
        <f t="shared" si="314"/>
        <v>0</v>
      </c>
      <c r="AZ89" s="380">
        <f t="shared" si="314"/>
        <v>0</v>
      </c>
      <c r="BA89" s="380">
        <f t="shared" si="314"/>
        <v>0</v>
      </c>
      <c r="BB89" s="380">
        <f>SUM(BB90)</f>
        <v>0</v>
      </c>
      <c r="BC89" s="380">
        <f>SUM(BC90)</f>
        <v>0</v>
      </c>
      <c r="BD89" s="380">
        <f t="shared" ref="BD89:BG89" si="315">SUM(BD90)</f>
        <v>0</v>
      </c>
      <c r="BE89" s="380">
        <f t="shared" si="315"/>
        <v>0</v>
      </c>
      <c r="BF89" s="380">
        <f t="shared" si="315"/>
        <v>0</v>
      </c>
      <c r="BG89" s="380">
        <f t="shared" si="315"/>
        <v>0</v>
      </c>
      <c r="BH89" s="380">
        <f>SUM(BH90)</f>
        <v>0</v>
      </c>
      <c r="BI89" s="380">
        <f>SUM(BI90)</f>
        <v>0</v>
      </c>
      <c r="BJ89" s="380">
        <f t="shared" ref="BJ89:BM89" si="316">SUM(BJ90)</f>
        <v>0</v>
      </c>
      <c r="BK89" s="380">
        <f t="shared" si="316"/>
        <v>0</v>
      </c>
      <c r="BL89" s="380">
        <f t="shared" si="316"/>
        <v>0</v>
      </c>
      <c r="BM89" s="380">
        <f t="shared" si="316"/>
        <v>0</v>
      </c>
      <c r="BN89" s="380">
        <f>SUM(BN90)</f>
        <v>0</v>
      </c>
      <c r="BO89" s="380">
        <f>SUM(BO90)</f>
        <v>0</v>
      </c>
      <c r="BP89" s="380">
        <f t="shared" ref="BP89:BS89" si="317">SUM(BP90)</f>
        <v>0</v>
      </c>
      <c r="BQ89" s="380">
        <f t="shared" si="317"/>
        <v>0</v>
      </c>
      <c r="BR89" s="380">
        <f t="shared" si="317"/>
        <v>0</v>
      </c>
      <c r="BS89" s="380">
        <f t="shared" si="317"/>
        <v>0</v>
      </c>
      <c r="BT89" s="380">
        <f>SUM(BT90)</f>
        <v>0</v>
      </c>
      <c r="BU89" s="380">
        <f>SUM(BU90)</f>
        <v>0</v>
      </c>
      <c r="BV89" s="380">
        <f t="shared" ref="BV89:BY89" si="318">SUM(BV90)</f>
        <v>0</v>
      </c>
      <c r="BW89" s="380">
        <f t="shared" si="318"/>
        <v>0</v>
      </c>
      <c r="BX89" s="380">
        <f t="shared" si="318"/>
        <v>0</v>
      </c>
      <c r="BY89" s="380">
        <f t="shared" si="318"/>
        <v>0</v>
      </c>
      <c r="BZ89" s="380"/>
      <c r="CA89" s="380"/>
    </row>
    <row r="90" spans="1:531" s="114" customFormat="1" ht="26.1" customHeight="1" x14ac:dyDescent="0.2">
      <c r="A90" s="403"/>
      <c r="B90" s="549" t="s">
        <v>633</v>
      </c>
      <c r="C90" s="200" t="s">
        <v>633</v>
      </c>
      <c r="D90" s="363"/>
      <c r="E90" s="363" t="s">
        <v>40</v>
      </c>
      <c r="F90" s="363"/>
      <c r="G90" s="363"/>
      <c r="H90" s="363"/>
      <c r="I90" s="177"/>
      <c r="J90" s="177"/>
      <c r="K90" s="376">
        <f>L90+SUM(Q90:Q90)</f>
        <v>102</v>
      </c>
      <c r="L90" s="376">
        <f>SUM(M90:P90)</f>
        <v>68</v>
      </c>
      <c r="M90" s="376">
        <f>S90+Y90+AE90+AK90+AQ90+AW90+BC90+BI90+BO90+BU90</f>
        <v>68</v>
      </c>
      <c r="N90" s="376">
        <f>T90+Z90+AF90+AL90+AR90+AX90+BD90+BJ90+BP90+BV90</f>
        <v>0</v>
      </c>
      <c r="O90" s="376">
        <f>U90+AA90+AG90+AM90+AS90+AY90+BE90+BK90+BQ90+BW90</f>
        <v>0</v>
      </c>
      <c r="P90" s="376">
        <f>V90+AB90+AH90+AN90+AT90+AZ90+BF90+BL90+BR90+BX90</f>
        <v>0</v>
      </c>
      <c r="Q90" s="376">
        <f>W90+AC90+AI90+AO90+AU90+BA90+BG90+BM90+BS90+BY90</f>
        <v>34</v>
      </c>
      <c r="R90" s="367">
        <f>SUM(S90:W90)</f>
        <v>0</v>
      </c>
      <c r="S90" s="177"/>
      <c r="T90" s="177"/>
      <c r="U90" s="177"/>
      <c r="V90" s="177"/>
      <c r="W90" s="177"/>
      <c r="X90" s="367">
        <f>SUM(Y90:AC90)</f>
        <v>0</v>
      </c>
      <c r="Y90" s="177"/>
      <c r="Z90" s="177"/>
      <c r="AA90" s="177"/>
      <c r="AB90" s="177"/>
      <c r="AC90" s="177"/>
      <c r="AD90" s="367">
        <f>SUM(AE90:AI90)</f>
        <v>0</v>
      </c>
      <c r="AE90" s="177"/>
      <c r="AF90" s="177"/>
      <c r="AG90" s="177"/>
      <c r="AH90" s="177"/>
      <c r="AI90" s="177"/>
      <c r="AJ90" s="367">
        <f>SUM(AK90:AO90)</f>
        <v>102</v>
      </c>
      <c r="AK90" s="179">
        <v>68</v>
      </c>
      <c r="AL90" s="177"/>
      <c r="AM90" s="177"/>
      <c r="AN90" s="177"/>
      <c r="AO90" s="177">
        <v>34</v>
      </c>
      <c r="AP90" s="367">
        <f>SUM(AQ90:AU90)</f>
        <v>0</v>
      </c>
      <c r="AQ90" s="177"/>
      <c r="AR90" s="177"/>
      <c r="AS90" s="177"/>
      <c r="AT90" s="177"/>
      <c r="AU90" s="177"/>
      <c r="AV90" s="367">
        <f>SUM(AW90:BA90)</f>
        <v>0</v>
      </c>
      <c r="AW90" s="177"/>
      <c r="AX90" s="177"/>
      <c r="AY90" s="177"/>
      <c r="AZ90" s="177"/>
      <c r="BA90" s="177"/>
      <c r="BB90" s="367">
        <f>SUM(BC90:BG90)</f>
        <v>0</v>
      </c>
      <c r="BC90" s="177"/>
      <c r="BD90" s="177"/>
      <c r="BE90" s="177"/>
      <c r="BF90" s="177"/>
      <c r="BG90" s="177"/>
      <c r="BH90" s="367">
        <f>SUM(BI90:BM90)</f>
        <v>0</v>
      </c>
      <c r="BI90" s="177"/>
      <c r="BJ90" s="177"/>
      <c r="BK90" s="177"/>
      <c r="BL90" s="177"/>
      <c r="BM90" s="177"/>
      <c r="BN90" s="367"/>
      <c r="BO90" s="177"/>
      <c r="BP90" s="177"/>
      <c r="BQ90" s="177"/>
      <c r="BR90" s="177"/>
      <c r="BS90" s="177"/>
      <c r="BT90" s="367"/>
      <c r="BU90" s="177"/>
      <c r="BV90" s="177"/>
      <c r="BW90" s="177"/>
      <c r="BX90" s="177"/>
      <c r="BY90" s="177"/>
      <c r="BZ90" s="363" t="s">
        <v>505</v>
      </c>
      <c r="CA90" s="177" t="s">
        <v>444</v>
      </c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95"/>
      <c r="IF90" s="95"/>
      <c r="IG90" s="95"/>
      <c r="IH90" s="95"/>
      <c r="II90" s="95"/>
      <c r="IJ90" s="95"/>
      <c r="IK90" s="95"/>
      <c r="IL90" s="95"/>
      <c r="IM90" s="95"/>
      <c r="IN90" s="95"/>
      <c r="IO90" s="95"/>
      <c r="IP90" s="95"/>
      <c r="IQ90" s="95"/>
      <c r="IR90" s="95"/>
      <c r="IS90" s="95"/>
      <c r="IT90" s="95"/>
      <c r="IU90" s="95"/>
      <c r="IV90" s="95"/>
      <c r="IW90" s="95"/>
      <c r="IX90" s="95"/>
      <c r="IY90" s="95"/>
      <c r="IZ90" s="95"/>
      <c r="JA90" s="95"/>
      <c r="JB90" s="95"/>
      <c r="JC90" s="95"/>
      <c r="JD90" s="95"/>
      <c r="JE90" s="95"/>
      <c r="JF90" s="95"/>
      <c r="JG90" s="95"/>
      <c r="JH90" s="95"/>
      <c r="JI90" s="95"/>
      <c r="JJ90" s="95"/>
      <c r="JK90" s="95"/>
      <c r="JL90" s="95"/>
      <c r="JM90" s="95"/>
      <c r="JN90" s="95"/>
      <c r="JO90" s="95"/>
      <c r="JP90" s="95"/>
      <c r="JQ90" s="95"/>
      <c r="JR90" s="95"/>
      <c r="JS90" s="95"/>
      <c r="JT90" s="95"/>
      <c r="JU90" s="95"/>
      <c r="JV90" s="95"/>
      <c r="JW90" s="95"/>
      <c r="JX90" s="95"/>
      <c r="JY90" s="95"/>
      <c r="JZ90" s="95"/>
      <c r="KA90" s="95"/>
      <c r="KB90" s="95"/>
      <c r="KC90" s="95"/>
      <c r="KD90" s="95"/>
      <c r="KE90" s="95"/>
      <c r="KF90" s="95"/>
      <c r="KG90" s="95"/>
      <c r="KH90" s="95"/>
      <c r="KI90" s="95"/>
      <c r="KJ90" s="95"/>
      <c r="KK90" s="95"/>
      <c r="KL90" s="95"/>
      <c r="KM90" s="95"/>
      <c r="KN90" s="95"/>
      <c r="KO90" s="95"/>
      <c r="KP90" s="95"/>
      <c r="KQ90" s="95"/>
      <c r="KR90" s="95"/>
      <c r="KS90" s="95"/>
      <c r="KT90" s="95"/>
      <c r="KU90" s="95"/>
      <c r="KV90" s="95"/>
      <c r="KW90" s="95"/>
      <c r="KX90" s="95"/>
      <c r="KY90" s="95"/>
      <c r="KZ90" s="95"/>
      <c r="LA90" s="95"/>
      <c r="LB90" s="95"/>
      <c r="LC90" s="95"/>
      <c r="LD90" s="95"/>
      <c r="LE90" s="95"/>
      <c r="LF90" s="95"/>
      <c r="LG90" s="95"/>
      <c r="LH90" s="95"/>
      <c r="LI90" s="95"/>
      <c r="LJ90" s="95"/>
      <c r="LK90" s="95"/>
      <c r="LL90" s="95"/>
      <c r="LM90" s="95"/>
      <c r="LN90" s="95"/>
      <c r="LO90" s="95"/>
      <c r="LP90" s="95"/>
      <c r="LQ90" s="95"/>
      <c r="LR90" s="95"/>
      <c r="LS90" s="95"/>
      <c r="LT90" s="95"/>
      <c r="LU90" s="95"/>
      <c r="LV90" s="95"/>
      <c r="LW90" s="95"/>
      <c r="LX90" s="95"/>
      <c r="LY90" s="95"/>
      <c r="LZ90" s="95"/>
      <c r="MA90" s="95"/>
      <c r="MB90" s="95"/>
      <c r="MC90" s="95"/>
      <c r="MD90" s="95"/>
      <c r="ME90" s="95"/>
      <c r="MF90" s="95"/>
      <c r="MG90" s="95"/>
      <c r="MH90" s="95"/>
      <c r="MI90" s="95"/>
      <c r="MJ90" s="95"/>
      <c r="MK90" s="95"/>
      <c r="ML90" s="95"/>
      <c r="MM90" s="95"/>
      <c r="MN90" s="95"/>
      <c r="MO90" s="95"/>
      <c r="MP90" s="95"/>
      <c r="MQ90" s="95"/>
      <c r="MR90" s="95"/>
      <c r="MS90" s="95"/>
      <c r="MT90" s="95"/>
      <c r="MU90" s="95"/>
      <c r="MV90" s="95"/>
      <c r="MW90" s="95"/>
      <c r="MX90" s="95"/>
      <c r="MY90" s="95"/>
      <c r="MZ90" s="95"/>
      <c r="NA90" s="95"/>
      <c r="NB90" s="95"/>
      <c r="NC90" s="95"/>
      <c r="ND90" s="95"/>
      <c r="NE90" s="95"/>
      <c r="NF90" s="95"/>
      <c r="NG90" s="95"/>
      <c r="NH90" s="95"/>
      <c r="NI90" s="95"/>
      <c r="NJ90" s="95"/>
      <c r="NK90" s="95"/>
      <c r="NL90" s="95"/>
      <c r="NM90" s="95"/>
      <c r="NN90" s="95"/>
      <c r="NO90" s="95"/>
      <c r="NP90" s="95"/>
      <c r="NQ90" s="95"/>
      <c r="NR90" s="95"/>
      <c r="NS90" s="95"/>
      <c r="NT90" s="95"/>
      <c r="NU90" s="95"/>
      <c r="NV90" s="95"/>
      <c r="NW90" s="95"/>
      <c r="NX90" s="95"/>
      <c r="NY90" s="95"/>
      <c r="NZ90" s="95"/>
      <c r="OA90" s="95"/>
      <c r="OB90" s="95"/>
      <c r="OC90" s="95"/>
      <c r="OD90" s="95"/>
      <c r="OE90" s="95"/>
      <c r="OF90" s="95"/>
      <c r="OG90" s="95"/>
      <c r="OH90" s="95"/>
      <c r="OI90" s="95"/>
      <c r="OJ90" s="95"/>
      <c r="OK90" s="95"/>
      <c r="OL90" s="95"/>
      <c r="OM90" s="95"/>
      <c r="ON90" s="95"/>
      <c r="OO90" s="95"/>
      <c r="OP90" s="95"/>
      <c r="OQ90" s="95"/>
      <c r="OR90" s="95"/>
      <c r="OS90" s="95"/>
      <c r="OT90" s="95"/>
      <c r="OU90" s="95"/>
      <c r="OV90" s="95"/>
      <c r="OW90" s="95"/>
      <c r="OX90" s="95"/>
      <c r="OY90" s="95"/>
      <c r="OZ90" s="95"/>
      <c r="PA90" s="95"/>
      <c r="PB90" s="95"/>
      <c r="PC90" s="95"/>
      <c r="PD90" s="95"/>
      <c r="PE90" s="95"/>
      <c r="PF90" s="95"/>
      <c r="PG90" s="95"/>
      <c r="PH90" s="95"/>
      <c r="PI90" s="95"/>
      <c r="PJ90" s="95"/>
      <c r="PK90" s="95"/>
      <c r="PL90" s="95"/>
      <c r="PM90" s="95"/>
      <c r="PN90" s="95"/>
      <c r="PO90" s="95"/>
      <c r="PP90" s="95"/>
      <c r="PQ90" s="95"/>
      <c r="PR90" s="95"/>
      <c r="PS90" s="95"/>
      <c r="PT90" s="95"/>
      <c r="PU90" s="95"/>
      <c r="PV90" s="95"/>
      <c r="PW90" s="95"/>
      <c r="PX90" s="95"/>
      <c r="PY90" s="95"/>
      <c r="PZ90" s="95"/>
      <c r="QA90" s="95"/>
      <c r="QB90" s="95"/>
      <c r="QC90" s="95"/>
      <c r="QD90" s="95"/>
      <c r="QE90" s="95"/>
      <c r="QF90" s="95"/>
      <c r="QG90" s="95"/>
      <c r="QH90" s="95"/>
      <c r="QI90" s="95"/>
      <c r="QJ90" s="95"/>
      <c r="QK90" s="95"/>
      <c r="QL90" s="95"/>
      <c r="QM90" s="95"/>
      <c r="QN90" s="95"/>
      <c r="QO90" s="95"/>
      <c r="QP90" s="95"/>
      <c r="QQ90" s="95"/>
      <c r="QR90" s="95"/>
      <c r="QS90" s="95"/>
      <c r="QT90" s="95"/>
      <c r="QU90" s="95"/>
      <c r="QV90" s="95"/>
      <c r="QW90" s="95"/>
      <c r="QX90" s="95"/>
      <c r="QY90" s="95"/>
      <c r="QZ90" s="95"/>
      <c r="RA90" s="95"/>
      <c r="RB90" s="95"/>
      <c r="RC90" s="95"/>
      <c r="RD90" s="95"/>
      <c r="RE90" s="95"/>
      <c r="RF90" s="95"/>
      <c r="RG90" s="95"/>
      <c r="RH90" s="95"/>
      <c r="RI90" s="95"/>
      <c r="RJ90" s="95"/>
      <c r="RK90" s="95"/>
      <c r="RL90" s="95"/>
      <c r="RM90" s="95"/>
      <c r="RN90" s="95"/>
      <c r="RO90" s="95"/>
      <c r="RP90" s="95"/>
      <c r="RQ90" s="95"/>
      <c r="RR90" s="95"/>
      <c r="RS90" s="95"/>
      <c r="RT90" s="95"/>
      <c r="RU90" s="95"/>
      <c r="RV90" s="95"/>
      <c r="RW90" s="95"/>
      <c r="RX90" s="95"/>
      <c r="RY90" s="95"/>
      <c r="RZ90" s="95"/>
      <c r="SA90" s="95"/>
      <c r="SB90" s="95"/>
      <c r="SC90" s="95"/>
      <c r="SD90" s="95"/>
      <c r="SE90" s="95"/>
      <c r="SF90" s="95"/>
      <c r="SG90" s="95"/>
      <c r="SH90" s="95"/>
      <c r="SI90" s="95"/>
      <c r="SJ90" s="95"/>
      <c r="SK90" s="95"/>
      <c r="SL90" s="95"/>
      <c r="SM90" s="95"/>
      <c r="SN90" s="95"/>
      <c r="SO90" s="95"/>
      <c r="SP90" s="95"/>
      <c r="SQ90" s="95"/>
      <c r="SR90" s="95"/>
      <c r="SS90" s="95"/>
      <c r="ST90" s="95"/>
      <c r="SU90" s="95"/>
      <c r="SV90" s="95"/>
      <c r="SW90" s="95"/>
      <c r="SX90" s="95"/>
      <c r="SY90" s="95"/>
      <c r="SZ90" s="95"/>
      <c r="TA90" s="95"/>
      <c r="TB90" s="95"/>
      <c r="TC90" s="95"/>
      <c r="TD90" s="95"/>
      <c r="TE90" s="95"/>
      <c r="TF90" s="95"/>
      <c r="TG90" s="95"/>
      <c r="TH90" s="95"/>
      <c r="TI90" s="95"/>
      <c r="TJ90" s="95"/>
      <c r="TK90" s="95"/>
    </row>
    <row r="91" spans="1:531" s="95" customFormat="1" ht="12" customHeight="1" x14ac:dyDescent="0.2">
      <c r="A91" s="382" t="s">
        <v>385</v>
      </c>
      <c r="B91" s="382"/>
      <c r="C91" s="382"/>
      <c r="D91" s="385">
        <v>5</v>
      </c>
      <c r="E91" s="382"/>
      <c r="F91" s="382"/>
      <c r="G91" s="382"/>
      <c r="H91" s="405"/>
      <c r="I91" s="406"/>
      <c r="J91" s="406"/>
      <c r="K91" s="384"/>
      <c r="L91" s="384"/>
      <c r="M91" s="384"/>
      <c r="N91" s="384"/>
      <c r="O91" s="384"/>
      <c r="P91" s="384"/>
      <c r="Q91" s="384"/>
      <c r="R91" s="384"/>
      <c r="S91" s="406"/>
      <c r="T91" s="406"/>
      <c r="U91" s="406"/>
      <c r="V91" s="406"/>
      <c r="W91" s="406"/>
      <c r="X91" s="384"/>
      <c r="Y91" s="406"/>
      <c r="Z91" s="406"/>
      <c r="AA91" s="406"/>
      <c r="AB91" s="406"/>
      <c r="AC91" s="406"/>
      <c r="AD91" s="384"/>
      <c r="AE91" s="406"/>
      <c r="AF91" s="406"/>
      <c r="AG91" s="406"/>
      <c r="AH91" s="406"/>
      <c r="AI91" s="406"/>
      <c r="AJ91" s="384"/>
      <c r="AK91" s="406"/>
      <c r="AL91" s="406"/>
      <c r="AM91" s="406"/>
      <c r="AN91" s="406"/>
      <c r="AO91" s="406"/>
      <c r="AP91" s="384"/>
      <c r="AQ91" s="406"/>
      <c r="AR91" s="406"/>
      <c r="AS91" s="406"/>
      <c r="AT91" s="406"/>
      <c r="AU91" s="406"/>
      <c r="AV91" s="384"/>
      <c r="AW91" s="406"/>
      <c r="AX91" s="406"/>
      <c r="AY91" s="406"/>
      <c r="AZ91" s="406"/>
      <c r="BA91" s="406"/>
      <c r="BB91" s="384"/>
      <c r="BC91" s="406"/>
      <c r="BD91" s="406"/>
      <c r="BE91" s="406"/>
      <c r="BF91" s="406"/>
      <c r="BG91" s="406"/>
      <c r="BH91" s="384"/>
      <c r="BI91" s="406"/>
      <c r="BJ91" s="406"/>
      <c r="BK91" s="406"/>
      <c r="BL91" s="406"/>
      <c r="BM91" s="406"/>
      <c r="BN91" s="384"/>
      <c r="BO91" s="406"/>
      <c r="BP91" s="406"/>
      <c r="BQ91" s="406"/>
      <c r="BR91" s="406"/>
      <c r="BS91" s="406"/>
      <c r="BT91" s="384"/>
      <c r="BU91" s="406"/>
      <c r="BV91" s="406"/>
      <c r="BW91" s="406"/>
      <c r="BX91" s="406"/>
      <c r="BY91" s="406"/>
      <c r="BZ91" s="405"/>
      <c r="CA91" s="406"/>
    </row>
    <row r="92" spans="1:531" s="93" customFormat="1" ht="26.1" customHeight="1" x14ac:dyDescent="0.2">
      <c r="A92" s="447" t="s">
        <v>347</v>
      </c>
      <c r="B92" s="696" t="s">
        <v>383</v>
      </c>
      <c r="C92" s="697"/>
      <c r="D92" s="697"/>
      <c r="E92" s="697"/>
      <c r="F92" s="697"/>
      <c r="G92" s="697"/>
      <c r="H92" s="698"/>
      <c r="I92" s="408">
        <v>1674</v>
      </c>
      <c r="J92" s="408">
        <v>1116</v>
      </c>
      <c r="K92" s="408">
        <f>SUM(K93:K94)</f>
        <v>225</v>
      </c>
      <c r="L92" s="408">
        <f>SUM(L93:L94)</f>
        <v>150</v>
      </c>
      <c r="M92" s="408">
        <f t="shared" ref="M92:Q92" si="319">SUM(M93:M94)</f>
        <v>92</v>
      </c>
      <c r="N92" s="408">
        <f t="shared" si="319"/>
        <v>58</v>
      </c>
      <c r="O92" s="408">
        <f t="shared" si="319"/>
        <v>0</v>
      </c>
      <c r="P92" s="408">
        <f t="shared" si="319"/>
        <v>0</v>
      </c>
      <c r="Q92" s="408">
        <f t="shared" si="319"/>
        <v>75</v>
      </c>
      <c r="R92" s="408"/>
      <c r="S92" s="408"/>
      <c r="T92" s="408"/>
      <c r="U92" s="408"/>
      <c r="V92" s="408"/>
      <c r="W92" s="408"/>
      <c r="X92" s="408"/>
      <c r="Y92" s="408"/>
      <c r="Z92" s="408"/>
      <c r="AA92" s="408"/>
      <c r="AB92" s="408"/>
      <c r="AC92" s="408"/>
      <c r="AD92" s="408">
        <f>AD93</f>
        <v>48</v>
      </c>
      <c r="AE92" s="408">
        <f t="shared" ref="AE92:AI92" si="320">AE93</f>
        <v>32</v>
      </c>
      <c r="AF92" s="408">
        <f t="shared" si="320"/>
        <v>0</v>
      </c>
      <c r="AG92" s="408">
        <f t="shared" si="320"/>
        <v>0</v>
      </c>
      <c r="AH92" s="408">
        <f t="shared" si="320"/>
        <v>0</v>
      </c>
      <c r="AI92" s="408">
        <f t="shared" si="320"/>
        <v>16</v>
      </c>
      <c r="AJ92" s="408">
        <f>AJ93</f>
        <v>102</v>
      </c>
      <c r="AK92" s="408">
        <f t="shared" ref="AK92" si="321">AK93</f>
        <v>60</v>
      </c>
      <c r="AL92" s="408">
        <f t="shared" ref="AL92" si="322">AL93</f>
        <v>8</v>
      </c>
      <c r="AM92" s="408">
        <f t="shared" ref="AM92" si="323">AM93</f>
        <v>0</v>
      </c>
      <c r="AN92" s="408">
        <f t="shared" ref="AN92" si="324">AN93</f>
        <v>0</v>
      </c>
      <c r="AO92" s="408">
        <f t="shared" ref="AO92" si="325">AO93</f>
        <v>34</v>
      </c>
      <c r="AP92" s="408">
        <f t="shared" ref="AP92" si="326">SUM(AP93:AP94)</f>
        <v>0</v>
      </c>
      <c r="AQ92" s="408">
        <f t="shared" ref="AQ92" si="327">SUM(AQ93:AQ94)</f>
        <v>0</v>
      </c>
      <c r="AR92" s="408">
        <f t="shared" ref="AR92" si="328">SUM(AR93:AR94)</f>
        <v>0</v>
      </c>
      <c r="AS92" s="408">
        <f t="shared" ref="AS92" si="329">SUM(AS93:AS94)</f>
        <v>0</v>
      </c>
      <c r="AT92" s="408">
        <f t="shared" ref="AT92" si="330">SUM(AT93:AT94)</f>
        <v>0</v>
      </c>
      <c r="AU92" s="408">
        <f t="shared" ref="AU92" si="331">SUM(AU93:AU94)</f>
        <v>0</v>
      </c>
      <c r="AV92" s="408">
        <f t="shared" ref="AV92" si="332">SUM(AV93:AV94)</f>
        <v>0</v>
      </c>
      <c r="AW92" s="408">
        <f t="shared" ref="AW92" si="333">SUM(AW93:AW94)</f>
        <v>0</v>
      </c>
      <c r="AX92" s="408">
        <f t="shared" ref="AX92" si="334">SUM(AX93:AX94)</f>
        <v>0</v>
      </c>
      <c r="AY92" s="408">
        <f t="shared" ref="AY92" si="335">SUM(AY93:AY94)</f>
        <v>0</v>
      </c>
      <c r="AZ92" s="408">
        <f t="shared" ref="AZ92" si="336">SUM(AZ93:AZ94)</f>
        <v>0</v>
      </c>
      <c r="BA92" s="408">
        <f t="shared" ref="BA92" si="337">SUM(BA93:BA94)</f>
        <v>0</v>
      </c>
      <c r="BB92" s="408">
        <f t="shared" ref="BB92" si="338">SUM(BB93:BB94)</f>
        <v>0</v>
      </c>
      <c r="BC92" s="408">
        <f t="shared" ref="BC92" si="339">SUM(BC93:BC94)</f>
        <v>0</v>
      </c>
      <c r="BD92" s="408">
        <f t="shared" ref="BD92" si="340">SUM(BD93:BD94)</f>
        <v>0</v>
      </c>
      <c r="BE92" s="408">
        <f t="shared" ref="BE92" si="341">SUM(BE93:BE94)</f>
        <v>0</v>
      </c>
      <c r="BF92" s="408">
        <f t="shared" ref="BF92" si="342">SUM(BF93:BF94)</f>
        <v>0</v>
      </c>
      <c r="BG92" s="408">
        <f t="shared" ref="BG92" si="343">SUM(BG93:BG94)</f>
        <v>0</v>
      </c>
      <c r="BH92" s="408">
        <f t="shared" ref="BH92" si="344">SUM(BH93:BH94)</f>
        <v>0</v>
      </c>
      <c r="BI92" s="408">
        <f t="shared" ref="BI92" si="345">SUM(BI93:BI94)</f>
        <v>0</v>
      </c>
      <c r="BJ92" s="408">
        <f t="shared" ref="BJ92" si="346">SUM(BJ93:BJ94)</f>
        <v>0</v>
      </c>
      <c r="BK92" s="408">
        <f t="shared" ref="BK92" si="347">SUM(BK93:BK94)</f>
        <v>0</v>
      </c>
      <c r="BL92" s="408">
        <f t="shared" ref="BL92" si="348">SUM(BL93:BL94)</f>
        <v>0</v>
      </c>
      <c r="BM92" s="408">
        <f t="shared" ref="BM92" si="349">SUM(BM93:BM94)</f>
        <v>0</v>
      </c>
      <c r="BN92" s="408">
        <f t="shared" ref="BN92" si="350">SUM(BN93:BN94)</f>
        <v>0</v>
      </c>
      <c r="BO92" s="408">
        <f t="shared" ref="BO92" si="351">SUM(BO93:BO94)</f>
        <v>0</v>
      </c>
      <c r="BP92" s="408">
        <f t="shared" ref="BP92" si="352">SUM(BP93:BP94)</f>
        <v>16</v>
      </c>
      <c r="BQ92" s="408">
        <f t="shared" ref="BQ92" si="353">SUM(BQ93:BQ94)</f>
        <v>0</v>
      </c>
      <c r="BR92" s="408">
        <f t="shared" ref="BR92" si="354">SUM(BR93:BR94)</f>
        <v>0</v>
      </c>
      <c r="BS92" s="408">
        <f t="shared" ref="BS92" si="355">SUM(BS93:BS94)</f>
        <v>8</v>
      </c>
      <c r="BT92" s="408">
        <f>SUM(BT93:BT94)</f>
        <v>51</v>
      </c>
      <c r="BU92" s="408">
        <f t="shared" ref="BU92" si="356">SUM(BU93:BU94)</f>
        <v>0</v>
      </c>
      <c r="BV92" s="408">
        <f t="shared" ref="BV92" si="357">SUM(BV93:BV94)</f>
        <v>34</v>
      </c>
      <c r="BW92" s="408">
        <f t="shared" ref="BW92" si="358">SUM(BW93:BW94)</f>
        <v>0</v>
      </c>
      <c r="BX92" s="408">
        <f t="shared" ref="BX92" si="359">SUM(BX93:BX94)</f>
        <v>0</v>
      </c>
      <c r="BY92" s="408">
        <f t="shared" ref="BY92" si="360">SUM(BY93:BY94)</f>
        <v>17</v>
      </c>
      <c r="BZ92" s="407"/>
      <c r="CA92" s="448"/>
    </row>
    <row r="93" spans="1:531" s="114" customFormat="1" ht="26.1" customHeight="1" x14ac:dyDescent="0.2">
      <c r="A93" s="395" t="s">
        <v>541</v>
      </c>
      <c r="B93" s="201" t="s">
        <v>462</v>
      </c>
      <c r="C93" s="201" t="s">
        <v>577</v>
      </c>
      <c r="D93" s="396" t="s">
        <v>40</v>
      </c>
      <c r="E93" s="396"/>
      <c r="F93" s="396"/>
      <c r="G93" s="363"/>
      <c r="H93" s="363" t="s">
        <v>30</v>
      </c>
      <c r="I93" s="179"/>
      <c r="J93" s="177"/>
      <c r="K93" s="376">
        <f>L93+SUM(Q93:Q93)</f>
        <v>150</v>
      </c>
      <c r="L93" s="376">
        <f>SUM(M93:P93)</f>
        <v>100</v>
      </c>
      <c r="M93" s="376">
        <f t="shared" ref="M93:Q94" si="361">S93+Y93+AE93+AK93+AQ93+AW93+BC93+BI93+BO93+BU93</f>
        <v>92</v>
      </c>
      <c r="N93" s="376">
        <f t="shared" si="361"/>
        <v>8</v>
      </c>
      <c r="O93" s="376">
        <f t="shared" si="361"/>
        <v>0</v>
      </c>
      <c r="P93" s="376">
        <f t="shared" si="361"/>
        <v>0</v>
      </c>
      <c r="Q93" s="376">
        <f t="shared" si="361"/>
        <v>50</v>
      </c>
      <c r="R93" s="367"/>
      <c r="S93" s="177"/>
      <c r="T93" s="177"/>
      <c r="U93" s="177"/>
      <c r="V93" s="177"/>
      <c r="W93" s="177"/>
      <c r="X93" s="367"/>
      <c r="Y93" s="177"/>
      <c r="Z93" s="177"/>
      <c r="AA93" s="177"/>
      <c r="AB93" s="177"/>
      <c r="AC93" s="177"/>
      <c r="AD93" s="367">
        <f>SUM(AE93:AI93)</f>
        <v>48</v>
      </c>
      <c r="AE93" s="177">
        <v>32</v>
      </c>
      <c r="AF93" s="177"/>
      <c r="AG93" s="177"/>
      <c r="AH93" s="177"/>
      <c r="AI93" s="177">
        <v>16</v>
      </c>
      <c r="AJ93" s="367">
        <f>SUM(AK93:AO93)</f>
        <v>102</v>
      </c>
      <c r="AK93" s="177">
        <v>60</v>
      </c>
      <c r="AL93" s="177">
        <v>8</v>
      </c>
      <c r="AM93" s="177"/>
      <c r="AN93" s="177"/>
      <c r="AO93" s="177">
        <v>34</v>
      </c>
      <c r="AP93" s="367">
        <f>SUM(AQ93:AU93)</f>
        <v>0</v>
      </c>
      <c r="AQ93" s="177"/>
      <c r="AR93" s="177"/>
      <c r="AS93" s="177"/>
      <c r="AT93" s="177"/>
      <c r="AU93" s="177"/>
      <c r="AV93" s="367"/>
      <c r="AW93" s="177"/>
      <c r="AX93" s="177"/>
      <c r="AY93" s="177"/>
      <c r="AZ93" s="177"/>
      <c r="BA93" s="177"/>
      <c r="BB93" s="367"/>
      <c r="BC93" s="177"/>
      <c r="BD93" s="177"/>
      <c r="BE93" s="177"/>
      <c r="BF93" s="177"/>
      <c r="BG93" s="177"/>
      <c r="BH93" s="367"/>
      <c r="BI93" s="177"/>
      <c r="BJ93" s="177"/>
      <c r="BK93" s="177"/>
      <c r="BL93" s="177"/>
      <c r="BM93" s="177"/>
      <c r="BN93" s="367"/>
      <c r="BO93" s="177"/>
      <c r="BP93" s="177"/>
      <c r="BQ93" s="177"/>
      <c r="BR93" s="177"/>
      <c r="BS93" s="177"/>
      <c r="BT93" s="367"/>
      <c r="BU93" s="177"/>
      <c r="BV93" s="177"/>
      <c r="BW93" s="177"/>
      <c r="BX93" s="177"/>
      <c r="BY93" s="177"/>
      <c r="BZ93" s="181" t="s">
        <v>505</v>
      </c>
      <c r="CA93" s="547" t="s">
        <v>655</v>
      </c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95"/>
      <c r="FW93" s="95"/>
      <c r="FX93" s="95"/>
      <c r="FY93" s="95"/>
      <c r="FZ93" s="95"/>
      <c r="GA93" s="95"/>
      <c r="GB93" s="95"/>
      <c r="GC93" s="95"/>
      <c r="GD93" s="95"/>
      <c r="GE93" s="95"/>
      <c r="GF93" s="95"/>
      <c r="GG93" s="95"/>
      <c r="GH93" s="95"/>
      <c r="GI93" s="95"/>
      <c r="GJ93" s="95"/>
      <c r="GK93" s="95"/>
      <c r="GL93" s="95"/>
      <c r="GM93" s="95"/>
      <c r="GN93" s="95"/>
      <c r="GO93" s="95"/>
      <c r="GP93" s="95"/>
      <c r="GQ93" s="95"/>
      <c r="GR93" s="95"/>
      <c r="GS93" s="95"/>
      <c r="GT93" s="95"/>
      <c r="GU93" s="95"/>
      <c r="GV93" s="95"/>
      <c r="GW93" s="95"/>
      <c r="GX93" s="95"/>
      <c r="GY93" s="95"/>
      <c r="GZ93" s="95"/>
      <c r="HA93" s="95"/>
      <c r="HB93" s="95"/>
      <c r="HC93" s="95"/>
      <c r="HD93" s="95"/>
      <c r="HE93" s="95"/>
      <c r="HF93" s="95"/>
      <c r="HG93" s="95"/>
      <c r="HH93" s="95"/>
      <c r="HI93" s="95"/>
      <c r="HJ93" s="95"/>
      <c r="HK93" s="95"/>
      <c r="HL93" s="95"/>
      <c r="HM93" s="95"/>
      <c r="HN93" s="95"/>
      <c r="HO93" s="95"/>
      <c r="HP93" s="95"/>
      <c r="HQ93" s="95"/>
      <c r="HR93" s="95"/>
      <c r="HS93" s="95"/>
      <c r="HT93" s="95"/>
      <c r="HU93" s="95"/>
      <c r="HV93" s="95"/>
      <c r="HW93" s="95"/>
      <c r="HX93" s="95"/>
      <c r="HY93" s="95"/>
      <c r="HZ93" s="95"/>
      <c r="IA93" s="95"/>
      <c r="IB93" s="95"/>
      <c r="IC93" s="95"/>
      <c r="ID93" s="95"/>
      <c r="IE93" s="95"/>
      <c r="IF93" s="95"/>
      <c r="IG93" s="95"/>
      <c r="IH93" s="95"/>
      <c r="II93" s="95"/>
      <c r="IJ93" s="95"/>
      <c r="IK93" s="95"/>
      <c r="IL93" s="95"/>
      <c r="IM93" s="95"/>
      <c r="IN93" s="95"/>
      <c r="IO93" s="95"/>
      <c r="IP93" s="95"/>
      <c r="IQ93" s="95"/>
      <c r="IR93" s="95"/>
      <c r="IS93" s="95"/>
      <c r="IT93" s="95"/>
      <c r="IU93" s="95"/>
      <c r="IV93" s="95"/>
      <c r="IW93" s="95"/>
      <c r="IX93" s="95"/>
      <c r="IY93" s="95"/>
      <c r="IZ93" s="95"/>
      <c r="JA93" s="95"/>
      <c r="JB93" s="95"/>
      <c r="JC93" s="95"/>
      <c r="JD93" s="95"/>
      <c r="JE93" s="95"/>
      <c r="JF93" s="95"/>
      <c r="JG93" s="95"/>
      <c r="JH93" s="95"/>
      <c r="JI93" s="95"/>
      <c r="JJ93" s="95"/>
      <c r="JK93" s="95"/>
      <c r="JL93" s="95"/>
      <c r="JM93" s="95"/>
      <c r="JN93" s="95"/>
      <c r="JO93" s="95"/>
      <c r="JP93" s="95"/>
      <c r="JQ93" s="95"/>
      <c r="JR93" s="95"/>
      <c r="JS93" s="95"/>
      <c r="JT93" s="95"/>
      <c r="JU93" s="95"/>
      <c r="JV93" s="95"/>
      <c r="JW93" s="95"/>
      <c r="JX93" s="95"/>
      <c r="JY93" s="95"/>
      <c r="JZ93" s="95"/>
      <c r="KA93" s="95"/>
      <c r="KB93" s="95"/>
      <c r="KC93" s="95"/>
      <c r="KD93" s="95"/>
      <c r="KE93" s="95"/>
      <c r="KF93" s="95"/>
      <c r="KG93" s="95"/>
      <c r="KH93" s="95"/>
      <c r="KI93" s="95"/>
      <c r="KJ93" s="95"/>
      <c r="KK93" s="95"/>
      <c r="KL93" s="95"/>
      <c r="KM93" s="95"/>
      <c r="KN93" s="95"/>
      <c r="KO93" s="95"/>
      <c r="KP93" s="95"/>
      <c r="KQ93" s="95"/>
      <c r="KR93" s="95"/>
      <c r="KS93" s="95"/>
      <c r="KT93" s="95"/>
      <c r="KU93" s="95"/>
      <c r="KV93" s="95"/>
      <c r="KW93" s="95"/>
      <c r="KX93" s="95"/>
      <c r="KY93" s="95"/>
      <c r="KZ93" s="95"/>
      <c r="LA93" s="95"/>
      <c r="LB93" s="95"/>
      <c r="LC93" s="95"/>
      <c r="LD93" s="95"/>
      <c r="LE93" s="95"/>
      <c r="LF93" s="95"/>
      <c r="LG93" s="95"/>
      <c r="LH93" s="95"/>
      <c r="LI93" s="95"/>
      <c r="LJ93" s="95"/>
      <c r="LK93" s="95"/>
      <c r="LL93" s="95"/>
      <c r="LM93" s="95"/>
      <c r="LN93" s="95"/>
      <c r="LO93" s="95"/>
      <c r="LP93" s="95"/>
      <c r="LQ93" s="95"/>
      <c r="LR93" s="95"/>
      <c r="LS93" s="95"/>
      <c r="LT93" s="95"/>
      <c r="LU93" s="95"/>
      <c r="LV93" s="95"/>
      <c r="LW93" s="95"/>
      <c r="LX93" s="95"/>
      <c r="LY93" s="95"/>
      <c r="LZ93" s="95"/>
      <c r="MA93" s="95"/>
      <c r="MB93" s="95"/>
      <c r="MC93" s="95"/>
      <c r="MD93" s="95"/>
      <c r="ME93" s="95"/>
      <c r="MF93" s="95"/>
      <c r="MG93" s="95"/>
      <c r="MH93" s="95"/>
      <c r="MI93" s="95"/>
      <c r="MJ93" s="95"/>
      <c r="MK93" s="95"/>
      <c r="ML93" s="95"/>
      <c r="MM93" s="95"/>
      <c r="MN93" s="95"/>
      <c r="MO93" s="95"/>
      <c r="MP93" s="95"/>
      <c r="MQ93" s="95"/>
      <c r="MR93" s="95"/>
      <c r="MS93" s="95"/>
      <c r="MT93" s="95"/>
      <c r="MU93" s="95"/>
      <c r="MV93" s="95"/>
      <c r="MW93" s="95"/>
      <c r="MX93" s="95"/>
      <c r="MY93" s="95"/>
      <c r="MZ93" s="95"/>
      <c r="NA93" s="95"/>
      <c r="NB93" s="95"/>
      <c r="NC93" s="95"/>
      <c r="ND93" s="95"/>
      <c r="NE93" s="95"/>
      <c r="NF93" s="95"/>
      <c r="NG93" s="95"/>
      <c r="NH93" s="95"/>
      <c r="NI93" s="95"/>
      <c r="NJ93" s="95"/>
      <c r="NK93" s="95"/>
      <c r="NL93" s="95"/>
      <c r="NM93" s="95"/>
      <c r="NN93" s="95"/>
      <c r="NO93" s="95"/>
      <c r="NP93" s="95"/>
      <c r="NQ93" s="95"/>
      <c r="NR93" s="95"/>
      <c r="NS93" s="95"/>
      <c r="NT93" s="95"/>
      <c r="NU93" s="95"/>
      <c r="NV93" s="95"/>
      <c r="NW93" s="95"/>
      <c r="NX93" s="95"/>
      <c r="NY93" s="95"/>
      <c r="NZ93" s="95"/>
      <c r="OA93" s="95"/>
      <c r="OB93" s="95"/>
      <c r="OC93" s="95"/>
      <c r="OD93" s="95"/>
      <c r="OE93" s="95"/>
      <c r="OF93" s="95"/>
      <c r="OG93" s="95"/>
      <c r="OH93" s="95"/>
      <c r="OI93" s="95"/>
      <c r="OJ93" s="95"/>
      <c r="OK93" s="95"/>
      <c r="OL93" s="95"/>
      <c r="OM93" s="95"/>
      <c r="ON93" s="95"/>
      <c r="OO93" s="95"/>
      <c r="OP93" s="95"/>
      <c r="OQ93" s="95"/>
      <c r="OR93" s="95"/>
      <c r="OS93" s="95"/>
      <c r="OT93" s="95"/>
      <c r="OU93" s="95"/>
      <c r="OV93" s="95"/>
      <c r="OW93" s="95"/>
      <c r="OX93" s="95"/>
      <c r="OY93" s="95"/>
      <c r="OZ93" s="95"/>
      <c r="PA93" s="95"/>
      <c r="PB93" s="95"/>
      <c r="PC93" s="95"/>
      <c r="PD93" s="95"/>
      <c r="PE93" s="95"/>
      <c r="PF93" s="95"/>
      <c r="PG93" s="95"/>
      <c r="PH93" s="95"/>
      <c r="PI93" s="95"/>
      <c r="PJ93" s="95"/>
      <c r="PK93" s="95"/>
      <c r="PL93" s="95"/>
      <c r="PM93" s="95"/>
      <c r="PN93" s="95"/>
      <c r="PO93" s="95"/>
      <c r="PP93" s="95"/>
      <c r="PQ93" s="95"/>
      <c r="PR93" s="95"/>
      <c r="PS93" s="95"/>
      <c r="PT93" s="95"/>
      <c r="PU93" s="95"/>
      <c r="PV93" s="95"/>
      <c r="PW93" s="95"/>
      <c r="PX93" s="95"/>
      <c r="PY93" s="95"/>
      <c r="PZ93" s="95"/>
      <c r="QA93" s="95"/>
      <c r="QB93" s="95"/>
      <c r="QC93" s="95"/>
      <c r="QD93" s="95"/>
      <c r="QE93" s="95"/>
      <c r="QF93" s="95"/>
      <c r="QG93" s="95"/>
      <c r="QH93" s="95"/>
      <c r="QI93" s="95"/>
      <c r="QJ93" s="95"/>
      <c r="QK93" s="95"/>
      <c r="QL93" s="95"/>
      <c r="QM93" s="95"/>
      <c r="QN93" s="95"/>
      <c r="QO93" s="95"/>
      <c r="QP93" s="95"/>
      <c r="QQ93" s="95"/>
      <c r="QR93" s="95"/>
      <c r="QS93" s="95"/>
      <c r="QT93" s="95"/>
      <c r="QU93" s="95"/>
      <c r="QV93" s="95"/>
      <c r="QW93" s="95"/>
      <c r="QX93" s="95"/>
      <c r="QY93" s="95"/>
      <c r="QZ93" s="95"/>
      <c r="RA93" s="95"/>
      <c r="RB93" s="95"/>
      <c r="RC93" s="95"/>
      <c r="RD93" s="95"/>
      <c r="RE93" s="95"/>
      <c r="RF93" s="95"/>
      <c r="RG93" s="95"/>
      <c r="RH93" s="95"/>
      <c r="RI93" s="95"/>
      <c r="RJ93" s="95"/>
      <c r="RK93" s="95"/>
      <c r="RL93" s="95"/>
      <c r="RM93" s="95"/>
      <c r="RN93" s="95"/>
      <c r="RO93" s="95"/>
      <c r="RP93" s="95"/>
      <c r="RQ93" s="95"/>
      <c r="RR93" s="95"/>
      <c r="RS93" s="95"/>
      <c r="RT93" s="95"/>
      <c r="RU93" s="95"/>
      <c r="RV93" s="95"/>
      <c r="RW93" s="95"/>
      <c r="RX93" s="95"/>
      <c r="RY93" s="95"/>
      <c r="RZ93" s="95"/>
      <c r="SA93" s="95"/>
      <c r="SB93" s="95"/>
      <c r="SC93" s="95"/>
      <c r="SD93" s="95"/>
      <c r="SE93" s="95"/>
      <c r="SF93" s="95"/>
      <c r="SG93" s="95"/>
      <c r="SH93" s="95"/>
      <c r="SI93" s="95"/>
      <c r="SJ93" s="95"/>
      <c r="SK93" s="95"/>
      <c r="SL93" s="95"/>
      <c r="SM93" s="95"/>
      <c r="SN93" s="95"/>
      <c r="SO93" s="95"/>
      <c r="SP93" s="95"/>
      <c r="SQ93" s="95"/>
      <c r="SR93" s="95"/>
      <c r="SS93" s="95"/>
      <c r="ST93" s="95"/>
      <c r="SU93" s="95"/>
      <c r="SV93" s="95"/>
      <c r="SW93" s="95"/>
      <c r="SX93" s="95"/>
      <c r="SY93" s="95"/>
      <c r="SZ93" s="95"/>
      <c r="TA93" s="95"/>
      <c r="TB93" s="95"/>
      <c r="TC93" s="95"/>
      <c r="TD93" s="95"/>
      <c r="TE93" s="95"/>
      <c r="TF93" s="95"/>
      <c r="TG93" s="95"/>
      <c r="TH93" s="95"/>
      <c r="TI93" s="95"/>
      <c r="TJ93" s="95"/>
      <c r="TK93" s="95"/>
    </row>
    <row r="94" spans="1:531" s="90" customFormat="1" ht="26.1" customHeight="1" x14ac:dyDescent="0.2">
      <c r="A94" s="395" t="s">
        <v>540</v>
      </c>
      <c r="B94" s="200" t="s">
        <v>614</v>
      </c>
      <c r="C94" s="201"/>
      <c r="D94" s="363"/>
      <c r="E94" s="363" t="s">
        <v>416</v>
      </c>
      <c r="F94" s="363"/>
      <c r="G94" s="363"/>
      <c r="H94" s="529" t="s">
        <v>39</v>
      </c>
      <c r="I94" s="177"/>
      <c r="J94" s="177"/>
      <c r="K94" s="376">
        <f>L94+SUM(Q94:Q94)</f>
        <v>75</v>
      </c>
      <c r="L94" s="376">
        <f>SUM(M94:P94)</f>
        <v>50</v>
      </c>
      <c r="M94" s="376">
        <f t="shared" si="361"/>
        <v>0</v>
      </c>
      <c r="N94" s="376">
        <f t="shared" si="361"/>
        <v>50</v>
      </c>
      <c r="O94" s="376">
        <f t="shared" si="361"/>
        <v>0</v>
      </c>
      <c r="P94" s="376">
        <f t="shared" si="361"/>
        <v>0</v>
      </c>
      <c r="Q94" s="376">
        <f t="shared" si="361"/>
        <v>25</v>
      </c>
      <c r="R94" s="367"/>
      <c r="S94" s="177"/>
      <c r="T94" s="177"/>
      <c r="U94" s="177"/>
      <c r="V94" s="177"/>
      <c r="W94" s="177"/>
      <c r="X94" s="367"/>
      <c r="Y94" s="177"/>
      <c r="Z94" s="177"/>
      <c r="AA94" s="177"/>
      <c r="AB94" s="177"/>
      <c r="AC94" s="177"/>
      <c r="AD94" s="367"/>
      <c r="AE94" s="177"/>
      <c r="AF94" s="177"/>
      <c r="AG94" s="177"/>
      <c r="AH94" s="177"/>
      <c r="AI94" s="177"/>
      <c r="AJ94" s="367"/>
      <c r="AK94" s="177"/>
      <c r="AL94" s="177"/>
      <c r="AM94" s="177"/>
      <c r="AN94" s="177"/>
      <c r="AO94" s="177"/>
      <c r="AP94" s="367"/>
      <c r="AQ94" s="177"/>
      <c r="AR94" s="177"/>
      <c r="AS94" s="177"/>
      <c r="AT94" s="177"/>
      <c r="AU94" s="177"/>
      <c r="AV94" s="367"/>
      <c r="AW94" s="177"/>
      <c r="AX94" s="177"/>
      <c r="AY94" s="177"/>
      <c r="AZ94" s="177"/>
      <c r="BA94" s="177"/>
      <c r="BB94" s="367"/>
      <c r="BC94" s="177"/>
      <c r="BD94" s="177"/>
      <c r="BE94" s="177"/>
      <c r="BF94" s="177"/>
      <c r="BG94" s="177"/>
      <c r="BH94" s="367"/>
      <c r="BI94" s="177"/>
      <c r="BJ94" s="177"/>
      <c r="BK94" s="177"/>
      <c r="BL94" s="177"/>
      <c r="BM94" s="177"/>
      <c r="BN94" s="367"/>
      <c r="BO94" s="177"/>
      <c r="BP94" s="177">
        <v>16</v>
      </c>
      <c r="BQ94" s="177"/>
      <c r="BR94" s="177"/>
      <c r="BS94" s="177">
        <v>8</v>
      </c>
      <c r="BT94" s="367">
        <f>SUM(BU94:BY94)</f>
        <v>51</v>
      </c>
      <c r="BU94" s="177"/>
      <c r="BV94" s="177">
        <v>34</v>
      </c>
      <c r="BW94" s="177"/>
      <c r="BX94" s="177"/>
      <c r="BY94" s="177">
        <v>17</v>
      </c>
      <c r="BZ94" s="363" t="s">
        <v>495</v>
      </c>
      <c r="CA94" s="397" t="s">
        <v>463</v>
      </c>
    </row>
    <row r="95" spans="1:531" s="93" customFormat="1" ht="26.1" customHeight="1" x14ac:dyDescent="0.2">
      <c r="A95" s="350" t="s">
        <v>214</v>
      </c>
      <c r="B95" s="411" t="s">
        <v>6</v>
      </c>
      <c r="C95" s="411"/>
      <c r="D95" s="411"/>
      <c r="E95" s="349">
        <v>4</v>
      </c>
      <c r="F95" s="349"/>
      <c r="G95" s="411"/>
      <c r="H95" s="411"/>
      <c r="I95" s="351"/>
      <c r="J95" s="351">
        <v>324</v>
      </c>
      <c r="K95" s="351">
        <f t="shared" ref="K95:AF95" si="362">SUM(K96:K99)</f>
        <v>324</v>
      </c>
      <c r="L95" s="351">
        <f t="shared" si="362"/>
        <v>324</v>
      </c>
      <c r="M95" s="351">
        <f t="shared" si="362"/>
        <v>0</v>
      </c>
      <c r="N95" s="351">
        <f t="shared" si="362"/>
        <v>0</v>
      </c>
      <c r="O95" s="351">
        <f t="shared" si="362"/>
        <v>0</v>
      </c>
      <c r="P95" s="351">
        <f t="shared" si="362"/>
        <v>324</v>
      </c>
      <c r="Q95" s="351">
        <f t="shared" si="362"/>
        <v>0</v>
      </c>
      <c r="R95" s="351">
        <f t="shared" si="362"/>
        <v>0</v>
      </c>
      <c r="S95" s="351">
        <f t="shared" si="362"/>
        <v>0</v>
      </c>
      <c r="T95" s="351">
        <f t="shared" si="362"/>
        <v>0</v>
      </c>
      <c r="U95" s="351">
        <f t="shared" si="362"/>
        <v>0</v>
      </c>
      <c r="V95" s="351">
        <f t="shared" si="362"/>
        <v>0</v>
      </c>
      <c r="W95" s="351">
        <f t="shared" si="362"/>
        <v>0</v>
      </c>
      <c r="X95" s="351">
        <f t="shared" si="362"/>
        <v>0</v>
      </c>
      <c r="Y95" s="351">
        <f t="shared" si="362"/>
        <v>0</v>
      </c>
      <c r="Z95" s="351">
        <f t="shared" si="362"/>
        <v>0</v>
      </c>
      <c r="AA95" s="351">
        <f t="shared" si="362"/>
        <v>0</v>
      </c>
      <c r="AB95" s="351">
        <f t="shared" si="362"/>
        <v>0</v>
      </c>
      <c r="AC95" s="351">
        <f t="shared" si="362"/>
        <v>0</v>
      </c>
      <c r="AD95" s="351">
        <f t="shared" si="362"/>
        <v>0</v>
      </c>
      <c r="AE95" s="351">
        <f t="shared" si="362"/>
        <v>0</v>
      </c>
      <c r="AF95" s="351">
        <f t="shared" si="362"/>
        <v>0</v>
      </c>
      <c r="AG95" s="351">
        <f t="shared" ref="AG95:BA95" si="363">SUM(AG96:AG99)</f>
        <v>0</v>
      </c>
      <c r="AH95" s="351">
        <f t="shared" si="363"/>
        <v>0</v>
      </c>
      <c r="AI95" s="351">
        <f t="shared" si="363"/>
        <v>0</v>
      </c>
      <c r="AJ95" s="351">
        <f t="shared" si="363"/>
        <v>324</v>
      </c>
      <c r="AK95" s="351">
        <f t="shared" si="363"/>
        <v>0</v>
      </c>
      <c r="AL95" s="351">
        <f t="shared" si="363"/>
        <v>0</v>
      </c>
      <c r="AM95" s="351">
        <f t="shared" si="363"/>
        <v>0</v>
      </c>
      <c r="AN95" s="351">
        <f t="shared" si="363"/>
        <v>324</v>
      </c>
      <c r="AO95" s="351">
        <f t="shared" si="363"/>
        <v>0</v>
      </c>
      <c r="AP95" s="351">
        <f t="shared" si="363"/>
        <v>0</v>
      </c>
      <c r="AQ95" s="351">
        <f t="shared" si="363"/>
        <v>0</v>
      </c>
      <c r="AR95" s="351">
        <f t="shared" si="363"/>
        <v>0</v>
      </c>
      <c r="AS95" s="351">
        <f t="shared" si="363"/>
        <v>0</v>
      </c>
      <c r="AT95" s="351">
        <f t="shared" si="363"/>
        <v>0</v>
      </c>
      <c r="AU95" s="351">
        <f t="shared" si="363"/>
        <v>0</v>
      </c>
      <c r="AV95" s="351">
        <f t="shared" si="363"/>
        <v>0</v>
      </c>
      <c r="AW95" s="351">
        <f t="shared" si="363"/>
        <v>0</v>
      </c>
      <c r="AX95" s="351">
        <f t="shared" si="363"/>
        <v>0</v>
      </c>
      <c r="AY95" s="351">
        <f t="shared" si="363"/>
        <v>0</v>
      </c>
      <c r="AZ95" s="351">
        <f t="shared" si="363"/>
        <v>0</v>
      </c>
      <c r="BA95" s="351">
        <f t="shared" si="363"/>
        <v>0</v>
      </c>
      <c r="BB95" s="351">
        <f t="shared" ref="BB95:BW95" si="364">SUM(BB96:BB99)</f>
        <v>0</v>
      </c>
      <c r="BC95" s="351">
        <f t="shared" si="364"/>
        <v>0</v>
      </c>
      <c r="BD95" s="351">
        <f t="shared" si="364"/>
        <v>0</v>
      </c>
      <c r="BE95" s="351">
        <f t="shared" si="364"/>
        <v>0</v>
      </c>
      <c r="BF95" s="351">
        <f t="shared" si="364"/>
        <v>0</v>
      </c>
      <c r="BG95" s="351">
        <f t="shared" si="364"/>
        <v>0</v>
      </c>
      <c r="BH95" s="351">
        <f t="shared" si="364"/>
        <v>0</v>
      </c>
      <c r="BI95" s="351">
        <f t="shared" si="364"/>
        <v>0</v>
      </c>
      <c r="BJ95" s="351">
        <f t="shared" si="364"/>
        <v>0</v>
      </c>
      <c r="BK95" s="351">
        <f t="shared" si="364"/>
        <v>0</v>
      </c>
      <c r="BL95" s="351">
        <f t="shared" si="364"/>
        <v>0</v>
      </c>
      <c r="BM95" s="351">
        <f t="shared" si="364"/>
        <v>0</v>
      </c>
      <c r="BN95" s="351">
        <f t="shared" si="364"/>
        <v>0</v>
      </c>
      <c r="BO95" s="351">
        <f t="shared" si="364"/>
        <v>0</v>
      </c>
      <c r="BP95" s="351">
        <f t="shared" si="364"/>
        <v>0</v>
      </c>
      <c r="BQ95" s="351">
        <f t="shared" si="364"/>
        <v>0</v>
      </c>
      <c r="BR95" s="351">
        <f t="shared" si="364"/>
        <v>0</v>
      </c>
      <c r="BS95" s="351">
        <f t="shared" si="364"/>
        <v>0</v>
      </c>
      <c r="BT95" s="351">
        <f t="shared" si="364"/>
        <v>0</v>
      </c>
      <c r="BU95" s="351">
        <f t="shared" si="364"/>
        <v>0</v>
      </c>
      <c r="BV95" s="351">
        <f t="shared" si="364"/>
        <v>0</v>
      </c>
      <c r="BW95" s="351">
        <f t="shared" si="364"/>
        <v>0</v>
      </c>
      <c r="BX95" s="351">
        <f t="shared" ref="BX95:BY95" si="365">SUM(BX96:BX99)</f>
        <v>0</v>
      </c>
      <c r="BY95" s="351">
        <f t="shared" si="365"/>
        <v>0</v>
      </c>
      <c r="BZ95" s="389" t="s">
        <v>516</v>
      </c>
      <c r="CA95" s="412" t="s">
        <v>394</v>
      </c>
    </row>
    <row r="96" spans="1:531" s="90" customFormat="1" ht="26.1" hidden="1" customHeight="1" x14ac:dyDescent="0.2">
      <c r="A96" s="395" t="s">
        <v>215</v>
      </c>
      <c r="B96" s="201" t="s">
        <v>491</v>
      </c>
      <c r="C96" s="201"/>
      <c r="D96" s="363"/>
      <c r="E96" s="363" t="s">
        <v>40</v>
      </c>
      <c r="F96" s="363"/>
      <c r="G96" s="363"/>
      <c r="H96" s="363"/>
      <c r="I96" s="177"/>
      <c r="J96" s="177"/>
      <c r="K96" s="376">
        <f>L96+SUM(Q96:Q96)</f>
        <v>36</v>
      </c>
      <c r="L96" s="376">
        <f>SUM(M96:P96)</f>
        <v>36</v>
      </c>
      <c r="M96" s="376">
        <f t="shared" ref="M96:Q99" si="366">S96+Y96+AE96+AK96+AQ96+AW96+BC96+BI96+BO96+BU96</f>
        <v>0</v>
      </c>
      <c r="N96" s="376">
        <f t="shared" si="366"/>
        <v>0</v>
      </c>
      <c r="O96" s="376">
        <f t="shared" si="366"/>
        <v>0</v>
      </c>
      <c r="P96" s="376">
        <f t="shared" si="366"/>
        <v>36</v>
      </c>
      <c r="Q96" s="376">
        <f t="shared" si="366"/>
        <v>0</v>
      </c>
      <c r="R96" s="367">
        <f>SUM(S96:W96)</f>
        <v>0</v>
      </c>
      <c r="S96" s="177"/>
      <c r="T96" s="177"/>
      <c r="U96" s="177"/>
      <c r="V96" s="177"/>
      <c r="W96" s="177"/>
      <c r="X96" s="367">
        <f>SUM(Y96:AC96)</f>
        <v>0</v>
      </c>
      <c r="Y96" s="177"/>
      <c r="Z96" s="177"/>
      <c r="AA96" s="177"/>
      <c r="AB96" s="177"/>
      <c r="AC96" s="177"/>
      <c r="AD96" s="367">
        <f>SUM(AE96:AI96)</f>
        <v>0</v>
      </c>
      <c r="AE96" s="177"/>
      <c r="AF96" s="177"/>
      <c r="AG96" s="177"/>
      <c r="AH96" s="177"/>
      <c r="AI96" s="177"/>
      <c r="AJ96" s="367">
        <f>SUM(AK96:AO96)</f>
        <v>36</v>
      </c>
      <c r="AK96" s="177"/>
      <c r="AL96" s="177"/>
      <c r="AM96" s="177"/>
      <c r="AN96" s="177">
        <v>36</v>
      </c>
      <c r="AO96" s="177"/>
      <c r="AP96" s="367">
        <f>SUM(AQ96:AU96)</f>
        <v>0</v>
      </c>
      <c r="AQ96" s="177"/>
      <c r="AR96" s="177"/>
      <c r="AS96" s="177"/>
      <c r="AT96" s="177"/>
      <c r="AU96" s="177"/>
      <c r="AV96" s="367">
        <f>SUM(AW96:BA96)</f>
        <v>0</v>
      </c>
      <c r="AW96" s="177"/>
      <c r="AX96" s="177"/>
      <c r="AY96" s="177"/>
      <c r="AZ96" s="177"/>
      <c r="BA96" s="177"/>
      <c r="BB96" s="367">
        <f>SUM(BC96:BG96)</f>
        <v>0</v>
      </c>
      <c r="BC96" s="177"/>
      <c r="BD96" s="177"/>
      <c r="BE96" s="177"/>
      <c r="BF96" s="177"/>
      <c r="BG96" s="177"/>
      <c r="BH96" s="367">
        <f>SUM(BI96:BM96)</f>
        <v>0</v>
      </c>
      <c r="BI96" s="177"/>
      <c r="BJ96" s="177"/>
      <c r="BK96" s="177"/>
      <c r="BL96" s="177"/>
      <c r="BM96" s="177"/>
      <c r="BN96" s="367">
        <f>SUM(BO96:BS96)</f>
        <v>0</v>
      </c>
      <c r="BO96" s="177"/>
      <c r="BP96" s="177"/>
      <c r="BQ96" s="177"/>
      <c r="BR96" s="177"/>
      <c r="BS96" s="177"/>
      <c r="BT96" s="367">
        <f>SUM(BU96:BY96)</f>
        <v>0</v>
      </c>
      <c r="BU96" s="177"/>
      <c r="BV96" s="177"/>
      <c r="BW96" s="177"/>
      <c r="BX96" s="177"/>
      <c r="BY96" s="177"/>
      <c r="BZ96" s="363" t="s">
        <v>506</v>
      </c>
      <c r="CA96" s="397" t="s">
        <v>394</v>
      </c>
    </row>
    <row r="97" spans="1:129" s="90" customFormat="1" ht="26.1" hidden="1" customHeight="1" x14ac:dyDescent="0.2">
      <c r="A97" s="395" t="s">
        <v>216</v>
      </c>
      <c r="B97" s="201" t="s">
        <v>490</v>
      </c>
      <c r="C97" s="201"/>
      <c r="D97" s="363"/>
      <c r="E97" s="363" t="s">
        <v>40</v>
      </c>
      <c r="F97" s="363"/>
      <c r="G97" s="363"/>
      <c r="H97" s="363"/>
      <c r="I97" s="177"/>
      <c r="J97" s="177"/>
      <c r="K97" s="376">
        <f>L97+SUM(Q97:Q97)</f>
        <v>72</v>
      </c>
      <c r="L97" s="376">
        <f>SUM(M97:P97)</f>
        <v>72</v>
      </c>
      <c r="M97" s="376">
        <f t="shared" si="366"/>
        <v>0</v>
      </c>
      <c r="N97" s="376">
        <f t="shared" si="366"/>
        <v>0</v>
      </c>
      <c r="O97" s="376">
        <f t="shared" si="366"/>
        <v>0</v>
      </c>
      <c r="P97" s="376">
        <f t="shared" si="366"/>
        <v>72</v>
      </c>
      <c r="Q97" s="376">
        <f t="shared" si="366"/>
        <v>0</v>
      </c>
      <c r="R97" s="367">
        <f>SUM(S97:W97)</f>
        <v>0</v>
      </c>
      <c r="S97" s="177"/>
      <c r="T97" s="177"/>
      <c r="U97" s="177"/>
      <c r="V97" s="177"/>
      <c r="W97" s="177"/>
      <c r="X97" s="367"/>
      <c r="Y97" s="177"/>
      <c r="Z97" s="177"/>
      <c r="AA97" s="177"/>
      <c r="AB97" s="177"/>
      <c r="AC97" s="177"/>
      <c r="AD97" s="367"/>
      <c r="AE97" s="177"/>
      <c r="AF97" s="177"/>
      <c r="AG97" s="177"/>
      <c r="AH97" s="177"/>
      <c r="AI97" s="177"/>
      <c r="AJ97" s="367">
        <f>SUM(AK97:AO97)</f>
        <v>72</v>
      </c>
      <c r="AK97" s="177"/>
      <c r="AL97" s="177"/>
      <c r="AM97" s="177"/>
      <c r="AN97" s="177">
        <v>72</v>
      </c>
      <c r="AO97" s="177"/>
      <c r="AP97" s="367">
        <f>SUM(AQ97:AU97)</f>
        <v>0</v>
      </c>
      <c r="AQ97" s="177"/>
      <c r="AR97" s="177"/>
      <c r="AS97" s="177"/>
      <c r="AT97" s="177"/>
      <c r="AU97" s="177"/>
      <c r="AV97" s="367">
        <f>SUM(AW97:BA97)</f>
        <v>0</v>
      </c>
      <c r="AW97" s="177"/>
      <c r="AX97" s="177"/>
      <c r="AY97" s="177"/>
      <c r="AZ97" s="177"/>
      <c r="BA97" s="177"/>
      <c r="BB97" s="367">
        <f>SUM(BC97:BG97)</f>
        <v>0</v>
      </c>
      <c r="BC97" s="177"/>
      <c r="BD97" s="177"/>
      <c r="BE97" s="177"/>
      <c r="BF97" s="177"/>
      <c r="BG97" s="177"/>
      <c r="BH97" s="367"/>
      <c r="BI97" s="177"/>
      <c r="BJ97" s="177"/>
      <c r="BK97" s="177"/>
      <c r="BL97" s="177"/>
      <c r="BM97" s="177"/>
      <c r="BN97" s="367"/>
      <c r="BO97" s="177"/>
      <c r="BP97" s="177"/>
      <c r="BQ97" s="177"/>
      <c r="BR97" s="177"/>
      <c r="BS97" s="177"/>
      <c r="BT97" s="367"/>
      <c r="BU97" s="177"/>
      <c r="BV97" s="177"/>
      <c r="BW97" s="177"/>
      <c r="BX97" s="177"/>
      <c r="BY97" s="177"/>
      <c r="BZ97" s="363" t="s">
        <v>506</v>
      </c>
      <c r="CA97" s="397" t="s">
        <v>394</v>
      </c>
    </row>
    <row r="98" spans="1:129" s="90" customFormat="1" ht="26.1" hidden="1" customHeight="1" x14ac:dyDescent="0.2">
      <c r="A98" s="395" t="s">
        <v>372</v>
      </c>
      <c r="B98" s="201" t="s">
        <v>461</v>
      </c>
      <c r="C98" s="201"/>
      <c r="D98" s="363"/>
      <c r="E98" s="363" t="s">
        <v>40</v>
      </c>
      <c r="F98" s="363"/>
      <c r="G98" s="363"/>
      <c r="H98" s="363"/>
      <c r="I98" s="177"/>
      <c r="J98" s="177"/>
      <c r="K98" s="376">
        <f>L98+SUM(Q98:Q98)</f>
        <v>82</v>
      </c>
      <c r="L98" s="376">
        <f>SUM(M98:P98)</f>
        <v>82</v>
      </c>
      <c r="M98" s="376">
        <f t="shared" si="366"/>
        <v>0</v>
      </c>
      <c r="N98" s="376">
        <f t="shared" si="366"/>
        <v>0</v>
      </c>
      <c r="O98" s="376">
        <f t="shared" si="366"/>
        <v>0</v>
      </c>
      <c r="P98" s="376">
        <f t="shared" si="366"/>
        <v>82</v>
      </c>
      <c r="Q98" s="376">
        <f t="shared" si="366"/>
        <v>0</v>
      </c>
      <c r="R98" s="367"/>
      <c r="S98" s="177"/>
      <c r="T98" s="177"/>
      <c r="U98" s="177"/>
      <c r="V98" s="177"/>
      <c r="W98" s="177"/>
      <c r="X98" s="367"/>
      <c r="Y98" s="177"/>
      <c r="Z98" s="177"/>
      <c r="AA98" s="177"/>
      <c r="AB98" s="177"/>
      <c r="AC98" s="177"/>
      <c r="AD98" s="367"/>
      <c r="AE98" s="177"/>
      <c r="AF98" s="177"/>
      <c r="AG98" s="177"/>
      <c r="AH98" s="177"/>
      <c r="AI98" s="177"/>
      <c r="AJ98" s="367">
        <f>SUM(AK98:AO98)</f>
        <v>82</v>
      </c>
      <c r="AK98" s="177"/>
      <c r="AL98" s="177"/>
      <c r="AM98" s="177"/>
      <c r="AN98" s="177">
        <v>82</v>
      </c>
      <c r="AO98" s="177"/>
      <c r="AP98" s="367">
        <f>SUM(AQ98:AU98)</f>
        <v>0</v>
      </c>
      <c r="AQ98" s="177"/>
      <c r="AR98" s="177"/>
      <c r="AS98" s="177"/>
      <c r="AT98" s="177"/>
      <c r="AU98" s="177"/>
      <c r="AV98" s="367">
        <f>SUM(AW98:BA98)</f>
        <v>0</v>
      </c>
      <c r="AW98" s="177"/>
      <c r="AX98" s="177"/>
      <c r="AY98" s="177"/>
      <c r="AZ98" s="177"/>
      <c r="BA98" s="177"/>
      <c r="BB98" s="367">
        <f>SUM(BC98:BG98)</f>
        <v>0</v>
      </c>
      <c r="BC98" s="177"/>
      <c r="BD98" s="177"/>
      <c r="BE98" s="177"/>
      <c r="BF98" s="177"/>
      <c r="BG98" s="177"/>
      <c r="BH98" s="367"/>
      <c r="BI98" s="177"/>
      <c r="BJ98" s="177"/>
      <c r="BK98" s="177"/>
      <c r="BL98" s="177"/>
      <c r="BM98" s="177"/>
      <c r="BN98" s="367"/>
      <c r="BO98" s="177"/>
      <c r="BP98" s="177"/>
      <c r="BQ98" s="177"/>
      <c r="BR98" s="177"/>
      <c r="BS98" s="177"/>
      <c r="BT98" s="367"/>
      <c r="BU98" s="177"/>
      <c r="BV98" s="177"/>
      <c r="BW98" s="177"/>
      <c r="BX98" s="177"/>
      <c r="BY98" s="177"/>
      <c r="BZ98" s="363" t="s">
        <v>41</v>
      </c>
      <c r="CA98" s="397" t="s">
        <v>444</v>
      </c>
    </row>
    <row r="99" spans="1:129" s="184" customFormat="1" ht="26.1" hidden="1" customHeight="1" x14ac:dyDescent="0.2">
      <c r="A99" s="403" t="s">
        <v>373</v>
      </c>
      <c r="B99" s="201" t="s">
        <v>493</v>
      </c>
      <c r="C99" s="364"/>
      <c r="D99" s="396"/>
      <c r="E99" s="396" t="s">
        <v>40</v>
      </c>
      <c r="F99" s="396"/>
      <c r="G99" s="396"/>
      <c r="H99" s="396"/>
      <c r="I99" s="179"/>
      <c r="J99" s="179"/>
      <c r="K99" s="376">
        <f>L99+SUM(Q99:Q99)</f>
        <v>134</v>
      </c>
      <c r="L99" s="376">
        <f>SUM(M99:P99)</f>
        <v>134</v>
      </c>
      <c r="M99" s="376">
        <f t="shared" si="366"/>
        <v>0</v>
      </c>
      <c r="N99" s="376">
        <f t="shared" si="366"/>
        <v>0</v>
      </c>
      <c r="O99" s="376">
        <f t="shared" si="366"/>
        <v>0</v>
      </c>
      <c r="P99" s="376">
        <f t="shared" si="366"/>
        <v>134</v>
      </c>
      <c r="Q99" s="376">
        <f t="shared" si="366"/>
        <v>0</v>
      </c>
      <c r="R99" s="367"/>
      <c r="S99" s="179"/>
      <c r="T99" s="179"/>
      <c r="U99" s="179"/>
      <c r="V99" s="179"/>
      <c r="W99" s="179"/>
      <c r="X99" s="367"/>
      <c r="Y99" s="179"/>
      <c r="Z99" s="179"/>
      <c r="AA99" s="179"/>
      <c r="AB99" s="179"/>
      <c r="AC99" s="179"/>
      <c r="AD99" s="367"/>
      <c r="AE99" s="179"/>
      <c r="AF99" s="179"/>
      <c r="AG99" s="179"/>
      <c r="AH99" s="179"/>
      <c r="AI99" s="179"/>
      <c r="AJ99" s="367">
        <f>SUM(AK99:AO99)</f>
        <v>134</v>
      </c>
      <c r="AK99" s="179"/>
      <c r="AL99" s="179"/>
      <c r="AM99" s="179"/>
      <c r="AN99" s="179">
        <v>134</v>
      </c>
      <c r="AO99" s="179"/>
      <c r="AP99" s="367">
        <f>SUM(AQ99:AU99)</f>
        <v>0</v>
      </c>
      <c r="AQ99" s="179"/>
      <c r="AR99" s="179"/>
      <c r="AS99" s="179"/>
      <c r="AT99" s="179"/>
      <c r="AU99" s="179"/>
      <c r="AV99" s="367">
        <f>SUM(AW99:BA99)</f>
        <v>0</v>
      </c>
      <c r="AW99" s="179"/>
      <c r="AX99" s="179"/>
      <c r="AY99" s="179"/>
      <c r="AZ99" s="179"/>
      <c r="BA99" s="179"/>
      <c r="BB99" s="367">
        <f>SUM(BC99:BG99)</f>
        <v>0</v>
      </c>
      <c r="BC99" s="179"/>
      <c r="BD99" s="179"/>
      <c r="BE99" s="179"/>
      <c r="BF99" s="179"/>
      <c r="BG99" s="179"/>
      <c r="BH99" s="367"/>
      <c r="BI99" s="179"/>
      <c r="BJ99" s="179"/>
      <c r="BK99" s="179"/>
      <c r="BL99" s="179"/>
      <c r="BM99" s="179"/>
      <c r="BN99" s="367"/>
      <c r="BO99" s="179"/>
      <c r="BP99" s="179"/>
      <c r="BQ99" s="179"/>
      <c r="BR99" s="179"/>
      <c r="BS99" s="179"/>
      <c r="BT99" s="367"/>
      <c r="BU99" s="179"/>
      <c r="BV99" s="179"/>
      <c r="BW99" s="179"/>
      <c r="BX99" s="179"/>
      <c r="BY99" s="179"/>
      <c r="BZ99" s="363" t="s">
        <v>506</v>
      </c>
      <c r="CA99" s="397" t="s">
        <v>343</v>
      </c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</row>
    <row r="100" spans="1:129" s="93" customFormat="1" ht="26.1" customHeight="1" x14ac:dyDescent="0.2">
      <c r="A100" s="350" t="s">
        <v>217</v>
      </c>
      <c r="B100" s="411" t="s">
        <v>146</v>
      </c>
      <c r="C100" s="430"/>
      <c r="D100" s="389"/>
      <c r="E100" s="389"/>
      <c r="F100" s="389"/>
      <c r="G100" s="389"/>
      <c r="H100" s="389"/>
      <c r="I100" s="351"/>
      <c r="J100" s="351">
        <f>Нормы!E19</f>
        <v>1656</v>
      </c>
      <c r="K100" s="351">
        <f t="shared" ref="K100:AF100" si="367">SUM(K101:K102)</f>
        <v>1656</v>
      </c>
      <c r="L100" s="351">
        <f t="shared" si="367"/>
        <v>1656</v>
      </c>
      <c r="M100" s="351">
        <f t="shared" si="367"/>
        <v>0</v>
      </c>
      <c r="N100" s="351">
        <f t="shared" si="367"/>
        <v>0</v>
      </c>
      <c r="O100" s="351">
        <f t="shared" si="367"/>
        <v>0</v>
      </c>
      <c r="P100" s="351">
        <f t="shared" si="367"/>
        <v>1656</v>
      </c>
      <c r="Q100" s="351">
        <f t="shared" si="367"/>
        <v>0</v>
      </c>
      <c r="R100" s="351">
        <f t="shared" si="367"/>
        <v>0</v>
      </c>
      <c r="S100" s="351">
        <f t="shared" si="367"/>
        <v>0</v>
      </c>
      <c r="T100" s="351">
        <f t="shared" si="367"/>
        <v>0</v>
      </c>
      <c r="U100" s="351">
        <f t="shared" si="367"/>
        <v>0</v>
      </c>
      <c r="V100" s="351">
        <f t="shared" si="367"/>
        <v>0</v>
      </c>
      <c r="W100" s="351">
        <f t="shared" si="367"/>
        <v>0</v>
      </c>
      <c r="X100" s="351">
        <f t="shared" si="367"/>
        <v>0</v>
      </c>
      <c r="Y100" s="351">
        <f t="shared" si="367"/>
        <v>0</v>
      </c>
      <c r="Z100" s="351">
        <f t="shared" si="367"/>
        <v>0</v>
      </c>
      <c r="AA100" s="351">
        <f t="shared" si="367"/>
        <v>0</v>
      </c>
      <c r="AB100" s="351">
        <f t="shared" si="367"/>
        <v>0</v>
      </c>
      <c r="AC100" s="351">
        <f t="shared" si="367"/>
        <v>0</v>
      </c>
      <c r="AD100" s="351">
        <f t="shared" si="367"/>
        <v>0</v>
      </c>
      <c r="AE100" s="351">
        <f t="shared" si="367"/>
        <v>0</v>
      </c>
      <c r="AF100" s="351">
        <f t="shared" si="367"/>
        <v>0</v>
      </c>
      <c r="AG100" s="351">
        <f t="shared" ref="AG100:BA100" si="368">SUM(AG101:AG102)</f>
        <v>0</v>
      </c>
      <c r="AH100" s="351">
        <f t="shared" si="368"/>
        <v>0</v>
      </c>
      <c r="AI100" s="351">
        <f t="shared" si="368"/>
        <v>0</v>
      </c>
      <c r="AJ100" s="351">
        <f t="shared" si="368"/>
        <v>0</v>
      </c>
      <c r="AK100" s="351">
        <f t="shared" si="368"/>
        <v>0</v>
      </c>
      <c r="AL100" s="351">
        <f t="shared" si="368"/>
        <v>0</v>
      </c>
      <c r="AM100" s="351">
        <f t="shared" si="368"/>
        <v>0</v>
      </c>
      <c r="AN100" s="351">
        <f t="shared" si="368"/>
        <v>0</v>
      </c>
      <c r="AO100" s="351">
        <f t="shared" si="368"/>
        <v>0</v>
      </c>
      <c r="AP100" s="351">
        <f t="shared" si="368"/>
        <v>0</v>
      </c>
      <c r="AQ100" s="351">
        <f t="shared" si="368"/>
        <v>0</v>
      </c>
      <c r="AR100" s="351">
        <f t="shared" si="368"/>
        <v>0</v>
      </c>
      <c r="AS100" s="351">
        <f t="shared" si="368"/>
        <v>0</v>
      </c>
      <c r="AT100" s="351">
        <f t="shared" si="368"/>
        <v>0</v>
      </c>
      <c r="AU100" s="351">
        <f t="shared" si="368"/>
        <v>0</v>
      </c>
      <c r="AV100" s="351">
        <f t="shared" si="368"/>
        <v>540</v>
      </c>
      <c r="AW100" s="351">
        <f t="shared" si="368"/>
        <v>0</v>
      </c>
      <c r="AX100" s="351">
        <f t="shared" si="368"/>
        <v>0</v>
      </c>
      <c r="AY100" s="351">
        <f t="shared" si="368"/>
        <v>0</v>
      </c>
      <c r="AZ100" s="351">
        <f t="shared" si="368"/>
        <v>540</v>
      </c>
      <c r="BA100" s="351">
        <f t="shared" si="368"/>
        <v>0</v>
      </c>
      <c r="BB100" s="351">
        <f t="shared" ref="BB100:BY100" si="369">SUM(BB101:BB102)</f>
        <v>216</v>
      </c>
      <c r="BC100" s="351">
        <f t="shared" si="369"/>
        <v>0</v>
      </c>
      <c r="BD100" s="351">
        <f t="shared" si="369"/>
        <v>0</v>
      </c>
      <c r="BE100" s="351">
        <f t="shared" si="369"/>
        <v>0</v>
      </c>
      <c r="BF100" s="351">
        <f t="shared" si="369"/>
        <v>216</v>
      </c>
      <c r="BG100" s="351">
        <f t="shared" si="369"/>
        <v>0</v>
      </c>
      <c r="BH100" s="351">
        <f t="shared" si="369"/>
        <v>540</v>
      </c>
      <c r="BI100" s="351">
        <f t="shared" si="369"/>
        <v>0</v>
      </c>
      <c r="BJ100" s="351">
        <f t="shared" si="369"/>
        <v>0</v>
      </c>
      <c r="BK100" s="351">
        <f t="shared" si="369"/>
        <v>0</v>
      </c>
      <c r="BL100" s="351">
        <f t="shared" si="369"/>
        <v>540</v>
      </c>
      <c r="BM100" s="351">
        <f t="shared" si="369"/>
        <v>0</v>
      </c>
      <c r="BN100" s="351">
        <f t="shared" si="369"/>
        <v>360</v>
      </c>
      <c r="BO100" s="351">
        <f t="shared" si="369"/>
        <v>0</v>
      </c>
      <c r="BP100" s="351">
        <f t="shared" si="369"/>
        <v>0</v>
      </c>
      <c r="BQ100" s="351">
        <f t="shared" si="369"/>
        <v>0</v>
      </c>
      <c r="BR100" s="351">
        <f t="shared" si="369"/>
        <v>360</v>
      </c>
      <c r="BS100" s="351">
        <f t="shared" si="369"/>
        <v>0</v>
      </c>
      <c r="BT100" s="351">
        <f t="shared" si="369"/>
        <v>0</v>
      </c>
      <c r="BU100" s="351">
        <f t="shared" si="369"/>
        <v>0</v>
      </c>
      <c r="BV100" s="351">
        <f t="shared" si="369"/>
        <v>0</v>
      </c>
      <c r="BW100" s="351">
        <f t="shared" si="369"/>
        <v>0</v>
      </c>
      <c r="BX100" s="351">
        <f t="shared" si="369"/>
        <v>0</v>
      </c>
      <c r="BY100" s="351">
        <f t="shared" si="369"/>
        <v>0</v>
      </c>
      <c r="BZ100" s="389"/>
      <c r="CA100" s="351" t="s">
        <v>603</v>
      </c>
    </row>
    <row r="101" spans="1:129" s="90" customFormat="1" ht="26.1" customHeight="1" x14ac:dyDescent="0.2">
      <c r="A101" s="395" t="s">
        <v>218</v>
      </c>
      <c r="B101" s="201" t="s">
        <v>494</v>
      </c>
      <c r="C101" s="201"/>
      <c r="D101" s="363"/>
      <c r="E101" s="363" t="s">
        <v>598</v>
      </c>
      <c r="F101" s="363"/>
      <c r="G101" s="363"/>
      <c r="H101" s="363"/>
      <c r="I101" s="177"/>
      <c r="J101" s="177"/>
      <c r="K101" s="376">
        <f>L101+SUM(Q101:Q101)</f>
        <v>1512</v>
      </c>
      <c r="L101" s="376">
        <f>SUM(M101:P101)</f>
        <v>1512</v>
      </c>
      <c r="M101" s="376">
        <f t="shared" ref="M101:Q102" si="370">S101+Y101+AE101+AK101+AQ101+AW101+BC101+BI101+BO101+BU101</f>
        <v>0</v>
      </c>
      <c r="N101" s="376">
        <f t="shared" si="370"/>
        <v>0</v>
      </c>
      <c r="O101" s="376">
        <f t="shared" si="370"/>
        <v>0</v>
      </c>
      <c r="P101" s="376">
        <f t="shared" si="370"/>
        <v>1512</v>
      </c>
      <c r="Q101" s="376">
        <f t="shared" si="370"/>
        <v>0</v>
      </c>
      <c r="R101" s="367">
        <f>SUM(S101:W101)</f>
        <v>0</v>
      </c>
      <c r="S101" s="177"/>
      <c r="T101" s="177"/>
      <c r="U101" s="177"/>
      <c r="V101" s="177"/>
      <c r="W101" s="177"/>
      <c r="X101" s="367">
        <f>SUM(Y101:AC101)</f>
        <v>0</v>
      </c>
      <c r="Y101" s="177"/>
      <c r="Z101" s="177"/>
      <c r="AA101" s="177"/>
      <c r="AB101" s="177"/>
      <c r="AC101" s="177"/>
      <c r="AD101" s="367">
        <f>SUM(AE101:AI101)</f>
        <v>0</v>
      </c>
      <c r="AE101" s="177"/>
      <c r="AF101" s="177"/>
      <c r="AG101" s="177"/>
      <c r="AH101" s="177"/>
      <c r="AI101" s="177"/>
      <c r="AJ101" s="367">
        <f>SUM(AK101:AO101)</f>
        <v>0</v>
      </c>
      <c r="AK101" s="177"/>
      <c r="AL101" s="177"/>
      <c r="AM101" s="177"/>
      <c r="AN101" s="177"/>
      <c r="AO101" s="177"/>
      <c r="AP101" s="367">
        <f>SUM(AQ101:AU101)</f>
        <v>0</v>
      </c>
      <c r="AQ101" s="177"/>
      <c r="AR101" s="177"/>
      <c r="AS101" s="177"/>
      <c r="AT101" s="177"/>
      <c r="AU101" s="177"/>
      <c r="AV101" s="367">
        <f>SUM(AW101:BA101)</f>
        <v>540</v>
      </c>
      <c r="AW101" s="177"/>
      <c r="AX101" s="177"/>
      <c r="AY101" s="177"/>
      <c r="AZ101" s="177">
        <v>540</v>
      </c>
      <c r="BA101" s="177"/>
      <c r="BB101" s="367">
        <f>SUM(BC101:BG101)</f>
        <v>216</v>
      </c>
      <c r="BC101" s="177"/>
      <c r="BD101" s="177"/>
      <c r="BE101" s="177"/>
      <c r="BF101" s="177">
        <f>6*36</f>
        <v>216</v>
      </c>
      <c r="BG101" s="177"/>
      <c r="BH101" s="367">
        <f>SUM(BI101:BM101)</f>
        <v>540</v>
      </c>
      <c r="BI101" s="177"/>
      <c r="BJ101" s="177"/>
      <c r="BK101" s="177"/>
      <c r="BL101" s="177">
        <v>540</v>
      </c>
      <c r="BM101" s="177"/>
      <c r="BN101" s="367">
        <f>SUM(BO101:BS101)</f>
        <v>216</v>
      </c>
      <c r="BO101" s="177"/>
      <c r="BP101" s="177"/>
      <c r="BQ101" s="177"/>
      <c r="BR101" s="177">
        <v>216</v>
      </c>
      <c r="BS101" s="177"/>
      <c r="BT101" s="367">
        <f>SUM(BU101:BY101)</f>
        <v>0</v>
      </c>
      <c r="BU101" s="177"/>
      <c r="BV101" s="177"/>
      <c r="BW101" s="177"/>
      <c r="BX101" s="177"/>
      <c r="BY101" s="177"/>
      <c r="BZ101" s="363" t="s">
        <v>516</v>
      </c>
      <c r="CA101" s="181" t="s">
        <v>603</v>
      </c>
    </row>
    <row r="102" spans="1:129" s="90" customFormat="1" ht="26.1" customHeight="1" x14ac:dyDescent="0.2">
      <c r="A102" s="395" t="s">
        <v>219</v>
      </c>
      <c r="B102" s="201" t="s">
        <v>326</v>
      </c>
      <c r="C102" s="413"/>
      <c r="D102" s="363"/>
      <c r="E102" s="363" t="s">
        <v>416</v>
      </c>
      <c r="F102" s="363"/>
      <c r="G102" s="363"/>
      <c r="H102" s="363"/>
      <c r="I102" s="177"/>
      <c r="J102" s="177"/>
      <c r="K102" s="376">
        <f>L102+SUM(Q102:Q102)</f>
        <v>144</v>
      </c>
      <c r="L102" s="376">
        <f>SUM(M102:P102)</f>
        <v>144</v>
      </c>
      <c r="M102" s="376">
        <f t="shared" si="370"/>
        <v>0</v>
      </c>
      <c r="N102" s="376">
        <f t="shared" si="370"/>
        <v>0</v>
      </c>
      <c r="O102" s="376">
        <f t="shared" si="370"/>
        <v>0</v>
      </c>
      <c r="P102" s="376">
        <f t="shared" si="370"/>
        <v>144</v>
      </c>
      <c r="Q102" s="376">
        <f t="shared" si="370"/>
        <v>0</v>
      </c>
      <c r="R102" s="367">
        <f>SUM(S102:W102)</f>
        <v>0</v>
      </c>
      <c r="S102" s="177"/>
      <c r="T102" s="177"/>
      <c r="U102" s="177"/>
      <c r="V102" s="177"/>
      <c r="W102" s="177"/>
      <c r="X102" s="367">
        <f>SUM(Y102:AC102)</f>
        <v>0</v>
      </c>
      <c r="Y102" s="177"/>
      <c r="Z102" s="177"/>
      <c r="AA102" s="177"/>
      <c r="AB102" s="177"/>
      <c r="AC102" s="177"/>
      <c r="AD102" s="367">
        <f>SUM(AE102:AI102)</f>
        <v>0</v>
      </c>
      <c r="AE102" s="177"/>
      <c r="AF102" s="177"/>
      <c r="AG102" s="177"/>
      <c r="AH102" s="177"/>
      <c r="AI102" s="177"/>
      <c r="AJ102" s="367">
        <f>SUM(AK102:AO102)</f>
        <v>0</v>
      </c>
      <c r="AK102" s="177"/>
      <c r="AL102" s="177"/>
      <c r="AM102" s="177"/>
      <c r="AN102" s="177"/>
      <c r="AO102" s="177"/>
      <c r="AP102" s="367">
        <f>SUM(AQ102:AU102)</f>
        <v>0</v>
      </c>
      <c r="AQ102" s="177"/>
      <c r="AR102" s="177"/>
      <c r="AS102" s="177"/>
      <c r="AT102" s="177"/>
      <c r="AU102" s="177"/>
      <c r="AV102" s="367">
        <f>SUM(AW102:BA102)</f>
        <v>0</v>
      </c>
      <c r="AW102" s="177"/>
      <c r="AX102" s="177"/>
      <c r="AY102" s="177"/>
      <c r="AZ102" s="177"/>
      <c r="BA102" s="177"/>
      <c r="BB102" s="367">
        <f>SUM(BC102:BG102)</f>
        <v>0</v>
      </c>
      <c r="BC102" s="177"/>
      <c r="BD102" s="177"/>
      <c r="BE102" s="177"/>
      <c r="BF102" s="177"/>
      <c r="BG102" s="177"/>
      <c r="BH102" s="367">
        <f>SUM(BI102:BM102)</f>
        <v>0</v>
      </c>
      <c r="BI102" s="177"/>
      <c r="BJ102" s="177"/>
      <c r="BK102" s="177"/>
      <c r="BL102" s="177"/>
      <c r="BM102" s="177"/>
      <c r="BN102" s="367">
        <f>SUM(BO102:BS102)</f>
        <v>144</v>
      </c>
      <c r="BO102" s="177"/>
      <c r="BP102" s="177"/>
      <c r="BQ102" s="177"/>
      <c r="BR102" s="177">
        <v>144</v>
      </c>
      <c r="BS102" s="177"/>
      <c r="BT102" s="367">
        <f>SUM(BU102:BY102)</f>
        <v>0</v>
      </c>
      <c r="BU102" s="177"/>
      <c r="BV102" s="177"/>
      <c r="BW102" s="177"/>
      <c r="BX102" s="177"/>
      <c r="BY102" s="177"/>
      <c r="BZ102" s="363" t="s">
        <v>516</v>
      </c>
      <c r="CA102" s="181" t="s">
        <v>603</v>
      </c>
    </row>
    <row r="103" spans="1:129" s="93" customFormat="1" ht="26.1" customHeight="1" x14ac:dyDescent="0.2">
      <c r="A103" s="350" t="s">
        <v>220</v>
      </c>
      <c r="B103" s="699" t="s">
        <v>374</v>
      </c>
      <c r="C103" s="700"/>
      <c r="D103" s="700"/>
      <c r="E103" s="700"/>
      <c r="F103" s="700"/>
      <c r="G103" s="700"/>
      <c r="H103" s="701"/>
      <c r="I103" s="351">
        <f>Нормы!D20</f>
        <v>216</v>
      </c>
      <c r="J103" s="351"/>
      <c r="K103" s="351">
        <f t="shared" ref="K103:AF103" si="371">SUM(K104:K104)</f>
        <v>144</v>
      </c>
      <c r="L103" s="351">
        <f t="shared" si="371"/>
        <v>144</v>
      </c>
      <c r="M103" s="351">
        <f t="shared" si="371"/>
        <v>0</v>
      </c>
      <c r="N103" s="351">
        <f t="shared" si="371"/>
        <v>0</v>
      </c>
      <c r="O103" s="351">
        <f t="shared" si="371"/>
        <v>0</v>
      </c>
      <c r="P103" s="351">
        <f t="shared" si="371"/>
        <v>144</v>
      </c>
      <c r="Q103" s="351">
        <f t="shared" si="371"/>
        <v>0</v>
      </c>
      <c r="R103" s="351">
        <f t="shared" si="371"/>
        <v>0</v>
      </c>
      <c r="S103" s="351">
        <f t="shared" si="371"/>
        <v>0</v>
      </c>
      <c r="T103" s="351">
        <f t="shared" si="371"/>
        <v>0</v>
      </c>
      <c r="U103" s="351">
        <f t="shared" si="371"/>
        <v>0</v>
      </c>
      <c r="V103" s="351">
        <f t="shared" si="371"/>
        <v>0</v>
      </c>
      <c r="W103" s="351">
        <f t="shared" si="371"/>
        <v>0</v>
      </c>
      <c r="X103" s="351">
        <f t="shared" si="371"/>
        <v>0</v>
      </c>
      <c r="Y103" s="351">
        <f t="shared" si="371"/>
        <v>0</v>
      </c>
      <c r="Z103" s="351">
        <f t="shared" si="371"/>
        <v>0</v>
      </c>
      <c r="AA103" s="351">
        <f t="shared" si="371"/>
        <v>0</v>
      </c>
      <c r="AB103" s="351">
        <f t="shared" si="371"/>
        <v>0</v>
      </c>
      <c r="AC103" s="351">
        <f t="shared" si="371"/>
        <v>0</v>
      </c>
      <c r="AD103" s="351">
        <f t="shared" si="371"/>
        <v>0</v>
      </c>
      <c r="AE103" s="351">
        <f t="shared" si="371"/>
        <v>0</v>
      </c>
      <c r="AF103" s="351">
        <f t="shared" si="371"/>
        <v>0</v>
      </c>
      <c r="AG103" s="351">
        <f t="shared" ref="AG103:BA103" si="372">SUM(AG104:AG104)</f>
        <v>0</v>
      </c>
      <c r="AH103" s="351">
        <f t="shared" si="372"/>
        <v>0</v>
      </c>
      <c r="AI103" s="351">
        <f t="shared" si="372"/>
        <v>0</v>
      </c>
      <c r="AJ103" s="351">
        <f t="shared" si="372"/>
        <v>0</v>
      </c>
      <c r="AK103" s="351">
        <f t="shared" si="372"/>
        <v>0</v>
      </c>
      <c r="AL103" s="351">
        <f t="shared" si="372"/>
        <v>0</v>
      </c>
      <c r="AM103" s="351">
        <f t="shared" si="372"/>
        <v>0</v>
      </c>
      <c r="AN103" s="351">
        <f t="shared" si="372"/>
        <v>0</v>
      </c>
      <c r="AO103" s="351">
        <f t="shared" si="372"/>
        <v>0</v>
      </c>
      <c r="AP103" s="351">
        <f t="shared" si="372"/>
        <v>0</v>
      </c>
      <c r="AQ103" s="351">
        <f t="shared" si="372"/>
        <v>0</v>
      </c>
      <c r="AR103" s="351">
        <f t="shared" si="372"/>
        <v>0</v>
      </c>
      <c r="AS103" s="351">
        <f t="shared" si="372"/>
        <v>0</v>
      </c>
      <c r="AT103" s="351">
        <f t="shared" si="372"/>
        <v>0</v>
      </c>
      <c r="AU103" s="351">
        <f t="shared" si="372"/>
        <v>0</v>
      </c>
      <c r="AV103" s="351">
        <f t="shared" si="372"/>
        <v>0</v>
      </c>
      <c r="AW103" s="351">
        <f t="shared" si="372"/>
        <v>0</v>
      </c>
      <c r="AX103" s="351">
        <f t="shared" si="372"/>
        <v>0</v>
      </c>
      <c r="AY103" s="351">
        <f t="shared" si="372"/>
        <v>0</v>
      </c>
      <c r="AZ103" s="351">
        <f t="shared" si="372"/>
        <v>0</v>
      </c>
      <c r="BA103" s="351">
        <f t="shared" si="372"/>
        <v>0</v>
      </c>
      <c r="BB103" s="351">
        <f t="shared" ref="BB103:BY103" si="373">SUM(BB104:BB104)</f>
        <v>0</v>
      </c>
      <c r="BC103" s="351">
        <f t="shared" si="373"/>
        <v>0</v>
      </c>
      <c r="BD103" s="351">
        <f t="shared" si="373"/>
        <v>0</v>
      </c>
      <c r="BE103" s="351">
        <f t="shared" si="373"/>
        <v>0</v>
      </c>
      <c r="BF103" s="351">
        <f t="shared" si="373"/>
        <v>0</v>
      </c>
      <c r="BG103" s="351">
        <f t="shared" si="373"/>
        <v>0</v>
      </c>
      <c r="BH103" s="351">
        <f t="shared" si="373"/>
        <v>0</v>
      </c>
      <c r="BI103" s="351">
        <f>SUM(BI104:BI104)</f>
        <v>0</v>
      </c>
      <c r="BJ103" s="351">
        <f t="shared" si="373"/>
        <v>0</v>
      </c>
      <c r="BK103" s="351">
        <f t="shared" si="373"/>
        <v>0</v>
      </c>
      <c r="BL103" s="351">
        <f t="shared" si="373"/>
        <v>0</v>
      </c>
      <c r="BM103" s="351">
        <f t="shared" si="373"/>
        <v>0</v>
      </c>
      <c r="BN103" s="351">
        <f t="shared" si="373"/>
        <v>0</v>
      </c>
      <c r="BO103" s="351">
        <f t="shared" si="373"/>
        <v>0</v>
      </c>
      <c r="BP103" s="351">
        <f t="shared" si="373"/>
        <v>0</v>
      </c>
      <c r="BQ103" s="351">
        <f t="shared" si="373"/>
        <v>0</v>
      </c>
      <c r="BR103" s="351">
        <f t="shared" si="373"/>
        <v>0</v>
      </c>
      <c r="BS103" s="351">
        <f t="shared" si="373"/>
        <v>0</v>
      </c>
      <c r="BT103" s="351">
        <f t="shared" si="373"/>
        <v>144</v>
      </c>
      <c r="BU103" s="351">
        <f t="shared" si="373"/>
        <v>0</v>
      </c>
      <c r="BV103" s="351">
        <f t="shared" si="373"/>
        <v>0</v>
      </c>
      <c r="BW103" s="351">
        <f t="shared" si="373"/>
        <v>0</v>
      </c>
      <c r="BX103" s="351">
        <f t="shared" si="373"/>
        <v>144</v>
      </c>
      <c r="BY103" s="351">
        <f t="shared" si="373"/>
        <v>0</v>
      </c>
      <c r="BZ103" s="351" t="s">
        <v>516</v>
      </c>
      <c r="CA103" s="351" t="s">
        <v>517</v>
      </c>
    </row>
    <row r="104" spans="1:129" s="90" customFormat="1" ht="30.75" hidden="1" customHeight="1" x14ac:dyDescent="0.2">
      <c r="A104" s="395" t="s">
        <v>222</v>
      </c>
      <c r="B104" s="201" t="s">
        <v>374</v>
      </c>
      <c r="C104" s="201"/>
      <c r="D104" s="370"/>
      <c r="E104" s="363"/>
      <c r="F104" s="363"/>
      <c r="G104" s="363"/>
      <c r="H104" s="363"/>
      <c r="I104" s="177"/>
      <c r="J104" s="177"/>
      <c r="K104" s="376">
        <f>L104+SUM(Q104:Q104)</f>
        <v>144</v>
      </c>
      <c r="L104" s="376">
        <f>SUM(M104:P104)</f>
        <v>144</v>
      </c>
      <c r="M104" s="376">
        <f>S104+Y104+AE104+AK104+AQ104+AW104+BC104+BI104+BO104+BU104</f>
        <v>0</v>
      </c>
      <c r="N104" s="376">
        <f>T104+Z104+AF104+AL104+AR104+AX104+BD104+BJ104+BP104+BV104</f>
        <v>0</v>
      </c>
      <c r="O104" s="376">
        <f>U104+AA104+AG104+AM104+AS104+AY104+BE104+BK104+BQ104+BW104</f>
        <v>0</v>
      </c>
      <c r="P104" s="376">
        <f>V104+AB104+AH104+AN104+AT104+AZ104+BF104+BL104+BR104+BX104</f>
        <v>144</v>
      </c>
      <c r="Q104" s="376">
        <f>W104+AC104+AI104+AO104+AU104+BA104+BG104+BM104+BS104+BY104</f>
        <v>0</v>
      </c>
      <c r="R104" s="367"/>
      <c r="S104" s="177"/>
      <c r="T104" s="177"/>
      <c r="U104" s="177"/>
      <c r="V104" s="177"/>
      <c r="W104" s="177"/>
      <c r="X104" s="367">
        <f>SUM(Y104:AC104)</f>
        <v>0</v>
      </c>
      <c r="Y104" s="177"/>
      <c r="Z104" s="177"/>
      <c r="AA104" s="177"/>
      <c r="AB104" s="177"/>
      <c r="AC104" s="177"/>
      <c r="AD104" s="367">
        <f>SUM(AE104:AI104)</f>
        <v>0</v>
      </c>
      <c r="AE104" s="177"/>
      <c r="AF104" s="177"/>
      <c r="AG104" s="177"/>
      <c r="AH104" s="177"/>
      <c r="AI104" s="177"/>
      <c r="AJ104" s="367">
        <f>SUM(AK104:AO104)</f>
        <v>0</v>
      </c>
      <c r="AK104" s="177"/>
      <c r="AL104" s="177"/>
      <c r="AM104" s="177"/>
      <c r="AN104" s="177"/>
      <c r="AO104" s="177"/>
      <c r="AP104" s="367">
        <f>SUM(AQ104:AU104)</f>
        <v>0</v>
      </c>
      <c r="AQ104" s="177"/>
      <c r="AR104" s="177"/>
      <c r="AS104" s="177"/>
      <c r="AT104" s="177"/>
      <c r="AU104" s="177"/>
      <c r="AV104" s="367">
        <f>SUM(AW104:BA104)</f>
        <v>0</v>
      </c>
      <c r="AW104" s="177"/>
      <c r="AX104" s="177"/>
      <c r="AY104" s="177"/>
      <c r="AZ104" s="177"/>
      <c r="BA104" s="177"/>
      <c r="BB104" s="367">
        <f>SUM(BC104:BG104)</f>
        <v>0</v>
      </c>
      <c r="BC104" s="177"/>
      <c r="BD104" s="177"/>
      <c r="BE104" s="177"/>
      <c r="BF104" s="177"/>
      <c r="BG104" s="177"/>
      <c r="BH104" s="367">
        <f>SUM(BI104:BM104)</f>
        <v>0</v>
      </c>
      <c r="BI104" s="177"/>
      <c r="BJ104" s="177"/>
      <c r="BK104" s="177"/>
      <c r="BL104" s="177"/>
      <c r="BM104" s="177"/>
      <c r="BN104" s="367">
        <f>SUM(BO104:BS104)</f>
        <v>0</v>
      </c>
      <c r="BO104" s="177"/>
      <c r="BP104" s="177"/>
      <c r="BQ104" s="177"/>
      <c r="BR104" s="177"/>
      <c r="BS104" s="177"/>
      <c r="BT104" s="367">
        <f>SUM(BU104:BY104)</f>
        <v>144</v>
      </c>
      <c r="BU104" s="177"/>
      <c r="BV104" s="177"/>
      <c r="BW104" s="177"/>
      <c r="BX104" s="177">
        <v>144</v>
      </c>
      <c r="BY104" s="177"/>
      <c r="BZ104" s="396" t="s">
        <v>516</v>
      </c>
      <c r="CA104" s="414" t="s">
        <v>517</v>
      </c>
    </row>
    <row r="105" spans="1:129" s="93" customFormat="1" ht="18" hidden="1" customHeight="1" thickBot="1" x14ac:dyDescent="0.25">
      <c r="A105" s="415"/>
      <c r="B105" s="350" t="s">
        <v>190</v>
      </c>
      <c r="C105" s="350"/>
      <c r="D105" s="389"/>
      <c r="E105" s="389"/>
      <c r="F105" s="389"/>
      <c r="G105" s="389"/>
      <c r="H105" s="389"/>
      <c r="I105" s="351"/>
      <c r="J105" s="351"/>
      <c r="K105" s="351">
        <f>SUM(R105+X105+AD105+AJ105+AP105+AV105+BH105)</f>
        <v>0</v>
      </c>
      <c r="L105" s="351"/>
      <c r="M105" s="351"/>
      <c r="N105" s="351"/>
      <c r="O105" s="351"/>
      <c r="P105" s="351"/>
      <c r="Q105" s="351"/>
      <c r="R105" s="351">
        <f>SUM(S105:W105)</f>
        <v>0</v>
      </c>
      <c r="S105" s="351"/>
      <c r="T105" s="351"/>
      <c r="U105" s="351"/>
      <c r="V105" s="351"/>
      <c r="W105" s="351"/>
      <c r="X105" s="351">
        <f>SUM(Y105:AC105)</f>
        <v>0</v>
      </c>
      <c r="Y105" s="351"/>
      <c r="Z105" s="351"/>
      <c r="AA105" s="351"/>
      <c r="AB105" s="351"/>
      <c r="AC105" s="351"/>
      <c r="AD105" s="351"/>
      <c r="AE105" s="351"/>
      <c r="AF105" s="351"/>
      <c r="AG105" s="351"/>
      <c r="AH105" s="351"/>
      <c r="AI105" s="351"/>
      <c r="AJ105" s="351">
        <f>SUM(AK105:AO105)</f>
        <v>0</v>
      </c>
      <c r="AK105" s="351"/>
      <c r="AL105" s="351"/>
      <c r="AM105" s="351"/>
      <c r="AN105" s="351"/>
      <c r="AO105" s="351"/>
      <c r="AP105" s="351">
        <f>SUM(AQ105:AU105)</f>
        <v>0</v>
      </c>
      <c r="AQ105" s="351"/>
      <c r="AR105" s="351"/>
      <c r="AS105" s="351"/>
      <c r="AT105" s="351"/>
      <c r="AU105" s="351"/>
      <c r="AV105" s="351">
        <f>SUM(AW105:BA105)</f>
        <v>0</v>
      </c>
      <c r="AW105" s="351"/>
      <c r="AX105" s="351"/>
      <c r="AY105" s="351"/>
      <c r="AZ105" s="351"/>
      <c r="BA105" s="351"/>
      <c r="BB105" s="351">
        <f>SUM(BC105:BG105)</f>
        <v>0</v>
      </c>
      <c r="BC105" s="351"/>
      <c r="BD105" s="351"/>
      <c r="BE105" s="351"/>
      <c r="BF105" s="351"/>
      <c r="BG105" s="351"/>
      <c r="BH105" s="351">
        <f>SUM(BI105:BM105)</f>
        <v>0</v>
      </c>
      <c r="BI105" s="351"/>
      <c r="BJ105" s="351"/>
      <c r="BK105" s="351"/>
      <c r="BL105" s="351"/>
      <c r="BM105" s="351"/>
      <c r="BN105" s="351">
        <f>SUM(BO105:BS105)</f>
        <v>0</v>
      </c>
      <c r="BO105" s="351"/>
      <c r="BP105" s="351"/>
      <c r="BQ105" s="351"/>
      <c r="BR105" s="351"/>
      <c r="BS105" s="351"/>
      <c r="BT105" s="351">
        <f>SUM(BU105:BY105)</f>
        <v>0</v>
      </c>
      <c r="BU105" s="351"/>
      <c r="BV105" s="351"/>
      <c r="BW105" s="351"/>
      <c r="BX105" s="351"/>
      <c r="BY105" s="351"/>
      <c r="BZ105" s="389"/>
      <c r="CA105" s="389"/>
    </row>
    <row r="106" spans="1:129" s="88" customFormat="1" ht="26.25" hidden="1" customHeight="1" x14ac:dyDescent="0.2">
      <c r="A106" s="416"/>
      <c r="B106" s="664"/>
      <c r="C106" s="665"/>
      <c r="D106" s="665"/>
      <c r="E106" s="665"/>
      <c r="F106" s="665"/>
      <c r="G106" s="665"/>
      <c r="H106" s="665"/>
      <c r="I106" s="665"/>
      <c r="J106" s="665"/>
      <c r="K106" s="665"/>
      <c r="L106" s="665"/>
      <c r="M106" s="665"/>
      <c r="N106" s="665"/>
      <c r="O106" s="665"/>
      <c r="P106" s="665"/>
      <c r="Q106" s="665"/>
      <c r="R106" s="417"/>
      <c r="S106" s="417"/>
      <c r="T106" s="417"/>
      <c r="U106" s="417"/>
      <c r="V106" s="417"/>
      <c r="W106" s="417"/>
      <c r="X106" s="417"/>
      <c r="Y106" s="417"/>
      <c r="Z106" s="417"/>
      <c r="AA106" s="417"/>
      <c r="AB106" s="417"/>
      <c r="AC106" s="417"/>
      <c r="AD106" s="417"/>
      <c r="AE106" s="417"/>
      <c r="AF106" s="417"/>
      <c r="AG106" s="417"/>
      <c r="AH106" s="417"/>
      <c r="AI106" s="417"/>
      <c r="AJ106" s="417"/>
      <c r="AK106" s="417"/>
      <c r="AL106" s="417"/>
      <c r="AM106" s="417"/>
      <c r="AN106" s="417"/>
      <c r="AO106" s="417"/>
      <c r="AP106" s="417"/>
      <c r="AQ106" s="417"/>
      <c r="AR106" s="417"/>
      <c r="AS106" s="417"/>
      <c r="AT106" s="417"/>
      <c r="AU106" s="417"/>
      <c r="AV106" s="417"/>
      <c r="AW106" s="417"/>
      <c r="AX106" s="417"/>
      <c r="AY106" s="417"/>
      <c r="AZ106" s="417"/>
      <c r="BA106" s="417"/>
      <c r="BB106" s="417"/>
      <c r="BC106" s="417"/>
      <c r="BD106" s="417"/>
      <c r="BE106" s="417"/>
      <c r="BF106" s="417"/>
      <c r="BG106" s="417"/>
      <c r="BH106" s="417"/>
      <c r="BI106" s="417"/>
      <c r="BJ106" s="417"/>
      <c r="BK106" s="417"/>
      <c r="BL106" s="417"/>
      <c r="BM106" s="417"/>
      <c r="BN106" s="417"/>
      <c r="BO106" s="417"/>
      <c r="BP106" s="417"/>
      <c r="BQ106" s="417"/>
      <c r="BR106" s="417"/>
      <c r="BS106" s="417"/>
      <c r="BT106" s="417"/>
      <c r="BU106" s="417"/>
      <c r="BV106" s="417"/>
      <c r="BW106" s="417"/>
      <c r="BX106" s="417"/>
      <c r="BY106" s="417"/>
      <c r="BZ106" s="418"/>
      <c r="CA106" s="418"/>
    </row>
    <row r="107" spans="1:129" s="88" customFormat="1" ht="27.75" hidden="1" customHeight="1" x14ac:dyDescent="0.2">
      <c r="A107" s="741" t="str">
        <f>'Титульный лист'!A11:N11</f>
        <v>Специфика:</v>
      </c>
      <c r="B107" s="742"/>
      <c r="C107" s="742"/>
      <c r="D107" s="375"/>
      <c r="E107" s="375"/>
      <c r="F107" s="375"/>
      <c r="G107" s="375"/>
      <c r="H107" s="375"/>
      <c r="I107" s="121"/>
      <c r="J107" s="121"/>
      <c r="K107" s="375"/>
      <c r="L107" s="375"/>
      <c r="M107" s="375"/>
      <c r="N107" s="375"/>
      <c r="O107" s="375"/>
      <c r="P107" s="375"/>
      <c r="Q107" s="375"/>
      <c r="R107" s="121"/>
      <c r="S107" s="122"/>
      <c r="T107" s="122"/>
      <c r="U107" s="122"/>
      <c r="V107" s="122"/>
      <c r="W107" s="122"/>
      <c r="X107" s="121"/>
      <c r="Y107" s="122"/>
      <c r="Z107" s="122"/>
      <c r="AA107" s="122"/>
      <c r="AB107" s="122"/>
      <c r="AC107" s="122"/>
      <c r="AD107" s="121"/>
      <c r="AE107" s="122"/>
      <c r="AF107" s="122"/>
      <c r="AG107" s="122"/>
      <c r="AH107" s="122"/>
      <c r="AI107" s="122"/>
      <c r="AJ107" s="121"/>
      <c r="AK107" s="122"/>
      <c r="AL107" s="122"/>
      <c r="AM107" s="122"/>
      <c r="AN107" s="122"/>
      <c r="AO107" s="122"/>
      <c r="AP107" s="121"/>
      <c r="AQ107" s="122"/>
      <c r="AR107" s="122"/>
      <c r="AS107" s="122"/>
      <c r="AT107" s="122"/>
      <c r="AU107" s="122"/>
      <c r="AV107" s="121"/>
      <c r="AW107" s="122"/>
      <c r="AX107" s="122"/>
      <c r="AY107" s="122"/>
      <c r="AZ107" s="122"/>
      <c r="BA107" s="122"/>
      <c r="BB107" s="121"/>
      <c r="BC107" s="122"/>
      <c r="BD107" s="122"/>
      <c r="BE107" s="122"/>
      <c r="BF107" s="122"/>
      <c r="BG107" s="122"/>
      <c r="BH107" s="121"/>
      <c r="BI107" s="122"/>
      <c r="BJ107" s="122"/>
      <c r="BK107" s="122"/>
      <c r="BL107" s="122"/>
      <c r="BM107" s="122"/>
      <c r="BN107" s="121"/>
      <c r="BO107" s="122"/>
      <c r="BP107" s="122"/>
      <c r="BQ107" s="122"/>
      <c r="BR107" s="122"/>
      <c r="BS107" s="122"/>
      <c r="BT107" s="121"/>
      <c r="BU107" s="122"/>
      <c r="BV107" s="122"/>
      <c r="BW107" s="122"/>
      <c r="BX107" s="122"/>
      <c r="BY107" s="122"/>
      <c r="BZ107" s="98"/>
      <c r="CA107" s="98"/>
    </row>
    <row r="108" spans="1:129" s="88" customFormat="1" ht="27.75" hidden="1" customHeight="1" x14ac:dyDescent="0.2">
      <c r="A108" s="681">
        <f>'Титульный лист'!O11:O11</f>
        <v>0</v>
      </c>
      <c r="B108" s="682"/>
      <c r="C108" s="682"/>
      <c r="D108" s="60"/>
      <c r="E108" s="60"/>
      <c r="F108" s="60"/>
      <c r="G108" s="60"/>
      <c r="H108" s="60"/>
      <c r="I108" s="61"/>
      <c r="J108" s="61"/>
      <c r="K108" s="60"/>
      <c r="L108" s="60"/>
      <c r="M108" s="60"/>
      <c r="N108" s="60"/>
      <c r="O108" s="60"/>
      <c r="P108" s="60"/>
      <c r="Q108" s="60"/>
      <c r="R108" s="121"/>
      <c r="S108" s="122"/>
      <c r="T108" s="122"/>
      <c r="U108" s="122"/>
      <c r="V108" s="122"/>
      <c r="W108" s="122"/>
      <c r="X108" s="121"/>
      <c r="Y108" s="122"/>
      <c r="Z108" s="122"/>
      <c r="AA108" s="122"/>
      <c r="AB108" s="122"/>
      <c r="AC108" s="122"/>
      <c r="AD108" s="121"/>
      <c r="AE108" s="122"/>
      <c r="AF108" s="122"/>
      <c r="AG108" s="122"/>
      <c r="AH108" s="122"/>
      <c r="AI108" s="122"/>
      <c r="AJ108" s="121"/>
      <c r="AK108" s="122"/>
      <c r="AL108" s="122"/>
      <c r="AM108" s="122"/>
      <c r="AN108" s="122"/>
      <c r="AO108" s="122"/>
      <c r="AP108" s="121"/>
      <c r="AQ108" s="122"/>
      <c r="AR108" s="122"/>
      <c r="AS108" s="122"/>
      <c r="AT108" s="122"/>
      <c r="AU108" s="122"/>
      <c r="AV108" s="121"/>
      <c r="AW108" s="122"/>
      <c r="AX108" s="122"/>
      <c r="AY108" s="122"/>
      <c r="AZ108" s="122"/>
      <c r="BA108" s="122"/>
      <c r="BB108" s="121"/>
      <c r="BC108" s="122"/>
      <c r="BD108" s="122"/>
      <c r="BE108" s="122"/>
      <c r="BF108" s="122"/>
      <c r="BG108" s="122"/>
      <c r="BH108" s="121"/>
      <c r="BI108" s="122"/>
      <c r="BJ108" s="122"/>
      <c r="BK108" s="122"/>
      <c r="BL108" s="122"/>
      <c r="BM108" s="122"/>
      <c r="BN108" s="121"/>
      <c r="BO108" s="122"/>
      <c r="BP108" s="122"/>
      <c r="BQ108" s="122"/>
      <c r="BR108" s="122"/>
      <c r="BS108" s="122"/>
      <c r="BT108" s="121"/>
      <c r="BU108" s="122"/>
      <c r="BV108" s="122"/>
      <c r="BW108" s="122"/>
      <c r="BX108" s="122"/>
      <c r="BY108" s="122"/>
      <c r="BZ108" s="98"/>
      <c r="CA108" s="98"/>
    </row>
    <row r="109" spans="1:129" s="88" customFormat="1" ht="12.75" customHeight="1" x14ac:dyDescent="0.2">
      <c r="A109" s="62"/>
      <c r="B109" s="650" t="s">
        <v>605</v>
      </c>
      <c r="C109" s="651"/>
      <c r="D109" s="651"/>
      <c r="E109" s="651"/>
      <c r="F109" s="651"/>
      <c r="G109" s="651"/>
      <c r="H109" s="652"/>
      <c r="I109" s="99">
        <f t="shared" ref="I109:Q109" si="374">I11+I28+I92</f>
        <v>7722</v>
      </c>
      <c r="J109" s="99">
        <f t="shared" si="374"/>
        <v>5148</v>
      </c>
      <c r="K109" s="100">
        <f t="shared" si="374"/>
        <v>7722</v>
      </c>
      <c r="L109" s="100">
        <f t="shared" si="374"/>
        <v>5148</v>
      </c>
      <c r="M109" s="100">
        <f t="shared" si="374"/>
        <v>3744</v>
      </c>
      <c r="N109" s="100">
        <f t="shared" si="374"/>
        <v>1314</v>
      </c>
      <c r="O109" s="100">
        <f t="shared" si="374"/>
        <v>90</v>
      </c>
      <c r="P109" s="100">
        <f t="shared" si="374"/>
        <v>0</v>
      </c>
      <c r="Q109" s="431">
        <f t="shared" si="374"/>
        <v>2574</v>
      </c>
      <c r="R109" s="435">
        <f>SUM(S109:W109)</f>
        <v>918</v>
      </c>
      <c r="S109" s="101">
        <f>S11+S28+S92</f>
        <v>527</v>
      </c>
      <c r="T109" s="101">
        <f>T11+T28+T92</f>
        <v>85</v>
      </c>
      <c r="U109" s="101">
        <f>U11+U28+U92</f>
        <v>0</v>
      </c>
      <c r="V109" s="101">
        <f>V11+V28+V92</f>
        <v>0</v>
      </c>
      <c r="W109" s="101">
        <f>W11+W28+W92</f>
        <v>306</v>
      </c>
      <c r="X109" s="433">
        <f>SUM(Y109:AC109)</f>
        <v>1188</v>
      </c>
      <c r="Y109" s="101">
        <f>Y11+Y28+Y92</f>
        <v>671</v>
      </c>
      <c r="Z109" s="101">
        <f>Z11+Z28+Z92</f>
        <v>121</v>
      </c>
      <c r="AA109" s="101">
        <f>AA11+AA28+AA92</f>
        <v>0</v>
      </c>
      <c r="AB109" s="101">
        <f>AB11+AB28+AB92</f>
        <v>0</v>
      </c>
      <c r="AC109" s="110">
        <f>AC11+AC28+AC92</f>
        <v>396</v>
      </c>
      <c r="AD109" s="435">
        <f>SUM(AE109:AI109)</f>
        <v>864</v>
      </c>
      <c r="AE109" s="101">
        <f>AE11+AE28+AE92</f>
        <v>422</v>
      </c>
      <c r="AF109" s="101">
        <f>AF11+AF28+AF92</f>
        <v>154</v>
      </c>
      <c r="AG109" s="101">
        <f>AG11+AG28+AG92</f>
        <v>0</v>
      </c>
      <c r="AH109" s="101">
        <f>AH11+AH28+AH92</f>
        <v>0</v>
      </c>
      <c r="AI109" s="101">
        <f>AI11+AI28+AI92</f>
        <v>288</v>
      </c>
      <c r="AJ109" s="433">
        <f>SUM(AK109:AO109)</f>
        <v>918</v>
      </c>
      <c r="AK109" s="101">
        <f>AK11+AK28+AK92</f>
        <v>490</v>
      </c>
      <c r="AL109" s="101">
        <f>AL11+AL28+AL92</f>
        <v>122</v>
      </c>
      <c r="AM109" s="101">
        <f>AM11+AM28+AM92</f>
        <v>0</v>
      </c>
      <c r="AN109" s="101">
        <f>AN11+AN28+AN92</f>
        <v>0</v>
      </c>
      <c r="AO109" s="110">
        <f>AO11+AO28+AO92</f>
        <v>306</v>
      </c>
      <c r="AP109" s="435">
        <f>SUM(AQ109:AU109)</f>
        <v>864</v>
      </c>
      <c r="AQ109" s="101">
        <f>AQ11+AQ28+AQ92</f>
        <v>454</v>
      </c>
      <c r="AR109" s="101">
        <f>AR11+AR28+AR92</f>
        <v>122</v>
      </c>
      <c r="AS109" s="101">
        <f>AS11+AS28+AS92</f>
        <v>0</v>
      </c>
      <c r="AT109" s="101">
        <f>AT11+AT28+AT92</f>
        <v>0</v>
      </c>
      <c r="AU109" s="101">
        <f>AU11+AU28+AU92</f>
        <v>288</v>
      </c>
      <c r="AV109" s="433">
        <f>SUM(AW109:BA109)</f>
        <v>594</v>
      </c>
      <c r="AW109" s="101">
        <f>AW11+AW28+AW92</f>
        <v>255</v>
      </c>
      <c r="AX109" s="101">
        <f>AX11+AX28+AX92</f>
        <v>141</v>
      </c>
      <c r="AY109" s="101">
        <f>AY11+AY28+AY92</f>
        <v>0</v>
      </c>
      <c r="AZ109" s="101">
        <f>AZ11+AZ28+AZ92</f>
        <v>0</v>
      </c>
      <c r="BA109" s="110">
        <f>BA11+BA28+BA92</f>
        <v>198</v>
      </c>
      <c r="BB109" s="435">
        <f>SUM(BC109:BG109)</f>
        <v>594</v>
      </c>
      <c r="BC109" s="101">
        <f>BC11+BC28+BC92</f>
        <v>290</v>
      </c>
      <c r="BD109" s="101">
        <f>BD11+BD28+BD92</f>
        <v>106</v>
      </c>
      <c r="BE109" s="101">
        <f>BE11+BE28+BE92</f>
        <v>0</v>
      </c>
      <c r="BF109" s="101">
        <f>BF11+BF28+BF92</f>
        <v>0</v>
      </c>
      <c r="BG109" s="101">
        <f>BG11+BG28+BG92</f>
        <v>198</v>
      </c>
      <c r="BH109" s="433">
        <f>SUM(BI109:BM109)</f>
        <v>594</v>
      </c>
      <c r="BI109" s="101">
        <f>BI11+BI28+BI92</f>
        <v>308</v>
      </c>
      <c r="BJ109" s="101">
        <f>BJ11+BJ28+BJ92</f>
        <v>33</v>
      </c>
      <c r="BK109" s="101">
        <f>BK11+BK28+BK92</f>
        <v>55</v>
      </c>
      <c r="BL109" s="101">
        <f>BL11+BL28+BL92</f>
        <v>0</v>
      </c>
      <c r="BM109" s="110">
        <f>BM11+BM28+BM92</f>
        <v>198</v>
      </c>
      <c r="BN109" s="435">
        <f>SUM(BO109:BS109)</f>
        <v>216</v>
      </c>
      <c r="BO109" s="101">
        <f>BO11+BO28+BO92</f>
        <v>80</v>
      </c>
      <c r="BP109" s="101">
        <f>BP11+BP28+BP92</f>
        <v>64</v>
      </c>
      <c r="BQ109" s="101">
        <f>BQ11+BQ28+BQ92</f>
        <v>0</v>
      </c>
      <c r="BR109" s="101">
        <f>BR11+BR28+BR92</f>
        <v>0</v>
      </c>
      <c r="BS109" s="101">
        <f>BS11+BS28+BS92</f>
        <v>72</v>
      </c>
      <c r="BT109" s="435">
        <f>SUM(BU109:BY109)</f>
        <v>972</v>
      </c>
      <c r="BU109" s="101">
        <f>BU11+BU28+BU92</f>
        <v>247</v>
      </c>
      <c r="BV109" s="101">
        <f>BV11+BV28+BV92</f>
        <v>366</v>
      </c>
      <c r="BW109" s="101">
        <f>BW11+BW28+BW92</f>
        <v>35</v>
      </c>
      <c r="BX109" s="101">
        <f>BX11+BX28+BX92</f>
        <v>0</v>
      </c>
      <c r="BY109" s="101">
        <f>BY11+BY28+BY92</f>
        <v>324</v>
      </c>
      <c r="BZ109" s="98"/>
      <c r="CA109" s="98"/>
    </row>
    <row r="110" spans="1:129" s="88" customFormat="1" ht="12.75" customHeight="1" x14ac:dyDescent="0.2">
      <c r="A110" s="62"/>
      <c r="B110" s="650" t="s">
        <v>272</v>
      </c>
      <c r="C110" s="651"/>
      <c r="D110" s="651"/>
      <c r="E110" s="651"/>
      <c r="F110" s="651"/>
      <c r="G110" s="651"/>
      <c r="H110" s="652"/>
      <c r="I110" s="99">
        <f t="shared" ref="I110:Q110" si="375">I95+I100</f>
        <v>0</v>
      </c>
      <c r="J110" s="99">
        <f t="shared" si="375"/>
        <v>1980</v>
      </c>
      <c r="K110" s="100">
        <f t="shared" si="375"/>
        <v>1980</v>
      </c>
      <c r="L110" s="100">
        <f t="shared" si="375"/>
        <v>1980</v>
      </c>
      <c r="M110" s="100">
        <f t="shared" si="375"/>
        <v>0</v>
      </c>
      <c r="N110" s="100">
        <f t="shared" si="375"/>
        <v>0</v>
      </c>
      <c r="O110" s="100">
        <f t="shared" si="375"/>
        <v>0</v>
      </c>
      <c r="P110" s="100">
        <f t="shared" si="375"/>
        <v>1980</v>
      </c>
      <c r="Q110" s="432">
        <f t="shared" si="375"/>
        <v>0</v>
      </c>
      <c r="R110" s="435">
        <f>SUM(S110:W110)</f>
        <v>0</v>
      </c>
      <c r="S110" s="101">
        <f t="shared" ref="S110:W110" si="376">S95+S100</f>
        <v>0</v>
      </c>
      <c r="T110" s="101">
        <f t="shared" si="376"/>
        <v>0</v>
      </c>
      <c r="U110" s="101">
        <f t="shared" si="376"/>
        <v>0</v>
      </c>
      <c r="V110" s="101">
        <f t="shared" si="376"/>
        <v>0</v>
      </c>
      <c r="W110" s="104">
        <f t="shared" si="376"/>
        <v>0</v>
      </c>
      <c r="X110" s="433">
        <f>SUM(Y110:AC110)</f>
        <v>0</v>
      </c>
      <c r="Y110" s="101">
        <f t="shared" ref="Y110:AC110" si="377">Y95+Y100</f>
        <v>0</v>
      </c>
      <c r="Z110" s="101">
        <f t="shared" si="377"/>
        <v>0</v>
      </c>
      <c r="AA110" s="101">
        <f t="shared" si="377"/>
        <v>0</v>
      </c>
      <c r="AB110" s="101">
        <f t="shared" si="377"/>
        <v>0</v>
      </c>
      <c r="AC110" s="102">
        <f t="shared" si="377"/>
        <v>0</v>
      </c>
      <c r="AD110" s="435">
        <f>SUM(AE110:AI110)</f>
        <v>0</v>
      </c>
      <c r="AE110" s="101">
        <f t="shared" ref="AE110:AI110" si="378">AE95+AE100</f>
        <v>0</v>
      </c>
      <c r="AF110" s="101">
        <f t="shared" si="378"/>
        <v>0</v>
      </c>
      <c r="AG110" s="101">
        <f t="shared" si="378"/>
        <v>0</v>
      </c>
      <c r="AH110" s="101">
        <f t="shared" si="378"/>
        <v>0</v>
      </c>
      <c r="AI110" s="104">
        <f t="shared" si="378"/>
        <v>0</v>
      </c>
      <c r="AJ110" s="433">
        <f>SUM(AK110:AO110)</f>
        <v>324</v>
      </c>
      <c r="AK110" s="101">
        <f t="shared" ref="AK110:AO110" si="379">AK95+AK100</f>
        <v>0</v>
      </c>
      <c r="AL110" s="101">
        <f t="shared" si="379"/>
        <v>0</v>
      </c>
      <c r="AM110" s="101">
        <f t="shared" si="379"/>
        <v>0</v>
      </c>
      <c r="AN110" s="101">
        <f t="shared" si="379"/>
        <v>324</v>
      </c>
      <c r="AO110" s="102">
        <f t="shared" si="379"/>
        <v>0</v>
      </c>
      <c r="AP110" s="435">
        <f>SUM(AQ110:AU110)</f>
        <v>0</v>
      </c>
      <c r="AQ110" s="101">
        <f t="shared" ref="AQ110:AU110" si="380">AQ95+AQ100</f>
        <v>0</v>
      </c>
      <c r="AR110" s="101">
        <f t="shared" si="380"/>
        <v>0</v>
      </c>
      <c r="AS110" s="101">
        <f t="shared" si="380"/>
        <v>0</v>
      </c>
      <c r="AT110" s="101">
        <f t="shared" si="380"/>
        <v>0</v>
      </c>
      <c r="AU110" s="104">
        <f t="shared" si="380"/>
        <v>0</v>
      </c>
      <c r="AV110" s="433">
        <f>SUM(AW110:BA110)</f>
        <v>540</v>
      </c>
      <c r="AW110" s="101">
        <f t="shared" ref="AW110:BA110" si="381">AW95+AW100</f>
        <v>0</v>
      </c>
      <c r="AX110" s="101">
        <f t="shared" si="381"/>
        <v>0</v>
      </c>
      <c r="AY110" s="101">
        <f t="shared" si="381"/>
        <v>0</v>
      </c>
      <c r="AZ110" s="101">
        <f t="shared" si="381"/>
        <v>540</v>
      </c>
      <c r="BA110" s="102">
        <f t="shared" si="381"/>
        <v>0</v>
      </c>
      <c r="BB110" s="435">
        <f>SUM(BC110:BG110)</f>
        <v>216</v>
      </c>
      <c r="BC110" s="101">
        <f t="shared" ref="BC110:BG110" si="382">BC95+BC100</f>
        <v>0</v>
      </c>
      <c r="BD110" s="101">
        <f t="shared" si="382"/>
        <v>0</v>
      </c>
      <c r="BE110" s="101">
        <f t="shared" si="382"/>
        <v>0</v>
      </c>
      <c r="BF110" s="101">
        <f t="shared" si="382"/>
        <v>216</v>
      </c>
      <c r="BG110" s="104">
        <f t="shared" si="382"/>
        <v>0</v>
      </c>
      <c r="BH110" s="433">
        <f>SUM(BI110:BM110)</f>
        <v>540</v>
      </c>
      <c r="BI110" s="101">
        <f t="shared" ref="BI110:BM110" si="383">BI95+BI100</f>
        <v>0</v>
      </c>
      <c r="BJ110" s="101">
        <f t="shared" si="383"/>
        <v>0</v>
      </c>
      <c r="BK110" s="101">
        <f t="shared" si="383"/>
        <v>0</v>
      </c>
      <c r="BL110" s="101">
        <f t="shared" si="383"/>
        <v>540</v>
      </c>
      <c r="BM110" s="102">
        <f t="shared" si="383"/>
        <v>0</v>
      </c>
      <c r="BN110" s="435">
        <f>SUM(BO110:BS110)</f>
        <v>360</v>
      </c>
      <c r="BO110" s="101">
        <f t="shared" ref="BO110:BS110" si="384">BO95+BO100</f>
        <v>0</v>
      </c>
      <c r="BP110" s="101">
        <f t="shared" si="384"/>
        <v>0</v>
      </c>
      <c r="BQ110" s="101">
        <f t="shared" si="384"/>
        <v>0</v>
      </c>
      <c r="BR110" s="101">
        <f t="shared" si="384"/>
        <v>360</v>
      </c>
      <c r="BS110" s="104">
        <f t="shared" si="384"/>
        <v>0</v>
      </c>
      <c r="BT110" s="435">
        <f>SUM(BU110:BY110)</f>
        <v>0</v>
      </c>
      <c r="BU110" s="101">
        <f t="shared" ref="BU110:BY110" si="385">BU95+BU100</f>
        <v>0</v>
      </c>
      <c r="BV110" s="101">
        <f t="shared" si="385"/>
        <v>0</v>
      </c>
      <c r="BW110" s="101">
        <f t="shared" si="385"/>
        <v>0</v>
      </c>
      <c r="BX110" s="101">
        <f t="shared" si="385"/>
        <v>0</v>
      </c>
      <c r="BY110" s="104">
        <f t="shared" si="385"/>
        <v>0</v>
      </c>
      <c r="BZ110" s="98"/>
      <c r="CA110" s="98"/>
    </row>
    <row r="111" spans="1:129" s="88" customFormat="1" ht="12.75" customHeight="1" x14ac:dyDescent="0.2">
      <c r="A111" s="62"/>
      <c r="B111" s="650" t="s">
        <v>592</v>
      </c>
      <c r="C111" s="651"/>
      <c r="D111" s="651"/>
      <c r="E111" s="651"/>
      <c r="F111" s="651"/>
      <c r="G111" s="651"/>
      <c r="H111" s="652"/>
      <c r="I111" s="99">
        <f>I103</f>
        <v>216</v>
      </c>
      <c r="J111" s="99">
        <f>J103</f>
        <v>0</v>
      </c>
      <c r="K111" s="100">
        <f>K103</f>
        <v>144</v>
      </c>
      <c r="L111" s="100">
        <f t="shared" ref="L111:P111" si="386">L103</f>
        <v>144</v>
      </c>
      <c r="M111" s="100">
        <f t="shared" si="386"/>
        <v>0</v>
      </c>
      <c r="N111" s="100">
        <f t="shared" si="386"/>
        <v>0</v>
      </c>
      <c r="O111" s="100">
        <f t="shared" si="386"/>
        <v>0</v>
      </c>
      <c r="P111" s="100">
        <f t="shared" si="386"/>
        <v>144</v>
      </c>
      <c r="Q111" s="432">
        <f>Q103</f>
        <v>0</v>
      </c>
      <c r="R111" s="435">
        <f>SUM(S111:W111)</f>
        <v>0</v>
      </c>
      <c r="S111" s="101">
        <f t="shared" ref="S111:W111" si="387">S103</f>
        <v>0</v>
      </c>
      <c r="T111" s="101">
        <f t="shared" si="387"/>
        <v>0</v>
      </c>
      <c r="U111" s="101">
        <f t="shared" si="387"/>
        <v>0</v>
      </c>
      <c r="V111" s="101">
        <f t="shared" si="387"/>
        <v>0</v>
      </c>
      <c r="W111" s="104">
        <f t="shared" si="387"/>
        <v>0</v>
      </c>
      <c r="X111" s="433">
        <f t="shared" ref="X111:AC111" si="388">X103</f>
        <v>0</v>
      </c>
      <c r="Y111" s="101">
        <f t="shared" si="388"/>
        <v>0</v>
      </c>
      <c r="Z111" s="101">
        <f t="shared" si="388"/>
        <v>0</v>
      </c>
      <c r="AA111" s="101">
        <f t="shared" si="388"/>
        <v>0</v>
      </c>
      <c r="AB111" s="101">
        <f t="shared" si="388"/>
        <v>0</v>
      </c>
      <c r="AC111" s="102">
        <f t="shared" si="388"/>
        <v>0</v>
      </c>
      <c r="AD111" s="435">
        <f t="shared" ref="AD111:AI111" si="389">AD103</f>
        <v>0</v>
      </c>
      <c r="AE111" s="101">
        <f t="shared" si="389"/>
        <v>0</v>
      </c>
      <c r="AF111" s="101">
        <f t="shared" si="389"/>
        <v>0</v>
      </c>
      <c r="AG111" s="101">
        <f t="shared" si="389"/>
        <v>0</v>
      </c>
      <c r="AH111" s="101">
        <f t="shared" si="389"/>
        <v>0</v>
      </c>
      <c r="AI111" s="104">
        <f t="shared" si="389"/>
        <v>0</v>
      </c>
      <c r="AJ111" s="433">
        <f t="shared" ref="AJ111:AO111" si="390">AJ103</f>
        <v>0</v>
      </c>
      <c r="AK111" s="101">
        <f t="shared" si="390"/>
        <v>0</v>
      </c>
      <c r="AL111" s="101">
        <f t="shared" si="390"/>
        <v>0</v>
      </c>
      <c r="AM111" s="101">
        <f t="shared" si="390"/>
        <v>0</v>
      </c>
      <c r="AN111" s="101">
        <f t="shared" si="390"/>
        <v>0</v>
      </c>
      <c r="AO111" s="102">
        <f t="shared" si="390"/>
        <v>0</v>
      </c>
      <c r="AP111" s="435">
        <f t="shared" ref="AP111:AU111" si="391">AP103</f>
        <v>0</v>
      </c>
      <c r="AQ111" s="101">
        <f t="shared" si="391"/>
        <v>0</v>
      </c>
      <c r="AR111" s="101">
        <f t="shared" si="391"/>
        <v>0</v>
      </c>
      <c r="AS111" s="101">
        <f t="shared" si="391"/>
        <v>0</v>
      </c>
      <c r="AT111" s="101">
        <f t="shared" si="391"/>
        <v>0</v>
      </c>
      <c r="AU111" s="104">
        <f t="shared" si="391"/>
        <v>0</v>
      </c>
      <c r="AV111" s="433">
        <f t="shared" ref="AV111:BA111" si="392">AV103</f>
        <v>0</v>
      </c>
      <c r="AW111" s="101">
        <f t="shared" si="392"/>
        <v>0</v>
      </c>
      <c r="AX111" s="101">
        <f t="shared" si="392"/>
        <v>0</v>
      </c>
      <c r="AY111" s="101">
        <f t="shared" si="392"/>
        <v>0</v>
      </c>
      <c r="AZ111" s="101">
        <f t="shared" si="392"/>
        <v>0</v>
      </c>
      <c r="BA111" s="102">
        <f t="shared" si="392"/>
        <v>0</v>
      </c>
      <c r="BB111" s="435">
        <f t="shared" ref="BB111:BG111" si="393">BB103</f>
        <v>0</v>
      </c>
      <c r="BC111" s="101">
        <f t="shared" si="393"/>
        <v>0</v>
      </c>
      <c r="BD111" s="101">
        <f t="shared" si="393"/>
        <v>0</v>
      </c>
      <c r="BE111" s="101">
        <f t="shared" si="393"/>
        <v>0</v>
      </c>
      <c r="BF111" s="101">
        <f t="shared" si="393"/>
        <v>0</v>
      </c>
      <c r="BG111" s="104">
        <f t="shared" si="393"/>
        <v>0</v>
      </c>
      <c r="BH111" s="433">
        <f t="shared" ref="BH111:BM111" si="394">BH103</f>
        <v>0</v>
      </c>
      <c r="BI111" s="101">
        <f t="shared" si="394"/>
        <v>0</v>
      </c>
      <c r="BJ111" s="101">
        <f t="shared" si="394"/>
        <v>0</v>
      </c>
      <c r="BK111" s="101">
        <f t="shared" si="394"/>
        <v>0</v>
      </c>
      <c r="BL111" s="101">
        <f t="shared" si="394"/>
        <v>0</v>
      </c>
      <c r="BM111" s="102">
        <f t="shared" si="394"/>
        <v>0</v>
      </c>
      <c r="BN111" s="435">
        <f t="shared" ref="BN111:BS111" si="395">BN103</f>
        <v>0</v>
      </c>
      <c r="BO111" s="101">
        <f t="shared" si="395"/>
        <v>0</v>
      </c>
      <c r="BP111" s="101">
        <f t="shared" si="395"/>
        <v>0</v>
      </c>
      <c r="BQ111" s="101">
        <f t="shared" si="395"/>
        <v>0</v>
      </c>
      <c r="BR111" s="101">
        <f t="shared" si="395"/>
        <v>0</v>
      </c>
      <c r="BS111" s="104">
        <f t="shared" si="395"/>
        <v>0</v>
      </c>
      <c r="BT111" s="435">
        <f t="shared" ref="BT111:BY111" si="396">BT103</f>
        <v>144</v>
      </c>
      <c r="BU111" s="101">
        <f t="shared" si="396"/>
        <v>0</v>
      </c>
      <c r="BV111" s="101">
        <f t="shared" si="396"/>
        <v>0</v>
      </c>
      <c r="BW111" s="101">
        <f t="shared" si="396"/>
        <v>0</v>
      </c>
      <c r="BX111" s="101">
        <f t="shared" si="396"/>
        <v>144</v>
      </c>
      <c r="BY111" s="104">
        <f t="shared" si="396"/>
        <v>0</v>
      </c>
      <c r="BZ111" s="98"/>
      <c r="CA111" s="98"/>
    </row>
    <row r="112" spans="1:129" s="106" customFormat="1" ht="12.75" hidden="1" customHeight="1" x14ac:dyDescent="0.2">
      <c r="A112" s="63"/>
      <c r="B112" s="636" t="s">
        <v>314</v>
      </c>
      <c r="C112" s="637"/>
      <c r="D112" s="637"/>
      <c r="E112" s="637"/>
      <c r="F112" s="637"/>
      <c r="G112" s="637"/>
      <c r="H112" s="638"/>
      <c r="I112" s="103">
        <f>I105</f>
        <v>0</v>
      </c>
      <c r="J112" s="103">
        <f>J105</f>
        <v>0</v>
      </c>
      <c r="K112" s="104">
        <f>K105</f>
        <v>0</v>
      </c>
      <c r="L112" s="104">
        <f t="shared" ref="L112:P112" si="397">L105</f>
        <v>0</v>
      </c>
      <c r="M112" s="104">
        <f t="shared" si="397"/>
        <v>0</v>
      </c>
      <c r="N112" s="104">
        <f t="shared" si="397"/>
        <v>0</v>
      </c>
      <c r="O112" s="104">
        <f t="shared" si="397"/>
        <v>0</v>
      </c>
      <c r="P112" s="104">
        <f t="shared" si="397"/>
        <v>0</v>
      </c>
      <c r="Q112" s="102">
        <f>Q105</f>
        <v>0</v>
      </c>
      <c r="R112" s="436">
        <f t="shared" ref="R112:W112" si="398">R105</f>
        <v>0</v>
      </c>
      <c r="S112" s="101">
        <f t="shared" si="398"/>
        <v>0</v>
      </c>
      <c r="T112" s="101">
        <f t="shared" si="398"/>
        <v>0</v>
      </c>
      <c r="U112" s="101">
        <f t="shared" si="398"/>
        <v>0</v>
      </c>
      <c r="V112" s="101">
        <f t="shared" si="398"/>
        <v>0</v>
      </c>
      <c r="W112" s="104">
        <f t="shared" si="398"/>
        <v>0</v>
      </c>
      <c r="X112" s="434">
        <f t="shared" ref="X112:AC112" si="399">X105</f>
        <v>0</v>
      </c>
      <c r="Y112" s="101">
        <f t="shared" si="399"/>
        <v>0</v>
      </c>
      <c r="Z112" s="101">
        <f t="shared" si="399"/>
        <v>0</v>
      </c>
      <c r="AA112" s="101">
        <f t="shared" si="399"/>
        <v>0</v>
      </c>
      <c r="AB112" s="101">
        <f t="shared" si="399"/>
        <v>0</v>
      </c>
      <c r="AC112" s="102">
        <f t="shared" si="399"/>
        <v>0</v>
      </c>
      <c r="AD112" s="436">
        <f t="shared" ref="AD112:AI112" si="400">AD105</f>
        <v>0</v>
      </c>
      <c r="AE112" s="101">
        <f t="shared" si="400"/>
        <v>0</v>
      </c>
      <c r="AF112" s="101">
        <f t="shared" si="400"/>
        <v>0</v>
      </c>
      <c r="AG112" s="101">
        <f t="shared" si="400"/>
        <v>0</v>
      </c>
      <c r="AH112" s="101">
        <f t="shared" si="400"/>
        <v>0</v>
      </c>
      <c r="AI112" s="104">
        <f t="shared" si="400"/>
        <v>0</v>
      </c>
      <c r="AJ112" s="434">
        <f t="shared" ref="AJ112:AO112" si="401">AJ105</f>
        <v>0</v>
      </c>
      <c r="AK112" s="101">
        <f t="shared" si="401"/>
        <v>0</v>
      </c>
      <c r="AL112" s="101">
        <f t="shared" si="401"/>
        <v>0</v>
      </c>
      <c r="AM112" s="101">
        <f t="shared" si="401"/>
        <v>0</v>
      </c>
      <c r="AN112" s="101">
        <f t="shared" si="401"/>
        <v>0</v>
      </c>
      <c r="AO112" s="102">
        <f t="shared" si="401"/>
        <v>0</v>
      </c>
      <c r="AP112" s="436">
        <f t="shared" ref="AP112:AU112" si="402">AP105</f>
        <v>0</v>
      </c>
      <c r="AQ112" s="101">
        <f t="shared" si="402"/>
        <v>0</v>
      </c>
      <c r="AR112" s="101">
        <f t="shared" si="402"/>
        <v>0</v>
      </c>
      <c r="AS112" s="101">
        <f t="shared" si="402"/>
        <v>0</v>
      </c>
      <c r="AT112" s="101">
        <f t="shared" si="402"/>
        <v>0</v>
      </c>
      <c r="AU112" s="104">
        <f t="shared" si="402"/>
        <v>0</v>
      </c>
      <c r="AV112" s="434">
        <f t="shared" ref="AV112:BA112" si="403">AV105</f>
        <v>0</v>
      </c>
      <c r="AW112" s="101">
        <f t="shared" si="403"/>
        <v>0</v>
      </c>
      <c r="AX112" s="101">
        <f t="shared" si="403"/>
        <v>0</v>
      </c>
      <c r="AY112" s="101">
        <f t="shared" si="403"/>
        <v>0</v>
      </c>
      <c r="AZ112" s="101">
        <f t="shared" si="403"/>
        <v>0</v>
      </c>
      <c r="BA112" s="102">
        <f t="shared" si="403"/>
        <v>0</v>
      </c>
      <c r="BB112" s="436">
        <f t="shared" ref="BB112:BG112" si="404">BB105</f>
        <v>0</v>
      </c>
      <c r="BC112" s="101">
        <f t="shared" si="404"/>
        <v>0</v>
      </c>
      <c r="BD112" s="101">
        <f t="shared" si="404"/>
        <v>0</v>
      </c>
      <c r="BE112" s="101">
        <f t="shared" si="404"/>
        <v>0</v>
      </c>
      <c r="BF112" s="101">
        <f t="shared" si="404"/>
        <v>0</v>
      </c>
      <c r="BG112" s="104">
        <f t="shared" si="404"/>
        <v>0</v>
      </c>
      <c r="BH112" s="434">
        <f t="shared" ref="BH112:BM112" si="405">BH105</f>
        <v>0</v>
      </c>
      <c r="BI112" s="101">
        <f t="shared" si="405"/>
        <v>0</v>
      </c>
      <c r="BJ112" s="101">
        <f t="shared" si="405"/>
        <v>0</v>
      </c>
      <c r="BK112" s="101">
        <f t="shared" si="405"/>
        <v>0</v>
      </c>
      <c r="BL112" s="101">
        <f t="shared" si="405"/>
        <v>0</v>
      </c>
      <c r="BM112" s="102">
        <f t="shared" si="405"/>
        <v>0</v>
      </c>
      <c r="BN112" s="436">
        <f t="shared" ref="BN112:BS112" si="406">BN105</f>
        <v>0</v>
      </c>
      <c r="BO112" s="101">
        <f t="shared" si="406"/>
        <v>0</v>
      </c>
      <c r="BP112" s="101">
        <f t="shared" si="406"/>
        <v>0</v>
      </c>
      <c r="BQ112" s="101">
        <f t="shared" si="406"/>
        <v>0</v>
      </c>
      <c r="BR112" s="101">
        <f t="shared" si="406"/>
        <v>0</v>
      </c>
      <c r="BS112" s="104">
        <f t="shared" si="406"/>
        <v>0</v>
      </c>
      <c r="BT112" s="436">
        <f t="shared" ref="BT112:BY112" si="407">BT105</f>
        <v>0</v>
      </c>
      <c r="BU112" s="101">
        <f t="shared" si="407"/>
        <v>0</v>
      </c>
      <c r="BV112" s="101">
        <f t="shared" si="407"/>
        <v>0</v>
      </c>
      <c r="BW112" s="101">
        <f t="shared" si="407"/>
        <v>0</v>
      </c>
      <c r="BX112" s="101">
        <f t="shared" si="407"/>
        <v>0</v>
      </c>
      <c r="BY112" s="104">
        <f t="shared" si="407"/>
        <v>0</v>
      </c>
      <c r="BZ112" s="105"/>
      <c r="CA112" s="105"/>
    </row>
    <row r="113" spans="1:79" s="88" customFormat="1" x14ac:dyDescent="0.2">
      <c r="A113" s="107"/>
      <c r="B113" s="650" t="s">
        <v>233</v>
      </c>
      <c r="C113" s="651"/>
      <c r="D113" s="651"/>
      <c r="E113" s="651"/>
      <c r="F113" s="651"/>
      <c r="G113" s="651"/>
      <c r="H113" s="652"/>
      <c r="I113" s="108">
        <f>SUM(I109:I111)</f>
        <v>7938</v>
      </c>
      <c r="J113" s="108">
        <f>SUM(J109:J111)</f>
        <v>7128</v>
      </c>
      <c r="K113" s="109">
        <f>SUM(K109:K111)</f>
        <v>9846</v>
      </c>
      <c r="L113" s="109">
        <f t="shared" ref="L113:P113" si="408">SUM(L109:L111)</f>
        <v>7272</v>
      </c>
      <c r="M113" s="109">
        <f t="shared" si="408"/>
        <v>3744</v>
      </c>
      <c r="N113" s="109">
        <f t="shared" si="408"/>
        <v>1314</v>
      </c>
      <c r="O113" s="109">
        <f t="shared" si="408"/>
        <v>90</v>
      </c>
      <c r="P113" s="109">
        <f t="shared" si="408"/>
        <v>2124</v>
      </c>
      <c r="Q113" s="432">
        <f>SUM(Q109:Q111)</f>
        <v>2574</v>
      </c>
      <c r="R113" s="435">
        <f t="shared" ref="R113:AC113" si="409">SUM(R109:R111)</f>
        <v>918</v>
      </c>
      <c r="S113" s="101">
        <f t="shared" si="409"/>
        <v>527</v>
      </c>
      <c r="T113" s="101">
        <f t="shared" si="409"/>
        <v>85</v>
      </c>
      <c r="U113" s="101">
        <f t="shared" si="409"/>
        <v>0</v>
      </c>
      <c r="V113" s="101">
        <f t="shared" si="409"/>
        <v>0</v>
      </c>
      <c r="W113" s="101">
        <f t="shared" si="409"/>
        <v>306</v>
      </c>
      <c r="X113" s="433">
        <f t="shared" si="409"/>
        <v>1188</v>
      </c>
      <c r="Y113" s="101">
        <f t="shared" si="409"/>
        <v>671</v>
      </c>
      <c r="Z113" s="101">
        <f t="shared" si="409"/>
        <v>121</v>
      </c>
      <c r="AA113" s="101">
        <f t="shared" si="409"/>
        <v>0</v>
      </c>
      <c r="AB113" s="101">
        <f t="shared" si="409"/>
        <v>0</v>
      </c>
      <c r="AC113" s="110">
        <f t="shared" si="409"/>
        <v>396</v>
      </c>
      <c r="AD113" s="435">
        <f t="shared" ref="AD113:AO113" si="410">SUM(AD109:AD111)</f>
        <v>864</v>
      </c>
      <c r="AE113" s="101">
        <f t="shared" si="410"/>
        <v>422</v>
      </c>
      <c r="AF113" s="101">
        <f t="shared" si="410"/>
        <v>154</v>
      </c>
      <c r="AG113" s="101">
        <f t="shared" si="410"/>
        <v>0</v>
      </c>
      <c r="AH113" s="101">
        <f t="shared" si="410"/>
        <v>0</v>
      </c>
      <c r="AI113" s="101">
        <f t="shared" si="410"/>
        <v>288</v>
      </c>
      <c r="AJ113" s="433">
        <f t="shared" si="410"/>
        <v>1242</v>
      </c>
      <c r="AK113" s="101">
        <f t="shared" si="410"/>
        <v>490</v>
      </c>
      <c r="AL113" s="101">
        <f t="shared" si="410"/>
        <v>122</v>
      </c>
      <c r="AM113" s="101">
        <f t="shared" si="410"/>
        <v>0</v>
      </c>
      <c r="AN113" s="101">
        <f t="shared" si="410"/>
        <v>324</v>
      </c>
      <c r="AO113" s="110">
        <f t="shared" si="410"/>
        <v>306</v>
      </c>
      <c r="AP113" s="435">
        <f t="shared" ref="AP113:BA113" si="411">SUM(AP109:AP111)</f>
        <v>864</v>
      </c>
      <c r="AQ113" s="101">
        <f t="shared" si="411"/>
        <v>454</v>
      </c>
      <c r="AR113" s="101">
        <f t="shared" si="411"/>
        <v>122</v>
      </c>
      <c r="AS113" s="101">
        <f t="shared" si="411"/>
        <v>0</v>
      </c>
      <c r="AT113" s="101">
        <f t="shared" si="411"/>
        <v>0</v>
      </c>
      <c r="AU113" s="101">
        <f t="shared" si="411"/>
        <v>288</v>
      </c>
      <c r="AV113" s="433">
        <f t="shared" si="411"/>
        <v>1134</v>
      </c>
      <c r="AW113" s="101">
        <f t="shared" si="411"/>
        <v>255</v>
      </c>
      <c r="AX113" s="101">
        <f t="shared" si="411"/>
        <v>141</v>
      </c>
      <c r="AY113" s="101">
        <f t="shared" si="411"/>
        <v>0</v>
      </c>
      <c r="AZ113" s="101">
        <f t="shared" si="411"/>
        <v>540</v>
      </c>
      <c r="BA113" s="110">
        <f t="shared" si="411"/>
        <v>198</v>
      </c>
      <c r="BB113" s="435">
        <f t="shared" ref="BB113:BM113" si="412">SUM(BB109:BB111)</f>
        <v>810</v>
      </c>
      <c r="BC113" s="101">
        <f t="shared" si="412"/>
        <v>290</v>
      </c>
      <c r="BD113" s="101">
        <f t="shared" si="412"/>
        <v>106</v>
      </c>
      <c r="BE113" s="101">
        <f t="shared" si="412"/>
        <v>0</v>
      </c>
      <c r="BF113" s="101">
        <f t="shared" si="412"/>
        <v>216</v>
      </c>
      <c r="BG113" s="101">
        <f t="shared" si="412"/>
        <v>198</v>
      </c>
      <c r="BH113" s="433">
        <f t="shared" si="412"/>
        <v>1134</v>
      </c>
      <c r="BI113" s="101">
        <f t="shared" si="412"/>
        <v>308</v>
      </c>
      <c r="BJ113" s="101">
        <f t="shared" si="412"/>
        <v>33</v>
      </c>
      <c r="BK113" s="101">
        <f t="shared" si="412"/>
        <v>55</v>
      </c>
      <c r="BL113" s="101">
        <f t="shared" si="412"/>
        <v>540</v>
      </c>
      <c r="BM113" s="110">
        <f t="shared" si="412"/>
        <v>198</v>
      </c>
      <c r="BN113" s="435">
        <f t="shared" ref="BN113:BY113" si="413">SUM(BN109:BN111)</f>
        <v>576</v>
      </c>
      <c r="BO113" s="101">
        <f t="shared" si="413"/>
        <v>80</v>
      </c>
      <c r="BP113" s="101">
        <f t="shared" si="413"/>
        <v>64</v>
      </c>
      <c r="BQ113" s="101">
        <f t="shared" si="413"/>
        <v>0</v>
      </c>
      <c r="BR113" s="101">
        <f t="shared" si="413"/>
        <v>360</v>
      </c>
      <c r="BS113" s="101">
        <f t="shared" si="413"/>
        <v>72</v>
      </c>
      <c r="BT113" s="435">
        <f t="shared" si="413"/>
        <v>1116</v>
      </c>
      <c r="BU113" s="101">
        <f t="shared" si="413"/>
        <v>247</v>
      </c>
      <c r="BV113" s="101">
        <f t="shared" si="413"/>
        <v>366</v>
      </c>
      <c r="BW113" s="101">
        <f t="shared" si="413"/>
        <v>35</v>
      </c>
      <c r="BX113" s="101">
        <f t="shared" si="413"/>
        <v>144</v>
      </c>
      <c r="BY113" s="101">
        <f t="shared" si="413"/>
        <v>324</v>
      </c>
      <c r="BZ113" s="98"/>
      <c r="CA113" s="98"/>
    </row>
    <row r="114" spans="1:79" s="88" customFormat="1" x14ac:dyDescent="0.2">
      <c r="A114" s="107"/>
      <c r="B114" s="636" t="s">
        <v>273</v>
      </c>
      <c r="C114" s="637"/>
      <c r="D114" s="637"/>
      <c r="E114" s="637"/>
      <c r="F114" s="637"/>
      <c r="G114" s="637"/>
      <c r="H114" s="637"/>
      <c r="I114" s="637"/>
      <c r="J114" s="638"/>
      <c r="K114" s="659">
        <f>COUNTIF(K13:K19,"&gt;0")+COUNTIF(K21:K27,"&gt;0")+COUNTIF(K30:K34,"&gt;0")+COUNTIF(K36:K38,"&gt;0")+COUNTIF(K41:K47,"&gt;0")+COUNTIF(K51:K55,"&gt;0")+COUNTIF(K57:K62,"&gt;0")+COUNTIF(K64:K69,"&gt;0")+COUNTIF(K71:K73,"&gt;0")+COUNTIF(K77:K79,"&gt;0")+COUNTIF(K83:K84,"&gt;0")+COUNTIF(K87,"&gt;0")+COUNTIF(K90,"&gt;0")+COUNTIF(K93:K94,"&gt;0")</f>
        <v>58</v>
      </c>
      <c r="L114" s="660"/>
      <c r="M114" s="660"/>
      <c r="N114" s="660"/>
      <c r="O114" s="660"/>
      <c r="P114" s="660"/>
      <c r="Q114" s="660"/>
      <c r="R114" s="641">
        <f>COUNTIF(R13:R20,"&gt;0")+COUNTIF(R22:R27,"&gt;0")+COUNTIF(R30:R34,"&gt;0")+COUNTIF(R36:R38,"&gt;0")+COUNTIF(R41:R47,"&gt;0")+COUNTIF(R53:R55,"&gt;0")+COUNTIF(R57:R62,"&gt;0")+COUNTIF(R64:R69,"&gt;0")+COUNTIF(R41:R47,"&gt;0")+COUNTIF(R71:R73,"&gt;0")+COUNTIF(R77:R79,"&gt;0")+COUNTIF(R83:R84,"&gt;0")+COUNTIF(R87,"&gt;0")+COUNTIF(R90:R90,"&gt;0")</f>
        <v>13</v>
      </c>
      <c r="S114" s="639"/>
      <c r="T114" s="639"/>
      <c r="U114" s="639"/>
      <c r="V114" s="639"/>
      <c r="W114" s="640"/>
      <c r="X114" s="639">
        <f>COUNTIF(X13:X20,"&gt;0")+COUNTIF(X22:X27,"&gt;0")+COUNTIF(X30:X34,"&gt;0")+COUNTIF(X36:X38,"&gt;0")+COUNTIF(X41:X47,"&gt;0")+COUNTIF(X53:X55,"&gt;0")+COUNTIF(X57:X62,"&gt;0")+COUNTIF(X64:X69,"&gt;0")+COUNTIF(X41:X47,"&gt;0")+COUNTIF(X71:X73,"&gt;0")+COUNTIF(X77:X79,"&gt;0")+COUNTIF(X83:X84,"&gt;0")+COUNTIF(X87,"&gt;0")+COUNTIF(X90:X90,"&gt;0")</f>
        <v>12</v>
      </c>
      <c r="Y114" s="639"/>
      <c r="Z114" s="639"/>
      <c r="AA114" s="639"/>
      <c r="AB114" s="639"/>
      <c r="AC114" s="639"/>
      <c r="AD114" s="641">
        <f>COUNTIF(AD13:AD20,"&gt;0")+COUNTIF(AD22:AD27,"&gt;0")+COUNTIF(AD30:AD34,"&gt;0")+COUNTIF(AD36:AD38,"&gt;0")+COUNTIF(AD41:AD47,"&gt;0")+COUNTIF(AD53:AD55,"&gt;0")+COUNTIF(AD57:AD62,"&gt;0")+COUNTIF(AD64:AD69,"&gt;0")+COUNTIF(AD41:AD47,"&gt;0")+COUNTIF(AD71:AD73,"&gt;0")+COUNTIF(AD77:AD79,"&gt;0")+COUNTIF(AD83:AD84,"&gt;0")+COUNTIF(AD87,"&gt;0")+COUNTIF(AD90:AD90,"&gt;0")</f>
        <v>18</v>
      </c>
      <c r="AE114" s="639"/>
      <c r="AF114" s="639"/>
      <c r="AG114" s="639"/>
      <c r="AH114" s="639"/>
      <c r="AI114" s="640"/>
      <c r="AJ114" s="639">
        <f>COUNTIF(AJ13:AJ20,"&gt;0")+COUNTIF(AJ22:AJ27,"&gt;0")+COUNTIF(AJ30:AJ34,"&gt;0")+COUNTIF(AJ36:AJ38,"&gt;0")+COUNTIF(AJ41:AJ47,"&gt;0")+COUNTIF(AJ53:AJ55,"&gt;0")+COUNTIF(AJ57:AJ62,"&gt;0")+COUNTIF(AJ64:AJ69,"&gt;0")+COUNTIF(AJ41:AJ47,"&gt;0")+COUNTIF(AJ71:AJ73,"&gt;0")+COUNTIF(AJ77:AJ79,"&gt;0")+COUNTIF(AJ83:AJ84,"&gt;0")+COUNTIF(AJ87,"&gt;0")+COUNTIF(AJ90:AJ90,"&gt;0")</f>
        <v>15</v>
      </c>
      <c r="AK114" s="639"/>
      <c r="AL114" s="639"/>
      <c r="AM114" s="639"/>
      <c r="AN114" s="639"/>
      <c r="AO114" s="639"/>
      <c r="AP114" s="641">
        <f>COUNTIF(AP13:AP20,"&gt;0")+COUNTIF(AP22:AP27,"&gt;0")+COUNTIF(AP30:AP34,"&gt;0")+COUNTIF(AP36:AP38,"&gt;0")+COUNTIF(AP41:AP47,"&gt;0")+COUNTIF(AP53:AP55,"&gt;0")+COUNTIF(AP57:AP62,"&gt;0")+COUNTIF(AP64:AP69,"&gt;0")+COUNTIF(AP41:AP47,"&gt;0")+COUNTIF(AP71:AP73,"&gt;0")+COUNTIF(AP77:AP79,"&gt;0")+COUNTIF(AP83:AP84,"&gt;0")+COUNTIF(AP87,"&gt;0")+COUNTIF(AP90:AP90,"&gt;0")</f>
        <v>13</v>
      </c>
      <c r="AQ114" s="639"/>
      <c r="AR114" s="639"/>
      <c r="AS114" s="639"/>
      <c r="AT114" s="639"/>
      <c r="AU114" s="640"/>
      <c r="AV114" s="639">
        <f>COUNTIF(AV13:AV20,"&gt;0")+COUNTIF(AV22:AV27,"&gt;0")+COUNTIF(AV30:AV34,"&gt;0")+COUNTIF(AV36:AV38,"&gt;0")+COUNTIF(AV41:AV47,"&gt;0")+COUNTIF(AV53:AV55,"&gt;0")+COUNTIF(AV57:AV62,"&gt;0")+COUNTIF(AV64:AV69,"&gt;0")+COUNTIF(AV41:AV47,"&gt;0")+COUNTIF(AV71:AV73,"&gt;0")+COUNTIF(AV77:AV79,"&gt;0")+COUNTIF(AV83:AV84,"&gt;0")+COUNTIF(AV87,"&gt;0")+COUNTIF(AV90:AV90,"&gt;0")</f>
        <v>11</v>
      </c>
      <c r="AW114" s="639"/>
      <c r="AX114" s="639"/>
      <c r="AY114" s="639"/>
      <c r="AZ114" s="639"/>
      <c r="BA114" s="639"/>
      <c r="BB114" s="641">
        <f>COUNTIF(BB13:BB20,"&gt;0")+COUNTIF(BB22:BB27,"&gt;0")+COUNTIF(BB30:BB34,"&gt;0")+COUNTIF(BB36:BB38,"&gt;0")+COUNTIF(BB41:BB47,"&gt;0")+COUNTIF(BB53:BB55,"&gt;0")+COUNTIF(BB57:BB62,"&gt;0")+COUNTIF(BB64:BB69,"&gt;0")+COUNTIF(BB41:BB47,"&gt;0")+COUNTIF(BB71:BB73,"&gt;0")+COUNTIF(BB77:BB79,"&gt;0")+COUNTIF(BB83:BB84,"&gt;0")+COUNTIF(BB87,"&gt;0")+COUNTIF(BB90:BB90,"&gt;0")</f>
        <v>14</v>
      </c>
      <c r="BC114" s="639"/>
      <c r="BD114" s="639"/>
      <c r="BE114" s="639"/>
      <c r="BF114" s="639"/>
      <c r="BG114" s="640"/>
      <c r="BH114" s="639">
        <f>COUNTIF(BH13:BH20,"&gt;0")+COUNTIF(BH22:BH27,"&gt;0")+COUNTIF(BH30:BH34,"&gt;0")+COUNTIF(BH36:BH38,"&gt;0")+COUNTIF(BH41:BH47,"&gt;0")+COUNTIF(BH53:BH55,"&gt;0")+COUNTIF(BH57:BH62,"&gt;0")+COUNTIF(BH64:BH69,"&gt;0")+COUNTIF(BH41:BH47,"&gt;0")+COUNTIF(BH71:BH73,"&gt;0")+COUNTIF(BH77:BH79,"&gt;0")+COUNTIF(BH83:BH84,"&gt;0")+COUNTIF(BH87,"&gt;0")+COUNTIF(BH90:BH90,"&gt;0")</f>
        <v>12</v>
      </c>
      <c r="BI114" s="639"/>
      <c r="BJ114" s="639"/>
      <c r="BK114" s="639"/>
      <c r="BL114" s="639"/>
      <c r="BM114" s="639"/>
      <c r="BN114" s="641">
        <f>COUNTIF(BN13:BN20,"&gt;0")+COUNTIF(BN22:BN27,"&gt;0")+COUNTIF(BN30:BN34,"&gt;0")+COUNTIF(BN36:BN38,"&gt;0")+COUNTIF(BN41:BN47,"&gt;0")+COUNTIF(BN53:BN55,"&gt;0")+COUNTIF(BN57:BN62,"&gt;0")+COUNTIF(BN64:BN69,"&gt;0")+COUNTIF(BN41:BN47,"&gt;0")+COUNTIF(BN71:BN73,"&gt;0")+COUNTIF(BN77:BN79,"&gt;0")+COUNTIF(BN83:BN84,"&gt;0")+COUNTIF(BN87,"&gt;0")+COUNTIF(BN90:BN90,"&gt;0")</f>
        <v>7</v>
      </c>
      <c r="BO114" s="639"/>
      <c r="BP114" s="639"/>
      <c r="BQ114" s="639"/>
      <c r="BR114" s="639"/>
      <c r="BS114" s="640"/>
      <c r="BT114" s="641">
        <f>COUNTIF(BT13:BT20,"&gt;0")+COUNTIF(BT22:BT27,"&gt;0")+COUNTIF(BT30:BT34,"&gt;0")+COUNTIF(BT36:BT38,"&gt;0")+COUNTIF(BT41:BT47,"&gt;0")+COUNTIF(BT53:BT55,"&gt;0")+COUNTIF(BT57:BT62,"&gt;0")+COUNTIF(BT64:BT69,"&gt;0")+COUNTIF(BT41:BT47,"&gt;0")+COUNTIF(BT71:BT73,"&gt;0")+COUNTIF(BT77:BT79,"&gt;0")+COUNTIF(BT83:BT84,"&gt;0")+COUNTIF(BT87,"&gt;0")+COUNTIF(BT90:BT90,"&gt;0")</f>
        <v>8</v>
      </c>
      <c r="BU114" s="639"/>
      <c r="BV114" s="639"/>
      <c r="BW114" s="639"/>
      <c r="BX114" s="639"/>
      <c r="BY114" s="640"/>
      <c r="BZ114" s="98"/>
      <c r="CA114" s="98"/>
    </row>
    <row r="115" spans="1:79" s="88" customFormat="1" x14ac:dyDescent="0.2">
      <c r="A115" s="107"/>
      <c r="B115" s="636" t="s">
        <v>88</v>
      </c>
      <c r="C115" s="637"/>
      <c r="D115" s="637"/>
      <c r="E115" s="637"/>
      <c r="F115" s="637"/>
      <c r="G115" s="637"/>
      <c r="H115" s="637"/>
      <c r="I115" s="637"/>
      <c r="J115" s="638"/>
      <c r="K115" s="656">
        <f>COUNTIF(K96:K99,"&gt;0")+COUNTIF(K101:K102,"&gt;0")</f>
        <v>6</v>
      </c>
      <c r="L115" s="657"/>
      <c r="M115" s="657"/>
      <c r="N115" s="657"/>
      <c r="O115" s="657"/>
      <c r="P115" s="657"/>
      <c r="Q115" s="658"/>
      <c r="R115" s="661">
        <f>COUNTIF(R96:R99,"&gt;0")+COUNTIF(R101:R102,"&gt;0")</f>
        <v>0</v>
      </c>
      <c r="S115" s="646"/>
      <c r="T115" s="646"/>
      <c r="U115" s="646"/>
      <c r="V115" s="646"/>
      <c r="W115" s="662"/>
      <c r="X115" s="645">
        <f>COUNTIF(X96:X99,"&gt;0")+COUNTIF(X101:X102,"&gt;0")</f>
        <v>0</v>
      </c>
      <c r="Y115" s="646"/>
      <c r="Z115" s="646"/>
      <c r="AA115" s="646"/>
      <c r="AB115" s="646"/>
      <c r="AC115" s="647"/>
      <c r="AD115" s="661">
        <f>COUNTIF(AD96:AD99,"&gt;0")+COUNTIF(AD101:AD102,"&gt;0")</f>
        <v>0</v>
      </c>
      <c r="AE115" s="646"/>
      <c r="AF115" s="646"/>
      <c r="AG115" s="646"/>
      <c r="AH115" s="646"/>
      <c r="AI115" s="662"/>
      <c r="AJ115" s="645">
        <f>COUNTIF(AJ95,"&gt;0")+COUNTIF(AJ101:AJ102,"&gt;0")</f>
        <v>1</v>
      </c>
      <c r="AK115" s="646"/>
      <c r="AL115" s="646"/>
      <c r="AM115" s="646"/>
      <c r="AN115" s="646"/>
      <c r="AO115" s="647"/>
      <c r="AP115" s="661">
        <f>COUNTIF(AP96:AP99,"&gt;0")+COUNTIF(AP101:AP102,"&gt;0")</f>
        <v>0</v>
      </c>
      <c r="AQ115" s="646"/>
      <c r="AR115" s="646"/>
      <c r="AS115" s="646"/>
      <c r="AT115" s="646"/>
      <c r="AU115" s="662"/>
      <c r="AV115" s="645">
        <f>COUNTIF(AV96:AV99,"&gt;0")+COUNTIF(AV101:AV102,"&gt;0")</f>
        <v>1</v>
      </c>
      <c r="AW115" s="646"/>
      <c r="AX115" s="646"/>
      <c r="AY115" s="646"/>
      <c r="AZ115" s="646"/>
      <c r="BA115" s="647"/>
      <c r="BB115" s="661">
        <f>COUNTIF(BB96:BB99,"&gt;0")+COUNTIF(BB101:BB102,"&gt;0")</f>
        <v>1</v>
      </c>
      <c r="BC115" s="646"/>
      <c r="BD115" s="646"/>
      <c r="BE115" s="646"/>
      <c r="BF115" s="646"/>
      <c r="BG115" s="662"/>
      <c r="BH115" s="645">
        <f>COUNTIF(BH96:BH99,"&gt;0")+COUNTIF(BH101:BH102,"&gt;0")</f>
        <v>1</v>
      </c>
      <c r="BI115" s="646"/>
      <c r="BJ115" s="646"/>
      <c r="BK115" s="646"/>
      <c r="BL115" s="646"/>
      <c r="BM115" s="647"/>
      <c r="BN115" s="661">
        <f>COUNTIF(BN96:BN99,"&gt;0")+COUNTIF(BN101:BN102,"&gt;0")</f>
        <v>2</v>
      </c>
      <c r="BO115" s="646"/>
      <c r="BP115" s="646"/>
      <c r="BQ115" s="646"/>
      <c r="BR115" s="646"/>
      <c r="BS115" s="662"/>
      <c r="BT115" s="661">
        <f>COUNTIF(BT96:BT99,"&gt;0")+COUNTIF(BT101:BT102,"&gt;0")</f>
        <v>0</v>
      </c>
      <c r="BU115" s="646"/>
      <c r="BV115" s="646"/>
      <c r="BW115" s="646"/>
      <c r="BX115" s="646"/>
      <c r="BY115" s="662"/>
      <c r="BZ115" s="98"/>
      <c r="CA115" s="98"/>
    </row>
    <row r="116" spans="1:79" s="88" customFormat="1" ht="12.75" customHeight="1" x14ac:dyDescent="0.2">
      <c r="A116" s="111"/>
      <c r="B116" s="663" t="s">
        <v>612</v>
      </c>
      <c r="C116" s="637"/>
      <c r="D116" s="637"/>
      <c r="E116" s="637"/>
      <c r="F116" s="637"/>
      <c r="G116" s="637"/>
      <c r="H116" s="637"/>
      <c r="I116" s="637"/>
      <c r="J116" s="638"/>
      <c r="K116" s="653">
        <f>K109/(V5+AB5+AH5+AN5+AT5+AZ5+BF5+BL5+BR5+BX5)</f>
        <v>54</v>
      </c>
      <c r="L116" s="654"/>
      <c r="M116" s="654"/>
      <c r="N116" s="654"/>
      <c r="O116" s="654"/>
      <c r="P116" s="654"/>
      <c r="Q116" s="655"/>
      <c r="R116" s="642">
        <f>R109/V5</f>
        <v>54</v>
      </c>
      <c r="S116" s="643"/>
      <c r="T116" s="643"/>
      <c r="U116" s="643"/>
      <c r="V116" s="643"/>
      <c r="W116" s="644"/>
      <c r="X116" s="648">
        <f>X109/AB5</f>
        <v>54</v>
      </c>
      <c r="Y116" s="643"/>
      <c r="Z116" s="643"/>
      <c r="AA116" s="643"/>
      <c r="AB116" s="643"/>
      <c r="AC116" s="649"/>
      <c r="AD116" s="642">
        <f>AD109/AH5</f>
        <v>54</v>
      </c>
      <c r="AE116" s="643"/>
      <c r="AF116" s="643"/>
      <c r="AG116" s="643"/>
      <c r="AH116" s="643"/>
      <c r="AI116" s="644"/>
      <c r="AJ116" s="648">
        <f>AJ109/AN5</f>
        <v>54</v>
      </c>
      <c r="AK116" s="643"/>
      <c r="AL116" s="643"/>
      <c r="AM116" s="643"/>
      <c r="AN116" s="643"/>
      <c r="AO116" s="649"/>
      <c r="AP116" s="642">
        <f>AP109/AT5</f>
        <v>54</v>
      </c>
      <c r="AQ116" s="643"/>
      <c r="AR116" s="643"/>
      <c r="AS116" s="643"/>
      <c r="AT116" s="643"/>
      <c r="AU116" s="644"/>
      <c r="AV116" s="648">
        <f>AV109/AZ5</f>
        <v>54</v>
      </c>
      <c r="AW116" s="643"/>
      <c r="AX116" s="643"/>
      <c r="AY116" s="643"/>
      <c r="AZ116" s="643"/>
      <c r="BA116" s="649"/>
      <c r="BB116" s="642">
        <f>BB109/BF5</f>
        <v>54</v>
      </c>
      <c r="BC116" s="643"/>
      <c r="BD116" s="643"/>
      <c r="BE116" s="643"/>
      <c r="BF116" s="643"/>
      <c r="BG116" s="644"/>
      <c r="BH116" s="648">
        <f>BH109/BL5</f>
        <v>54</v>
      </c>
      <c r="BI116" s="643"/>
      <c r="BJ116" s="643"/>
      <c r="BK116" s="643"/>
      <c r="BL116" s="643"/>
      <c r="BM116" s="649"/>
      <c r="BN116" s="642">
        <f>BN109/BR5</f>
        <v>54</v>
      </c>
      <c r="BO116" s="643"/>
      <c r="BP116" s="643"/>
      <c r="BQ116" s="643"/>
      <c r="BR116" s="643"/>
      <c r="BS116" s="644"/>
      <c r="BT116" s="642">
        <f>BT109/BX5</f>
        <v>54</v>
      </c>
      <c r="BU116" s="643"/>
      <c r="BV116" s="643"/>
      <c r="BW116" s="643"/>
      <c r="BX116" s="643"/>
      <c r="BY116" s="644"/>
      <c r="BZ116" s="98"/>
      <c r="CA116" s="98"/>
    </row>
    <row r="117" spans="1:79" s="88" customFormat="1" ht="12.75" customHeight="1" x14ac:dyDescent="0.2">
      <c r="A117" s="112"/>
      <c r="B117" s="636" t="s">
        <v>271</v>
      </c>
      <c r="C117" s="637"/>
      <c r="D117" s="637"/>
      <c r="E117" s="637"/>
      <c r="F117" s="637"/>
      <c r="G117" s="637"/>
      <c r="H117" s="637"/>
      <c r="I117" s="637"/>
      <c r="J117" s="638"/>
      <c r="K117" s="653">
        <f>IF('Титульный лист'!BD29=0,0,IF(L109=0,0,L109/(V5+AB5+AH5+AN5+AT5+AZ5+BF5+BL5+BR5+BX5)))</f>
        <v>36</v>
      </c>
      <c r="L117" s="654"/>
      <c r="M117" s="654"/>
      <c r="N117" s="654"/>
      <c r="O117" s="654"/>
      <c r="P117" s="654"/>
      <c r="Q117" s="655"/>
      <c r="R117" s="642">
        <f>IF(V5=0,0,IF(SUM(S109:V109)=0,0,SUM(S109:V109)/V5))</f>
        <v>36</v>
      </c>
      <c r="S117" s="643"/>
      <c r="T117" s="643"/>
      <c r="U117" s="643"/>
      <c r="V117" s="643"/>
      <c r="W117" s="644"/>
      <c r="X117" s="648">
        <f>IF(AB5=0,0,IF(SUM(Y109:AB109)=0,0,SUM(Y109:AB109)/AB5))</f>
        <v>36</v>
      </c>
      <c r="Y117" s="643"/>
      <c r="Z117" s="643"/>
      <c r="AA117" s="643"/>
      <c r="AB117" s="643"/>
      <c r="AC117" s="649"/>
      <c r="AD117" s="642">
        <f>IF(AH5=0,0,IF(SUM(AE109:AH109)=0,0,SUM(AE109:AH109)/AH5))</f>
        <v>36</v>
      </c>
      <c r="AE117" s="643"/>
      <c r="AF117" s="643"/>
      <c r="AG117" s="643"/>
      <c r="AH117" s="643"/>
      <c r="AI117" s="644"/>
      <c r="AJ117" s="648">
        <f>IF(AN5=0,0,IF(SUM(AK109:AN109)=0,0,SUM(AK109:AN109)/AN5))</f>
        <v>36</v>
      </c>
      <c r="AK117" s="643"/>
      <c r="AL117" s="643"/>
      <c r="AM117" s="643"/>
      <c r="AN117" s="643"/>
      <c r="AO117" s="649"/>
      <c r="AP117" s="642">
        <f>IF(AT5=0,0,IF(SUM(AQ109:AT109)=0,0,SUM(AQ109:AT109)/AT5))</f>
        <v>36</v>
      </c>
      <c r="AQ117" s="643"/>
      <c r="AR117" s="643"/>
      <c r="AS117" s="643"/>
      <c r="AT117" s="643"/>
      <c r="AU117" s="644"/>
      <c r="AV117" s="648">
        <f>IF(AZ5=0,0,IF(SUM(AW109:AZ109)=0,0,SUM(AW109:AZ109)/AZ5))</f>
        <v>36</v>
      </c>
      <c r="AW117" s="643"/>
      <c r="AX117" s="643"/>
      <c r="AY117" s="643"/>
      <c r="AZ117" s="643"/>
      <c r="BA117" s="649"/>
      <c r="BB117" s="642">
        <f>IF(BF5=0,0,IF(SUM(BC109:BF109)=0,0,SUM(BC109:BF109)/BF5))</f>
        <v>36</v>
      </c>
      <c r="BC117" s="643"/>
      <c r="BD117" s="643"/>
      <c r="BE117" s="643"/>
      <c r="BF117" s="643"/>
      <c r="BG117" s="644"/>
      <c r="BH117" s="648">
        <f>IF(BL5=0,0,IF(SUM(BI109:BL109)=0,0,SUM(BI109:BL109)/BL5))</f>
        <v>36</v>
      </c>
      <c r="BI117" s="643"/>
      <c r="BJ117" s="643"/>
      <c r="BK117" s="643"/>
      <c r="BL117" s="643"/>
      <c r="BM117" s="649"/>
      <c r="BN117" s="642">
        <f>IF(BR5=0,0,IF(SUM(BO109:BR109)=0,0,SUM(BO109:BR109)/BR5))</f>
        <v>36</v>
      </c>
      <c r="BO117" s="643"/>
      <c r="BP117" s="643"/>
      <c r="BQ117" s="643"/>
      <c r="BR117" s="643"/>
      <c r="BS117" s="644"/>
      <c r="BT117" s="642">
        <f>IF(BX5=0,0,IF(SUM(BU109:BX109)=0,0,SUM(BU109:BX109)/BX5))</f>
        <v>36</v>
      </c>
      <c r="BU117" s="643"/>
      <c r="BV117" s="643"/>
      <c r="BW117" s="643"/>
      <c r="BX117" s="643"/>
      <c r="BY117" s="644"/>
      <c r="BZ117" s="98"/>
      <c r="CA117" s="98"/>
    </row>
    <row r="118" spans="1:79" s="88" customFormat="1" ht="12.75" customHeight="1" x14ac:dyDescent="0.2">
      <c r="A118" s="112"/>
      <c r="B118" s="636" t="s">
        <v>270</v>
      </c>
      <c r="C118" s="637"/>
      <c r="D118" s="637"/>
      <c r="E118" s="637"/>
      <c r="F118" s="637"/>
      <c r="G118" s="637"/>
      <c r="H118" s="637"/>
      <c r="I118" s="637"/>
      <c r="J118" s="638"/>
      <c r="K118" s="659">
        <f>R118+X118+AD118+AJ118+AP118+AV118+BB118+BH118+BN118+BT118</f>
        <v>15</v>
      </c>
      <c r="L118" s="660"/>
      <c r="M118" s="660" t="s">
        <v>298</v>
      </c>
      <c r="N118" s="660"/>
      <c r="O118" s="660"/>
      <c r="P118" s="660">
        <f>V118+AB118+AH118+AN118+AT118+AZ118+BF118+BL118+BR118+BX118</f>
        <v>15</v>
      </c>
      <c r="Q118" s="660"/>
      <c r="R118" s="641">
        <f>COUNTIF($D$11:$D$95,"*1*")</f>
        <v>0</v>
      </c>
      <c r="S118" s="639"/>
      <c r="T118" s="639" t="s">
        <v>298</v>
      </c>
      <c r="U118" s="639"/>
      <c r="V118" s="639">
        <f>COUNTIF($D$11:$D$94,"*1*")-DCOUNTA($A$10:$H$95,"5",E125:G126)</f>
        <v>0</v>
      </c>
      <c r="W118" s="640"/>
      <c r="X118" s="639">
        <f>COUNTIF($D$11:$D$95,"*2*")</f>
        <v>3</v>
      </c>
      <c r="Y118" s="639"/>
      <c r="Z118" s="639" t="s">
        <v>298</v>
      </c>
      <c r="AA118" s="639"/>
      <c r="AB118" s="639">
        <f>COUNTIF($D$11:$D$92,"*2*")-DCOUNTA($A$10:$H$95,"5",E127:G128)</f>
        <v>3</v>
      </c>
      <c r="AC118" s="639"/>
      <c r="AD118" s="641">
        <f>COUNTIF($D$11:$D$94,"*3*")</f>
        <v>2</v>
      </c>
      <c r="AE118" s="639"/>
      <c r="AF118" s="639" t="s">
        <v>298</v>
      </c>
      <c r="AG118" s="639"/>
      <c r="AH118" s="639">
        <f>COUNTIF($D$11:$D$94,"*3*")-DCOUNTA($A$10:$G$94,"5",E129:G130)</f>
        <v>2</v>
      </c>
      <c r="AI118" s="640"/>
      <c r="AJ118" s="639">
        <f>COUNTIF($D$11:$D$94,"*4*")</f>
        <v>2</v>
      </c>
      <c r="AK118" s="639"/>
      <c r="AL118" s="639" t="s">
        <v>298</v>
      </c>
      <c r="AM118" s="639"/>
      <c r="AN118" s="639">
        <f>COUNTIF($D$11:$D$94,"*4*")-DCOUNTA($A$10:$G$90,"5",E131:G132)</f>
        <v>2</v>
      </c>
      <c r="AO118" s="639"/>
      <c r="AP118" s="641">
        <f>COUNTIF($D$11:$D$94,"*5*")</f>
        <v>2</v>
      </c>
      <c r="AQ118" s="639"/>
      <c r="AR118" s="639" t="s">
        <v>298</v>
      </c>
      <c r="AS118" s="639"/>
      <c r="AT118" s="639">
        <f>COUNTIF($D$11:$D$94,"*5*")-DCOUNTA($A$10:$H$94,"5",E133:G134)</f>
        <v>2</v>
      </c>
      <c r="AU118" s="640"/>
      <c r="AV118" s="639">
        <f>COUNTIF($D$11:$D$94,"*6*")</f>
        <v>2</v>
      </c>
      <c r="AW118" s="639"/>
      <c r="AX118" s="639" t="s">
        <v>298</v>
      </c>
      <c r="AY118" s="639"/>
      <c r="AZ118" s="639">
        <f>COUNTIF($D$11:$D$94,"*6*")-DCOUNTA($A$10:$H$94,"5",E135:G136)</f>
        <v>2</v>
      </c>
      <c r="BA118" s="639"/>
      <c r="BB118" s="641">
        <f>COUNTIF($D$11:$D$94,"*7*")</f>
        <v>0</v>
      </c>
      <c r="BC118" s="639"/>
      <c r="BD118" s="639" t="s">
        <v>298</v>
      </c>
      <c r="BE118" s="639"/>
      <c r="BF118" s="639">
        <f>COUNTIF($D$11:$D$94,"*7*")-DCOUNTA($A$10:$H$94,"5",E137:G138)</f>
        <v>0</v>
      </c>
      <c r="BG118" s="640"/>
      <c r="BH118" s="639">
        <f>COUNTIF($D$11:$D$94,"*8*")</f>
        <v>2</v>
      </c>
      <c r="BI118" s="639"/>
      <c r="BJ118" s="639" t="s">
        <v>298</v>
      </c>
      <c r="BK118" s="639"/>
      <c r="BL118" s="639">
        <f>COUNTIF($D$11:$D$94,"*8*")-DCOUNTA($A$10:$H$94,"5",E139:G140)</f>
        <v>2</v>
      </c>
      <c r="BM118" s="639"/>
      <c r="BN118" s="641">
        <f>COUNTIF($D$11:$D$94,"*9*")</f>
        <v>0</v>
      </c>
      <c r="BO118" s="639"/>
      <c r="BP118" s="639" t="s">
        <v>298</v>
      </c>
      <c r="BQ118" s="639"/>
      <c r="BR118" s="639">
        <f>COUNTIF($D$11:$D$94,"*9*")-DCOUNTA($A$10:$H$94,"5",E141:G142)</f>
        <v>0</v>
      </c>
      <c r="BS118" s="640"/>
      <c r="BT118" s="641">
        <f>COUNTIF($D$11:$D$94,"*Х*")</f>
        <v>2</v>
      </c>
      <c r="BU118" s="639"/>
      <c r="BV118" s="639" t="s">
        <v>298</v>
      </c>
      <c r="BW118" s="639"/>
      <c r="BX118" s="639">
        <f>COUNTIF($D$11:$D$94,"*Х*")-DCOUNTA($A$10:$H$94,"5",E143:G144)</f>
        <v>2</v>
      </c>
      <c r="BY118" s="640"/>
      <c r="BZ118" s="98"/>
      <c r="CA118" s="98"/>
    </row>
    <row r="119" spans="1:79" s="88" customFormat="1" ht="12.75" customHeight="1" x14ac:dyDescent="0.2">
      <c r="A119" s="107"/>
      <c r="B119" s="636" t="s">
        <v>269</v>
      </c>
      <c r="C119" s="637"/>
      <c r="D119" s="637"/>
      <c r="E119" s="637"/>
      <c r="F119" s="637"/>
      <c r="G119" s="637"/>
      <c r="H119" s="637"/>
      <c r="I119" s="637"/>
      <c r="J119" s="638"/>
      <c r="K119" s="659">
        <f>R119+X119+AD119+AJ119+AP119+AV119+BB119+BH119+BN119+BT119</f>
        <v>59</v>
      </c>
      <c r="L119" s="660"/>
      <c r="M119" s="660" t="s">
        <v>298</v>
      </c>
      <c r="N119" s="660"/>
      <c r="O119" s="660"/>
      <c r="P119" s="660">
        <f>V119+AB119+AH119+AN119+AT119+AZ119+BF119+BL119+BR119+BX119</f>
        <v>48</v>
      </c>
      <c r="Q119" s="660"/>
      <c r="R119" s="641">
        <f>COUNTIF($E$11:$E$92,"*1*")</f>
        <v>3</v>
      </c>
      <c r="S119" s="639"/>
      <c r="T119" s="639" t="s">
        <v>298</v>
      </c>
      <c r="U119" s="639"/>
      <c r="V119" s="639">
        <f>COUNTIF($E$11:$F$94,"*1*")-DCOUNTA($A$10:$H$95,"5",C125:D126)</f>
        <v>2</v>
      </c>
      <c r="W119" s="640"/>
      <c r="X119" s="639">
        <f>COUNTIF($E$11:$F$94,"*2*")</f>
        <v>9</v>
      </c>
      <c r="Y119" s="639"/>
      <c r="Z119" s="639" t="s">
        <v>298</v>
      </c>
      <c r="AA119" s="639"/>
      <c r="AB119" s="639">
        <f>COUNTIF($E$11:$F$94,"*2*")-DCOUNTA($A$10:$H$95,"5",C127:D128)</f>
        <v>8</v>
      </c>
      <c r="AC119" s="639"/>
      <c r="AD119" s="641">
        <f>COUNTIF($E$11:$F$94,"*3*")</f>
        <v>7</v>
      </c>
      <c r="AE119" s="639"/>
      <c r="AF119" s="639" t="s">
        <v>298</v>
      </c>
      <c r="AG119" s="639"/>
      <c r="AH119" s="639">
        <f>COUNTIF($E$11:$F$94,"*3*")-DCOUNTA($A$10:$H$94,"6",C129:D130)</f>
        <v>6</v>
      </c>
      <c r="AI119" s="640"/>
      <c r="AJ119" s="639">
        <f>COUNTIF($E$11:$F$94,"*4*")</f>
        <v>5</v>
      </c>
      <c r="AK119" s="639"/>
      <c r="AL119" s="639" t="s">
        <v>298</v>
      </c>
      <c r="AM119" s="639"/>
      <c r="AN119" s="639">
        <f>COUNTIF($E$11:$F$94,"*4*")-DCOUNTA($A$10:$G$94,"6",C131:D132)</f>
        <v>4</v>
      </c>
      <c r="AO119" s="639"/>
      <c r="AP119" s="641">
        <f>COUNTIF($E$11:$F$94,"*5*")</f>
        <v>7</v>
      </c>
      <c r="AQ119" s="639"/>
      <c r="AR119" s="639" t="s">
        <v>298</v>
      </c>
      <c r="AS119" s="639"/>
      <c r="AT119" s="639">
        <f>COUNTIF($E$11:$F$94,"*5*")-DCOUNTA($A$10:$H$94,"6",C133:D134)</f>
        <v>6</v>
      </c>
      <c r="AU119" s="640"/>
      <c r="AV119" s="639">
        <f>COUNTIF($E$11:$F$94,"*6*")</f>
        <v>5</v>
      </c>
      <c r="AW119" s="639"/>
      <c r="AX119" s="639" t="s">
        <v>298</v>
      </c>
      <c r="AY119" s="639"/>
      <c r="AZ119" s="639">
        <f>COUNTIF($E$11:$F$94,"*6*")-DCOUNTA($A$10:$H$94,"6",C135:D136)</f>
        <v>4</v>
      </c>
      <c r="BA119" s="639"/>
      <c r="BB119" s="641">
        <f>COUNTIF($E$11:$F$94,"*7*")</f>
        <v>5</v>
      </c>
      <c r="BC119" s="639"/>
      <c r="BD119" s="639" t="s">
        <v>298</v>
      </c>
      <c r="BE119" s="639"/>
      <c r="BF119" s="639">
        <f>COUNTIF($E$11:$F$94,"*7*")-DCOUNTA($A$10:$H$94,"6",C137:D138)</f>
        <v>4</v>
      </c>
      <c r="BG119" s="640"/>
      <c r="BH119" s="639">
        <f>COUNTIF($E$11:$F$94,"*8*")</f>
        <v>8</v>
      </c>
      <c r="BI119" s="639"/>
      <c r="BJ119" s="639" t="s">
        <v>298</v>
      </c>
      <c r="BK119" s="639"/>
      <c r="BL119" s="639">
        <f>COUNTIF($E$11:$F$94,"*8*")-DCOUNTA($A$10:$H$94,"6",C139:D140)</f>
        <v>7</v>
      </c>
      <c r="BM119" s="639"/>
      <c r="BN119" s="641">
        <f>COUNTIF($E$11:$F$92,"*9*")</f>
        <v>1</v>
      </c>
      <c r="BO119" s="639"/>
      <c r="BP119" s="639" t="s">
        <v>298</v>
      </c>
      <c r="BQ119" s="639"/>
      <c r="BR119" s="639">
        <f>COUNTIF($E$11:$F$94,"*9*")-DCOUNTA($A$10:$H$94,"6",C141:D142)</f>
        <v>0</v>
      </c>
      <c r="BS119" s="640"/>
      <c r="BT119" s="641">
        <f>COUNTIF($E$11:$F$94,"*Х*")</f>
        <v>9</v>
      </c>
      <c r="BU119" s="639"/>
      <c r="BV119" s="639" t="s">
        <v>298</v>
      </c>
      <c r="BW119" s="639"/>
      <c r="BX119" s="639">
        <f>COUNTIF($E$11:$F$92,"*Х*")-DCOUNTA($A$10:$H$92,"6",C143:D144)</f>
        <v>7</v>
      </c>
      <c r="BY119" s="640"/>
      <c r="BZ119" s="98"/>
      <c r="CA119" s="98"/>
    </row>
    <row r="120" spans="1:79" s="88" customFormat="1" ht="12.75" customHeight="1" x14ac:dyDescent="0.2">
      <c r="A120" s="107"/>
      <c r="B120" s="663" t="s">
        <v>591</v>
      </c>
      <c r="C120" s="637"/>
      <c r="D120" s="637"/>
      <c r="E120" s="637"/>
      <c r="F120" s="637"/>
      <c r="G120" s="637"/>
      <c r="H120" s="637"/>
      <c r="I120" s="637"/>
      <c r="J120" s="638"/>
      <c r="K120" s="659">
        <f>R120+X120+AD120+AJ120+AP120+AV120+BB120+BH120+BN120+BT120</f>
        <v>3</v>
      </c>
      <c r="L120" s="660"/>
      <c r="M120" s="660"/>
      <c r="N120" s="660"/>
      <c r="O120" s="660"/>
      <c r="P120" s="660"/>
      <c r="Q120" s="660"/>
      <c r="R120" s="641">
        <f>COUNTIF($G$11:$G$92,"*1*")</f>
        <v>0</v>
      </c>
      <c r="S120" s="639"/>
      <c r="T120" s="639"/>
      <c r="U120" s="639"/>
      <c r="V120" s="639"/>
      <c r="W120" s="640"/>
      <c r="X120" s="639">
        <f>COUNTIF($G$11:$G$92,"*2*")</f>
        <v>0</v>
      </c>
      <c r="Y120" s="639"/>
      <c r="Z120" s="639"/>
      <c r="AA120" s="639"/>
      <c r="AB120" s="639"/>
      <c r="AC120" s="639"/>
      <c r="AD120" s="641">
        <f>COUNTIF($G$11:$G$92,"*3*")</f>
        <v>0</v>
      </c>
      <c r="AE120" s="639"/>
      <c r="AF120" s="639"/>
      <c r="AG120" s="639"/>
      <c r="AH120" s="639"/>
      <c r="AI120" s="640"/>
      <c r="AJ120" s="639">
        <f>COUNTIF($G$11:$G$92,"*4*")</f>
        <v>0</v>
      </c>
      <c r="AK120" s="639"/>
      <c r="AL120" s="639"/>
      <c r="AM120" s="639"/>
      <c r="AN120" s="639"/>
      <c r="AO120" s="639"/>
      <c r="AP120" s="641">
        <f>COUNTIF($G$11:$G$92,"*5*")</f>
        <v>0</v>
      </c>
      <c r="AQ120" s="639"/>
      <c r="AR120" s="639"/>
      <c r="AS120" s="639"/>
      <c r="AT120" s="639"/>
      <c r="AU120" s="640"/>
      <c r="AV120" s="639">
        <f>COUNTIF($G$11:$G$92,"*6*")</f>
        <v>0</v>
      </c>
      <c r="AW120" s="639"/>
      <c r="AX120" s="639"/>
      <c r="AY120" s="639"/>
      <c r="AZ120" s="639"/>
      <c r="BA120" s="639"/>
      <c r="BB120" s="641">
        <f>COUNTIF($G$11:$G$94,"*7*")</f>
        <v>0</v>
      </c>
      <c r="BC120" s="639"/>
      <c r="BD120" s="639"/>
      <c r="BE120" s="639"/>
      <c r="BF120" s="639"/>
      <c r="BG120" s="640"/>
      <c r="BH120" s="639">
        <f>COUNTIF($G$11:$G$94,"*8*")</f>
        <v>2</v>
      </c>
      <c r="BI120" s="639"/>
      <c r="BJ120" s="639"/>
      <c r="BK120" s="639"/>
      <c r="BL120" s="639"/>
      <c r="BM120" s="639"/>
      <c r="BN120" s="641">
        <f>COUNTIF($G$11:$G$92,"*9*")</f>
        <v>0</v>
      </c>
      <c r="BO120" s="639"/>
      <c r="BP120" s="639"/>
      <c r="BQ120" s="639"/>
      <c r="BR120" s="639"/>
      <c r="BS120" s="640"/>
      <c r="BT120" s="641">
        <f>COUNTIF($G$11:$G$92,"*Х*")</f>
        <v>1</v>
      </c>
      <c r="BU120" s="639"/>
      <c r="BV120" s="639"/>
      <c r="BW120" s="639"/>
      <c r="BX120" s="639"/>
      <c r="BY120" s="640"/>
      <c r="BZ120" s="98"/>
      <c r="CA120" s="98"/>
    </row>
    <row r="121" spans="1:79" s="88" customFormat="1" ht="12.75" customHeight="1" x14ac:dyDescent="0.2">
      <c r="A121" s="113"/>
      <c r="B121" s="663" t="s">
        <v>593</v>
      </c>
      <c r="C121" s="637"/>
      <c r="D121" s="637"/>
      <c r="E121" s="637"/>
      <c r="F121" s="637"/>
      <c r="G121" s="637"/>
      <c r="H121" s="637"/>
      <c r="I121" s="637"/>
      <c r="J121" s="638"/>
      <c r="K121" s="659">
        <f>R121+X121+AD121+AJ121+AP121+AV121+BB121+BH121+BN121+BT121</f>
        <v>52</v>
      </c>
      <c r="L121" s="660"/>
      <c r="M121" s="660"/>
      <c r="N121" s="660"/>
      <c r="O121" s="660"/>
      <c r="P121" s="660"/>
      <c r="Q121" s="660"/>
      <c r="R121" s="641">
        <f>COUNTIF($H$10:$H$94,"*1*")</f>
        <v>10</v>
      </c>
      <c r="S121" s="639"/>
      <c r="T121" s="639"/>
      <c r="U121" s="639"/>
      <c r="V121" s="639"/>
      <c r="W121" s="640"/>
      <c r="X121" s="639">
        <f>COUNTIF($H$10:$H$94,"*2*")</f>
        <v>0</v>
      </c>
      <c r="Y121" s="639"/>
      <c r="Z121" s="639"/>
      <c r="AA121" s="639"/>
      <c r="AB121" s="639"/>
      <c r="AC121" s="639"/>
      <c r="AD121" s="641">
        <f>COUNTIF($H$10:$H$94,"*3*")</f>
        <v>5</v>
      </c>
      <c r="AE121" s="639"/>
      <c r="AF121" s="639"/>
      <c r="AG121" s="639"/>
      <c r="AH121" s="639"/>
      <c r="AI121" s="640"/>
      <c r="AJ121" s="639">
        <f>COUNTIF($H$10:$H$94,"*4*")</f>
        <v>7</v>
      </c>
      <c r="AK121" s="639"/>
      <c r="AL121" s="639"/>
      <c r="AM121" s="639"/>
      <c r="AN121" s="639"/>
      <c r="AO121" s="639"/>
      <c r="AP121" s="641">
        <f>COUNTIF($H$10:$H$94,"*5*")</f>
        <v>6</v>
      </c>
      <c r="AQ121" s="639"/>
      <c r="AR121" s="639"/>
      <c r="AS121" s="639"/>
      <c r="AT121" s="639"/>
      <c r="AU121" s="640"/>
      <c r="AV121" s="639">
        <f>COUNTIF($H$10:$H$94,"*6*")</f>
        <v>5</v>
      </c>
      <c r="AW121" s="639"/>
      <c r="AX121" s="639"/>
      <c r="AY121" s="639"/>
      <c r="AZ121" s="639"/>
      <c r="BA121" s="639"/>
      <c r="BB121" s="641">
        <f>COUNTIF($H$10:$H$94,"*7*")</f>
        <v>9</v>
      </c>
      <c r="BC121" s="639"/>
      <c r="BD121" s="639"/>
      <c r="BE121" s="639"/>
      <c r="BF121" s="639"/>
      <c r="BG121" s="640"/>
      <c r="BH121" s="639">
        <f>COUNTIF($H$10:$H$94,"*8*")</f>
        <v>3</v>
      </c>
      <c r="BI121" s="639"/>
      <c r="BJ121" s="639"/>
      <c r="BK121" s="639"/>
      <c r="BL121" s="639"/>
      <c r="BM121" s="639"/>
      <c r="BN121" s="641">
        <f>COUNTIF($H$10:$H$94,"*9*")</f>
        <v>7</v>
      </c>
      <c r="BO121" s="639"/>
      <c r="BP121" s="639"/>
      <c r="BQ121" s="639"/>
      <c r="BR121" s="639"/>
      <c r="BS121" s="640"/>
      <c r="BT121" s="641">
        <f>COUNTIF($H$10:$H$94,"*Х*")</f>
        <v>0</v>
      </c>
      <c r="BU121" s="639"/>
      <c r="BV121" s="639"/>
      <c r="BW121" s="639"/>
      <c r="BX121" s="639"/>
      <c r="BY121" s="640"/>
      <c r="BZ121" s="98"/>
      <c r="CA121" s="98"/>
    </row>
    <row r="122" spans="1:79" s="88" customFormat="1" x14ac:dyDescent="0.2">
      <c r="A122" s="299"/>
      <c r="B122" s="299"/>
      <c r="C122" s="299"/>
      <c r="D122" s="300"/>
      <c r="E122" s="300"/>
      <c r="F122" s="300"/>
      <c r="G122" s="300"/>
      <c r="H122" s="300"/>
      <c r="I122" s="301"/>
      <c r="J122" s="301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299"/>
      <c r="AJ122" s="299"/>
      <c r="AK122" s="299"/>
      <c r="AL122" s="299"/>
      <c r="AM122" s="299"/>
      <c r="AN122" s="299"/>
      <c r="AO122" s="299"/>
      <c r="AP122" s="299"/>
      <c r="AQ122" s="299"/>
      <c r="AR122" s="299"/>
      <c r="AS122" s="299"/>
      <c r="AT122" s="299"/>
      <c r="AU122" s="299"/>
      <c r="AV122" s="299"/>
      <c r="AW122" s="299"/>
      <c r="AX122" s="299"/>
      <c r="AY122" s="299"/>
      <c r="AZ122" s="299"/>
      <c r="BA122" s="299"/>
      <c r="BB122" s="299"/>
      <c r="BC122" s="299"/>
      <c r="BD122" s="299"/>
      <c r="BE122" s="299"/>
      <c r="BF122" s="299"/>
      <c r="BG122" s="299"/>
      <c r="BH122" s="299"/>
      <c r="BI122" s="299"/>
      <c r="BJ122" s="299"/>
      <c r="BK122" s="299"/>
      <c r="BL122" s="299"/>
      <c r="BM122" s="299"/>
      <c r="BN122" s="299"/>
      <c r="BO122" s="299"/>
      <c r="BP122" s="299"/>
      <c r="BQ122" s="299"/>
      <c r="BR122" s="299"/>
      <c r="BS122" s="299"/>
      <c r="BT122" s="299"/>
      <c r="BU122" s="299"/>
      <c r="BV122" s="299"/>
      <c r="BW122" s="299"/>
      <c r="BX122" s="299"/>
      <c r="BY122" s="299"/>
      <c r="BZ122" s="98"/>
      <c r="CA122" s="98"/>
    </row>
    <row r="123" spans="1:79" hidden="1" x14ac:dyDescent="0.2"/>
    <row r="124" spans="1:79" ht="12.75" hidden="1" customHeight="1" x14ac:dyDescent="0.2">
      <c r="A124" s="740" t="s">
        <v>296</v>
      </c>
      <c r="B124" s="740"/>
      <c r="C124" s="739" t="s">
        <v>297</v>
      </c>
      <c r="D124" s="739"/>
      <c r="E124" s="739" t="s">
        <v>318</v>
      </c>
      <c r="F124" s="739"/>
      <c r="G124" s="739"/>
    </row>
    <row r="125" spans="1:79" hidden="1" x14ac:dyDescent="0.2">
      <c r="A125" s="66">
        <v>1</v>
      </c>
      <c r="B125" s="66">
        <v>11</v>
      </c>
      <c r="C125" s="67">
        <v>2</v>
      </c>
      <c r="D125" s="68" t="s">
        <v>41</v>
      </c>
      <c r="E125" s="67">
        <v>2</v>
      </c>
      <c r="F125" s="67"/>
      <c r="G125" s="68" t="s">
        <v>40</v>
      </c>
    </row>
    <row r="126" spans="1:79" ht="51" hidden="1" x14ac:dyDescent="0.2">
      <c r="A126" s="66" t="s">
        <v>276</v>
      </c>
      <c r="B126" s="66" t="s">
        <v>156</v>
      </c>
      <c r="C126" s="66" t="s">
        <v>7</v>
      </c>
      <c r="D126" s="69" t="s">
        <v>299</v>
      </c>
      <c r="E126" s="66" t="s">
        <v>7</v>
      </c>
      <c r="F126" s="66"/>
      <c r="G126" s="69" t="s">
        <v>299</v>
      </c>
    </row>
    <row r="127" spans="1:79" hidden="1" x14ac:dyDescent="0.2">
      <c r="A127" s="66">
        <v>1</v>
      </c>
      <c r="B127" s="66">
        <v>21</v>
      </c>
      <c r="C127" s="67">
        <v>2</v>
      </c>
      <c r="D127" s="68" t="s">
        <v>41</v>
      </c>
      <c r="E127" s="67">
        <v>2</v>
      </c>
      <c r="F127" s="67"/>
      <c r="G127" s="68" t="s">
        <v>40</v>
      </c>
    </row>
    <row r="128" spans="1:79" ht="51" hidden="1" x14ac:dyDescent="0.2">
      <c r="A128" s="66" t="s">
        <v>276</v>
      </c>
      <c r="B128" s="66" t="s">
        <v>156</v>
      </c>
      <c r="C128" s="66" t="s">
        <v>7</v>
      </c>
      <c r="D128" s="69" t="s">
        <v>300</v>
      </c>
      <c r="E128" s="66" t="s">
        <v>7</v>
      </c>
      <c r="F128" s="66"/>
      <c r="G128" s="69" t="s">
        <v>300</v>
      </c>
    </row>
    <row r="129" spans="1:7" hidden="1" x14ac:dyDescent="0.2">
      <c r="A129" s="66">
        <v>1</v>
      </c>
      <c r="B129" s="66">
        <v>30</v>
      </c>
      <c r="C129" s="67">
        <v>2</v>
      </c>
      <c r="D129" s="68" t="s">
        <v>42</v>
      </c>
      <c r="E129" s="67">
        <v>2</v>
      </c>
      <c r="F129" s="67"/>
      <c r="G129" s="68" t="s">
        <v>40</v>
      </c>
    </row>
    <row r="130" spans="1:7" ht="51" hidden="1" x14ac:dyDescent="0.2">
      <c r="A130" s="66" t="s">
        <v>276</v>
      </c>
      <c r="B130" s="66" t="s">
        <v>156</v>
      </c>
      <c r="C130" s="66" t="s">
        <v>7</v>
      </c>
      <c r="D130" s="69" t="s">
        <v>301</v>
      </c>
      <c r="E130" s="66" t="s">
        <v>7</v>
      </c>
      <c r="F130" s="66"/>
      <c r="G130" s="69" t="s">
        <v>301</v>
      </c>
    </row>
    <row r="131" spans="1:7" hidden="1" x14ac:dyDescent="0.2">
      <c r="A131" s="66">
        <v>1</v>
      </c>
      <c r="B131" s="66">
        <v>39</v>
      </c>
      <c r="C131" s="67">
        <v>2</v>
      </c>
      <c r="D131" s="68" t="s">
        <v>42</v>
      </c>
      <c r="E131" s="67">
        <v>2</v>
      </c>
      <c r="F131" s="67"/>
      <c r="G131" s="68" t="s">
        <v>40</v>
      </c>
    </row>
    <row r="132" spans="1:7" ht="51" hidden="1" x14ac:dyDescent="0.2">
      <c r="A132" s="66" t="s">
        <v>276</v>
      </c>
      <c r="B132" s="66" t="s">
        <v>156</v>
      </c>
      <c r="C132" s="66" t="s">
        <v>7</v>
      </c>
      <c r="D132" s="69" t="s">
        <v>302</v>
      </c>
      <c r="E132" s="66" t="s">
        <v>7</v>
      </c>
      <c r="F132" s="66"/>
      <c r="G132" s="69" t="s">
        <v>302</v>
      </c>
    </row>
    <row r="133" spans="1:7" hidden="1" x14ac:dyDescent="0.2">
      <c r="A133" s="66">
        <v>1</v>
      </c>
      <c r="B133" s="66">
        <v>48</v>
      </c>
      <c r="C133" s="67">
        <v>2</v>
      </c>
      <c r="D133" s="68" t="s">
        <v>42</v>
      </c>
      <c r="E133" s="67">
        <v>2</v>
      </c>
      <c r="F133" s="67"/>
      <c r="G133" s="68" t="s">
        <v>40</v>
      </c>
    </row>
    <row r="134" spans="1:7" ht="51" hidden="1" x14ac:dyDescent="0.2">
      <c r="A134" s="66" t="s">
        <v>276</v>
      </c>
      <c r="B134" s="66" t="s">
        <v>156</v>
      </c>
      <c r="C134" s="66" t="s">
        <v>7</v>
      </c>
      <c r="D134" s="69" t="s">
        <v>303</v>
      </c>
      <c r="E134" s="66" t="s">
        <v>7</v>
      </c>
      <c r="F134" s="66"/>
      <c r="G134" s="69" t="s">
        <v>303</v>
      </c>
    </row>
    <row r="135" spans="1:7" hidden="1" x14ac:dyDescent="0.2">
      <c r="A135" s="66">
        <v>1</v>
      </c>
      <c r="B135" s="66">
        <v>57</v>
      </c>
      <c r="C135" s="67">
        <v>2</v>
      </c>
      <c r="D135" s="68" t="s">
        <v>42</v>
      </c>
      <c r="E135" s="67">
        <v>2</v>
      </c>
      <c r="F135" s="67"/>
      <c r="G135" s="68" t="s">
        <v>40</v>
      </c>
    </row>
    <row r="136" spans="1:7" ht="51" hidden="1" x14ac:dyDescent="0.2">
      <c r="A136" s="66" t="s">
        <v>276</v>
      </c>
      <c r="B136" s="66" t="s">
        <v>156</v>
      </c>
      <c r="C136" s="66" t="s">
        <v>7</v>
      </c>
      <c r="D136" s="69" t="s">
        <v>304</v>
      </c>
      <c r="E136" s="66" t="s">
        <v>7</v>
      </c>
      <c r="F136" s="66"/>
      <c r="G136" s="69" t="s">
        <v>304</v>
      </c>
    </row>
    <row r="137" spans="1:7" hidden="1" x14ac:dyDescent="0.2">
      <c r="A137" s="66">
        <v>1</v>
      </c>
      <c r="B137" s="66">
        <v>66</v>
      </c>
      <c r="C137" s="67">
        <v>2</v>
      </c>
      <c r="D137" s="68" t="s">
        <v>42</v>
      </c>
      <c r="E137" s="67">
        <v>2</v>
      </c>
      <c r="F137" s="67"/>
      <c r="G137" s="68" t="s">
        <v>40</v>
      </c>
    </row>
    <row r="138" spans="1:7" ht="51" hidden="1" x14ac:dyDescent="0.2">
      <c r="A138" s="66" t="s">
        <v>276</v>
      </c>
      <c r="B138" s="66" t="s">
        <v>156</v>
      </c>
      <c r="C138" s="66" t="s">
        <v>7</v>
      </c>
      <c r="D138" s="69" t="s">
        <v>305</v>
      </c>
      <c r="E138" s="66" t="s">
        <v>7</v>
      </c>
      <c r="F138" s="66"/>
      <c r="G138" s="69" t="s">
        <v>305</v>
      </c>
    </row>
    <row r="139" spans="1:7" hidden="1" x14ac:dyDescent="0.2">
      <c r="A139" s="66">
        <v>1</v>
      </c>
      <c r="B139" s="66">
        <v>75</v>
      </c>
      <c r="C139" s="67">
        <v>2</v>
      </c>
      <c r="D139" s="68" t="s">
        <v>42</v>
      </c>
      <c r="E139" s="67">
        <v>2</v>
      </c>
      <c r="F139" s="67"/>
      <c r="G139" s="68" t="s">
        <v>40</v>
      </c>
    </row>
    <row r="140" spans="1:7" ht="51" hidden="1" x14ac:dyDescent="0.2">
      <c r="A140" s="66" t="s">
        <v>276</v>
      </c>
      <c r="B140" s="66" t="s">
        <v>156</v>
      </c>
      <c r="C140" s="66" t="s">
        <v>7</v>
      </c>
      <c r="D140" s="69" t="s">
        <v>306</v>
      </c>
      <c r="E140" s="66" t="s">
        <v>7</v>
      </c>
      <c r="F140" s="66"/>
      <c r="G140" s="69" t="s">
        <v>306</v>
      </c>
    </row>
    <row r="141" spans="1:7" hidden="1" x14ac:dyDescent="0.2">
      <c r="A141" s="66">
        <v>1</v>
      </c>
      <c r="B141" s="66">
        <v>84</v>
      </c>
      <c r="C141" s="67">
        <v>2</v>
      </c>
      <c r="D141" s="68" t="s">
        <v>42</v>
      </c>
      <c r="E141" s="67">
        <v>2</v>
      </c>
      <c r="F141" s="67"/>
      <c r="G141" s="68" t="s">
        <v>40</v>
      </c>
    </row>
    <row r="142" spans="1:7" ht="51" hidden="1" x14ac:dyDescent="0.2">
      <c r="A142" s="66" t="s">
        <v>276</v>
      </c>
      <c r="B142" s="66" t="s">
        <v>156</v>
      </c>
      <c r="C142" s="66" t="s">
        <v>7</v>
      </c>
      <c r="D142" s="69" t="s">
        <v>307</v>
      </c>
      <c r="E142" s="66" t="s">
        <v>7</v>
      </c>
      <c r="F142" s="66"/>
      <c r="G142" s="69" t="s">
        <v>307</v>
      </c>
    </row>
    <row r="143" spans="1:7" hidden="1" x14ac:dyDescent="0.2">
      <c r="A143" s="66">
        <v>1</v>
      </c>
      <c r="B143" s="66">
        <v>93</v>
      </c>
      <c r="C143" s="67">
        <v>2</v>
      </c>
      <c r="D143" s="68" t="s">
        <v>42</v>
      </c>
      <c r="E143" s="67">
        <v>2</v>
      </c>
      <c r="F143" s="67"/>
      <c r="G143" s="68" t="s">
        <v>40</v>
      </c>
    </row>
    <row r="144" spans="1:7" ht="51" hidden="1" x14ac:dyDescent="0.2">
      <c r="A144" s="66" t="s">
        <v>276</v>
      </c>
      <c r="B144" s="66" t="s">
        <v>156</v>
      </c>
      <c r="C144" s="66" t="s">
        <v>7</v>
      </c>
      <c r="D144" s="69" t="s">
        <v>308</v>
      </c>
      <c r="E144" s="66" t="s">
        <v>7</v>
      </c>
      <c r="F144" s="66"/>
      <c r="G144" s="69" t="s">
        <v>308</v>
      </c>
    </row>
    <row r="145" spans="1:11" hidden="1" x14ac:dyDescent="0.2">
      <c r="A145" s="66">
        <v>1</v>
      </c>
      <c r="B145" s="66">
        <v>102</v>
      </c>
      <c r="C145" s="64"/>
    </row>
    <row r="146" spans="1:11" hidden="1" x14ac:dyDescent="0.2">
      <c r="A146" s="66" t="s">
        <v>276</v>
      </c>
      <c r="B146" s="66" t="s">
        <v>156</v>
      </c>
      <c r="C146" s="64"/>
    </row>
    <row r="147" spans="1:11" hidden="1" x14ac:dyDescent="0.2"/>
    <row r="148" spans="1:11" ht="25.5" hidden="1" x14ac:dyDescent="0.2">
      <c r="G148" s="64" t="s">
        <v>464</v>
      </c>
      <c r="H148" s="64" t="s">
        <v>80</v>
      </c>
      <c r="I148" s="65">
        <v>90</v>
      </c>
      <c r="K148" s="40">
        <f>S109*3+T109*6+Y109*3+Z109*6</f>
        <v>4830</v>
      </c>
    </row>
    <row r="149" spans="1:11" ht="25.5" hidden="1" x14ac:dyDescent="0.2">
      <c r="G149" s="64" t="s">
        <v>464</v>
      </c>
      <c r="H149" s="64" t="s">
        <v>81</v>
      </c>
      <c r="I149" s="65">
        <v>90</v>
      </c>
      <c r="K149" s="40">
        <f>AE109*3+AF109*6+AK109*3+AL109*6+(SUM(AK96:AK97,AK99))*6+AK98*3</f>
        <v>4392</v>
      </c>
    </row>
    <row r="150" spans="1:11" ht="25.5" hidden="1" x14ac:dyDescent="0.2">
      <c r="G150" s="64" t="s">
        <v>465</v>
      </c>
      <c r="H150" s="64" t="s">
        <v>82</v>
      </c>
      <c r="I150" s="65">
        <v>75</v>
      </c>
      <c r="K150" s="40">
        <f>AQ109*3+AW109*3+AR109*5+AX109*5</f>
        <v>3442</v>
      </c>
    </row>
    <row r="151" spans="1:11" ht="25.5" hidden="1" x14ac:dyDescent="0.2">
      <c r="G151" s="64" t="s">
        <v>465</v>
      </c>
      <c r="H151" s="64" t="s">
        <v>83</v>
      </c>
      <c r="I151" s="65">
        <v>75</v>
      </c>
      <c r="K151" s="40">
        <f>BC109*3+BI109*3+BD109*5+BJ109*5</f>
        <v>2489</v>
      </c>
    </row>
    <row r="152" spans="1:11" ht="25.5" hidden="1" x14ac:dyDescent="0.2">
      <c r="G152" s="64" t="s">
        <v>465</v>
      </c>
      <c r="H152" s="64" t="s">
        <v>84</v>
      </c>
      <c r="I152" s="65">
        <v>60</v>
      </c>
      <c r="K152" s="40">
        <f>BO109*3+BP109*5+BU109*3+BV109*5</f>
        <v>3131</v>
      </c>
    </row>
    <row r="153" spans="1:11" hidden="1" x14ac:dyDescent="0.2"/>
    <row r="154" spans="1:11" hidden="1" x14ac:dyDescent="0.2">
      <c r="B154" s="185" t="s">
        <v>466</v>
      </c>
      <c r="K154" s="40">
        <f>SUM(K148:K152)</f>
        <v>18284</v>
      </c>
    </row>
    <row r="155" spans="1:11" hidden="1" x14ac:dyDescent="0.2"/>
    <row r="156" spans="1:11" hidden="1" x14ac:dyDescent="0.2">
      <c r="B156" s="183" t="s">
        <v>467</v>
      </c>
      <c r="K156" s="186">
        <f>K154/720</f>
        <v>25.393999999999998</v>
      </c>
    </row>
    <row r="157" spans="1:11" hidden="1" x14ac:dyDescent="0.2">
      <c r="B157" s="183" t="s">
        <v>468</v>
      </c>
      <c r="I157" s="65">
        <f>SUM(I148:I152)</f>
        <v>390</v>
      </c>
    </row>
    <row r="158" spans="1:11" hidden="1" x14ac:dyDescent="0.2"/>
    <row r="159" spans="1:11" hidden="1" x14ac:dyDescent="0.2">
      <c r="B159" s="183" t="s">
        <v>469</v>
      </c>
      <c r="I159" s="186">
        <f>I157/K156</f>
        <v>15.358000000000001</v>
      </c>
    </row>
    <row r="161" spans="1:79" ht="38.25" hidden="1" customHeight="1" x14ac:dyDescent="0.2">
      <c r="A161" s="188"/>
      <c r="B161" s="189" t="s">
        <v>473</v>
      </c>
      <c r="C161" s="189"/>
      <c r="D161" s="190">
        <f>SUM(S161:BL161)</f>
        <v>345</v>
      </c>
      <c r="K161" s="188"/>
      <c r="L161" s="188"/>
      <c r="M161" s="188"/>
      <c r="N161" s="188"/>
      <c r="O161" s="188"/>
      <c r="P161" s="188"/>
      <c r="Q161" s="188"/>
      <c r="R161" s="188"/>
      <c r="S161" s="65">
        <v>90</v>
      </c>
      <c r="T161" s="188"/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65">
        <v>90</v>
      </c>
      <c r="AF161" s="188"/>
      <c r="AG161" s="188"/>
      <c r="AH161" s="188"/>
      <c r="AI161" s="188"/>
      <c r="AJ161" s="188"/>
      <c r="AK161" s="188"/>
      <c r="AL161" s="188"/>
      <c r="AM161" s="188"/>
      <c r="AN161" s="188"/>
      <c r="AO161" s="188"/>
      <c r="AP161" s="188"/>
      <c r="AQ161" s="65">
        <v>85</v>
      </c>
      <c r="AR161" s="188"/>
      <c r="AS161" s="188"/>
      <c r="AT161" s="188"/>
      <c r="AU161" s="188"/>
      <c r="AV161" s="188"/>
      <c r="AW161" s="188"/>
      <c r="AX161" s="188"/>
      <c r="AY161" s="188"/>
      <c r="AZ161" s="192"/>
      <c r="BA161" s="188"/>
      <c r="BB161" s="188"/>
      <c r="BC161" s="65">
        <v>80</v>
      </c>
      <c r="BD161" s="188"/>
      <c r="BE161" s="188"/>
      <c r="BF161" s="188"/>
      <c r="BG161" s="188"/>
      <c r="BH161" s="188"/>
      <c r="BI161" s="188"/>
      <c r="BJ161" s="188"/>
      <c r="BK161" s="188"/>
      <c r="BL161" s="188"/>
      <c r="BM161" s="188"/>
      <c r="BN161" s="188"/>
      <c r="BO161" s="188">
        <v>70</v>
      </c>
      <c r="BP161" s="188"/>
      <c r="BQ161" s="188"/>
      <c r="BR161" s="188"/>
      <c r="BS161" s="44"/>
      <c r="BT161" s="41"/>
      <c r="BU161" s="41"/>
      <c r="BV161" s="41"/>
      <c r="BW161" s="41"/>
      <c r="BX161" s="41"/>
      <c r="BY161" s="41"/>
      <c r="BZ161" s="41"/>
      <c r="CA161" s="41"/>
    </row>
    <row r="162" spans="1:79" hidden="1" x14ac:dyDescent="0.2">
      <c r="A162" s="188"/>
      <c r="B162" s="188"/>
      <c r="C162" s="188"/>
      <c r="K162" s="188"/>
      <c r="L162" s="188"/>
      <c r="M162" s="188"/>
      <c r="N162" s="188"/>
      <c r="O162" s="188"/>
      <c r="P162" s="188"/>
      <c r="Q162" s="188"/>
      <c r="R162" s="188"/>
      <c r="S162" s="191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91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8"/>
      <c r="AQ162" s="191"/>
      <c r="AR162" s="188"/>
      <c r="AS162" s="188"/>
      <c r="AT162" s="188"/>
      <c r="AU162" s="188"/>
      <c r="AV162" s="188"/>
      <c r="AW162" s="188"/>
      <c r="AX162" s="188"/>
      <c r="AY162" s="188"/>
      <c r="AZ162" s="192"/>
      <c r="BA162" s="188"/>
      <c r="BB162" s="188"/>
      <c r="BC162" s="191"/>
      <c r="BD162" s="188"/>
      <c r="BE162" s="188"/>
      <c r="BF162" s="188"/>
      <c r="BG162" s="188"/>
      <c r="BH162" s="188"/>
      <c r="BI162" s="188"/>
      <c r="BJ162" s="188"/>
      <c r="BK162" s="188"/>
      <c r="BL162" s="188"/>
      <c r="BM162" s="188"/>
      <c r="BN162" s="188"/>
      <c r="BO162" s="188"/>
      <c r="BP162" s="188"/>
      <c r="BQ162" s="188"/>
      <c r="BR162" s="188"/>
      <c r="BS162" s="44"/>
      <c r="BT162" s="41"/>
      <c r="BU162" s="41"/>
      <c r="BV162" s="41"/>
      <c r="BW162" s="41"/>
      <c r="BX162" s="41"/>
      <c r="BY162" s="41"/>
      <c r="BZ162" s="41"/>
      <c r="CA162" s="41"/>
    </row>
    <row r="163" spans="1:79" hidden="1" x14ac:dyDescent="0.2">
      <c r="A163" s="188"/>
      <c r="B163" s="188"/>
      <c r="C163" s="188"/>
      <c r="K163" s="188"/>
      <c r="L163" s="188"/>
      <c r="M163" s="188"/>
      <c r="N163" s="188"/>
      <c r="O163" s="188"/>
      <c r="P163" s="188"/>
      <c r="Q163" s="188"/>
      <c r="R163" s="188"/>
      <c r="S163" s="191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91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8"/>
      <c r="AQ163" s="191"/>
      <c r="AR163" s="188"/>
      <c r="AS163" s="188"/>
      <c r="AT163" s="188"/>
      <c r="AU163" s="188"/>
      <c r="AV163" s="188"/>
      <c r="AW163" s="188"/>
      <c r="AX163" s="188"/>
      <c r="AY163" s="188"/>
      <c r="AZ163" s="192"/>
      <c r="BA163" s="188"/>
      <c r="BB163" s="188"/>
      <c r="BC163" s="191"/>
      <c r="BD163" s="188"/>
      <c r="BE163" s="188"/>
      <c r="BF163" s="188"/>
      <c r="BG163" s="188"/>
      <c r="BH163" s="188"/>
      <c r="BI163" s="188"/>
      <c r="BJ163" s="188"/>
      <c r="BK163" s="188"/>
      <c r="BL163" s="188"/>
      <c r="BM163" s="188"/>
      <c r="BN163" s="188"/>
      <c r="BO163" s="188"/>
      <c r="BP163" s="188"/>
      <c r="BQ163" s="188"/>
      <c r="BR163" s="188"/>
      <c r="BS163" s="44"/>
      <c r="BT163" s="41"/>
      <c r="BU163" s="41"/>
      <c r="BV163" s="41"/>
      <c r="BW163" s="41"/>
      <c r="BX163" s="41"/>
      <c r="BY163" s="41"/>
      <c r="BZ163" s="41"/>
      <c r="CA163" s="41"/>
    </row>
    <row r="164" spans="1:79" hidden="1" x14ac:dyDescent="0.2">
      <c r="A164" s="188"/>
      <c r="B164" s="188"/>
      <c r="C164" s="188"/>
      <c r="K164" s="188"/>
      <c r="L164" s="188"/>
      <c r="M164" s="188"/>
      <c r="N164" s="188"/>
      <c r="O164" s="188"/>
      <c r="P164" s="188"/>
      <c r="Q164" s="188"/>
      <c r="R164" s="188"/>
      <c r="S164" s="191"/>
      <c r="T164" s="188"/>
      <c r="U164" s="188"/>
      <c r="V164" s="188"/>
      <c r="W164" s="188"/>
      <c r="X164" s="188"/>
      <c r="Y164" s="188"/>
      <c r="Z164" s="188"/>
      <c r="AA164" s="188"/>
      <c r="AB164" s="188"/>
      <c r="AC164" s="188"/>
      <c r="AD164" s="188"/>
      <c r="AE164" s="191"/>
      <c r="AF164" s="188"/>
      <c r="AG164" s="188"/>
      <c r="AH164" s="188"/>
      <c r="AI164" s="188"/>
      <c r="AJ164" s="188"/>
      <c r="AK164" s="188"/>
      <c r="AL164" s="188"/>
      <c r="AM164" s="188"/>
      <c r="AN164" s="188"/>
      <c r="AO164" s="188"/>
      <c r="AP164" s="188"/>
      <c r="AQ164" s="191"/>
      <c r="AR164" s="188"/>
      <c r="AS164" s="188"/>
      <c r="AT164" s="188"/>
      <c r="AU164" s="188"/>
      <c r="AV164" s="188"/>
      <c r="AW164" s="188"/>
      <c r="AX164" s="188"/>
      <c r="AY164" s="188"/>
      <c r="AZ164" s="192"/>
      <c r="BA164" s="188"/>
      <c r="BB164" s="188"/>
      <c r="BC164" s="191"/>
      <c r="BD164" s="188"/>
      <c r="BE164" s="188"/>
      <c r="BF164" s="188"/>
      <c r="BG164" s="188"/>
      <c r="BH164" s="188"/>
      <c r="BI164" s="188"/>
      <c r="BJ164" s="188"/>
      <c r="BK164" s="188"/>
      <c r="BL164" s="188"/>
      <c r="BM164" s="188"/>
      <c r="BN164" s="188"/>
      <c r="BO164" s="188"/>
      <c r="BP164" s="188"/>
      <c r="BQ164" s="188"/>
      <c r="BR164" s="188"/>
      <c r="BS164" s="44"/>
      <c r="BT164" s="41"/>
      <c r="BU164" s="41"/>
      <c r="BV164" s="41"/>
      <c r="BW164" s="41"/>
      <c r="BX164" s="41"/>
      <c r="BY164" s="41"/>
      <c r="BZ164" s="41"/>
      <c r="CA164" s="41"/>
    </row>
    <row r="165" spans="1:79" ht="15.75" hidden="1" x14ac:dyDescent="0.2">
      <c r="A165" s="188"/>
      <c r="B165" s="193" t="s">
        <v>474</v>
      </c>
      <c r="C165" s="188"/>
      <c r="K165" s="188"/>
      <c r="L165" s="188"/>
      <c r="M165" s="188"/>
      <c r="N165" s="188"/>
      <c r="O165" s="188"/>
      <c r="P165" s="188"/>
      <c r="Q165" s="188"/>
      <c r="R165" s="188"/>
      <c r="S165" s="191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91"/>
      <c r="AF165" s="188"/>
      <c r="AG165" s="188"/>
      <c r="AH165" s="188"/>
      <c r="AI165" s="188"/>
      <c r="AJ165" s="188"/>
      <c r="AK165" s="188"/>
      <c r="AL165" s="188"/>
      <c r="AM165" s="188"/>
      <c r="AN165" s="188"/>
      <c r="AO165" s="188"/>
      <c r="AP165" s="188"/>
      <c r="AQ165" s="191"/>
      <c r="AR165" s="188"/>
      <c r="AS165" s="188"/>
      <c r="AT165" s="194"/>
      <c r="AU165" s="188"/>
      <c r="AV165" s="188"/>
      <c r="AW165" s="188"/>
      <c r="AX165" s="188"/>
      <c r="AY165" s="188"/>
      <c r="AZ165" s="195"/>
      <c r="BA165" s="188"/>
      <c r="BB165" s="188"/>
      <c r="BC165" s="191"/>
      <c r="BD165" s="194"/>
      <c r="BE165" s="188"/>
      <c r="BF165" s="188"/>
      <c r="BG165" s="188"/>
      <c r="BH165" s="188"/>
      <c r="BI165" s="188"/>
      <c r="BJ165" s="188"/>
      <c r="BK165" s="188"/>
      <c r="BL165" s="188"/>
      <c r="BM165" s="188"/>
      <c r="BN165" s="188"/>
      <c r="BO165" s="188"/>
      <c r="BP165" s="188"/>
      <c r="BQ165" s="188"/>
      <c r="BR165" s="188"/>
      <c r="BS165" s="44"/>
      <c r="BT165" s="41"/>
      <c r="BU165" s="41"/>
      <c r="BV165" s="41"/>
      <c r="BW165" s="41"/>
      <c r="BX165" s="41"/>
      <c r="BY165" s="41"/>
      <c r="BZ165" s="41"/>
      <c r="CA165" s="41"/>
    </row>
    <row r="166" spans="1:79" ht="15.75" hidden="1" x14ac:dyDescent="0.2">
      <c r="A166" s="188"/>
      <c r="B166" s="193" t="s">
        <v>475</v>
      </c>
      <c r="C166" s="188"/>
      <c r="K166" s="188"/>
      <c r="L166" s="188"/>
      <c r="M166" s="188"/>
      <c r="N166" s="188"/>
      <c r="O166" s="188"/>
      <c r="P166" s="188"/>
      <c r="Q166" s="188"/>
      <c r="R166" s="188"/>
      <c r="S166" s="191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91"/>
      <c r="AF166" s="188"/>
      <c r="AG166" s="188"/>
      <c r="AH166" s="188"/>
      <c r="AI166" s="188"/>
      <c r="AJ166" s="188"/>
      <c r="AK166" s="188"/>
      <c r="AL166" s="188"/>
      <c r="AM166" s="188"/>
      <c r="AN166" s="188"/>
      <c r="AO166" s="188"/>
      <c r="AP166" s="188"/>
      <c r="AQ166" s="191"/>
      <c r="AR166" s="188"/>
      <c r="AS166" s="188"/>
      <c r="AT166" s="194"/>
      <c r="AU166" s="188"/>
      <c r="AV166" s="188"/>
      <c r="AW166" s="188"/>
      <c r="AX166" s="188"/>
      <c r="AY166" s="188"/>
      <c r="AZ166" s="195"/>
      <c r="BA166" s="188"/>
      <c r="BB166" s="188"/>
      <c r="BC166" s="191"/>
      <c r="BD166" s="194"/>
      <c r="BE166" s="188"/>
      <c r="BF166" s="188"/>
      <c r="BG166" s="188"/>
      <c r="BH166" s="188"/>
      <c r="BI166" s="188"/>
      <c r="BJ166" s="188"/>
      <c r="BK166" s="188"/>
      <c r="BL166" s="188"/>
      <c r="BM166" s="188"/>
      <c r="BN166" s="188"/>
      <c r="BO166" s="188"/>
      <c r="BP166" s="188"/>
      <c r="BQ166" s="188"/>
      <c r="BR166" s="188"/>
      <c r="BS166" s="44"/>
      <c r="BT166" s="41"/>
      <c r="BU166" s="41"/>
      <c r="BV166" s="41"/>
      <c r="BW166" s="41"/>
      <c r="BX166" s="41"/>
      <c r="BY166" s="41"/>
      <c r="BZ166" s="41"/>
      <c r="CA166" s="41"/>
    </row>
    <row r="167" spans="1:79" ht="15.75" hidden="1" x14ac:dyDescent="0.2">
      <c r="A167" s="188"/>
      <c r="B167" s="193" t="s">
        <v>476</v>
      </c>
      <c r="C167" s="188"/>
      <c r="K167" s="188"/>
      <c r="L167" s="188"/>
      <c r="M167" s="188"/>
      <c r="N167" s="188"/>
      <c r="O167" s="188"/>
      <c r="P167" s="188"/>
      <c r="Q167" s="188"/>
      <c r="R167" s="188"/>
      <c r="S167" s="191"/>
      <c r="T167" s="188"/>
      <c r="U167" s="188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91"/>
      <c r="AF167" s="188"/>
      <c r="AG167" s="188"/>
      <c r="AH167" s="188"/>
      <c r="AI167" s="188"/>
      <c r="AJ167" s="188"/>
      <c r="AK167" s="188"/>
      <c r="AL167" s="188"/>
      <c r="AM167" s="188"/>
      <c r="AN167" s="188"/>
      <c r="AO167" s="188"/>
      <c r="AP167" s="188"/>
      <c r="AQ167" s="191"/>
      <c r="AR167" s="188"/>
      <c r="AS167" s="188"/>
      <c r="AT167" s="194"/>
      <c r="AU167" s="188"/>
      <c r="AV167" s="188"/>
      <c r="AW167" s="188"/>
      <c r="AX167" s="188"/>
      <c r="AY167" s="188"/>
      <c r="AZ167" s="196"/>
      <c r="BA167" s="188"/>
      <c r="BB167" s="188"/>
      <c r="BC167" s="191"/>
      <c r="BD167" s="194"/>
      <c r="BE167" s="188"/>
      <c r="BF167" s="188"/>
      <c r="BG167" s="188"/>
      <c r="BH167" s="188"/>
      <c r="BI167" s="188"/>
      <c r="BJ167" s="188"/>
      <c r="BK167" s="188"/>
      <c r="BL167" s="188"/>
      <c r="BM167" s="188"/>
      <c r="BN167" s="188"/>
      <c r="BO167" s="188"/>
      <c r="BP167" s="188"/>
      <c r="BQ167" s="188"/>
      <c r="BR167" s="188"/>
      <c r="BS167" s="44"/>
      <c r="BT167" s="41"/>
      <c r="BU167" s="41"/>
      <c r="BV167" s="41"/>
      <c r="BW167" s="41"/>
      <c r="BX167" s="41"/>
      <c r="BY167" s="41"/>
      <c r="BZ167" s="41"/>
      <c r="CA167" s="41"/>
    </row>
    <row r="168" spans="1:79" ht="15.75" hidden="1" x14ac:dyDescent="0.2">
      <c r="A168" s="188"/>
      <c r="B168" s="188"/>
      <c r="C168" s="188"/>
      <c r="K168" s="188"/>
      <c r="L168" s="188"/>
      <c r="M168" s="188"/>
      <c r="N168" s="188"/>
      <c r="O168" s="188"/>
      <c r="P168" s="188"/>
      <c r="Q168" s="188"/>
      <c r="R168" s="188"/>
      <c r="S168" s="191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8"/>
      <c r="AT168" s="194"/>
      <c r="AU168" s="188"/>
      <c r="AV168" s="188"/>
      <c r="AW168" s="188"/>
      <c r="AX168" s="188"/>
      <c r="AY168" s="188"/>
      <c r="AZ168" s="194"/>
      <c r="BA168" s="188"/>
      <c r="BB168" s="188"/>
      <c r="BC168" s="188"/>
      <c r="BD168" s="194"/>
      <c r="BE168" s="188"/>
      <c r="BF168" s="188"/>
      <c r="BG168" s="188"/>
      <c r="BH168" s="188"/>
      <c r="BI168" s="188"/>
      <c r="BJ168" s="188"/>
      <c r="BK168" s="188"/>
      <c r="BL168" s="188"/>
      <c r="BM168" s="188"/>
      <c r="BN168" s="188"/>
      <c r="BO168" s="188"/>
      <c r="BP168" s="188"/>
      <c r="BQ168" s="188"/>
      <c r="BR168" s="188"/>
      <c r="BS168" s="44"/>
      <c r="BT168" s="41"/>
      <c r="BU168" s="41"/>
      <c r="BV168" s="41"/>
      <c r="BW168" s="41"/>
      <c r="BX168" s="41"/>
      <c r="BY168" s="41"/>
      <c r="BZ168" s="41"/>
      <c r="CA168" s="41"/>
    </row>
    <row r="169" spans="1:79" ht="15.75" hidden="1" x14ac:dyDescent="0.2">
      <c r="A169" s="188"/>
      <c r="B169" s="188"/>
      <c r="C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94"/>
      <c r="AU169" s="188"/>
      <c r="AV169" s="188"/>
      <c r="AW169" s="188"/>
      <c r="AX169" s="188"/>
      <c r="AY169" s="188"/>
      <c r="AZ169" s="194"/>
      <c r="BA169" s="188"/>
      <c r="BB169" s="188"/>
      <c r="BC169" s="188"/>
      <c r="BD169" s="194"/>
      <c r="BE169" s="188"/>
      <c r="BF169" s="188"/>
      <c r="BG169" s="188"/>
      <c r="BH169" s="188"/>
      <c r="BI169" s="188"/>
      <c r="BJ169" s="188"/>
      <c r="BK169" s="188"/>
      <c r="BL169" s="188"/>
      <c r="BM169" s="188"/>
      <c r="BN169" s="188"/>
      <c r="BO169" s="188"/>
      <c r="BP169" s="188"/>
      <c r="BQ169" s="188"/>
      <c r="BR169" s="188"/>
      <c r="BS169" s="44"/>
      <c r="BT169" s="41"/>
      <c r="BU169" s="41"/>
      <c r="BV169" s="41"/>
      <c r="BW169" s="41"/>
      <c r="BX169" s="41"/>
      <c r="BY169" s="41"/>
      <c r="BZ169" s="41"/>
      <c r="CA169" s="41"/>
    </row>
    <row r="170" spans="1:79" hidden="1" x14ac:dyDescent="0.2">
      <c r="A170" s="188"/>
      <c r="B170" s="188"/>
      <c r="C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  <c r="AP170" s="188"/>
      <c r="AQ170" s="188"/>
      <c r="AR170" s="188"/>
      <c r="AS170" s="188"/>
      <c r="AT170" s="188"/>
      <c r="AU170" s="188"/>
      <c r="AV170" s="188"/>
      <c r="AW170" s="188"/>
      <c r="AX170" s="188"/>
      <c r="AY170" s="188"/>
      <c r="AZ170" s="188"/>
      <c r="BA170" s="188"/>
      <c r="BB170" s="188"/>
      <c r="BC170" s="188"/>
      <c r="BD170" s="188"/>
      <c r="BE170" s="188"/>
      <c r="BF170" s="188"/>
      <c r="BG170" s="188"/>
      <c r="BH170" s="188"/>
      <c r="BI170" s="188"/>
      <c r="BJ170" s="188"/>
      <c r="BK170" s="188"/>
      <c r="BL170" s="188"/>
      <c r="BM170" s="188"/>
      <c r="BN170" s="188"/>
      <c r="BO170" s="188"/>
      <c r="BP170" s="188"/>
      <c r="BQ170" s="188"/>
      <c r="BR170" s="188"/>
      <c r="BS170" s="44"/>
      <c r="BT170" s="41"/>
      <c r="BU170" s="41"/>
      <c r="BV170" s="41"/>
      <c r="BW170" s="41"/>
      <c r="BX170" s="41"/>
      <c r="BY170" s="41"/>
      <c r="BZ170" s="41"/>
      <c r="CA170" s="41"/>
    </row>
    <row r="171" spans="1:79" hidden="1" x14ac:dyDescent="0.2">
      <c r="A171" s="188"/>
      <c r="B171" s="188"/>
      <c r="C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8"/>
      <c r="AV171" s="188"/>
      <c r="AW171" s="188"/>
      <c r="AX171" s="188"/>
      <c r="AY171" s="188"/>
      <c r="AZ171" s="188"/>
      <c r="BA171" s="188"/>
      <c r="BB171" s="188"/>
      <c r="BC171" s="188"/>
      <c r="BD171" s="188"/>
      <c r="BE171" s="188"/>
      <c r="BF171" s="188"/>
      <c r="BG171" s="188"/>
      <c r="BH171" s="188"/>
      <c r="BI171" s="188"/>
      <c r="BJ171" s="188"/>
      <c r="BK171" s="188"/>
      <c r="BL171" s="188"/>
      <c r="BM171" s="188"/>
      <c r="BN171" s="188"/>
      <c r="BO171" s="188"/>
      <c r="BP171" s="188"/>
      <c r="BQ171" s="188"/>
      <c r="BR171" s="188"/>
      <c r="BS171" s="44"/>
      <c r="BT171" s="41"/>
      <c r="BU171" s="41"/>
      <c r="BV171" s="41"/>
      <c r="BW171" s="41"/>
      <c r="BX171" s="41"/>
      <c r="BY171" s="41"/>
      <c r="BZ171" s="41"/>
      <c r="CA171" s="41"/>
    </row>
    <row r="172" spans="1:79" hidden="1" x14ac:dyDescent="0.2">
      <c r="A172" s="188"/>
      <c r="B172" s="189" t="s">
        <v>477</v>
      </c>
      <c r="C172" s="189"/>
      <c r="D172" s="197">
        <f>SUM(R165:BL165)</f>
        <v>0</v>
      </c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8"/>
      <c r="AT172" s="188"/>
      <c r="AU172" s="188"/>
      <c r="AV172" s="188"/>
      <c r="AW172" s="188"/>
      <c r="AX172" s="188"/>
      <c r="AY172" s="188"/>
      <c r="AZ172" s="188"/>
      <c r="BA172" s="188"/>
      <c r="BB172" s="188"/>
      <c r="BC172" s="188"/>
      <c r="BD172" s="188"/>
      <c r="BE172" s="188"/>
      <c r="BF172" s="188"/>
      <c r="BG172" s="188"/>
      <c r="BH172" s="188"/>
      <c r="BI172" s="188"/>
      <c r="BJ172" s="188"/>
      <c r="BK172" s="188"/>
      <c r="BL172" s="188"/>
      <c r="BM172" s="188"/>
      <c r="BN172" s="188"/>
      <c r="BO172" s="188"/>
      <c r="BP172" s="188"/>
      <c r="BQ172" s="188"/>
      <c r="BR172" s="188"/>
      <c r="BS172" s="44"/>
      <c r="BT172" s="41"/>
      <c r="BU172" s="41"/>
      <c r="BV172" s="41"/>
      <c r="BW172" s="41"/>
      <c r="BX172" s="41"/>
      <c r="BY172" s="41"/>
      <c r="BZ172" s="41"/>
      <c r="CA172" s="41"/>
    </row>
    <row r="173" spans="1:79" hidden="1" x14ac:dyDescent="0.2">
      <c r="A173" s="188"/>
      <c r="B173" s="189" t="s">
        <v>478</v>
      </c>
      <c r="C173" s="189"/>
      <c r="D173" s="197">
        <f>D172/720</f>
        <v>0</v>
      </c>
      <c r="E173" s="191">
        <f>SUM(R166:CA166,BM166)</f>
        <v>0</v>
      </c>
      <c r="F173" s="191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8"/>
      <c r="AV173" s="188"/>
      <c r="AW173" s="188"/>
      <c r="AX173" s="188"/>
      <c r="AY173" s="188"/>
      <c r="AZ173" s="188"/>
      <c r="BA173" s="188"/>
      <c r="BB173" s="188"/>
      <c r="BC173" s="188"/>
      <c r="BD173" s="188"/>
      <c r="BE173" s="188"/>
      <c r="BF173" s="188"/>
      <c r="BG173" s="188"/>
      <c r="BH173" s="188"/>
      <c r="BI173" s="188"/>
      <c r="BJ173" s="188"/>
      <c r="BK173" s="188"/>
      <c r="BL173" s="188"/>
      <c r="BM173" s="188"/>
      <c r="BN173" s="188"/>
      <c r="BO173" s="188"/>
      <c r="BP173" s="188"/>
      <c r="BQ173" s="188"/>
      <c r="BR173" s="188"/>
      <c r="BS173" s="44"/>
      <c r="BT173" s="41"/>
      <c r="BU173" s="41"/>
      <c r="BV173" s="41"/>
      <c r="BW173" s="41"/>
      <c r="BX173" s="41"/>
      <c r="BY173" s="41"/>
      <c r="BZ173" s="41"/>
      <c r="CA173" s="41"/>
    </row>
    <row r="174" spans="1:79" hidden="1" x14ac:dyDescent="0.2">
      <c r="A174" s="188"/>
      <c r="B174" s="189"/>
      <c r="C174" s="189"/>
      <c r="D174" s="19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188"/>
      <c r="AT174" s="188"/>
      <c r="AU174" s="188"/>
      <c r="AV174" s="188"/>
      <c r="AW174" s="188"/>
      <c r="AX174" s="188"/>
      <c r="AY174" s="188"/>
      <c r="AZ174" s="188"/>
      <c r="BA174" s="188"/>
      <c r="BB174" s="188"/>
      <c r="BC174" s="188"/>
      <c r="BD174" s="188"/>
      <c r="BE174" s="188"/>
      <c r="BF174" s="188"/>
      <c r="BG174" s="188"/>
      <c r="BH174" s="188"/>
      <c r="BI174" s="188"/>
      <c r="BJ174" s="188"/>
      <c r="BK174" s="188"/>
      <c r="BL174" s="188"/>
      <c r="BM174" s="188"/>
      <c r="BN174" s="188"/>
      <c r="BO174" s="188"/>
      <c r="BP174" s="188"/>
      <c r="BQ174" s="188"/>
      <c r="BR174" s="188"/>
      <c r="BS174" s="44"/>
      <c r="BT174" s="41"/>
      <c r="BU174" s="41"/>
      <c r="BV174" s="41"/>
      <c r="BW174" s="41"/>
      <c r="BX174" s="41"/>
      <c r="BY174" s="41"/>
      <c r="BZ174" s="41"/>
      <c r="CA174" s="41"/>
    </row>
    <row r="175" spans="1:79" hidden="1" x14ac:dyDescent="0.2">
      <c r="A175" s="188"/>
      <c r="B175" s="189" t="s">
        <v>476</v>
      </c>
      <c r="C175" s="189"/>
      <c r="D175" s="199" t="e">
        <f>D161/D173</f>
        <v>#DIV/0!</v>
      </c>
      <c r="E175" s="191" t="e">
        <f>D161/E173</f>
        <v>#DIV/0!</v>
      </c>
      <c r="F175" s="191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  <c r="AS175" s="188"/>
      <c r="AT175" s="188"/>
      <c r="AU175" s="188"/>
      <c r="AV175" s="188"/>
      <c r="AW175" s="188"/>
      <c r="AX175" s="188"/>
      <c r="AY175" s="188"/>
      <c r="AZ175" s="188"/>
      <c r="BA175" s="188"/>
      <c r="BB175" s="188"/>
      <c r="BC175" s="188"/>
      <c r="BD175" s="188"/>
      <c r="BE175" s="188"/>
      <c r="BF175" s="188"/>
      <c r="BG175" s="188"/>
      <c r="BH175" s="188"/>
      <c r="BI175" s="188"/>
      <c r="BJ175" s="188"/>
      <c r="BK175" s="188"/>
      <c r="BL175" s="188"/>
      <c r="BM175" s="188"/>
      <c r="BN175" s="188"/>
      <c r="BO175" s="188"/>
      <c r="BP175" s="188"/>
      <c r="BQ175" s="188"/>
      <c r="BR175" s="188"/>
      <c r="BS175" s="44"/>
      <c r="BT175" s="41"/>
      <c r="BU175" s="41"/>
      <c r="BV175" s="41"/>
      <c r="BW175" s="41"/>
      <c r="BX175" s="41"/>
      <c r="BY175" s="41"/>
      <c r="BZ175" s="41"/>
      <c r="CA175" s="41"/>
    </row>
    <row r="176" spans="1:79" hidden="1" x14ac:dyDescent="0.2"/>
    <row r="177" hidden="1" x14ac:dyDescent="0.2"/>
    <row r="178" hidden="1" x14ac:dyDescent="0.2"/>
  </sheetData>
  <sheetProtection password="CF70" sheet="1" objects="1" scenarios="1" selectLockedCells="1" sort="0" autoFilter="0" pivotTables="0" selectUnlockedCells="1"/>
  <autoFilter ref="A10:CA105"/>
  <dataConsolidate/>
  <mergeCells count="241">
    <mergeCell ref="B40:H40"/>
    <mergeCell ref="B48:H48"/>
    <mergeCell ref="B49:H49"/>
    <mergeCell ref="B50:H50"/>
    <mergeCell ref="B56:H56"/>
    <mergeCell ref="B63:H63"/>
    <mergeCell ref="B70:H70"/>
    <mergeCell ref="C124:D124"/>
    <mergeCell ref="T119:U119"/>
    <mergeCell ref="R119:S119"/>
    <mergeCell ref="E124:G124"/>
    <mergeCell ref="B120:J120"/>
    <mergeCell ref="K119:L119"/>
    <mergeCell ref="P119:Q119"/>
    <mergeCell ref="A124:B124"/>
    <mergeCell ref="B121:J121"/>
    <mergeCell ref="M119:O119"/>
    <mergeCell ref="B119:J119"/>
    <mergeCell ref="K121:Q121"/>
    <mergeCell ref="R121:W121"/>
    <mergeCell ref="R120:W120"/>
    <mergeCell ref="K120:Q120"/>
    <mergeCell ref="V119:W119"/>
    <mergeCell ref="A107:C107"/>
    <mergeCell ref="A1:CA1"/>
    <mergeCell ref="BZ3:BZ9"/>
    <mergeCell ref="A3:A9"/>
    <mergeCell ref="L4:Q4"/>
    <mergeCell ref="Q5:Q9"/>
    <mergeCell ref="CA3:CA9"/>
    <mergeCell ref="BN6:BO6"/>
    <mergeCell ref="BT5:BU5"/>
    <mergeCell ref="BT6:BU6"/>
    <mergeCell ref="N6:N9"/>
    <mergeCell ref="BN4:BY4"/>
    <mergeCell ref="K3:Q3"/>
    <mergeCell ref="O6:O9"/>
    <mergeCell ref="R6:S6"/>
    <mergeCell ref="T6:V6"/>
    <mergeCell ref="S3:BY3"/>
    <mergeCell ref="L5:L9"/>
    <mergeCell ref="B3:B9"/>
    <mergeCell ref="E5:E9"/>
    <mergeCell ref="M5:P5"/>
    <mergeCell ref="BN5:BO5"/>
    <mergeCell ref="BB5:BC5"/>
    <mergeCell ref="BH5:BI5"/>
    <mergeCell ref="BT7:BU7"/>
    <mergeCell ref="BV119:BW119"/>
    <mergeCell ref="BL119:BM119"/>
    <mergeCell ref="BN119:BO119"/>
    <mergeCell ref="BH117:BM117"/>
    <mergeCell ref="BN117:BS117"/>
    <mergeCell ref="BT119:BU119"/>
    <mergeCell ref="BT120:BY120"/>
    <mergeCell ref="BX119:BY119"/>
    <mergeCell ref="BB119:BC119"/>
    <mergeCell ref="BD119:BE119"/>
    <mergeCell ref="BF119:BG119"/>
    <mergeCell ref="BT117:BY117"/>
    <mergeCell ref="BT118:BU118"/>
    <mergeCell ref="BV118:BW118"/>
    <mergeCell ref="BX118:BY118"/>
    <mergeCell ref="BL118:BM118"/>
    <mergeCell ref="BN118:BO118"/>
    <mergeCell ref="BD118:BE118"/>
    <mergeCell ref="BF118:BG118"/>
    <mergeCell ref="BH121:BM121"/>
    <mergeCell ref="BR118:BS118"/>
    <mergeCell ref="BH115:BM115"/>
    <mergeCell ref="BB115:BG115"/>
    <mergeCell ref="BP118:BQ118"/>
    <mergeCell ref="BN115:BS115"/>
    <mergeCell ref="BP119:BQ119"/>
    <mergeCell ref="BH119:BI119"/>
    <mergeCell ref="BJ119:BK119"/>
    <mergeCell ref="BH118:BI118"/>
    <mergeCell ref="BJ118:BK118"/>
    <mergeCell ref="BR119:BS119"/>
    <mergeCell ref="BH116:BM116"/>
    <mergeCell ref="BN116:BS116"/>
    <mergeCell ref="AV121:BA121"/>
    <mergeCell ref="AP121:AU121"/>
    <mergeCell ref="X121:AC121"/>
    <mergeCell ref="AD121:AI121"/>
    <mergeCell ref="AJ121:AO121"/>
    <mergeCell ref="M118:O118"/>
    <mergeCell ref="P118:Q118"/>
    <mergeCell ref="AX118:AY118"/>
    <mergeCell ref="X118:Y118"/>
    <mergeCell ref="Z118:AA118"/>
    <mergeCell ref="AJ120:AO120"/>
    <mergeCell ref="AP120:AU120"/>
    <mergeCell ref="AZ118:BA118"/>
    <mergeCell ref="AN118:AO118"/>
    <mergeCell ref="BT121:BY121"/>
    <mergeCell ref="BN121:BS121"/>
    <mergeCell ref="BB121:BG121"/>
    <mergeCell ref="BH120:BM120"/>
    <mergeCell ref="BN120:BS120"/>
    <mergeCell ref="AL119:AM119"/>
    <mergeCell ref="AJ118:AK118"/>
    <mergeCell ref="Z119:AA119"/>
    <mergeCell ref="AB119:AC119"/>
    <mergeCell ref="AN119:AO119"/>
    <mergeCell ref="AJ119:AK119"/>
    <mergeCell ref="AR118:AS118"/>
    <mergeCell ref="AB118:AC118"/>
    <mergeCell ref="AT118:AU118"/>
    <mergeCell ref="BB120:BG120"/>
    <mergeCell ref="AV120:BA120"/>
    <mergeCell ref="AD118:AE118"/>
    <mergeCell ref="X120:AC120"/>
    <mergeCell ref="AH118:AI118"/>
    <mergeCell ref="AF118:AG118"/>
    <mergeCell ref="AD120:AI120"/>
    <mergeCell ref="AD119:AE119"/>
    <mergeCell ref="AF119:AG119"/>
    <mergeCell ref="X119:Y119"/>
    <mergeCell ref="BB4:BM4"/>
    <mergeCell ref="BH6:BI6"/>
    <mergeCell ref="AV5:AW5"/>
    <mergeCell ref="AV6:AW6"/>
    <mergeCell ref="AJ6:AK6"/>
    <mergeCell ref="AJ5:AK5"/>
    <mergeCell ref="AD4:AO4"/>
    <mergeCell ref="X5:Y5"/>
    <mergeCell ref="BB6:BC6"/>
    <mergeCell ref="AD6:AE6"/>
    <mergeCell ref="AP5:AQ5"/>
    <mergeCell ref="AP6:AQ6"/>
    <mergeCell ref="AD5:AE5"/>
    <mergeCell ref="X6:Y6"/>
    <mergeCell ref="B106:Q106"/>
    <mergeCell ref="B111:H111"/>
    <mergeCell ref="C3:C9"/>
    <mergeCell ref="G5:G9"/>
    <mergeCell ref="D3:H4"/>
    <mergeCell ref="D5:D9"/>
    <mergeCell ref="B109:H109"/>
    <mergeCell ref="B75:H75"/>
    <mergeCell ref="B76:H76"/>
    <mergeCell ref="B81:H81"/>
    <mergeCell ref="B86:H86"/>
    <mergeCell ref="B89:H89"/>
    <mergeCell ref="A108:C108"/>
    <mergeCell ref="B110:H110"/>
    <mergeCell ref="H5:H9"/>
    <mergeCell ref="B12:H12"/>
    <mergeCell ref="B28:H28"/>
    <mergeCell ref="B29:H29"/>
    <mergeCell ref="B11:H11"/>
    <mergeCell ref="B92:H92"/>
    <mergeCell ref="B103:H103"/>
    <mergeCell ref="B35:H35"/>
    <mergeCell ref="B39:H39"/>
    <mergeCell ref="B24:H24"/>
    <mergeCell ref="R114:W114"/>
    <mergeCell ref="BB114:BG114"/>
    <mergeCell ref="B118:J118"/>
    <mergeCell ref="K117:Q117"/>
    <mergeCell ref="BB117:BG117"/>
    <mergeCell ref="X117:AC117"/>
    <mergeCell ref="BB116:BG116"/>
    <mergeCell ref="AD117:AI117"/>
    <mergeCell ref="BB118:BC118"/>
    <mergeCell ref="R117:W117"/>
    <mergeCell ref="B116:J116"/>
    <mergeCell ref="K118:L118"/>
    <mergeCell ref="B113:H113"/>
    <mergeCell ref="B115:J115"/>
    <mergeCell ref="B114:J114"/>
    <mergeCell ref="BT114:BY114"/>
    <mergeCell ref="K116:Q116"/>
    <mergeCell ref="AJ116:AO116"/>
    <mergeCell ref="AV116:BA116"/>
    <mergeCell ref="X116:AC116"/>
    <mergeCell ref="AJ115:AO115"/>
    <mergeCell ref="X115:AC115"/>
    <mergeCell ref="AJ114:AO114"/>
    <mergeCell ref="K115:Q115"/>
    <mergeCell ref="AD116:AI116"/>
    <mergeCell ref="BN114:BS114"/>
    <mergeCell ref="BH114:BM114"/>
    <mergeCell ref="K114:Q114"/>
    <mergeCell ref="R115:W115"/>
    <mergeCell ref="X114:AC114"/>
    <mergeCell ref="R116:W116"/>
    <mergeCell ref="AP116:AU116"/>
    <mergeCell ref="AP115:AU115"/>
    <mergeCell ref="BT116:BY116"/>
    <mergeCell ref="BT115:BY115"/>
    <mergeCell ref="AD115:AI115"/>
    <mergeCell ref="X7:Y7"/>
    <mergeCell ref="X8:Z8"/>
    <mergeCell ref="B112:H112"/>
    <mergeCell ref="AH119:AI119"/>
    <mergeCell ref="AP118:AQ118"/>
    <mergeCell ref="AT119:AU119"/>
    <mergeCell ref="AZ119:BA119"/>
    <mergeCell ref="AV118:AW118"/>
    <mergeCell ref="AP117:AU117"/>
    <mergeCell ref="AV115:BA115"/>
    <mergeCell ref="AD114:AI114"/>
    <mergeCell ref="AP114:AU114"/>
    <mergeCell ref="AV114:BA114"/>
    <mergeCell ref="AL118:AM118"/>
    <mergeCell ref="AP119:AQ119"/>
    <mergeCell ref="AR119:AS119"/>
    <mergeCell ref="AV119:AW119"/>
    <mergeCell ref="AX119:AY119"/>
    <mergeCell ref="AJ117:AO117"/>
    <mergeCell ref="AV117:BA117"/>
    <mergeCell ref="B117:J117"/>
    <mergeCell ref="R118:S118"/>
    <mergeCell ref="T118:U118"/>
    <mergeCell ref="V118:W118"/>
    <mergeCell ref="I3:J8"/>
    <mergeCell ref="M6:M9"/>
    <mergeCell ref="P6:P9"/>
    <mergeCell ref="K4:K9"/>
    <mergeCell ref="R4:AC4"/>
    <mergeCell ref="AP4:BA4"/>
    <mergeCell ref="R5:S5"/>
    <mergeCell ref="BT8:BV8"/>
    <mergeCell ref="BN7:BO7"/>
    <mergeCell ref="BN8:BP8"/>
    <mergeCell ref="BH7:BI7"/>
    <mergeCell ref="BH8:BJ8"/>
    <mergeCell ref="BB7:BC7"/>
    <mergeCell ref="BB8:BD8"/>
    <mergeCell ref="R7:S7"/>
    <mergeCell ref="R8:T8"/>
    <mergeCell ref="AV7:AW7"/>
    <mergeCell ref="AV8:AX8"/>
    <mergeCell ref="AP7:AQ7"/>
    <mergeCell ref="AP8:AR8"/>
    <mergeCell ref="AJ7:AK7"/>
    <mergeCell ref="AJ8:AL8"/>
    <mergeCell ref="AD7:AE7"/>
    <mergeCell ref="AD8:AF8"/>
  </mergeCells>
  <phoneticPr fontId="0" type="noConversion"/>
  <conditionalFormatting sqref="BZ36:BZ38 BZ41:BZ47 BZ101:BZ102 BZ74 BZ88 BZ104 BZ83:BZ85 BZ30:BZ34 BZ96:BZ99 BZ51:BZ54 BZ57:BZ59 BZ90:BZ91 BZ77:BZ80">
    <cfRule type="expression" dxfId="317" priority="420" stopIfTrue="1">
      <formula>AND(K30&gt;0,BZ30=0)</formula>
    </cfRule>
    <cfRule type="expression" dxfId="316" priority="421" stopIfTrue="1">
      <formula>AND(K30=0,BZ30&lt;&gt;0)</formula>
    </cfRule>
  </conditionalFormatting>
  <conditionalFormatting sqref="BZ87">
    <cfRule type="expression" dxfId="315" priority="415" stopIfTrue="1">
      <formula>AND(K87&gt;0,BZ87=0)</formula>
    </cfRule>
    <cfRule type="expression" dxfId="314" priority="416" stopIfTrue="1">
      <formula>AND(K87=0,BZ87&lt;&gt;0)</formula>
    </cfRule>
  </conditionalFormatting>
  <conditionalFormatting sqref="BZ36:BZ38">
    <cfRule type="expression" dxfId="313" priority="403" stopIfTrue="1">
      <formula>AND(K36&gt;0,BZ36=0)</formula>
    </cfRule>
    <cfRule type="expression" dxfId="312" priority="404" stopIfTrue="1">
      <formula>AND(K36=0,BZ36&lt;&gt;0)</formula>
    </cfRule>
  </conditionalFormatting>
  <conditionalFormatting sqref="BZ41:BZ47">
    <cfRule type="expression" dxfId="311" priority="401" stopIfTrue="1">
      <formula>AND(K41&gt;0,BZ41=0)</formula>
    </cfRule>
    <cfRule type="expression" dxfId="310" priority="402" stopIfTrue="1">
      <formula>AND(K41=0,BZ41&lt;&gt;0)</formula>
    </cfRule>
  </conditionalFormatting>
  <conditionalFormatting sqref="BZ51:BZ54">
    <cfRule type="expression" dxfId="309" priority="399" stopIfTrue="1">
      <formula>AND(K51&gt;0,BZ51=0)</formula>
    </cfRule>
    <cfRule type="expression" dxfId="308" priority="400" stopIfTrue="1">
      <formula>AND(K51=0,BZ51&lt;&gt;0)</formula>
    </cfRule>
  </conditionalFormatting>
  <conditionalFormatting sqref="BZ55">
    <cfRule type="expression" dxfId="307" priority="397" stopIfTrue="1">
      <formula>AND(K55&gt;0,BZ55=0)</formula>
    </cfRule>
    <cfRule type="expression" dxfId="306" priority="398" stopIfTrue="1">
      <formula>AND(K55=0,BZ55&lt;&gt;0)</formula>
    </cfRule>
  </conditionalFormatting>
  <conditionalFormatting sqref="BZ57:BZ59">
    <cfRule type="expression" dxfId="305" priority="395" stopIfTrue="1">
      <formula>AND(K57&gt;0,BZ57=0)</formula>
    </cfRule>
    <cfRule type="expression" dxfId="304" priority="396" stopIfTrue="1">
      <formula>AND(K57=0,BZ57&lt;&gt;0)</formula>
    </cfRule>
  </conditionalFormatting>
  <conditionalFormatting sqref="BZ60:BZ61">
    <cfRule type="expression" dxfId="303" priority="393" stopIfTrue="1">
      <formula>AND(K60&gt;0,BZ60=0)</formula>
    </cfRule>
    <cfRule type="expression" dxfId="302" priority="394" stopIfTrue="1">
      <formula>AND(K60=0,BZ60&lt;&gt;0)</formula>
    </cfRule>
  </conditionalFormatting>
  <conditionalFormatting sqref="BZ62">
    <cfRule type="expression" dxfId="301" priority="391" stopIfTrue="1">
      <formula>AND(K62&gt;0,BZ62=0)</formula>
    </cfRule>
    <cfRule type="expression" dxfId="300" priority="392" stopIfTrue="1">
      <formula>AND(K62=0,BZ62&lt;&gt;0)</formula>
    </cfRule>
  </conditionalFormatting>
  <conditionalFormatting sqref="BZ68:BZ69">
    <cfRule type="expression" dxfId="299" priority="389" stopIfTrue="1">
      <formula>AND(K68&gt;0,BZ68=0)</formula>
    </cfRule>
    <cfRule type="expression" dxfId="298" priority="390" stopIfTrue="1">
      <formula>AND(K68=0,BZ68&lt;&gt;0)</formula>
    </cfRule>
  </conditionalFormatting>
  <conditionalFormatting sqref="BZ64">
    <cfRule type="expression" dxfId="297" priority="387" stopIfTrue="1">
      <formula>AND(K64&gt;0,BZ64=0)</formula>
    </cfRule>
    <cfRule type="expression" dxfId="296" priority="388" stopIfTrue="1">
      <formula>AND(K64=0,BZ64&lt;&gt;0)</formula>
    </cfRule>
  </conditionalFormatting>
  <conditionalFormatting sqref="BZ65">
    <cfRule type="expression" dxfId="295" priority="385" stopIfTrue="1">
      <formula>AND(K65&gt;0,BZ65=0)</formula>
    </cfRule>
    <cfRule type="expression" dxfId="294" priority="386" stopIfTrue="1">
      <formula>AND(K65=0,BZ65&lt;&gt;0)</formula>
    </cfRule>
  </conditionalFormatting>
  <conditionalFormatting sqref="BZ66">
    <cfRule type="expression" dxfId="293" priority="383" stopIfTrue="1">
      <formula>AND(K66&gt;0,BZ66=0)</formula>
    </cfRule>
    <cfRule type="expression" dxfId="292" priority="384" stopIfTrue="1">
      <formula>AND(K66=0,BZ66&lt;&gt;0)</formula>
    </cfRule>
  </conditionalFormatting>
  <conditionalFormatting sqref="BZ67">
    <cfRule type="expression" dxfId="291" priority="381" stopIfTrue="1">
      <formula>AND(K67&gt;0,BZ67=0)</formula>
    </cfRule>
    <cfRule type="expression" dxfId="290" priority="382" stopIfTrue="1">
      <formula>AND(K67=0,BZ67&lt;&gt;0)</formula>
    </cfRule>
  </conditionalFormatting>
  <conditionalFormatting sqref="BZ71">
    <cfRule type="expression" dxfId="289" priority="379" stopIfTrue="1">
      <formula>AND(K71&gt;0,BZ71=0)</formula>
    </cfRule>
    <cfRule type="expression" dxfId="288" priority="380" stopIfTrue="1">
      <formula>AND(K71=0,BZ71&lt;&gt;0)</formula>
    </cfRule>
  </conditionalFormatting>
  <conditionalFormatting sqref="BZ72">
    <cfRule type="expression" dxfId="287" priority="377" stopIfTrue="1">
      <formula>AND(K72&gt;0,BZ72=0)</formula>
    </cfRule>
    <cfRule type="expression" dxfId="286" priority="378" stopIfTrue="1">
      <formula>AND(K72=0,BZ72&lt;&gt;0)</formula>
    </cfRule>
  </conditionalFormatting>
  <conditionalFormatting sqref="BZ73">
    <cfRule type="expression" dxfId="285" priority="375" stopIfTrue="1">
      <formula>AND(K73&gt;0,BZ73=0)</formula>
    </cfRule>
    <cfRule type="expression" dxfId="284" priority="376" stopIfTrue="1">
      <formula>AND(K73=0,BZ73&lt;&gt;0)</formula>
    </cfRule>
  </conditionalFormatting>
  <conditionalFormatting sqref="BZ71">
    <cfRule type="expression" dxfId="283" priority="373" stopIfTrue="1">
      <formula>AND(K71&gt;0,BZ71=0)</formula>
    </cfRule>
    <cfRule type="expression" dxfId="282" priority="374" stopIfTrue="1">
      <formula>AND(K71=0,BZ71&lt;&gt;0)</formula>
    </cfRule>
  </conditionalFormatting>
  <conditionalFormatting sqref="BZ72">
    <cfRule type="expression" dxfId="281" priority="371" stopIfTrue="1">
      <formula>AND(K72&gt;0,BZ72=0)</formula>
    </cfRule>
    <cfRule type="expression" dxfId="280" priority="372" stopIfTrue="1">
      <formula>AND(K72=0,BZ72&lt;&gt;0)</formula>
    </cfRule>
  </conditionalFormatting>
  <conditionalFormatting sqref="BZ73">
    <cfRule type="expression" dxfId="279" priority="369" stopIfTrue="1">
      <formula>AND(K73&gt;0,BZ73=0)</formula>
    </cfRule>
    <cfRule type="expression" dxfId="278" priority="370" stopIfTrue="1">
      <formula>AND(K73=0,BZ73&lt;&gt;0)</formula>
    </cfRule>
  </conditionalFormatting>
  <conditionalFormatting sqref="BZ71">
    <cfRule type="expression" dxfId="277" priority="367" stopIfTrue="1">
      <formula>AND(K71&gt;0,BZ71=0)</formula>
    </cfRule>
    <cfRule type="expression" dxfId="276" priority="368" stopIfTrue="1">
      <formula>AND(K71=0,BZ71&lt;&gt;0)</formula>
    </cfRule>
  </conditionalFormatting>
  <conditionalFormatting sqref="BZ72">
    <cfRule type="expression" dxfId="275" priority="365" stopIfTrue="1">
      <formula>AND(K72&gt;0,BZ72=0)</formula>
    </cfRule>
    <cfRule type="expression" dxfId="274" priority="366" stopIfTrue="1">
      <formula>AND(K72=0,BZ72&lt;&gt;0)</formula>
    </cfRule>
  </conditionalFormatting>
  <conditionalFormatting sqref="BZ73">
    <cfRule type="expression" dxfId="273" priority="363" stopIfTrue="1">
      <formula>AND(K73&gt;0,BZ73=0)</formula>
    </cfRule>
    <cfRule type="expression" dxfId="272" priority="364" stopIfTrue="1">
      <formula>AND(K73=0,BZ73&lt;&gt;0)</formula>
    </cfRule>
  </conditionalFormatting>
  <conditionalFormatting sqref="BZ77">
    <cfRule type="expression" dxfId="271" priority="361" stopIfTrue="1">
      <formula>AND(K77&gt;0,BZ77=0)</formula>
    </cfRule>
    <cfRule type="expression" dxfId="270" priority="362" stopIfTrue="1">
      <formula>AND(K77=0,BZ77&lt;&gt;0)</formula>
    </cfRule>
  </conditionalFormatting>
  <conditionalFormatting sqref="BZ78">
    <cfRule type="expression" dxfId="269" priority="359" stopIfTrue="1">
      <formula>AND(K78&gt;0,BZ78=0)</formula>
    </cfRule>
    <cfRule type="expression" dxfId="268" priority="360" stopIfTrue="1">
      <formula>AND(K78=0,BZ78&lt;&gt;0)</formula>
    </cfRule>
  </conditionalFormatting>
  <conditionalFormatting sqref="BZ79">
    <cfRule type="expression" dxfId="267" priority="357" stopIfTrue="1">
      <formula>AND(K79&gt;0,BZ79=0)</formula>
    </cfRule>
    <cfRule type="expression" dxfId="266" priority="358" stopIfTrue="1">
      <formula>AND(K79=0,BZ79&lt;&gt;0)</formula>
    </cfRule>
  </conditionalFormatting>
  <conditionalFormatting sqref="BZ83">
    <cfRule type="expression" dxfId="265" priority="355" stopIfTrue="1">
      <formula>AND(K83&gt;0,BZ83=0)</formula>
    </cfRule>
    <cfRule type="expression" dxfId="264" priority="356" stopIfTrue="1">
      <formula>AND(K83=0,BZ83&lt;&gt;0)</formula>
    </cfRule>
  </conditionalFormatting>
  <conditionalFormatting sqref="BZ84">
    <cfRule type="expression" dxfId="263" priority="353" stopIfTrue="1">
      <formula>AND(K84&gt;0,BZ84=0)</formula>
    </cfRule>
    <cfRule type="expression" dxfId="262" priority="354" stopIfTrue="1">
      <formula>AND(K84=0,BZ84&lt;&gt;0)</formula>
    </cfRule>
  </conditionalFormatting>
  <conditionalFormatting sqref="BZ87">
    <cfRule type="expression" dxfId="261" priority="351" stopIfTrue="1">
      <formula>AND(K87&gt;0,BZ87=0)</formula>
    </cfRule>
    <cfRule type="expression" dxfId="260" priority="352" stopIfTrue="1">
      <formula>AND(K87=0,BZ87&lt;&gt;0)</formula>
    </cfRule>
  </conditionalFormatting>
  <conditionalFormatting sqref="BZ90">
    <cfRule type="expression" dxfId="259" priority="349" stopIfTrue="1">
      <formula>AND(K90&gt;0,BZ90=0)</formula>
    </cfRule>
    <cfRule type="expression" dxfId="258" priority="350" stopIfTrue="1">
      <formula>AND(K90=0,BZ90&lt;&gt;0)</formula>
    </cfRule>
  </conditionalFormatting>
  <conditionalFormatting sqref="BZ98">
    <cfRule type="expression" dxfId="257" priority="347" stopIfTrue="1">
      <formula>AND(K98&gt;0,BZ98=0)</formula>
    </cfRule>
    <cfRule type="expression" dxfId="256" priority="348" stopIfTrue="1">
      <formula>AND(K98=0,BZ98&lt;&gt;0)</formula>
    </cfRule>
  </conditionalFormatting>
  <conditionalFormatting sqref="BZ96">
    <cfRule type="expression" dxfId="255" priority="345" stopIfTrue="1">
      <formula>AND(K96&gt;0,BZ96=0)</formula>
    </cfRule>
    <cfRule type="expression" dxfId="254" priority="346" stopIfTrue="1">
      <formula>AND(K96=0,BZ96&lt;&gt;0)</formula>
    </cfRule>
  </conditionalFormatting>
  <conditionalFormatting sqref="BZ97">
    <cfRule type="expression" dxfId="253" priority="343" stopIfTrue="1">
      <formula>AND(K97&gt;0,BZ97=0)</formula>
    </cfRule>
    <cfRule type="expression" dxfId="252" priority="344" stopIfTrue="1">
      <formula>AND(K97=0,BZ97&lt;&gt;0)</formula>
    </cfRule>
  </conditionalFormatting>
  <conditionalFormatting sqref="BZ99">
    <cfRule type="expression" dxfId="251" priority="341" stopIfTrue="1">
      <formula>AND(K99&gt;0,BZ99=0)</formula>
    </cfRule>
    <cfRule type="expression" dxfId="250" priority="342" stopIfTrue="1">
      <formula>AND(K99=0,BZ99&lt;&gt;0)</formula>
    </cfRule>
  </conditionalFormatting>
  <conditionalFormatting sqref="BZ101:BZ102">
    <cfRule type="expression" dxfId="249" priority="339" stopIfTrue="1">
      <formula>AND(K101&gt;0,BZ101=0)</formula>
    </cfRule>
    <cfRule type="expression" dxfId="248" priority="340" stopIfTrue="1">
      <formula>AND(K101=0,BZ101&lt;&gt;0)</formula>
    </cfRule>
  </conditionalFormatting>
  <conditionalFormatting sqref="BZ104">
    <cfRule type="expression" dxfId="247" priority="337" stopIfTrue="1">
      <formula>AND(K104&gt;0,BZ104=0)</formula>
    </cfRule>
    <cfRule type="expression" dxfId="246" priority="338" stopIfTrue="1">
      <formula>AND(K104=0,BZ104&lt;&gt;0)</formula>
    </cfRule>
  </conditionalFormatting>
  <conditionalFormatting sqref="BZ93:BZ94">
    <cfRule type="expression" dxfId="245" priority="333" stopIfTrue="1">
      <formula>AND(K93&gt;0,BZ93=0)</formula>
    </cfRule>
    <cfRule type="expression" dxfId="244" priority="334" stopIfTrue="1">
      <formula>AND(K93=0,BZ93&lt;&gt;0)</formula>
    </cfRule>
  </conditionalFormatting>
  <conditionalFormatting sqref="BZ94">
    <cfRule type="expression" dxfId="243" priority="331" stopIfTrue="1">
      <formula>AND(K94&gt;0,BZ94=0)</formula>
    </cfRule>
    <cfRule type="expression" dxfId="242" priority="332" stopIfTrue="1">
      <formula>AND(K94=0,BZ94&lt;&gt;0)</formula>
    </cfRule>
  </conditionalFormatting>
  <conditionalFormatting sqref="BZ94">
    <cfRule type="expression" dxfId="241" priority="329" stopIfTrue="1">
      <formula>AND(K94&gt;0,BZ94=0)</formula>
    </cfRule>
    <cfRule type="expression" dxfId="240" priority="330" stopIfTrue="1">
      <formula>AND(K94=0,BZ94&lt;&gt;0)</formula>
    </cfRule>
  </conditionalFormatting>
  <conditionalFormatting sqref="CA13:CA23 CA25:CA26">
    <cfRule type="expression" dxfId="239" priority="321" stopIfTrue="1">
      <formula>AND(K13&gt;0,CA13=0)</formula>
    </cfRule>
    <cfRule type="expression" dxfId="238" priority="322" stopIfTrue="1">
      <formula>AND(K13=0,CA13&lt;&gt;0)</formula>
    </cfRule>
  </conditionalFormatting>
  <conditionalFormatting sqref="CA19">
    <cfRule type="expression" dxfId="237" priority="319" stopIfTrue="1">
      <formula>AND(K19&gt;0,CA19=0)</formula>
    </cfRule>
    <cfRule type="expression" dxfId="236" priority="320" stopIfTrue="1">
      <formula>AND(K19=0,CA19&lt;&gt;0)</formula>
    </cfRule>
  </conditionalFormatting>
  <conditionalFormatting sqref="CA19">
    <cfRule type="expression" dxfId="235" priority="317" stopIfTrue="1">
      <formula>AND(K19&gt;0,CA19=0)</formula>
    </cfRule>
    <cfRule type="expression" dxfId="234" priority="318" stopIfTrue="1">
      <formula>AND(K19=0,CA19&lt;&gt;0)</formula>
    </cfRule>
  </conditionalFormatting>
  <conditionalFormatting sqref="CA20">
    <cfRule type="expression" dxfId="233" priority="315" stopIfTrue="1">
      <formula>AND(K20&gt;0,CA20=0)</formula>
    </cfRule>
    <cfRule type="expression" dxfId="232" priority="316" stopIfTrue="1">
      <formula>AND(K20=0,CA20&lt;&gt;0)</formula>
    </cfRule>
  </conditionalFormatting>
  <conditionalFormatting sqref="CA20">
    <cfRule type="expression" dxfId="231" priority="313" stopIfTrue="1">
      <formula>AND(K20&gt;0,CA20=0)</formula>
    </cfRule>
    <cfRule type="expression" dxfId="230" priority="314" stopIfTrue="1">
      <formula>AND(K20=0,CA20&lt;&gt;0)</formula>
    </cfRule>
  </conditionalFormatting>
  <conditionalFormatting sqref="CA13">
    <cfRule type="expression" dxfId="229" priority="311" stopIfTrue="1">
      <formula>AND(K13&gt;0,CA13=0)</formula>
    </cfRule>
    <cfRule type="expression" dxfId="228" priority="312" stopIfTrue="1">
      <formula>AND(K13=0,CA13&lt;&gt;0)</formula>
    </cfRule>
  </conditionalFormatting>
  <conditionalFormatting sqref="CA13">
    <cfRule type="expression" dxfId="227" priority="309" stopIfTrue="1">
      <formula>AND(K13&gt;0,CA13=0)</formula>
    </cfRule>
    <cfRule type="expression" dxfId="226" priority="310" stopIfTrue="1">
      <formula>AND(K13=0,CA13&lt;&gt;0)</formula>
    </cfRule>
  </conditionalFormatting>
  <conditionalFormatting sqref="CA14">
    <cfRule type="expression" dxfId="225" priority="307" stopIfTrue="1">
      <formula>AND(K14&gt;0,CA14=0)</formula>
    </cfRule>
    <cfRule type="expression" dxfId="224" priority="308" stopIfTrue="1">
      <formula>AND(K14=0,CA14&lt;&gt;0)</formula>
    </cfRule>
  </conditionalFormatting>
  <conditionalFormatting sqref="CA14">
    <cfRule type="expression" dxfId="223" priority="305" stopIfTrue="1">
      <formula>AND(K14&gt;0,CA14=0)</formula>
    </cfRule>
    <cfRule type="expression" dxfId="222" priority="306" stopIfTrue="1">
      <formula>AND(K14=0,CA14&lt;&gt;0)</formula>
    </cfRule>
  </conditionalFormatting>
  <conditionalFormatting sqref="CB13:CB20 CB22:CB27">
    <cfRule type="expression" dxfId="221" priority="303" stopIfTrue="1">
      <formula>AND(K13&gt;0,CB13=0)</formula>
    </cfRule>
    <cfRule type="expression" dxfId="220" priority="304" stopIfTrue="1">
      <formula>AND(K13=0,CB13&lt;&gt;0)</formula>
    </cfRule>
  </conditionalFormatting>
  <conditionalFormatting sqref="CB15">
    <cfRule type="expression" dxfId="219" priority="293" stopIfTrue="1">
      <formula>AND(K15&gt;0,CB15=0)</formula>
    </cfRule>
    <cfRule type="expression" dxfId="218" priority="294" stopIfTrue="1">
      <formula>AND(K15=0,CB15&lt;&gt;0)</formula>
    </cfRule>
  </conditionalFormatting>
  <conditionalFormatting sqref="CB13:CB19">
    <cfRule type="expression" dxfId="217" priority="291" stopIfTrue="1">
      <formula>AND(K13&gt;0,CB13=0)</formula>
    </cfRule>
    <cfRule type="expression" dxfId="216" priority="292" stopIfTrue="1">
      <formula>AND(K13=0,CB13&lt;&gt;0)</formula>
    </cfRule>
  </conditionalFormatting>
  <conditionalFormatting sqref="CB15">
    <cfRule type="expression" dxfId="215" priority="289" stopIfTrue="1">
      <formula>AND(K15&gt;0,CB15=0)</formula>
    </cfRule>
    <cfRule type="expression" dxfId="214" priority="290" stopIfTrue="1">
      <formula>AND(K15=0,CB15&lt;&gt;0)</formula>
    </cfRule>
  </conditionalFormatting>
  <conditionalFormatting sqref="CB15">
    <cfRule type="expression" dxfId="213" priority="287" stopIfTrue="1">
      <formula>AND(K15&gt;0,CB15=0)</formula>
    </cfRule>
    <cfRule type="expression" dxfId="212" priority="288" stopIfTrue="1">
      <formula>AND(K15=0,CB15&lt;&gt;0)</formula>
    </cfRule>
  </conditionalFormatting>
  <conditionalFormatting sqref="CB15">
    <cfRule type="expression" dxfId="211" priority="285" stopIfTrue="1">
      <formula>AND(K15&gt;0,CB15=0)</formula>
    </cfRule>
    <cfRule type="expression" dxfId="210" priority="286" stopIfTrue="1">
      <formula>AND(K15=0,CB15&lt;&gt;0)</formula>
    </cfRule>
  </conditionalFormatting>
  <conditionalFormatting sqref="CB15">
    <cfRule type="expression" dxfId="209" priority="283" stopIfTrue="1">
      <formula>AND(K15&gt;0,CB15=0)</formula>
    </cfRule>
    <cfRule type="expression" dxfId="208" priority="284" stopIfTrue="1">
      <formula>AND(K15=0,CB15&lt;&gt;0)</formula>
    </cfRule>
  </conditionalFormatting>
  <conditionalFormatting sqref="CB15">
    <cfRule type="expression" dxfId="207" priority="281" stopIfTrue="1">
      <formula>AND(K15&gt;0,CB15=0)</formula>
    </cfRule>
    <cfRule type="expression" dxfId="206" priority="282" stopIfTrue="1">
      <formula>AND(K15=0,CB15&lt;&gt;0)</formula>
    </cfRule>
  </conditionalFormatting>
  <conditionalFormatting sqref="CB22:CB25">
    <cfRule type="expression" dxfId="205" priority="279" stopIfTrue="1">
      <formula>AND(K22&gt;0,CB22=0)</formula>
    </cfRule>
    <cfRule type="expression" dxfId="204" priority="280" stopIfTrue="1">
      <formula>AND(K22=0,CB22&lt;&gt;0)</formula>
    </cfRule>
  </conditionalFormatting>
  <conditionalFormatting sqref="CB22:CB25">
    <cfRule type="expression" dxfId="203" priority="277" stopIfTrue="1">
      <formula>AND(K22&gt;0,CB22=0)</formula>
    </cfRule>
    <cfRule type="expression" dxfId="202" priority="278" stopIfTrue="1">
      <formula>AND(K22=0,CB22&lt;&gt;0)</formula>
    </cfRule>
  </conditionalFormatting>
  <conditionalFormatting sqref="CB26">
    <cfRule type="expression" dxfId="201" priority="275" stopIfTrue="1">
      <formula>AND(K26&gt;0,CB26=0)</formula>
    </cfRule>
    <cfRule type="expression" dxfId="200" priority="276" stopIfTrue="1">
      <formula>AND(K26=0,CB26&lt;&gt;0)</formula>
    </cfRule>
  </conditionalFormatting>
  <conditionalFormatting sqref="CB26">
    <cfRule type="expression" dxfId="199" priority="273" stopIfTrue="1">
      <formula>AND(K26&gt;0,CB26=0)</formula>
    </cfRule>
    <cfRule type="expression" dxfId="198" priority="274" stopIfTrue="1">
      <formula>AND(K26=0,CB26&lt;&gt;0)</formula>
    </cfRule>
  </conditionalFormatting>
  <conditionalFormatting sqref="BZ61">
    <cfRule type="expression" dxfId="197" priority="233" stopIfTrue="1">
      <formula>AND(K61&gt;0,BZ61=0)</formula>
    </cfRule>
    <cfRule type="expression" dxfId="196" priority="234" stopIfTrue="1">
      <formula>AND(K61=0,BZ61&lt;&gt;0)</formula>
    </cfRule>
  </conditionalFormatting>
  <conditionalFormatting sqref="BZ61">
    <cfRule type="expression" dxfId="195" priority="231" stopIfTrue="1">
      <formula>AND(K61&gt;0,BZ61=0)</formula>
    </cfRule>
    <cfRule type="expression" dxfId="194" priority="232" stopIfTrue="1">
      <formula>AND(K61=0,BZ61&lt;&gt;0)</formula>
    </cfRule>
  </conditionalFormatting>
  <conditionalFormatting sqref="CA15">
    <cfRule type="expression" dxfId="193" priority="199" stopIfTrue="1">
      <formula>AND(K15&gt;0,CA15=0)</formula>
    </cfRule>
    <cfRule type="expression" dxfId="192" priority="200" stopIfTrue="1">
      <formula>AND(K15=0,CA15&lt;&gt;0)</formula>
    </cfRule>
  </conditionalFormatting>
  <conditionalFormatting sqref="CA13:CA19">
    <cfRule type="expression" dxfId="191" priority="197" stopIfTrue="1">
      <formula>AND(K13&gt;0,CA13=0)</formula>
    </cfRule>
    <cfRule type="expression" dxfId="190" priority="198" stopIfTrue="1">
      <formula>AND(K13=0,CA13&lt;&gt;0)</formula>
    </cfRule>
  </conditionalFormatting>
  <conditionalFormatting sqref="CA15">
    <cfRule type="expression" dxfId="189" priority="195" stopIfTrue="1">
      <formula>AND(K15&gt;0,CA15=0)</formula>
    </cfRule>
    <cfRule type="expression" dxfId="188" priority="196" stopIfTrue="1">
      <formula>AND(K15=0,CA15&lt;&gt;0)</formula>
    </cfRule>
  </conditionalFormatting>
  <conditionalFormatting sqref="CA15">
    <cfRule type="expression" dxfId="187" priority="193" stopIfTrue="1">
      <formula>AND(K15&gt;0,CA15=0)</formula>
    </cfRule>
    <cfRule type="expression" dxfId="186" priority="194" stopIfTrue="1">
      <formula>AND(K15=0,CA15&lt;&gt;0)</formula>
    </cfRule>
  </conditionalFormatting>
  <conditionalFormatting sqref="CA15">
    <cfRule type="expression" dxfId="185" priority="191" stopIfTrue="1">
      <formula>AND(K15&gt;0,CA15=0)</formula>
    </cfRule>
    <cfRule type="expression" dxfId="184" priority="192" stopIfTrue="1">
      <formula>AND(K15=0,CA15&lt;&gt;0)</formula>
    </cfRule>
  </conditionalFormatting>
  <conditionalFormatting sqref="CA15">
    <cfRule type="expression" dxfId="183" priority="189" stopIfTrue="1">
      <formula>AND(K15&gt;0,CA15=0)</formula>
    </cfRule>
    <cfRule type="expression" dxfId="182" priority="190" stopIfTrue="1">
      <formula>AND(K15=0,CA15&lt;&gt;0)</formula>
    </cfRule>
  </conditionalFormatting>
  <conditionalFormatting sqref="CA15">
    <cfRule type="expression" dxfId="181" priority="187" stopIfTrue="1">
      <formula>AND(K15&gt;0,CA15=0)</formula>
    </cfRule>
    <cfRule type="expression" dxfId="180" priority="188" stopIfTrue="1">
      <formula>AND(K15=0,CA15&lt;&gt;0)</formula>
    </cfRule>
  </conditionalFormatting>
  <conditionalFormatting sqref="CA22">
    <cfRule type="expression" dxfId="179" priority="185" stopIfTrue="1">
      <formula>AND(K22&gt;0,CA22=0)</formula>
    </cfRule>
    <cfRule type="expression" dxfId="178" priority="186" stopIfTrue="1">
      <formula>AND(K22=0,CA22&lt;&gt;0)</formula>
    </cfRule>
  </conditionalFormatting>
  <conditionalFormatting sqref="CA22">
    <cfRule type="expression" dxfId="177" priority="183" stopIfTrue="1">
      <formula>AND(K22&gt;0,CA22=0)</formula>
    </cfRule>
    <cfRule type="expression" dxfId="176" priority="184" stopIfTrue="1">
      <formula>AND(K22=0,CA22&lt;&gt;0)</formula>
    </cfRule>
  </conditionalFormatting>
  <conditionalFormatting sqref="CA26">
    <cfRule type="expression" dxfId="175" priority="161" stopIfTrue="1">
      <formula>AND(K26&gt;0,CA26=0)</formula>
    </cfRule>
    <cfRule type="expression" dxfId="174" priority="162" stopIfTrue="1">
      <formula>AND(K26=0,CA26&lt;&gt;0)</formula>
    </cfRule>
  </conditionalFormatting>
  <conditionalFormatting sqref="CA15">
    <cfRule type="expression" dxfId="173" priority="159" stopIfTrue="1">
      <formula>AND(K15&gt;0,CA15=0)</formula>
    </cfRule>
    <cfRule type="expression" dxfId="172" priority="160" stopIfTrue="1">
      <formula>AND(K15=0,CA15&lt;&gt;0)</formula>
    </cfRule>
  </conditionalFormatting>
  <conditionalFormatting sqref="CA15">
    <cfRule type="expression" dxfId="171" priority="157" stopIfTrue="1">
      <formula>AND(K15&gt;0,CA15=0)</formula>
    </cfRule>
    <cfRule type="expression" dxfId="170" priority="158" stopIfTrue="1">
      <formula>AND(K15=0,CA15&lt;&gt;0)</formula>
    </cfRule>
  </conditionalFormatting>
  <conditionalFormatting sqref="CA15">
    <cfRule type="expression" dxfId="169" priority="155" stopIfTrue="1">
      <formula>AND(K15&gt;0,CA15=0)</formula>
    </cfRule>
    <cfRule type="expression" dxfId="168" priority="156" stopIfTrue="1">
      <formula>AND(K15=0,CA15&lt;&gt;0)</formula>
    </cfRule>
  </conditionalFormatting>
  <conditionalFormatting sqref="CA15">
    <cfRule type="expression" dxfId="167" priority="153" stopIfTrue="1">
      <formula>AND(K15&gt;0,CA15=0)</formula>
    </cfRule>
    <cfRule type="expression" dxfId="166" priority="154" stopIfTrue="1">
      <formula>AND(K15=0,CA15&lt;&gt;0)</formula>
    </cfRule>
  </conditionalFormatting>
  <conditionalFormatting sqref="CA15">
    <cfRule type="expression" dxfId="165" priority="151" stopIfTrue="1">
      <formula>AND(K15&gt;0,CA15=0)</formula>
    </cfRule>
    <cfRule type="expression" dxfId="164" priority="152" stopIfTrue="1">
      <formula>AND(K15=0,CA15&lt;&gt;0)</formula>
    </cfRule>
  </conditionalFormatting>
  <conditionalFormatting sqref="CA15">
    <cfRule type="expression" dxfId="163" priority="149" stopIfTrue="1">
      <formula>AND(K15&gt;0,CA15=0)</formula>
    </cfRule>
    <cfRule type="expression" dxfId="162" priority="150" stopIfTrue="1">
      <formula>AND(K15=0,CA15&lt;&gt;0)</formula>
    </cfRule>
  </conditionalFormatting>
  <conditionalFormatting sqref="CA26">
    <cfRule type="expression" dxfId="161" priority="147" stopIfTrue="1">
      <formula>AND(K26&gt;0,CA26=0)</formula>
    </cfRule>
    <cfRule type="expression" dxfId="160" priority="148" stopIfTrue="1">
      <formula>AND(K26=0,CA26&lt;&gt;0)</formula>
    </cfRule>
  </conditionalFormatting>
  <conditionalFormatting sqref="CA26">
    <cfRule type="expression" dxfId="159" priority="145" stopIfTrue="1">
      <formula>AND(K26&gt;0,CA26=0)</formula>
    </cfRule>
    <cfRule type="expression" dxfId="158" priority="146" stopIfTrue="1">
      <formula>AND(K26=0,CA26&lt;&gt;0)</formula>
    </cfRule>
  </conditionalFormatting>
  <conditionalFormatting sqref="CA20">
    <cfRule type="expression" dxfId="157" priority="143" stopIfTrue="1">
      <formula>AND(K20&gt;0,CA20=0)</formula>
    </cfRule>
    <cfRule type="expression" dxfId="156" priority="144" stopIfTrue="1">
      <formula>AND(K20=0,CA20&lt;&gt;0)</formula>
    </cfRule>
  </conditionalFormatting>
  <conditionalFormatting sqref="CA20">
    <cfRule type="expression" dxfId="155" priority="141" stopIfTrue="1">
      <formula>AND(K20&gt;0,CA20=0)</formula>
    </cfRule>
    <cfRule type="expression" dxfId="154" priority="142" stopIfTrue="1">
      <formula>AND(K20=0,CA20&lt;&gt;0)</formula>
    </cfRule>
  </conditionalFormatting>
  <conditionalFormatting sqref="CA22">
    <cfRule type="expression" dxfId="153" priority="139" stopIfTrue="1">
      <formula>AND(K22&gt;0,CA22=0)</formula>
    </cfRule>
    <cfRule type="expression" dxfId="152" priority="140" stopIfTrue="1">
      <formula>AND(K22=0,CA22&lt;&gt;0)</formula>
    </cfRule>
  </conditionalFormatting>
  <conditionalFormatting sqref="CA22">
    <cfRule type="expression" dxfId="151" priority="137" stopIfTrue="1">
      <formula>AND(K22&gt;0,CA22=0)</formula>
    </cfRule>
    <cfRule type="expression" dxfId="150" priority="138" stopIfTrue="1">
      <formula>AND(K22=0,CA22&lt;&gt;0)</formula>
    </cfRule>
  </conditionalFormatting>
  <conditionalFormatting sqref="CA27">
    <cfRule type="expression" dxfId="149" priority="133" stopIfTrue="1">
      <formula>AND(K27&gt;0,CA27=0)</formula>
    </cfRule>
    <cfRule type="expression" dxfId="148" priority="134" stopIfTrue="1">
      <formula>AND(K27=0,CA27&lt;&gt;0)</formula>
    </cfRule>
  </conditionalFormatting>
  <conditionalFormatting sqref="CA15">
    <cfRule type="expression" dxfId="147" priority="131" stopIfTrue="1">
      <formula>AND(K15&gt;0,CA15=0)</formula>
    </cfRule>
    <cfRule type="expression" dxfId="146" priority="132" stopIfTrue="1">
      <formula>AND(K15=0,CA15&lt;&gt;0)</formula>
    </cfRule>
  </conditionalFormatting>
  <conditionalFormatting sqref="CA15">
    <cfRule type="expression" dxfId="145" priority="129" stopIfTrue="1">
      <formula>AND(K15&gt;0,CA15=0)</formula>
    </cfRule>
    <cfRule type="expression" dxfId="144" priority="130" stopIfTrue="1">
      <formula>AND(K15=0,CA15&lt;&gt;0)</formula>
    </cfRule>
  </conditionalFormatting>
  <conditionalFormatting sqref="CA15">
    <cfRule type="expression" dxfId="143" priority="127" stopIfTrue="1">
      <formula>AND(K15&gt;0,CA15=0)</formula>
    </cfRule>
    <cfRule type="expression" dxfId="142" priority="128" stopIfTrue="1">
      <formula>AND(K15=0,CA15&lt;&gt;0)</formula>
    </cfRule>
  </conditionalFormatting>
  <conditionalFormatting sqref="CA15">
    <cfRule type="expression" dxfId="141" priority="125" stopIfTrue="1">
      <formula>AND(K15&gt;0,CA15=0)</formula>
    </cfRule>
    <cfRule type="expression" dxfId="140" priority="126" stopIfTrue="1">
      <formula>AND(K15=0,CA15&lt;&gt;0)</formula>
    </cfRule>
  </conditionalFormatting>
  <conditionalFormatting sqref="CA15">
    <cfRule type="expression" dxfId="139" priority="123" stopIfTrue="1">
      <formula>AND(K15&gt;0,CA15=0)</formula>
    </cfRule>
    <cfRule type="expression" dxfId="138" priority="124" stopIfTrue="1">
      <formula>AND(K15=0,CA15&lt;&gt;0)</formula>
    </cfRule>
  </conditionalFormatting>
  <conditionalFormatting sqref="CA15">
    <cfRule type="expression" dxfId="137" priority="121" stopIfTrue="1">
      <formula>AND(K15&gt;0,CA15=0)</formula>
    </cfRule>
    <cfRule type="expression" dxfId="136" priority="122" stopIfTrue="1">
      <formula>AND(K15=0,CA15&lt;&gt;0)</formula>
    </cfRule>
  </conditionalFormatting>
  <conditionalFormatting sqref="CA27">
    <cfRule type="expression" dxfId="135" priority="119" stopIfTrue="1">
      <formula>AND(K27&gt;0,CA27=0)</formula>
    </cfRule>
    <cfRule type="expression" dxfId="134" priority="120" stopIfTrue="1">
      <formula>AND(K27=0,CA27&lt;&gt;0)</formula>
    </cfRule>
  </conditionalFormatting>
  <conditionalFormatting sqref="CA27">
    <cfRule type="expression" dxfId="133" priority="117" stopIfTrue="1">
      <formula>AND(K27&gt;0,CA27=0)</formula>
    </cfRule>
    <cfRule type="expression" dxfId="132" priority="118" stopIfTrue="1">
      <formula>AND(K27=0,CA27&lt;&gt;0)</formula>
    </cfRule>
  </conditionalFormatting>
  <conditionalFormatting sqref="CA20">
    <cfRule type="expression" dxfId="131" priority="115" stopIfTrue="1">
      <formula>AND(K20&gt;0,CA20=0)</formula>
    </cfRule>
    <cfRule type="expression" dxfId="130" priority="116" stopIfTrue="1">
      <formula>AND(K20=0,CA20&lt;&gt;0)</formula>
    </cfRule>
  </conditionalFormatting>
  <conditionalFormatting sqref="CA20">
    <cfRule type="expression" dxfId="129" priority="113" stopIfTrue="1">
      <formula>AND(K20&gt;0,CA20=0)</formula>
    </cfRule>
    <cfRule type="expression" dxfId="128" priority="114" stopIfTrue="1">
      <formula>AND(K20=0,CA20&lt;&gt;0)</formula>
    </cfRule>
  </conditionalFormatting>
  <conditionalFormatting sqref="CA25">
    <cfRule type="expression" dxfId="127" priority="111" stopIfTrue="1">
      <formula>AND(K25&gt;0,CA25=0)</formula>
    </cfRule>
    <cfRule type="expression" dxfId="126" priority="112" stopIfTrue="1">
      <formula>AND(K25=0,CA25&lt;&gt;0)</formula>
    </cfRule>
  </conditionalFormatting>
  <conditionalFormatting sqref="CA13:CA16 CA22">
    <cfRule type="expression" dxfId="125" priority="109" stopIfTrue="1">
      <formula>AND(B13&gt;0,CA13=0)</formula>
    </cfRule>
    <cfRule type="expression" dxfId="124" priority="110" stopIfTrue="1">
      <formula>AND(B13=0,CA13&lt;&gt;0)</formula>
    </cfRule>
  </conditionalFormatting>
  <conditionalFormatting sqref="CA17">
    <cfRule type="expression" dxfId="123" priority="107" stopIfTrue="1">
      <formula>AND(B17&gt;0,CA17=0)</formula>
    </cfRule>
    <cfRule type="expression" dxfId="122" priority="108" stopIfTrue="1">
      <formula>AND(B17=0,CA17&lt;&gt;0)</formula>
    </cfRule>
  </conditionalFormatting>
  <conditionalFormatting sqref="CA18">
    <cfRule type="expression" dxfId="121" priority="105" stopIfTrue="1">
      <formula>AND(B18&gt;0,CA18=0)</formula>
    </cfRule>
    <cfRule type="expression" dxfId="120" priority="106" stopIfTrue="1">
      <formula>AND(B18=0,CA18&lt;&gt;0)</formula>
    </cfRule>
  </conditionalFormatting>
  <conditionalFormatting sqref="CA19">
    <cfRule type="expression" dxfId="119" priority="103" stopIfTrue="1">
      <formula>AND(B19&gt;0,CA19=0)</formula>
    </cfRule>
    <cfRule type="expression" dxfId="118" priority="104" stopIfTrue="1">
      <formula>AND(B19=0,CA19&lt;&gt;0)</formula>
    </cfRule>
  </conditionalFormatting>
  <conditionalFormatting sqref="CA19">
    <cfRule type="expression" dxfId="117" priority="101" stopIfTrue="1">
      <formula>AND(B19&gt;0,CA19=0)</formula>
    </cfRule>
    <cfRule type="expression" dxfId="116" priority="102" stopIfTrue="1">
      <formula>AND(B19=0,CA19&lt;&gt;0)</formula>
    </cfRule>
  </conditionalFormatting>
  <conditionalFormatting sqref="CA20">
    <cfRule type="expression" dxfId="115" priority="99" stopIfTrue="1">
      <formula>AND(B20&gt;0,CA20=0)</formula>
    </cfRule>
    <cfRule type="expression" dxfId="114" priority="100" stopIfTrue="1">
      <formula>AND(B20=0,CA20&lt;&gt;0)</formula>
    </cfRule>
  </conditionalFormatting>
  <conditionalFormatting sqref="CA21">
    <cfRule type="expression" dxfId="113" priority="97" stopIfTrue="1">
      <formula>AND(B21&gt;0,CA21=0)</formula>
    </cfRule>
    <cfRule type="expression" dxfId="112" priority="98" stopIfTrue="1">
      <formula>AND(B21=0,CA21&lt;&gt;0)</formula>
    </cfRule>
  </conditionalFormatting>
  <conditionalFormatting sqref="CA23">
    <cfRule type="expression" dxfId="111" priority="95" stopIfTrue="1">
      <formula>AND(B23&gt;0,CA23=0)</formula>
    </cfRule>
    <cfRule type="expression" dxfId="110" priority="96" stopIfTrue="1">
      <formula>AND(B23=0,CA23&lt;&gt;0)</formula>
    </cfRule>
  </conditionalFormatting>
  <conditionalFormatting sqref="CA25">
    <cfRule type="expression" dxfId="109" priority="93" stopIfTrue="1">
      <formula>AND(K25&gt;0,CA25=0)</formula>
    </cfRule>
    <cfRule type="expression" dxfId="108" priority="94" stopIfTrue="1">
      <formula>AND(K25=0,CA25&lt;&gt;0)</formula>
    </cfRule>
  </conditionalFormatting>
  <conditionalFormatting sqref="CA25">
    <cfRule type="expression" dxfId="107" priority="91" stopIfTrue="1">
      <formula>AND(K25&gt;0,CA25=0)</formula>
    </cfRule>
    <cfRule type="expression" dxfId="106" priority="92" stopIfTrue="1">
      <formula>AND(K25=0,CA25&lt;&gt;0)</formula>
    </cfRule>
  </conditionalFormatting>
  <conditionalFormatting sqref="CA25">
    <cfRule type="expression" dxfId="105" priority="89" stopIfTrue="1">
      <formula>AND(B25&gt;0,CA25=0)</formula>
    </cfRule>
    <cfRule type="expression" dxfId="104" priority="90" stopIfTrue="1">
      <formula>AND(B25=0,CA25&lt;&gt;0)</formula>
    </cfRule>
  </conditionalFormatting>
  <conditionalFormatting sqref="CA26">
    <cfRule type="expression" dxfId="103" priority="87" stopIfTrue="1">
      <formula>AND(K26&gt;0,CA26=0)</formula>
    </cfRule>
    <cfRule type="expression" dxfId="102" priority="88" stopIfTrue="1">
      <formula>AND(K26=0,CA26&lt;&gt;0)</formula>
    </cfRule>
  </conditionalFormatting>
  <conditionalFormatting sqref="CA26">
    <cfRule type="expression" dxfId="101" priority="85" stopIfTrue="1">
      <formula>AND(K26&gt;0,CA26=0)</formula>
    </cfRule>
    <cfRule type="expression" dxfId="100" priority="86" stopIfTrue="1">
      <formula>AND(K26=0,CA26&lt;&gt;0)</formula>
    </cfRule>
  </conditionalFormatting>
  <conditionalFormatting sqref="CA26">
    <cfRule type="expression" dxfId="99" priority="83" stopIfTrue="1">
      <formula>AND(K26&gt;0,CA26=0)</formula>
    </cfRule>
    <cfRule type="expression" dxfId="98" priority="84" stopIfTrue="1">
      <formula>AND(K26=0,CA26&lt;&gt;0)</formula>
    </cfRule>
  </conditionalFormatting>
  <conditionalFormatting sqref="CA26">
    <cfRule type="expression" dxfId="97" priority="81" stopIfTrue="1">
      <formula>AND(B26&gt;0,CA26=0)</formula>
    </cfRule>
    <cfRule type="expression" dxfId="96" priority="82" stopIfTrue="1">
      <formula>AND(B26=0,CA26&lt;&gt;0)</formula>
    </cfRule>
  </conditionalFormatting>
  <conditionalFormatting sqref="CA27">
    <cfRule type="expression" dxfId="95" priority="79" stopIfTrue="1">
      <formula>AND(K27&gt;0,CA27=0)</formula>
    </cfRule>
    <cfRule type="expression" dxfId="94" priority="80" stopIfTrue="1">
      <formula>AND(K27=0,CA27&lt;&gt;0)</formula>
    </cfRule>
  </conditionalFormatting>
  <conditionalFormatting sqref="CA27">
    <cfRule type="expression" dxfId="93" priority="77" stopIfTrue="1">
      <formula>AND(K27&gt;0,CA27=0)</formula>
    </cfRule>
    <cfRule type="expression" dxfId="92" priority="78" stopIfTrue="1">
      <formula>AND(K27=0,CA27&lt;&gt;0)</formula>
    </cfRule>
  </conditionalFormatting>
  <conditionalFormatting sqref="CA27">
    <cfRule type="expression" dxfId="91" priority="75" stopIfTrue="1">
      <formula>AND(B27&gt;0,CA27=0)</formula>
    </cfRule>
    <cfRule type="expression" dxfId="90" priority="76" stopIfTrue="1">
      <formula>AND(B27=0,CA27&lt;&gt;0)</formula>
    </cfRule>
  </conditionalFormatting>
  <conditionalFormatting sqref="BZ30:BZ34">
    <cfRule type="expression" dxfId="89" priority="73" stopIfTrue="1">
      <formula>AND(K30&gt;0,BZ30=0)</formula>
    </cfRule>
    <cfRule type="expression" dxfId="88" priority="74" stopIfTrue="1">
      <formula>AND(K30=0,BZ30&lt;&gt;0)</formula>
    </cfRule>
  </conditionalFormatting>
  <conditionalFormatting sqref="BZ36:BZ38">
    <cfRule type="expression" dxfId="87" priority="71" stopIfTrue="1">
      <formula>AND(K36&gt;0,BZ36=0)</formula>
    </cfRule>
    <cfRule type="expression" dxfId="86" priority="72" stopIfTrue="1">
      <formula>AND(K36=0,BZ36&lt;&gt;0)</formula>
    </cfRule>
  </conditionalFormatting>
  <conditionalFormatting sqref="BZ36:BZ38">
    <cfRule type="expression" dxfId="85" priority="69" stopIfTrue="1">
      <formula>AND(K36&gt;0,BZ36=0)</formula>
    </cfRule>
    <cfRule type="expression" dxfId="84" priority="70" stopIfTrue="1">
      <formula>AND(K36=0,BZ36&lt;&gt;0)</formula>
    </cfRule>
  </conditionalFormatting>
  <conditionalFormatting sqref="BZ41:BZ47">
    <cfRule type="expression" dxfId="83" priority="67" stopIfTrue="1">
      <formula>AND(K41&gt;0,BZ41=0)</formula>
    </cfRule>
    <cfRule type="expression" dxfId="82" priority="68" stopIfTrue="1">
      <formula>AND(K41=0,BZ41&lt;&gt;0)</formula>
    </cfRule>
  </conditionalFormatting>
  <conditionalFormatting sqref="BZ41:BZ47">
    <cfRule type="expression" dxfId="81" priority="65" stopIfTrue="1">
      <formula>AND(K41&gt;0,BZ41=0)</formula>
    </cfRule>
    <cfRule type="expression" dxfId="80" priority="66" stopIfTrue="1">
      <formula>AND(K41=0,BZ41&lt;&gt;0)</formula>
    </cfRule>
  </conditionalFormatting>
  <conditionalFormatting sqref="BZ51:BZ54">
    <cfRule type="expression" dxfId="79" priority="63" stopIfTrue="1">
      <formula>AND(K51&gt;0,BZ51=0)</formula>
    </cfRule>
    <cfRule type="expression" dxfId="78" priority="64" stopIfTrue="1">
      <formula>AND(K51=0,BZ51&lt;&gt;0)</formula>
    </cfRule>
  </conditionalFormatting>
  <conditionalFormatting sqref="BZ51:BZ54">
    <cfRule type="expression" dxfId="77" priority="61" stopIfTrue="1">
      <formula>AND(K51&gt;0,BZ51=0)</formula>
    </cfRule>
    <cfRule type="expression" dxfId="76" priority="62" stopIfTrue="1">
      <formula>AND(K51=0,BZ51&lt;&gt;0)</formula>
    </cfRule>
  </conditionalFormatting>
  <conditionalFormatting sqref="BZ55">
    <cfRule type="expression" dxfId="75" priority="59" stopIfTrue="1">
      <formula>AND(K55&gt;0,BZ55=0)</formula>
    </cfRule>
    <cfRule type="expression" dxfId="74" priority="60" stopIfTrue="1">
      <formula>AND(K55=0,BZ55&lt;&gt;0)</formula>
    </cfRule>
  </conditionalFormatting>
  <conditionalFormatting sqref="BZ57:BZ59">
    <cfRule type="expression" dxfId="73" priority="57" stopIfTrue="1">
      <formula>AND(K57&gt;0,BZ57=0)</formula>
    </cfRule>
    <cfRule type="expression" dxfId="72" priority="58" stopIfTrue="1">
      <formula>AND(K57=0,BZ57&lt;&gt;0)</formula>
    </cfRule>
  </conditionalFormatting>
  <conditionalFormatting sqref="BZ57:BZ59">
    <cfRule type="expression" dxfId="71" priority="55" stopIfTrue="1">
      <formula>AND(K57&gt;0,BZ57=0)</formula>
    </cfRule>
    <cfRule type="expression" dxfId="70" priority="56" stopIfTrue="1">
      <formula>AND(K57=0,BZ57&lt;&gt;0)</formula>
    </cfRule>
  </conditionalFormatting>
  <conditionalFormatting sqref="BZ60:BZ61">
    <cfRule type="expression" dxfId="69" priority="53" stopIfTrue="1">
      <formula>AND(K60&gt;0,BZ60=0)</formula>
    </cfRule>
    <cfRule type="expression" dxfId="68" priority="54" stopIfTrue="1">
      <formula>AND(K60=0,BZ60&lt;&gt;0)</formula>
    </cfRule>
  </conditionalFormatting>
  <conditionalFormatting sqref="BZ62">
    <cfRule type="expression" dxfId="67" priority="51" stopIfTrue="1">
      <formula>AND(K62&gt;0,BZ62=0)</formula>
    </cfRule>
    <cfRule type="expression" dxfId="66" priority="52" stopIfTrue="1">
      <formula>AND(K62=0,BZ62&lt;&gt;0)</formula>
    </cfRule>
  </conditionalFormatting>
  <conditionalFormatting sqref="BZ61">
    <cfRule type="expression" dxfId="65" priority="49" stopIfTrue="1">
      <formula>AND(K61&gt;0,BZ61=0)</formula>
    </cfRule>
    <cfRule type="expression" dxfId="64" priority="50" stopIfTrue="1">
      <formula>AND(K61=0,BZ61&lt;&gt;0)</formula>
    </cfRule>
  </conditionalFormatting>
  <conditionalFormatting sqref="BZ68:BZ69">
    <cfRule type="expression" dxfId="63" priority="47" stopIfTrue="1">
      <formula>AND(K68&gt;0,BZ68=0)</formula>
    </cfRule>
    <cfRule type="expression" dxfId="62" priority="48" stopIfTrue="1">
      <formula>AND(K68=0,BZ68&lt;&gt;0)</formula>
    </cfRule>
  </conditionalFormatting>
  <conditionalFormatting sqref="BZ64">
    <cfRule type="expression" dxfId="61" priority="45" stopIfTrue="1">
      <formula>AND(K64&gt;0,BZ64=0)</formula>
    </cfRule>
    <cfRule type="expression" dxfId="60" priority="46" stopIfTrue="1">
      <formula>AND(K64=0,BZ64&lt;&gt;0)</formula>
    </cfRule>
  </conditionalFormatting>
  <conditionalFormatting sqref="BZ65">
    <cfRule type="expression" dxfId="59" priority="43" stopIfTrue="1">
      <formula>AND(K65&gt;0,BZ65=0)</formula>
    </cfRule>
    <cfRule type="expression" dxfId="58" priority="44" stopIfTrue="1">
      <formula>AND(K65=0,BZ65&lt;&gt;0)</formula>
    </cfRule>
  </conditionalFormatting>
  <conditionalFormatting sqref="BZ66">
    <cfRule type="expression" dxfId="57" priority="41" stopIfTrue="1">
      <formula>AND(K66&gt;0,BZ66=0)</formula>
    </cfRule>
    <cfRule type="expression" dxfId="56" priority="42" stopIfTrue="1">
      <formula>AND(K66=0,BZ66&lt;&gt;0)</formula>
    </cfRule>
  </conditionalFormatting>
  <conditionalFormatting sqref="BZ67">
    <cfRule type="expression" dxfId="55" priority="39" stopIfTrue="1">
      <formula>AND(K67&gt;0,BZ67=0)</formula>
    </cfRule>
    <cfRule type="expression" dxfId="54" priority="40" stopIfTrue="1">
      <formula>AND(K67=0,BZ67&lt;&gt;0)</formula>
    </cfRule>
  </conditionalFormatting>
  <conditionalFormatting sqref="BZ71">
    <cfRule type="expression" dxfId="53" priority="37" stopIfTrue="1">
      <formula>AND(K71&gt;0,BZ71=0)</formula>
    </cfRule>
    <cfRule type="expression" dxfId="52" priority="38" stopIfTrue="1">
      <formula>AND(K71=0,BZ71&lt;&gt;0)</formula>
    </cfRule>
  </conditionalFormatting>
  <conditionalFormatting sqref="BZ72">
    <cfRule type="expression" dxfId="51" priority="35" stopIfTrue="1">
      <formula>AND(K72&gt;0,BZ72=0)</formula>
    </cfRule>
    <cfRule type="expression" dxfId="50" priority="36" stopIfTrue="1">
      <formula>AND(K72=0,BZ72&lt;&gt;0)</formula>
    </cfRule>
  </conditionalFormatting>
  <conditionalFormatting sqref="BZ73">
    <cfRule type="expression" dxfId="49" priority="33" stopIfTrue="1">
      <formula>AND(K73&gt;0,BZ73=0)</formula>
    </cfRule>
    <cfRule type="expression" dxfId="48" priority="34" stopIfTrue="1">
      <formula>AND(K73=0,BZ73&lt;&gt;0)</formula>
    </cfRule>
  </conditionalFormatting>
  <conditionalFormatting sqref="BZ71">
    <cfRule type="expression" dxfId="47" priority="31" stopIfTrue="1">
      <formula>AND(K71&gt;0,BZ71=0)</formula>
    </cfRule>
    <cfRule type="expression" dxfId="46" priority="32" stopIfTrue="1">
      <formula>AND(K71=0,BZ71&lt;&gt;0)</formula>
    </cfRule>
  </conditionalFormatting>
  <conditionalFormatting sqref="BZ72">
    <cfRule type="expression" dxfId="45" priority="29" stopIfTrue="1">
      <formula>AND(K72&gt;0,BZ72=0)</formula>
    </cfRule>
    <cfRule type="expression" dxfId="44" priority="30" stopIfTrue="1">
      <formula>AND(K72=0,BZ72&lt;&gt;0)</formula>
    </cfRule>
  </conditionalFormatting>
  <conditionalFormatting sqref="BZ73">
    <cfRule type="expression" dxfId="43" priority="27" stopIfTrue="1">
      <formula>AND(K73&gt;0,BZ73=0)</formula>
    </cfRule>
    <cfRule type="expression" dxfId="42" priority="28" stopIfTrue="1">
      <formula>AND(K73=0,BZ73&lt;&gt;0)</formula>
    </cfRule>
  </conditionalFormatting>
  <conditionalFormatting sqref="BZ71">
    <cfRule type="expression" dxfId="41" priority="25" stopIfTrue="1">
      <formula>AND(K71&gt;0,BZ71=0)</formula>
    </cfRule>
    <cfRule type="expression" dxfId="40" priority="26" stopIfTrue="1">
      <formula>AND(K71=0,BZ71&lt;&gt;0)</formula>
    </cfRule>
  </conditionalFormatting>
  <conditionalFormatting sqref="BZ72">
    <cfRule type="expression" dxfId="39" priority="23" stopIfTrue="1">
      <formula>AND(K72&gt;0,BZ72=0)</formula>
    </cfRule>
    <cfRule type="expression" dxfId="38" priority="24" stopIfTrue="1">
      <formula>AND(K72=0,BZ72&lt;&gt;0)</formula>
    </cfRule>
  </conditionalFormatting>
  <conditionalFormatting sqref="BZ73">
    <cfRule type="expression" dxfId="37" priority="21" stopIfTrue="1">
      <formula>AND(K73&gt;0,BZ73=0)</formula>
    </cfRule>
    <cfRule type="expression" dxfId="36" priority="22" stopIfTrue="1">
      <formula>AND(K73=0,BZ73&lt;&gt;0)</formula>
    </cfRule>
  </conditionalFormatting>
  <conditionalFormatting sqref="BZ77:BZ79">
    <cfRule type="expression" dxfId="35" priority="19" stopIfTrue="1">
      <formula>AND(K77&gt;0,BZ77=0)</formula>
    </cfRule>
    <cfRule type="expression" dxfId="34" priority="20" stopIfTrue="1">
      <formula>AND(K77=0,BZ77&lt;&gt;0)</formula>
    </cfRule>
  </conditionalFormatting>
  <conditionalFormatting sqref="BZ77">
    <cfRule type="expression" dxfId="33" priority="17" stopIfTrue="1">
      <formula>AND(K77&gt;0,BZ77=0)</formula>
    </cfRule>
    <cfRule type="expression" dxfId="32" priority="18" stopIfTrue="1">
      <formula>AND(K77=0,BZ77&lt;&gt;0)</formula>
    </cfRule>
  </conditionalFormatting>
  <conditionalFormatting sqref="BZ78">
    <cfRule type="expression" dxfId="31" priority="15" stopIfTrue="1">
      <formula>AND(K78&gt;0,BZ78=0)</formula>
    </cfRule>
    <cfRule type="expression" dxfId="30" priority="16" stopIfTrue="1">
      <formula>AND(K78=0,BZ78&lt;&gt;0)</formula>
    </cfRule>
  </conditionalFormatting>
  <conditionalFormatting sqref="BZ79">
    <cfRule type="expression" dxfId="29" priority="13" stopIfTrue="1">
      <formula>AND(K79&gt;0,BZ79=0)</formula>
    </cfRule>
    <cfRule type="expression" dxfId="28" priority="14" stopIfTrue="1">
      <formula>AND(K79=0,BZ79&lt;&gt;0)</formula>
    </cfRule>
  </conditionalFormatting>
  <conditionalFormatting sqref="BZ83:BZ84">
    <cfRule type="expression" dxfId="27" priority="11" stopIfTrue="1">
      <formula>AND(K83&gt;0,BZ83=0)</formula>
    </cfRule>
    <cfRule type="expression" dxfId="26" priority="12" stopIfTrue="1">
      <formula>AND(K83=0,BZ83&lt;&gt;0)</formula>
    </cfRule>
  </conditionalFormatting>
  <conditionalFormatting sqref="BZ83">
    <cfRule type="expression" dxfId="25" priority="9" stopIfTrue="1">
      <formula>AND(K83&gt;0,BZ83=0)</formula>
    </cfRule>
    <cfRule type="expression" dxfId="24" priority="10" stopIfTrue="1">
      <formula>AND(K83=0,BZ83&lt;&gt;0)</formula>
    </cfRule>
  </conditionalFormatting>
  <conditionalFormatting sqref="BZ84">
    <cfRule type="expression" dxfId="23" priority="7" stopIfTrue="1">
      <formula>AND(K84&gt;0,BZ84=0)</formula>
    </cfRule>
    <cfRule type="expression" dxfId="22" priority="8" stopIfTrue="1">
      <formula>AND(K84=0,BZ84&lt;&gt;0)</formula>
    </cfRule>
  </conditionalFormatting>
  <conditionalFormatting sqref="BZ93:BZ94">
    <cfRule type="expression" dxfId="21" priority="5" stopIfTrue="1">
      <formula>AND(K93&gt;0,BZ93=0)</formula>
    </cfRule>
    <cfRule type="expression" dxfId="20" priority="6" stopIfTrue="1">
      <formula>AND(K93=0,BZ93&lt;&gt;0)</formula>
    </cfRule>
  </conditionalFormatting>
  <conditionalFormatting sqref="BZ94">
    <cfRule type="expression" dxfId="19" priority="3" stopIfTrue="1">
      <formula>AND(K94&gt;0,BZ94=0)</formula>
    </cfRule>
    <cfRule type="expression" dxfId="18" priority="4" stopIfTrue="1">
      <formula>AND(K94=0,BZ94&lt;&gt;0)</formula>
    </cfRule>
  </conditionalFormatting>
  <conditionalFormatting sqref="BZ94">
    <cfRule type="expression" dxfId="17" priority="1" stopIfTrue="1">
      <formula>AND(K94&gt;0,BZ94=0)</formula>
    </cfRule>
    <cfRule type="expression" dxfId="16" priority="2" stopIfTrue="1">
      <formula>AND(K94=0,BZ94&lt;&gt;0)</formula>
    </cfRule>
  </conditionalFormatting>
  <printOptions horizontalCentered="1"/>
  <pageMargins left="0" right="0" top="0.59055118110236227" bottom="0.39370078740157483" header="0.11811023622047245" footer="0.11811023622047245"/>
  <pageSetup paperSize="8" scale="15" fitToHeight="100" orientation="landscape" r:id="rId1"/>
  <headerFooter alignWithMargins="0">
    <oddFooter>&amp;L&amp;F&amp;C&amp;9&amp;A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6"/>
  <sheetViews>
    <sheetView showZeros="0" tabSelected="1" zoomScale="85" zoomScaleNormal="85" workbookViewId="0">
      <selection activeCell="A4" sqref="A4:N4"/>
    </sheetView>
  </sheetViews>
  <sheetFormatPr defaultColWidth="2.83203125" defaultRowHeight="12.75" x14ac:dyDescent="0.2"/>
  <cols>
    <col min="1" max="55" width="3.33203125" style="6" customWidth="1"/>
    <col min="56" max="56" width="5" style="6" customWidth="1"/>
    <col min="57" max="59" width="3.33203125" style="6" customWidth="1"/>
    <col min="60" max="60" width="4.5" style="6" customWidth="1"/>
    <col min="61" max="61" width="4" style="6" customWidth="1"/>
    <col min="62" max="65" width="3.33203125" style="6" customWidth="1"/>
    <col min="66" max="66" width="5" style="6" customWidth="1"/>
    <col min="67" max="16384" width="2.83203125" style="6"/>
  </cols>
  <sheetData>
    <row r="1" spans="1:67" ht="15.75" customHeight="1" x14ac:dyDescent="0.2">
      <c r="A1" s="182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583" t="s">
        <v>34</v>
      </c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  <c r="AO1" s="583"/>
      <c r="AP1" s="583"/>
      <c r="AQ1" s="583"/>
      <c r="AR1" s="583"/>
      <c r="AS1" s="583"/>
      <c r="AT1" s="583"/>
      <c r="AU1" s="583"/>
      <c r="AV1" s="583"/>
      <c r="AW1" s="583"/>
      <c r="AX1" s="583"/>
      <c r="AY1" s="583"/>
      <c r="AZ1" s="583"/>
      <c r="BA1" s="583"/>
      <c r="BB1" s="583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</row>
    <row r="2" spans="1:67" ht="15.75" customHeight="1" x14ac:dyDescent="0.2">
      <c r="A2" s="749" t="s">
        <v>445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584" t="s">
        <v>357</v>
      </c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4"/>
      <c r="AP2" s="584"/>
      <c r="AQ2" s="584"/>
      <c r="AR2" s="584"/>
      <c r="AS2" s="584"/>
      <c r="AT2" s="584"/>
      <c r="AU2" s="584"/>
      <c r="AV2" s="584"/>
      <c r="AW2" s="584"/>
      <c r="AX2" s="584"/>
      <c r="AY2" s="584"/>
      <c r="AZ2" s="584"/>
      <c r="BA2" s="584"/>
      <c r="BB2" s="584"/>
      <c r="BC2" s="595" t="s">
        <v>47</v>
      </c>
      <c r="BD2" s="595"/>
      <c r="BE2" s="595"/>
      <c r="BF2" s="595"/>
      <c r="BG2" s="595"/>
      <c r="BH2" s="595"/>
      <c r="BI2" s="595"/>
      <c r="BJ2" s="595"/>
      <c r="BK2" s="595"/>
      <c r="BL2" s="595"/>
      <c r="BM2" s="595"/>
      <c r="BN2" s="595"/>
    </row>
    <row r="3" spans="1:67" ht="15.75" customHeight="1" x14ac:dyDescent="0.2">
      <c r="A3" s="598"/>
      <c r="B3" s="598"/>
      <c r="C3" s="598"/>
      <c r="D3" s="598"/>
      <c r="E3" s="598"/>
      <c r="F3" s="598"/>
      <c r="G3" s="598"/>
      <c r="H3" s="598" t="s">
        <v>622</v>
      </c>
      <c r="I3" s="598"/>
      <c r="J3" s="598"/>
      <c r="K3" s="598"/>
      <c r="L3" s="598"/>
      <c r="M3" s="598"/>
      <c r="N3" s="598"/>
      <c r="O3" s="584" t="s">
        <v>358</v>
      </c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  <c r="AT3" s="584"/>
      <c r="AU3" s="584"/>
      <c r="AV3" s="584"/>
      <c r="AW3" s="584"/>
      <c r="AX3" s="584"/>
      <c r="AY3" s="584"/>
      <c r="AZ3" s="584"/>
      <c r="BA3" s="584"/>
      <c r="BB3" s="584"/>
      <c r="BC3" s="597" t="s">
        <v>364</v>
      </c>
      <c r="BD3" s="597"/>
      <c r="BE3" s="597"/>
      <c r="BF3" s="597"/>
      <c r="BG3" s="597"/>
      <c r="BH3" s="597"/>
      <c r="BI3" s="597"/>
      <c r="BJ3" s="597"/>
      <c r="BK3" s="597"/>
      <c r="BL3" s="597"/>
      <c r="BM3" s="597"/>
      <c r="BN3" s="597"/>
    </row>
    <row r="4" spans="1:67" ht="15.75" customHeight="1" x14ac:dyDescent="0.2">
      <c r="A4" s="593"/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591" t="s">
        <v>482</v>
      </c>
      <c r="BD4" s="591"/>
      <c r="BE4" s="591"/>
      <c r="BF4" s="591"/>
      <c r="BG4" s="591"/>
      <c r="BH4" s="591"/>
      <c r="BI4" s="591"/>
      <c r="BJ4" s="591"/>
      <c r="BK4" s="591"/>
      <c r="BL4" s="591"/>
      <c r="BM4" s="591"/>
      <c r="BN4" s="591"/>
    </row>
    <row r="5" spans="1:67" ht="15.75" customHeight="1" x14ac:dyDescent="0.2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206"/>
      <c r="P5" s="206"/>
      <c r="Q5" s="206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30"/>
      <c r="BD5" s="208"/>
      <c r="BE5" s="208"/>
      <c r="BF5" s="31"/>
      <c r="BG5" s="32"/>
      <c r="BH5" s="32"/>
      <c r="BI5" s="32"/>
      <c r="BJ5" s="32"/>
      <c r="BK5" s="32"/>
      <c r="BL5" s="32"/>
      <c r="BM5" s="32"/>
      <c r="BN5" s="208"/>
    </row>
    <row r="6" spans="1:67" ht="15.75" customHeight="1" x14ac:dyDescent="0.2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206"/>
      <c r="P6" s="206"/>
      <c r="Q6" s="206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596"/>
      <c r="BD6" s="596"/>
      <c r="BE6" s="596"/>
      <c r="BF6" s="596"/>
      <c r="BG6" s="596"/>
      <c r="BH6" s="596"/>
      <c r="BI6" s="596"/>
      <c r="BJ6" s="596"/>
      <c r="BK6" s="596"/>
      <c r="BL6" s="596"/>
      <c r="BM6" s="596"/>
      <c r="BN6" s="596"/>
      <c r="BO6" s="596"/>
    </row>
    <row r="7" spans="1:67" ht="25.5" x14ac:dyDescent="0.2">
      <c r="A7" s="594" t="s">
        <v>376</v>
      </c>
      <c r="B7" s="594"/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594"/>
      <c r="AD7" s="594"/>
      <c r="AE7" s="594"/>
      <c r="AF7" s="594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/>
      <c r="AU7" s="594"/>
      <c r="AV7" s="594"/>
      <c r="AW7" s="594"/>
      <c r="AX7" s="594"/>
      <c r="AY7" s="594"/>
      <c r="AZ7" s="594"/>
      <c r="BA7" s="594"/>
      <c r="BB7" s="594"/>
      <c r="BC7" s="594"/>
      <c r="BD7" s="594"/>
      <c r="BE7" s="594"/>
      <c r="BF7" s="594"/>
      <c r="BG7" s="594"/>
      <c r="BH7" s="594"/>
      <c r="BI7" s="594"/>
      <c r="BJ7" s="594"/>
      <c r="BK7" s="594"/>
      <c r="BL7" s="594"/>
      <c r="BM7" s="594"/>
      <c r="BN7" s="594"/>
    </row>
    <row r="8" spans="1:67" s="3" customFormat="1" ht="15.75" customHeight="1" x14ac:dyDescent="0.2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10"/>
      <c r="P8" s="205"/>
      <c r="Q8" s="205"/>
      <c r="R8" s="205"/>
      <c r="S8" s="205"/>
      <c r="T8" s="205"/>
      <c r="U8" s="205"/>
      <c r="V8" s="205"/>
      <c r="W8" s="205"/>
      <c r="X8" s="747" t="s">
        <v>377</v>
      </c>
      <c r="Y8" s="583"/>
      <c r="Z8" s="583"/>
      <c r="AA8" s="583"/>
      <c r="AB8" s="583"/>
      <c r="AC8" s="583"/>
      <c r="AD8" s="583"/>
      <c r="AE8" s="583"/>
      <c r="AF8" s="583"/>
      <c r="AG8" s="583"/>
      <c r="AH8" s="583"/>
      <c r="AI8" s="583"/>
      <c r="AJ8" s="583"/>
      <c r="AK8" s="583"/>
      <c r="AL8" s="583"/>
      <c r="AM8" s="583"/>
      <c r="AN8" s="583"/>
      <c r="AO8" s="583"/>
      <c r="AP8" s="583"/>
      <c r="AQ8" s="583"/>
      <c r="AR8" s="583"/>
      <c r="AS8" s="583"/>
      <c r="AT8" s="583"/>
      <c r="AU8" s="205"/>
      <c r="AV8" s="205"/>
      <c r="AW8" s="205"/>
      <c r="AX8" s="205"/>
      <c r="AY8" s="205"/>
      <c r="AZ8" s="205"/>
      <c r="BA8" s="205"/>
      <c r="BB8" s="205"/>
      <c r="BC8" s="205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</row>
    <row r="9" spans="1:67" s="3" customFormat="1" ht="15.75" customHeight="1" x14ac:dyDescent="0.2">
      <c r="A9" s="599" t="s">
        <v>167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748" t="s">
        <v>359</v>
      </c>
      <c r="P9" s="748"/>
      <c r="Q9" s="748"/>
      <c r="R9" s="748"/>
      <c r="S9" s="748"/>
      <c r="T9" s="748"/>
      <c r="U9" s="748"/>
      <c r="V9" s="748"/>
      <c r="W9" s="748"/>
      <c r="X9" s="748"/>
      <c r="Y9" s="748"/>
      <c r="Z9" s="748"/>
      <c r="AA9" s="748"/>
      <c r="AB9" s="748"/>
      <c r="AC9" s="748"/>
      <c r="AD9" s="748"/>
      <c r="AE9" s="748"/>
      <c r="AF9" s="748"/>
      <c r="AG9" s="748"/>
      <c r="AH9" s="748"/>
      <c r="AI9" s="748"/>
      <c r="AJ9" s="748"/>
      <c r="AK9" s="748"/>
      <c r="AL9" s="748"/>
      <c r="AM9" s="748"/>
      <c r="AN9" s="748"/>
      <c r="AO9" s="748"/>
      <c r="AP9" s="748"/>
      <c r="AQ9" s="748"/>
      <c r="AR9" s="748"/>
      <c r="AS9" s="748"/>
      <c r="AT9" s="748"/>
      <c r="AU9" s="748"/>
      <c r="AV9" s="748"/>
      <c r="AW9" s="748"/>
      <c r="AX9" s="748"/>
      <c r="AY9" s="748"/>
      <c r="AZ9" s="748"/>
      <c r="BA9" s="748"/>
      <c r="BB9" s="748"/>
      <c r="BC9" s="601" t="s">
        <v>51</v>
      </c>
      <c r="BD9" s="601"/>
      <c r="BE9" s="601"/>
      <c r="BF9" s="601"/>
      <c r="BG9" s="601"/>
      <c r="BH9" s="601"/>
      <c r="BI9" s="601"/>
      <c r="BJ9" s="601"/>
      <c r="BK9" s="601"/>
      <c r="BL9" s="601"/>
      <c r="BM9" s="601"/>
      <c r="BN9" s="601"/>
    </row>
    <row r="10" spans="1:67" s="3" customFormat="1" ht="15.75" customHeight="1" x14ac:dyDescent="0.2">
      <c r="A10" s="599" t="s">
        <v>164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603" t="s">
        <v>548</v>
      </c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576"/>
      <c r="AR10" s="576"/>
      <c r="AS10" s="576"/>
      <c r="AT10" s="576"/>
      <c r="AU10" s="576"/>
      <c r="AV10" s="576"/>
      <c r="AW10" s="576"/>
      <c r="AX10" s="576"/>
      <c r="AY10" s="576"/>
      <c r="AZ10" s="576"/>
      <c r="BA10" s="576"/>
      <c r="BB10" s="576"/>
      <c r="BC10" s="601"/>
      <c r="BD10" s="601"/>
      <c r="BE10" s="601"/>
      <c r="BF10" s="601"/>
      <c r="BG10" s="601"/>
      <c r="BH10" s="601"/>
      <c r="BI10" s="601"/>
      <c r="BJ10" s="601"/>
      <c r="BK10" s="601"/>
      <c r="BL10" s="601"/>
      <c r="BM10" s="601"/>
      <c r="BN10" s="601"/>
    </row>
    <row r="11" spans="1:67" s="3" customFormat="1" ht="15.75" customHeight="1" x14ac:dyDescent="0.2">
      <c r="A11" s="599" t="s">
        <v>213</v>
      </c>
      <c r="B11" s="599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  <c r="AQ11" s="576"/>
      <c r="AR11" s="576"/>
      <c r="AS11" s="576"/>
      <c r="AT11" s="576"/>
      <c r="AU11" s="576"/>
      <c r="AV11" s="576"/>
      <c r="AW11" s="576"/>
      <c r="AX11" s="576"/>
      <c r="AY11" s="576"/>
      <c r="AZ11" s="576"/>
      <c r="BA11" s="576"/>
      <c r="BB11" s="576"/>
      <c r="BC11" s="601"/>
      <c r="BD11" s="601"/>
      <c r="BE11" s="601"/>
      <c r="BF11" s="601"/>
      <c r="BG11" s="601"/>
      <c r="BH11" s="601"/>
      <c r="BI11" s="601"/>
      <c r="BJ11" s="601"/>
      <c r="BK11" s="601"/>
      <c r="BL11" s="601"/>
      <c r="BM11" s="601"/>
      <c r="BN11" s="601"/>
    </row>
    <row r="12" spans="1:67" s="3" customFormat="1" ht="15.75" customHeight="1" x14ac:dyDescent="0.2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  <c r="AN12" s="576"/>
      <c r="AO12" s="576"/>
      <c r="AP12" s="576"/>
      <c r="AQ12" s="576"/>
      <c r="AR12" s="576"/>
      <c r="AS12" s="576"/>
      <c r="AT12" s="576"/>
      <c r="AU12" s="576"/>
      <c r="AV12" s="576"/>
      <c r="AW12" s="576"/>
      <c r="AX12" s="576"/>
      <c r="AY12" s="576"/>
      <c r="AZ12" s="576"/>
      <c r="BA12" s="576"/>
      <c r="BB12" s="576"/>
      <c r="BC12" s="601"/>
      <c r="BD12" s="601"/>
      <c r="BE12" s="601"/>
      <c r="BF12" s="601"/>
      <c r="BG12" s="601"/>
      <c r="BH12" s="601"/>
      <c r="BI12" s="601"/>
      <c r="BJ12" s="601"/>
      <c r="BK12" s="601"/>
      <c r="BL12" s="601"/>
      <c r="BM12" s="601"/>
      <c r="BN12" s="601"/>
    </row>
    <row r="13" spans="1:67" s="3" customFormat="1" ht="15.75" customHeight="1" x14ac:dyDescent="0.2">
      <c r="A13" s="599" t="s">
        <v>48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76" t="s">
        <v>166</v>
      </c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  <c r="AA13" s="576"/>
      <c r="AB13" s="576"/>
      <c r="AC13" s="576"/>
      <c r="AD13" s="576"/>
      <c r="AE13" s="576"/>
      <c r="AF13" s="576"/>
      <c r="AG13" s="576"/>
      <c r="AH13" s="576"/>
      <c r="AI13" s="576"/>
      <c r="AJ13" s="576"/>
      <c r="AK13" s="576"/>
      <c r="AL13" s="576"/>
      <c r="AM13" s="576"/>
      <c r="AN13" s="576"/>
      <c r="AO13" s="576"/>
      <c r="AP13" s="576"/>
      <c r="AQ13" s="576"/>
      <c r="AR13" s="576"/>
      <c r="AS13" s="576"/>
      <c r="AT13" s="576"/>
      <c r="AU13" s="576"/>
      <c r="AV13" s="576"/>
      <c r="AW13" s="576"/>
      <c r="AX13" s="576"/>
      <c r="AY13" s="576"/>
      <c r="AZ13" s="576"/>
      <c r="BA13" s="576"/>
      <c r="BB13" s="576"/>
      <c r="BC13" s="745" t="s">
        <v>365</v>
      </c>
      <c r="BD13" s="746"/>
      <c r="BE13" s="746"/>
      <c r="BF13" s="746"/>
      <c r="BG13" s="746"/>
      <c r="BH13" s="746"/>
      <c r="BI13" s="746"/>
      <c r="BJ13" s="746"/>
      <c r="BK13" s="746"/>
      <c r="BL13" s="746"/>
      <c r="BM13" s="746"/>
      <c r="BN13" s="746"/>
    </row>
    <row r="14" spans="1:67" s="3" customFormat="1" ht="15.75" customHeight="1" x14ac:dyDescent="0.2">
      <c r="A14" s="599" t="s">
        <v>168</v>
      </c>
      <c r="B14" s="599"/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76" t="s">
        <v>169</v>
      </c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576"/>
      <c r="AX14" s="576"/>
      <c r="AY14" s="576"/>
      <c r="AZ14" s="576"/>
      <c r="BA14" s="576"/>
      <c r="BB14" s="576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</row>
    <row r="15" spans="1:67" s="3" customFormat="1" ht="15.75" customHeight="1" x14ac:dyDescent="0.2">
      <c r="A15" s="599" t="s">
        <v>49</v>
      </c>
      <c r="B15" s="599"/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744" t="s">
        <v>118</v>
      </c>
      <c r="P15" s="744"/>
      <c r="Q15" s="744"/>
      <c r="R15" s="744"/>
      <c r="S15" s="744"/>
      <c r="T15" s="744"/>
      <c r="U15" s="744"/>
      <c r="V15" s="744"/>
      <c r="W15" s="744"/>
      <c r="X15" s="744"/>
      <c r="Y15" s="744"/>
      <c r="Z15" s="744"/>
      <c r="AA15" s="744"/>
      <c r="AB15" s="744"/>
      <c r="AC15" s="744"/>
      <c r="AD15" s="744"/>
      <c r="AE15" s="744"/>
      <c r="AF15" s="744"/>
      <c r="AG15" s="744"/>
      <c r="AH15" s="744"/>
      <c r="AI15" s="744"/>
      <c r="AJ15" s="744"/>
      <c r="AK15" s="744"/>
      <c r="AL15" s="744"/>
      <c r="AM15" s="744"/>
      <c r="AN15" s="744"/>
      <c r="AO15" s="744"/>
      <c r="AP15" s="744"/>
      <c r="AQ15" s="744"/>
      <c r="AR15" s="744"/>
      <c r="AS15" s="744"/>
      <c r="AT15" s="744"/>
      <c r="AU15" s="744"/>
      <c r="AV15" s="744"/>
      <c r="AW15" s="744"/>
      <c r="AX15" s="744"/>
      <c r="AY15" s="744"/>
      <c r="AZ15" s="744"/>
      <c r="BA15" s="744"/>
      <c r="BB15" s="744"/>
      <c r="BC15" s="205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</row>
    <row r="16" spans="1:67" ht="15.75" customHeight="1" x14ac:dyDescent="0.2">
      <c r="A16" s="599" t="s">
        <v>291</v>
      </c>
      <c r="B16" s="599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85">
        <v>4</v>
      </c>
      <c r="P16" s="585"/>
      <c r="Q16" s="586" t="s">
        <v>292</v>
      </c>
      <c r="R16" s="586"/>
      <c r="S16" s="586"/>
      <c r="T16" s="585">
        <v>4</v>
      </c>
      <c r="U16" s="585"/>
      <c r="V16" s="587" t="s">
        <v>293</v>
      </c>
      <c r="W16" s="587"/>
      <c r="X16" s="587"/>
      <c r="Y16" s="587"/>
      <c r="Z16" s="58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6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</row>
    <row r="17" spans="1:66" ht="15.7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556" t="s">
        <v>50</v>
      </c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  <c r="AO17" s="556"/>
      <c r="AP17" s="556"/>
      <c r="AQ17" s="556"/>
      <c r="AR17" s="556"/>
      <c r="AS17" s="556"/>
      <c r="AT17" s="556"/>
      <c r="AU17" s="556"/>
      <c r="AV17" s="556"/>
      <c r="AW17" s="556"/>
      <c r="AX17" s="556"/>
      <c r="AY17" s="556"/>
      <c r="AZ17" s="556"/>
      <c r="BA17" s="556"/>
      <c r="BB17" s="556"/>
      <c r="BC17" s="34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</row>
    <row r="18" spans="1:66" ht="9" customHeight="1" x14ac:dyDescent="0.2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</row>
    <row r="19" spans="1:66" x14ac:dyDescent="0.2">
      <c r="A19" s="606" t="s">
        <v>10</v>
      </c>
      <c r="B19" s="566" t="s">
        <v>11</v>
      </c>
      <c r="C19" s="567"/>
      <c r="D19" s="567"/>
      <c r="E19" s="568"/>
      <c r="F19" s="574" t="s">
        <v>64</v>
      </c>
      <c r="G19" s="566" t="s">
        <v>25</v>
      </c>
      <c r="H19" s="567"/>
      <c r="I19" s="568"/>
      <c r="J19" s="574" t="s">
        <v>138</v>
      </c>
      <c r="K19" s="566" t="s">
        <v>12</v>
      </c>
      <c r="L19" s="567"/>
      <c r="M19" s="567"/>
      <c r="N19" s="568"/>
      <c r="O19" s="566" t="s">
        <v>13</v>
      </c>
      <c r="P19" s="567"/>
      <c r="Q19" s="567"/>
      <c r="R19" s="568"/>
      <c r="S19" s="574" t="s">
        <v>137</v>
      </c>
      <c r="T19" s="566" t="s">
        <v>14</v>
      </c>
      <c r="U19" s="567"/>
      <c r="V19" s="568"/>
      <c r="W19" s="574" t="s">
        <v>63</v>
      </c>
      <c r="X19" s="566" t="s">
        <v>15</v>
      </c>
      <c r="Y19" s="567"/>
      <c r="Z19" s="568"/>
      <c r="AA19" s="574" t="s">
        <v>133</v>
      </c>
      <c r="AB19" s="566" t="s">
        <v>16</v>
      </c>
      <c r="AC19" s="567"/>
      <c r="AD19" s="567"/>
      <c r="AE19" s="568"/>
      <c r="AF19" s="574" t="s">
        <v>62</v>
      </c>
      <c r="AG19" s="566" t="s">
        <v>17</v>
      </c>
      <c r="AH19" s="567"/>
      <c r="AI19" s="568"/>
      <c r="AJ19" s="574" t="s">
        <v>61</v>
      </c>
      <c r="AK19" s="566" t="s">
        <v>18</v>
      </c>
      <c r="AL19" s="567"/>
      <c r="AM19" s="567"/>
      <c r="AN19" s="568"/>
      <c r="AO19" s="566" t="s">
        <v>19</v>
      </c>
      <c r="AP19" s="567"/>
      <c r="AQ19" s="567"/>
      <c r="AR19" s="568"/>
      <c r="AS19" s="574" t="s">
        <v>136</v>
      </c>
      <c r="AT19" s="566" t="s">
        <v>20</v>
      </c>
      <c r="AU19" s="567"/>
      <c r="AV19" s="568"/>
      <c r="AW19" s="574" t="s">
        <v>132</v>
      </c>
      <c r="AX19" s="566" t="s">
        <v>21</v>
      </c>
      <c r="AY19" s="567"/>
      <c r="AZ19" s="567"/>
      <c r="BA19" s="568"/>
      <c r="BB19" s="588" t="s">
        <v>57</v>
      </c>
      <c r="BC19" s="589"/>
      <c r="BD19" s="589"/>
      <c r="BE19" s="589"/>
      <c r="BF19" s="589"/>
      <c r="BG19" s="589"/>
      <c r="BH19" s="589"/>
      <c r="BI19" s="589"/>
      <c r="BJ19" s="589"/>
      <c r="BK19" s="589"/>
      <c r="BL19" s="589"/>
      <c r="BM19" s="589"/>
      <c r="BN19" s="590"/>
    </row>
    <row r="20" spans="1:66" ht="15.75" customHeight="1" x14ac:dyDescent="0.2">
      <c r="A20" s="607"/>
      <c r="B20" s="569"/>
      <c r="C20" s="570"/>
      <c r="D20" s="570"/>
      <c r="E20" s="571"/>
      <c r="F20" s="575"/>
      <c r="G20" s="569"/>
      <c r="H20" s="570"/>
      <c r="I20" s="571"/>
      <c r="J20" s="575"/>
      <c r="K20" s="569"/>
      <c r="L20" s="570"/>
      <c r="M20" s="570"/>
      <c r="N20" s="571"/>
      <c r="O20" s="569"/>
      <c r="P20" s="570"/>
      <c r="Q20" s="570"/>
      <c r="R20" s="571"/>
      <c r="S20" s="575"/>
      <c r="T20" s="569"/>
      <c r="U20" s="570"/>
      <c r="V20" s="571"/>
      <c r="W20" s="575"/>
      <c r="X20" s="569"/>
      <c r="Y20" s="570"/>
      <c r="Z20" s="571"/>
      <c r="AA20" s="575"/>
      <c r="AB20" s="569"/>
      <c r="AC20" s="570"/>
      <c r="AD20" s="570"/>
      <c r="AE20" s="571"/>
      <c r="AF20" s="575"/>
      <c r="AG20" s="569"/>
      <c r="AH20" s="570"/>
      <c r="AI20" s="571"/>
      <c r="AJ20" s="575"/>
      <c r="AK20" s="569"/>
      <c r="AL20" s="570"/>
      <c r="AM20" s="570"/>
      <c r="AN20" s="571"/>
      <c r="AO20" s="569"/>
      <c r="AP20" s="570"/>
      <c r="AQ20" s="570"/>
      <c r="AR20" s="571"/>
      <c r="AS20" s="575"/>
      <c r="AT20" s="569"/>
      <c r="AU20" s="570"/>
      <c r="AV20" s="571"/>
      <c r="AW20" s="575"/>
      <c r="AX20" s="569"/>
      <c r="AY20" s="570"/>
      <c r="AZ20" s="570"/>
      <c r="BA20" s="571"/>
      <c r="BB20" s="557" t="s">
        <v>8</v>
      </c>
      <c r="BC20" s="558"/>
      <c r="BD20" s="559"/>
      <c r="BE20" s="557" t="s">
        <v>315</v>
      </c>
      <c r="BF20" s="558"/>
      <c r="BG20" s="559"/>
      <c r="BH20" s="577" t="s">
        <v>326</v>
      </c>
      <c r="BI20" s="577" t="s">
        <v>146</v>
      </c>
      <c r="BJ20" s="577" t="s">
        <v>45</v>
      </c>
      <c r="BK20" s="577" t="s">
        <v>58</v>
      </c>
      <c r="BL20" s="577" t="s">
        <v>59</v>
      </c>
      <c r="BM20" s="577" t="s">
        <v>46</v>
      </c>
      <c r="BN20" s="577" t="s">
        <v>1</v>
      </c>
    </row>
    <row r="21" spans="1:66" ht="15.75" customHeight="1" x14ac:dyDescent="0.2">
      <c r="A21" s="607"/>
      <c r="B21" s="7">
        <v>1</v>
      </c>
      <c r="C21" s="7">
        <v>8</v>
      </c>
      <c r="D21" s="7">
        <v>15</v>
      </c>
      <c r="E21" s="7">
        <v>22</v>
      </c>
      <c r="F21" s="572" t="s">
        <v>125</v>
      </c>
      <c r="G21" s="7">
        <v>6</v>
      </c>
      <c r="H21" s="7">
        <v>13</v>
      </c>
      <c r="I21" s="7">
        <v>20</v>
      </c>
      <c r="J21" s="572" t="s">
        <v>126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572" t="s">
        <v>127</v>
      </c>
      <c r="T21" s="7">
        <v>5</v>
      </c>
      <c r="U21" s="7">
        <v>12</v>
      </c>
      <c r="V21" s="7">
        <v>19</v>
      </c>
      <c r="W21" s="572" t="s">
        <v>128</v>
      </c>
      <c r="X21" s="7">
        <v>2</v>
      </c>
      <c r="Y21" s="7">
        <v>9</v>
      </c>
      <c r="Z21" s="7">
        <v>16</v>
      </c>
      <c r="AA21" s="572" t="s">
        <v>134</v>
      </c>
      <c r="AB21" s="7">
        <v>2</v>
      </c>
      <c r="AC21" s="7">
        <v>9</v>
      </c>
      <c r="AD21" s="7">
        <v>16</v>
      </c>
      <c r="AE21" s="7">
        <v>23</v>
      </c>
      <c r="AF21" s="572" t="s">
        <v>130</v>
      </c>
      <c r="AG21" s="7">
        <v>6</v>
      </c>
      <c r="AH21" s="7">
        <v>13</v>
      </c>
      <c r="AI21" s="7">
        <v>20</v>
      </c>
      <c r="AJ21" s="572" t="s">
        <v>131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572" t="s">
        <v>135</v>
      </c>
      <c r="AT21" s="7">
        <v>6</v>
      </c>
      <c r="AU21" s="7">
        <v>13</v>
      </c>
      <c r="AV21" s="7">
        <v>20</v>
      </c>
      <c r="AW21" s="572" t="s">
        <v>129</v>
      </c>
      <c r="AX21" s="7">
        <v>2</v>
      </c>
      <c r="AY21" s="7">
        <v>9</v>
      </c>
      <c r="AZ21" s="7">
        <v>16</v>
      </c>
      <c r="BA21" s="7">
        <v>23</v>
      </c>
      <c r="BB21" s="560"/>
      <c r="BC21" s="561"/>
      <c r="BD21" s="562"/>
      <c r="BE21" s="560"/>
      <c r="BF21" s="561"/>
      <c r="BG21" s="562"/>
      <c r="BH21" s="578"/>
      <c r="BI21" s="578"/>
      <c r="BJ21" s="578"/>
      <c r="BK21" s="578"/>
      <c r="BL21" s="578"/>
      <c r="BM21" s="578"/>
      <c r="BN21" s="578"/>
    </row>
    <row r="22" spans="1:66" ht="18" customHeight="1" x14ac:dyDescent="0.2">
      <c r="A22" s="607"/>
      <c r="B22" s="202">
        <v>7</v>
      </c>
      <c r="C22" s="202">
        <v>14</v>
      </c>
      <c r="D22" s="202">
        <v>21</v>
      </c>
      <c r="E22" s="202">
        <v>28</v>
      </c>
      <c r="F22" s="573"/>
      <c r="G22" s="202">
        <v>12</v>
      </c>
      <c r="H22" s="202">
        <v>19</v>
      </c>
      <c r="I22" s="202">
        <v>26</v>
      </c>
      <c r="J22" s="573"/>
      <c r="K22" s="202">
        <v>9</v>
      </c>
      <c r="L22" s="202">
        <v>16</v>
      </c>
      <c r="M22" s="202">
        <v>23</v>
      </c>
      <c r="N22" s="202">
        <v>30</v>
      </c>
      <c r="O22" s="202">
        <v>7</v>
      </c>
      <c r="P22" s="202">
        <v>14</v>
      </c>
      <c r="Q22" s="202">
        <v>21</v>
      </c>
      <c r="R22" s="202">
        <v>28</v>
      </c>
      <c r="S22" s="573"/>
      <c r="T22" s="202">
        <v>11</v>
      </c>
      <c r="U22" s="202">
        <v>18</v>
      </c>
      <c r="V22" s="202">
        <v>25</v>
      </c>
      <c r="W22" s="573"/>
      <c r="X22" s="202">
        <v>8</v>
      </c>
      <c r="Y22" s="202">
        <v>15</v>
      </c>
      <c r="Z22" s="202">
        <v>22</v>
      </c>
      <c r="AA22" s="573"/>
      <c r="AB22" s="202">
        <v>8</v>
      </c>
      <c r="AC22" s="202">
        <v>15</v>
      </c>
      <c r="AD22" s="202">
        <v>22</v>
      </c>
      <c r="AE22" s="202">
        <v>29</v>
      </c>
      <c r="AF22" s="573"/>
      <c r="AG22" s="202">
        <v>12</v>
      </c>
      <c r="AH22" s="202">
        <v>19</v>
      </c>
      <c r="AI22" s="202">
        <v>26</v>
      </c>
      <c r="AJ22" s="573"/>
      <c r="AK22" s="202">
        <v>10</v>
      </c>
      <c r="AL22" s="202">
        <v>17</v>
      </c>
      <c r="AM22" s="202">
        <v>24</v>
      </c>
      <c r="AN22" s="202">
        <v>31</v>
      </c>
      <c r="AO22" s="202">
        <v>7</v>
      </c>
      <c r="AP22" s="202">
        <v>14</v>
      </c>
      <c r="AQ22" s="202">
        <v>21</v>
      </c>
      <c r="AR22" s="202">
        <v>28</v>
      </c>
      <c r="AS22" s="573"/>
      <c r="AT22" s="202">
        <v>12</v>
      </c>
      <c r="AU22" s="202">
        <v>19</v>
      </c>
      <c r="AV22" s="202">
        <v>26</v>
      </c>
      <c r="AW22" s="573"/>
      <c r="AX22" s="202">
        <v>8</v>
      </c>
      <c r="AY22" s="202">
        <v>15</v>
      </c>
      <c r="AZ22" s="202">
        <v>22</v>
      </c>
      <c r="BA22" s="202">
        <v>31</v>
      </c>
      <c r="BB22" s="563"/>
      <c r="BC22" s="564"/>
      <c r="BD22" s="565"/>
      <c r="BE22" s="563"/>
      <c r="BF22" s="564"/>
      <c r="BG22" s="565"/>
      <c r="BH22" s="578"/>
      <c r="BI22" s="578"/>
      <c r="BJ22" s="578"/>
      <c r="BK22" s="578"/>
      <c r="BL22" s="578"/>
      <c r="BM22" s="578"/>
      <c r="BN22" s="578"/>
    </row>
    <row r="23" spans="1:66" ht="15.75" customHeight="1" x14ac:dyDescent="0.2">
      <c r="A23" s="608"/>
      <c r="B23" s="216">
        <v>1</v>
      </c>
      <c r="C23" s="216">
        <v>2</v>
      </c>
      <c r="D23" s="216">
        <v>3</v>
      </c>
      <c r="E23" s="216">
        <v>4</v>
      </c>
      <c r="F23" s="216">
        <v>5</v>
      </c>
      <c r="G23" s="216">
        <v>6</v>
      </c>
      <c r="H23" s="216">
        <v>7</v>
      </c>
      <c r="I23" s="216">
        <v>8</v>
      </c>
      <c r="J23" s="216">
        <v>9</v>
      </c>
      <c r="K23" s="216">
        <v>10</v>
      </c>
      <c r="L23" s="216">
        <v>11</v>
      </c>
      <c r="M23" s="216">
        <v>12</v>
      </c>
      <c r="N23" s="216">
        <v>13</v>
      </c>
      <c r="O23" s="216">
        <v>14</v>
      </c>
      <c r="P23" s="216">
        <v>15</v>
      </c>
      <c r="Q23" s="216">
        <v>16</v>
      </c>
      <c r="R23" s="216">
        <v>17</v>
      </c>
      <c r="S23" s="216">
        <v>18</v>
      </c>
      <c r="T23" s="216">
        <v>19</v>
      </c>
      <c r="U23" s="216">
        <v>20</v>
      </c>
      <c r="V23" s="216">
        <v>21</v>
      </c>
      <c r="W23" s="216">
        <v>22</v>
      </c>
      <c r="X23" s="216">
        <v>23</v>
      </c>
      <c r="Y23" s="216">
        <v>24</v>
      </c>
      <c r="Z23" s="216">
        <v>25</v>
      </c>
      <c r="AA23" s="216">
        <v>26</v>
      </c>
      <c r="AB23" s="216">
        <v>27</v>
      </c>
      <c r="AC23" s="216">
        <v>28</v>
      </c>
      <c r="AD23" s="216">
        <v>29</v>
      </c>
      <c r="AE23" s="216">
        <v>30</v>
      </c>
      <c r="AF23" s="216">
        <v>31</v>
      </c>
      <c r="AG23" s="216">
        <v>32</v>
      </c>
      <c r="AH23" s="216">
        <v>33</v>
      </c>
      <c r="AI23" s="216">
        <v>34</v>
      </c>
      <c r="AJ23" s="216">
        <v>35</v>
      </c>
      <c r="AK23" s="216">
        <v>36</v>
      </c>
      <c r="AL23" s="216">
        <v>37</v>
      </c>
      <c r="AM23" s="216">
        <v>38</v>
      </c>
      <c r="AN23" s="216">
        <v>39</v>
      </c>
      <c r="AO23" s="216">
        <v>40</v>
      </c>
      <c r="AP23" s="216">
        <v>41</v>
      </c>
      <c r="AQ23" s="216">
        <v>42</v>
      </c>
      <c r="AR23" s="216">
        <v>43</v>
      </c>
      <c r="AS23" s="216">
        <v>44</v>
      </c>
      <c r="AT23" s="216">
        <v>45</v>
      </c>
      <c r="AU23" s="216">
        <v>46</v>
      </c>
      <c r="AV23" s="216">
        <v>47</v>
      </c>
      <c r="AW23" s="216">
        <v>48</v>
      </c>
      <c r="AX23" s="216">
        <v>49</v>
      </c>
      <c r="AY23" s="216">
        <v>50</v>
      </c>
      <c r="AZ23" s="216">
        <v>51</v>
      </c>
      <c r="BA23" s="216">
        <v>52</v>
      </c>
      <c r="BB23" s="9" t="s">
        <v>77</v>
      </c>
      <c r="BC23" s="9" t="s">
        <v>33</v>
      </c>
      <c r="BD23" s="10" t="s">
        <v>60</v>
      </c>
      <c r="BE23" s="9" t="s">
        <v>77</v>
      </c>
      <c r="BF23" s="9" t="s">
        <v>33</v>
      </c>
      <c r="BG23" s="10" t="s">
        <v>60</v>
      </c>
      <c r="BH23" s="579"/>
      <c r="BI23" s="579"/>
      <c r="BJ23" s="579"/>
      <c r="BK23" s="579"/>
      <c r="BL23" s="579"/>
      <c r="BM23" s="579"/>
      <c r="BN23" s="579"/>
    </row>
    <row r="24" spans="1:66" ht="15.75" customHeight="1" x14ac:dyDescent="0.2">
      <c r="A24" s="8">
        <v>1</v>
      </c>
      <c r="B24" s="35" t="s">
        <v>26</v>
      </c>
      <c r="C24" s="35" t="s">
        <v>26</v>
      </c>
      <c r="D24" s="35" t="s">
        <v>26</v>
      </c>
      <c r="E24" s="35" t="s">
        <v>26</v>
      </c>
      <c r="F24" s="35" t="s">
        <v>26</v>
      </c>
      <c r="G24" s="35" t="s">
        <v>26</v>
      </c>
      <c r="H24" s="35" t="s">
        <v>26</v>
      </c>
      <c r="I24" s="35" t="s">
        <v>26</v>
      </c>
      <c r="J24" s="35" t="s">
        <v>26</v>
      </c>
      <c r="K24" s="35" t="s">
        <v>26</v>
      </c>
      <c r="L24" s="35" t="s">
        <v>26</v>
      </c>
      <c r="M24" s="35" t="s">
        <v>26</v>
      </c>
      <c r="N24" s="35" t="s">
        <v>26</v>
      </c>
      <c r="O24" s="35" t="s">
        <v>26</v>
      </c>
      <c r="P24" s="35" t="s">
        <v>26</v>
      </c>
      <c r="Q24" s="35" t="s">
        <v>77</v>
      </c>
      <c r="R24" s="35" t="s">
        <v>77</v>
      </c>
      <c r="S24" s="35" t="s">
        <v>28</v>
      </c>
      <c r="T24" s="35" t="s">
        <v>28</v>
      </c>
      <c r="U24" s="35" t="s">
        <v>33</v>
      </c>
      <c r="V24" s="35" t="s">
        <v>33</v>
      </c>
      <c r="W24" s="35" t="s">
        <v>33</v>
      </c>
      <c r="X24" s="35" t="s">
        <v>228</v>
      </c>
      <c r="Y24" s="35" t="s">
        <v>228</v>
      </c>
      <c r="Z24" s="35" t="s">
        <v>228</v>
      </c>
      <c r="AA24" s="35" t="s">
        <v>228</v>
      </c>
      <c r="AB24" s="35" t="s">
        <v>33</v>
      </c>
      <c r="AC24" s="35" t="s">
        <v>33</v>
      </c>
      <c r="AD24" s="35" t="s">
        <v>33</v>
      </c>
      <c r="AE24" s="35" t="s">
        <v>33</v>
      </c>
      <c r="AF24" s="35" t="s">
        <v>33</v>
      </c>
      <c r="AG24" s="35" t="s">
        <v>33</v>
      </c>
      <c r="AH24" s="35" t="s">
        <v>33</v>
      </c>
      <c r="AI24" s="35" t="s">
        <v>33</v>
      </c>
      <c r="AJ24" s="35" t="s">
        <v>33</v>
      </c>
      <c r="AK24" s="35" t="s">
        <v>33</v>
      </c>
      <c r="AL24" s="35" t="s">
        <v>33</v>
      </c>
      <c r="AM24" s="35" t="s">
        <v>33</v>
      </c>
      <c r="AN24" s="35" t="s">
        <v>33</v>
      </c>
      <c r="AO24" s="35" t="s">
        <v>33</v>
      </c>
      <c r="AP24" s="35" t="s">
        <v>33</v>
      </c>
      <c r="AQ24" s="35" t="s">
        <v>33</v>
      </c>
      <c r="AR24" s="35" t="s">
        <v>33</v>
      </c>
      <c r="AS24" s="35" t="s">
        <v>33</v>
      </c>
      <c r="AT24" s="35" t="s">
        <v>33</v>
      </c>
      <c r="AU24" s="35" t="s">
        <v>28</v>
      </c>
      <c r="AV24" s="35" t="s">
        <v>28</v>
      </c>
      <c r="AW24" s="35" t="s">
        <v>28</v>
      </c>
      <c r="AX24" s="35" t="s">
        <v>28</v>
      </c>
      <c r="AY24" s="35" t="s">
        <v>28</v>
      </c>
      <c r="AZ24" s="35" t="s">
        <v>28</v>
      </c>
      <c r="BA24" s="35" t="s">
        <v>28</v>
      </c>
      <c r="BB24" s="22">
        <f t="shared" ref="BB24:BB29" si="0">COUNTIF(B24:BA24,"о")</f>
        <v>2</v>
      </c>
      <c r="BC24" s="22">
        <f t="shared" ref="BC24:BC29" si="1">COUNTIF(B24:BA24,"в")</f>
        <v>22</v>
      </c>
      <c r="BD24" s="23">
        <f t="shared" ref="BD24:BD29" si="2">SUM(BB24:BC24)</f>
        <v>24</v>
      </c>
      <c r="BE24" s="22">
        <f t="shared" ref="BE24:BE29" si="3">COUNTIF(B24:BA24,$R$32)</f>
        <v>0</v>
      </c>
      <c r="BF24" s="22">
        <f t="shared" ref="BF24:BF29" si="4">COUNTIF(B24:BA24,$R$34)</f>
        <v>4</v>
      </c>
      <c r="BG24" s="23">
        <f t="shared" ref="BG24:BG29" si="5">SUM(BE24:BF24)</f>
        <v>4</v>
      </c>
      <c r="BH24" s="23">
        <f t="shared" ref="BH24:BH29" si="6">COUNTIF(B24:BA24,$AF$32)</f>
        <v>0</v>
      </c>
      <c r="BI24" s="23">
        <f t="shared" ref="BI24:BI28" si="7">COUNTIF(B24:BA24,$AF$34)</f>
        <v>0</v>
      </c>
      <c r="BJ24" s="23">
        <f t="shared" ref="BJ24:BJ29" si="8">COUNTIF(B24:BA24,$AQ$32)</f>
        <v>0</v>
      </c>
      <c r="BK24" s="23">
        <f>COUNTIF(B24:BA24,$AZ$32)</f>
        <v>0</v>
      </c>
      <c r="BL24" s="23">
        <f>COUNTIF(B24:BA24,$AQ$34)</f>
        <v>0</v>
      </c>
      <c r="BM24" s="23">
        <f>COUNTIF(B24:BA24,$AZ$34)</f>
        <v>9</v>
      </c>
      <c r="BN24" s="23">
        <f t="shared" ref="BN24:BN29" si="9">SUM(BG24:BM24)+BD24</f>
        <v>37</v>
      </c>
    </row>
    <row r="25" spans="1:66" ht="15.75" customHeight="1" x14ac:dyDescent="0.2">
      <c r="A25" s="8">
        <v>2</v>
      </c>
      <c r="B25" s="35" t="s">
        <v>77</v>
      </c>
      <c r="C25" s="35" t="s">
        <v>77</v>
      </c>
      <c r="D25" s="35" t="s">
        <v>77</v>
      </c>
      <c r="E25" s="35" t="s">
        <v>77</v>
      </c>
      <c r="F25" s="35" t="s">
        <v>77</v>
      </c>
      <c r="G25" s="35" t="s">
        <v>77</v>
      </c>
      <c r="H25" s="35" t="s">
        <v>77</v>
      </c>
      <c r="I25" s="35" t="s">
        <v>77</v>
      </c>
      <c r="J25" s="35" t="s">
        <v>77</v>
      </c>
      <c r="K25" s="35" t="s">
        <v>77</v>
      </c>
      <c r="L25" s="35" t="s">
        <v>77</v>
      </c>
      <c r="M25" s="35" t="s">
        <v>77</v>
      </c>
      <c r="N25" s="35" t="s">
        <v>77</v>
      </c>
      <c r="O25" s="35" t="s">
        <v>77</v>
      </c>
      <c r="P25" s="35" t="s">
        <v>77</v>
      </c>
      <c r="Q25" s="35" t="s">
        <v>77</v>
      </c>
      <c r="R25" s="35" t="s">
        <v>77</v>
      </c>
      <c r="S25" s="35" t="s">
        <v>28</v>
      </c>
      <c r="T25" s="35" t="s">
        <v>28</v>
      </c>
      <c r="U25" s="35" t="s">
        <v>33</v>
      </c>
      <c r="V25" s="35" t="s">
        <v>33</v>
      </c>
      <c r="W25" s="35" t="s">
        <v>33</v>
      </c>
      <c r="X25" s="35" t="s">
        <v>228</v>
      </c>
      <c r="Y25" s="35" t="s">
        <v>228</v>
      </c>
      <c r="Z25" s="35" t="s">
        <v>228</v>
      </c>
      <c r="AA25" s="35" t="s">
        <v>228</v>
      </c>
      <c r="AB25" s="35" t="s">
        <v>33</v>
      </c>
      <c r="AC25" s="35" t="s">
        <v>33</v>
      </c>
      <c r="AD25" s="35" t="s">
        <v>33</v>
      </c>
      <c r="AE25" s="35" t="s">
        <v>33</v>
      </c>
      <c r="AF25" s="35" t="s">
        <v>33</v>
      </c>
      <c r="AG25" s="35" t="s">
        <v>33</v>
      </c>
      <c r="AH25" s="35" t="s">
        <v>33</v>
      </c>
      <c r="AI25" s="35" t="s">
        <v>33</v>
      </c>
      <c r="AJ25" s="35" t="s">
        <v>33</v>
      </c>
      <c r="AK25" s="35" t="s">
        <v>33</v>
      </c>
      <c r="AL25" s="35" t="s">
        <v>52</v>
      </c>
      <c r="AM25" s="35" t="s">
        <v>52</v>
      </c>
      <c r="AN25" s="35" t="s">
        <v>52</v>
      </c>
      <c r="AO25" s="35" t="s">
        <v>52</v>
      </c>
      <c r="AP25" s="35" t="s">
        <v>52</v>
      </c>
      <c r="AQ25" s="35" t="s">
        <v>52</v>
      </c>
      <c r="AR25" s="35" t="s">
        <v>52</v>
      </c>
      <c r="AS25" s="35" t="s">
        <v>52</v>
      </c>
      <c r="AT25" s="35" t="s">
        <v>52</v>
      </c>
      <c r="AU25" s="35" t="s">
        <v>28</v>
      </c>
      <c r="AV25" s="35" t="s">
        <v>28</v>
      </c>
      <c r="AW25" s="35" t="s">
        <v>28</v>
      </c>
      <c r="AX25" s="35" t="s">
        <v>28</v>
      </c>
      <c r="AY25" s="35" t="s">
        <v>28</v>
      </c>
      <c r="AZ25" s="35" t="s">
        <v>28</v>
      </c>
      <c r="BA25" s="35" t="s">
        <v>28</v>
      </c>
      <c r="BB25" s="22">
        <f t="shared" si="0"/>
        <v>17</v>
      </c>
      <c r="BC25" s="22">
        <f t="shared" si="1"/>
        <v>13</v>
      </c>
      <c r="BD25" s="23">
        <f t="shared" si="2"/>
        <v>30</v>
      </c>
      <c r="BE25" s="22">
        <f t="shared" si="3"/>
        <v>0</v>
      </c>
      <c r="BF25" s="22">
        <f t="shared" si="4"/>
        <v>4</v>
      </c>
      <c r="BG25" s="23">
        <f t="shared" si="5"/>
        <v>4</v>
      </c>
      <c r="BH25" s="23">
        <f t="shared" si="6"/>
        <v>9</v>
      </c>
      <c r="BI25" s="23">
        <f t="shared" si="7"/>
        <v>0</v>
      </c>
      <c r="BJ25" s="23">
        <f t="shared" si="8"/>
        <v>0</v>
      </c>
      <c r="BK25" s="23">
        <f t="shared" ref="BK25:BK30" si="10">COUNTIF(B25:BA25,$AZ$32)</f>
        <v>0</v>
      </c>
      <c r="BL25" s="23">
        <f t="shared" ref="BL25:BL28" si="11">COUNTIF(B25:BA25,$AQ$34)</f>
        <v>0</v>
      </c>
      <c r="BM25" s="23">
        <f>COUNTIF(B25:BA25,$AZ$34)</f>
        <v>9</v>
      </c>
      <c r="BN25" s="23">
        <f t="shared" si="9"/>
        <v>52</v>
      </c>
    </row>
    <row r="26" spans="1:66" ht="15.75" customHeight="1" x14ac:dyDescent="0.2">
      <c r="A26" s="8">
        <v>3</v>
      </c>
      <c r="B26" s="35" t="s">
        <v>77</v>
      </c>
      <c r="C26" s="35" t="s">
        <v>77</v>
      </c>
      <c r="D26" s="35" t="s">
        <v>77</v>
      </c>
      <c r="E26" s="35" t="s">
        <v>77</v>
      </c>
      <c r="F26" s="35" t="s">
        <v>77</v>
      </c>
      <c r="G26" s="35" t="s">
        <v>77</v>
      </c>
      <c r="H26" s="35" t="s">
        <v>77</v>
      </c>
      <c r="I26" s="35" t="s">
        <v>77</v>
      </c>
      <c r="J26" s="35" t="s">
        <v>77</v>
      </c>
      <c r="K26" s="35" t="s">
        <v>77</v>
      </c>
      <c r="L26" s="35" t="s">
        <v>77</v>
      </c>
      <c r="M26" s="35" t="s">
        <v>77</v>
      </c>
      <c r="N26" s="35" t="s">
        <v>77</v>
      </c>
      <c r="O26" s="35" t="s">
        <v>77</v>
      </c>
      <c r="P26" s="35" t="s">
        <v>77</v>
      </c>
      <c r="Q26" s="35" t="s">
        <v>77</v>
      </c>
      <c r="R26" s="35" t="s">
        <v>77</v>
      </c>
      <c r="S26" s="35" t="s">
        <v>28</v>
      </c>
      <c r="T26" s="35" t="s">
        <v>28</v>
      </c>
      <c r="U26" s="35" t="s">
        <v>33</v>
      </c>
      <c r="V26" s="35" t="s">
        <v>33</v>
      </c>
      <c r="W26" s="217" t="s">
        <v>228</v>
      </c>
      <c r="X26" s="217" t="s">
        <v>228</v>
      </c>
      <c r="Y26" s="217" t="s">
        <v>228</v>
      </c>
      <c r="Z26" s="217" t="s">
        <v>228</v>
      </c>
      <c r="AA26" s="217" t="s">
        <v>228</v>
      </c>
      <c r="AB26" s="217" t="s">
        <v>228</v>
      </c>
      <c r="AC26" s="35" t="s">
        <v>33</v>
      </c>
      <c r="AD26" s="35" t="s">
        <v>33</v>
      </c>
      <c r="AE26" s="35" t="s">
        <v>33</v>
      </c>
      <c r="AF26" s="35" t="s">
        <v>33</v>
      </c>
      <c r="AG26" s="35" t="s">
        <v>33</v>
      </c>
      <c r="AH26" s="35" t="s">
        <v>33</v>
      </c>
      <c r="AI26" s="35" t="s">
        <v>33</v>
      </c>
      <c r="AJ26" s="35" t="s">
        <v>28</v>
      </c>
      <c r="AK26" s="35" t="s">
        <v>28</v>
      </c>
      <c r="AL26" s="35" t="s">
        <v>28</v>
      </c>
      <c r="AM26" s="35" t="s">
        <v>28</v>
      </c>
      <c r="AN26" s="35" t="s">
        <v>28</v>
      </c>
      <c r="AO26" s="35" t="s">
        <v>28</v>
      </c>
      <c r="AP26" s="35" t="s">
        <v>28</v>
      </c>
      <c r="AQ26" s="35" t="s">
        <v>53</v>
      </c>
      <c r="AR26" s="35" t="s">
        <v>53</v>
      </c>
      <c r="AS26" s="35" t="s">
        <v>53</v>
      </c>
      <c r="AT26" s="35" t="s">
        <v>53</v>
      </c>
      <c r="AU26" s="35" t="s">
        <v>53</v>
      </c>
      <c r="AV26" s="35" t="s">
        <v>53</v>
      </c>
      <c r="AW26" s="35" t="s">
        <v>53</v>
      </c>
      <c r="AX26" s="35" t="s">
        <v>53</v>
      </c>
      <c r="AY26" s="35" t="s">
        <v>53</v>
      </c>
      <c r="AZ26" s="35" t="s">
        <v>53</v>
      </c>
      <c r="BA26" s="35" t="s">
        <v>53</v>
      </c>
      <c r="BB26" s="22">
        <f t="shared" si="0"/>
        <v>17</v>
      </c>
      <c r="BC26" s="22">
        <f t="shared" si="1"/>
        <v>9</v>
      </c>
      <c r="BD26" s="23">
        <f t="shared" si="2"/>
        <v>26</v>
      </c>
      <c r="BE26" s="22">
        <f t="shared" si="3"/>
        <v>0</v>
      </c>
      <c r="BF26" s="22">
        <f t="shared" si="4"/>
        <v>6</v>
      </c>
      <c r="BG26" s="23">
        <f t="shared" si="5"/>
        <v>6</v>
      </c>
      <c r="BH26" s="23">
        <f t="shared" si="6"/>
        <v>0</v>
      </c>
      <c r="BI26" s="23">
        <f t="shared" si="7"/>
        <v>11</v>
      </c>
      <c r="BJ26" s="23">
        <f t="shared" si="8"/>
        <v>0</v>
      </c>
      <c r="BK26" s="23">
        <f t="shared" si="10"/>
        <v>0</v>
      </c>
      <c r="BL26" s="23">
        <f t="shared" si="11"/>
        <v>0</v>
      </c>
      <c r="BM26" s="23">
        <f>COUNTIF(B26:BA26,$AZ$34)</f>
        <v>9</v>
      </c>
      <c r="BN26" s="23">
        <f t="shared" si="9"/>
        <v>52</v>
      </c>
    </row>
    <row r="27" spans="1:66" ht="15.75" customHeight="1" x14ac:dyDescent="0.2">
      <c r="A27" s="8">
        <v>4</v>
      </c>
      <c r="B27" s="35" t="s">
        <v>53</v>
      </c>
      <c r="C27" s="35" t="s">
        <v>53</v>
      </c>
      <c r="D27" s="35" t="s">
        <v>53</v>
      </c>
      <c r="E27" s="35" t="s">
        <v>53</v>
      </c>
      <c r="F27" s="35" t="s">
        <v>53</v>
      </c>
      <c r="G27" s="35" t="s">
        <v>53</v>
      </c>
      <c r="H27" s="35" t="s">
        <v>53</v>
      </c>
      <c r="I27" s="35" t="s">
        <v>53</v>
      </c>
      <c r="J27" s="35" t="s">
        <v>53</v>
      </c>
      <c r="K27" s="35" t="s">
        <v>53</v>
      </c>
      <c r="L27" s="35" t="s">
        <v>53</v>
      </c>
      <c r="M27" s="35" t="s">
        <v>53</v>
      </c>
      <c r="N27" s="35" t="s">
        <v>77</v>
      </c>
      <c r="O27" s="35" t="s">
        <v>77</v>
      </c>
      <c r="P27" s="35" t="s">
        <v>77</v>
      </c>
      <c r="Q27" s="35" t="s">
        <v>77</v>
      </c>
      <c r="R27" s="35" t="s">
        <v>77</v>
      </c>
      <c r="S27" s="35" t="s">
        <v>28</v>
      </c>
      <c r="T27" s="35" t="s">
        <v>28</v>
      </c>
      <c r="U27" s="35" t="s">
        <v>33</v>
      </c>
      <c r="V27" s="35" t="s">
        <v>33</v>
      </c>
      <c r="W27" s="217" t="s">
        <v>228</v>
      </c>
      <c r="X27" s="217" t="s">
        <v>228</v>
      </c>
      <c r="Y27" s="217" t="s">
        <v>228</v>
      </c>
      <c r="Z27" s="217" t="s">
        <v>228</v>
      </c>
      <c r="AA27" s="217" t="s">
        <v>228</v>
      </c>
      <c r="AB27" s="217" t="s">
        <v>228</v>
      </c>
      <c r="AC27" s="35" t="s">
        <v>33</v>
      </c>
      <c r="AD27" s="35" t="s">
        <v>33</v>
      </c>
      <c r="AE27" s="35" t="s">
        <v>33</v>
      </c>
      <c r="AF27" s="35" t="s">
        <v>33</v>
      </c>
      <c r="AG27" s="35" t="s">
        <v>33</v>
      </c>
      <c r="AH27" s="35" t="s">
        <v>33</v>
      </c>
      <c r="AI27" s="35" t="s">
        <v>33</v>
      </c>
      <c r="AJ27" s="35" t="s">
        <v>28</v>
      </c>
      <c r="AK27" s="35" t="s">
        <v>28</v>
      </c>
      <c r="AL27" s="35" t="s">
        <v>28</v>
      </c>
      <c r="AM27" s="35" t="s">
        <v>28</v>
      </c>
      <c r="AN27" s="35" t="s">
        <v>28</v>
      </c>
      <c r="AO27" s="35" t="s">
        <v>28</v>
      </c>
      <c r="AP27" s="35" t="s">
        <v>28</v>
      </c>
      <c r="AQ27" s="35" t="s">
        <v>53</v>
      </c>
      <c r="AR27" s="35" t="s">
        <v>53</v>
      </c>
      <c r="AS27" s="35" t="s">
        <v>53</v>
      </c>
      <c r="AT27" s="35" t="s">
        <v>53</v>
      </c>
      <c r="AU27" s="35" t="s">
        <v>53</v>
      </c>
      <c r="AV27" s="35" t="s">
        <v>53</v>
      </c>
      <c r="AW27" s="35" t="s">
        <v>53</v>
      </c>
      <c r="AX27" s="35" t="s">
        <v>53</v>
      </c>
      <c r="AY27" s="35" t="s">
        <v>53</v>
      </c>
      <c r="AZ27" s="35" t="s">
        <v>53</v>
      </c>
      <c r="BA27" s="35" t="s">
        <v>53</v>
      </c>
      <c r="BB27" s="22">
        <f t="shared" si="0"/>
        <v>5</v>
      </c>
      <c r="BC27" s="22">
        <f t="shared" si="1"/>
        <v>9</v>
      </c>
      <c r="BD27" s="23">
        <f t="shared" si="2"/>
        <v>14</v>
      </c>
      <c r="BE27" s="22">
        <f t="shared" si="3"/>
        <v>0</v>
      </c>
      <c r="BF27" s="22">
        <f t="shared" si="4"/>
        <v>6</v>
      </c>
      <c r="BG27" s="23">
        <f t="shared" si="5"/>
        <v>6</v>
      </c>
      <c r="BH27" s="23">
        <f t="shared" si="6"/>
        <v>0</v>
      </c>
      <c r="BI27" s="23">
        <f t="shared" si="7"/>
        <v>23</v>
      </c>
      <c r="BJ27" s="23">
        <f t="shared" si="8"/>
        <v>0</v>
      </c>
      <c r="BK27" s="23">
        <f t="shared" si="10"/>
        <v>0</v>
      </c>
      <c r="BL27" s="23">
        <f t="shared" si="11"/>
        <v>0</v>
      </c>
      <c r="BM27" s="23">
        <f t="shared" ref="BM27:BM28" si="12">COUNTIF(B27:BA27,$AZ$34)</f>
        <v>9</v>
      </c>
      <c r="BN27" s="23">
        <f t="shared" si="9"/>
        <v>52</v>
      </c>
    </row>
    <row r="28" spans="1:66" ht="15.75" customHeight="1" x14ac:dyDescent="0.2">
      <c r="A28" s="8">
        <v>5</v>
      </c>
      <c r="B28" s="35" t="s">
        <v>53</v>
      </c>
      <c r="C28" s="35" t="s">
        <v>53</v>
      </c>
      <c r="D28" s="35" t="s">
        <v>53</v>
      </c>
      <c r="E28" s="35" t="s">
        <v>53</v>
      </c>
      <c r="F28" s="35" t="s">
        <v>53</v>
      </c>
      <c r="G28" s="35" t="s">
        <v>53</v>
      </c>
      <c r="H28" s="35" t="s">
        <v>53</v>
      </c>
      <c r="I28" s="35" t="s">
        <v>53</v>
      </c>
      <c r="J28" s="35" t="s">
        <v>77</v>
      </c>
      <c r="K28" s="35" t="s">
        <v>77</v>
      </c>
      <c r="L28" s="217" t="s">
        <v>228</v>
      </c>
      <c r="M28" s="217" t="s">
        <v>228</v>
      </c>
      <c r="N28" s="217" t="s">
        <v>228</v>
      </c>
      <c r="O28" s="217" t="s">
        <v>228</v>
      </c>
      <c r="P28" s="217" t="s">
        <v>228</v>
      </c>
      <c r="Q28" s="217" t="s">
        <v>228</v>
      </c>
      <c r="R28" s="35" t="s">
        <v>77</v>
      </c>
      <c r="S28" s="35" t="s">
        <v>28</v>
      </c>
      <c r="T28" s="35" t="s">
        <v>28</v>
      </c>
      <c r="U28" s="35" t="s">
        <v>33</v>
      </c>
      <c r="V28" s="35" t="s">
        <v>33</v>
      </c>
      <c r="W28" s="35" t="s">
        <v>33</v>
      </c>
      <c r="X28" s="35" t="s">
        <v>33</v>
      </c>
      <c r="Y28" s="35" t="s">
        <v>53</v>
      </c>
      <c r="Z28" s="35" t="s">
        <v>53</v>
      </c>
      <c r="AA28" s="35" t="s">
        <v>53</v>
      </c>
      <c r="AB28" s="35" t="s">
        <v>53</v>
      </c>
      <c r="AC28" s="35" t="s">
        <v>32</v>
      </c>
      <c r="AD28" s="35" t="s">
        <v>32</v>
      </c>
      <c r="AE28" s="35" t="s">
        <v>32</v>
      </c>
      <c r="AF28" s="35" t="s">
        <v>32</v>
      </c>
      <c r="AG28" s="35" t="s">
        <v>26</v>
      </c>
      <c r="AH28" s="35" t="s">
        <v>26</v>
      </c>
      <c r="AI28" s="35" t="s">
        <v>26</v>
      </c>
      <c r="AJ28" s="35" t="s">
        <v>26</v>
      </c>
      <c r="AK28" s="35" t="s">
        <v>26</v>
      </c>
      <c r="AL28" s="35" t="s">
        <v>26</v>
      </c>
      <c r="AM28" s="35" t="s">
        <v>26</v>
      </c>
      <c r="AN28" s="35" t="s">
        <v>26</v>
      </c>
      <c r="AO28" s="35" t="s">
        <v>26</v>
      </c>
      <c r="AP28" s="35" t="s">
        <v>26</v>
      </c>
      <c r="AQ28" s="35" t="s">
        <v>26</v>
      </c>
      <c r="AR28" s="35" t="s">
        <v>26</v>
      </c>
      <c r="AS28" s="35" t="s">
        <v>26</v>
      </c>
      <c r="AT28" s="35" t="s">
        <v>26</v>
      </c>
      <c r="AU28" s="35" t="s">
        <v>26</v>
      </c>
      <c r="AV28" s="35" t="s">
        <v>26</v>
      </c>
      <c r="AW28" s="35" t="s">
        <v>26</v>
      </c>
      <c r="AX28" s="35" t="s">
        <v>26</v>
      </c>
      <c r="AY28" s="35" t="s">
        <v>26</v>
      </c>
      <c r="AZ28" s="35" t="s">
        <v>26</v>
      </c>
      <c r="BA28" s="35" t="s">
        <v>26</v>
      </c>
      <c r="BB28" s="22">
        <f t="shared" si="0"/>
        <v>3</v>
      </c>
      <c r="BC28" s="22">
        <f t="shared" si="1"/>
        <v>4</v>
      </c>
      <c r="BD28" s="23">
        <f t="shared" si="2"/>
        <v>7</v>
      </c>
      <c r="BE28" s="22">
        <f t="shared" si="3"/>
        <v>0</v>
      </c>
      <c r="BF28" s="22">
        <f t="shared" si="4"/>
        <v>6</v>
      </c>
      <c r="BG28" s="23">
        <f t="shared" si="5"/>
        <v>6</v>
      </c>
      <c r="BH28" s="23">
        <f t="shared" si="6"/>
        <v>0</v>
      </c>
      <c r="BI28" s="23">
        <f t="shared" si="7"/>
        <v>12</v>
      </c>
      <c r="BJ28" s="23">
        <f t="shared" si="8"/>
        <v>0</v>
      </c>
      <c r="BK28" s="23">
        <f t="shared" si="10"/>
        <v>0</v>
      </c>
      <c r="BL28" s="23">
        <f t="shared" si="11"/>
        <v>4</v>
      </c>
      <c r="BM28" s="23">
        <f t="shared" si="12"/>
        <v>2</v>
      </c>
      <c r="BN28" s="23">
        <f t="shared" si="9"/>
        <v>31</v>
      </c>
    </row>
    <row r="29" spans="1:66" ht="15.75" hidden="1" customHeight="1" x14ac:dyDescent="0.2">
      <c r="A29" s="8">
        <v>6</v>
      </c>
      <c r="B29" s="35" t="s">
        <v>26</v>
      </c>
      <c r="C29" s="35" t="s">
        <v>26</v>
      </c>
      <c r="D29" s="35" t="s">
        <v>26</v>
      </c>
      <c r="E29" s="35" t="s">
        <v>26</v>
      </c>
      <c r="F29" s="35" t="s">
        <v>26</v>
      </c>
      <c r="G29" s="35" t="s">
        <v>26</v>
      </c>
      <c r="H29" s="35" t="s">
        <v>26</v>
      </c>
      <c r="I29" s="35" t="s">
        <v>26</v>
      </c>
      <c r="J29" s="35" t="s">
        <v>26</v>
      </c>
      <c r="K29" s="35" t="s">
        <v>26</v>
      </c>
      <c r="L29" s="35" t="s">
        <v>26</v>
      </c>
      <c r="M29" s="35" t="s">
        <v>26</v>
      </c>
      <c r="N29" s="35" t="s">
        <v>26</v>
      </c>
      <c r="O29" s="35" t="s">
        <v>26</v>
      </c>
      <c r="P29" s="35" t="s">
        <v>26</v>
      </c>
      <c r="Q29" s="35" t="s">
        <v>26</v>
      </c>
      <c r="R29" s="35" t="s">
        <v>26</v>
      </c>
      <c r="S29" s="35" t="s">
        <v>26</v>
      </c>
      <c r="T29" s="35" t="s">
        <v>26</v>
      </c>
      <c r="U29" s="35" t="s">
        <v>26</v>
      </c>
      <c r="V29" s="35" t="s">
        <v>26</v>
      </c>
      <c r="W29" s="35" t="s">
        <v>26</v>
      </c>
      <c r="X29" s="35" t="s">
        <v>26</v>
      </c>
      <c r="Y29" s="35" t="s">
        <v>26</v>
      </c>
      <c r="Z29" s="35" t="s">
        <v>26</v>
      </c>
      <c r="AA29" s="35" t="s">
        <v>26</v>
      </c>
      <c r="AB29" s="35" t="s">
        <v>26</v>
      </c>
      <c r="AC29" s="35" t="s">
        <v>26</v>
      </c>
      <c r="AD29" s="35" t="s">
        <v>26</v>
      </c>
      <c r="AE29" s="35" t="s">
        <v>26</v>
      </c>
      <c r="AF29" s="35" t="s">
        <v>26</v>
      </c>
      <c r="AG29" s="35" t="s">
        <v>26</v>
      </c>
      <c r="AH29" s="35" t="s">
        <v>26</v>
      </c>
      <c r="AI29" s="35" t="s">
        <v>26</v>
      </c>
      <c r="AJ29" s="35" t="s">
        <v>26</v>
      </c>
      <c r="AK29" s="35" t="s">
        <v>26</v>
      </c>
      <c r="AL29" s="35" t="s">
        <v>26</v>
      </c>
      <c r="AM29" s="35" t="s">
        <v>26</v>
      </c>
      <c r="AN29" s="35" t="s">
        <v>26</v>
      </c>
      <c r="AO29" s="35" t="s">
        <v>26</v>
      </c>
      <c r="AP29" s="35" t="s">
        <v>26</v>
      </c>
      <c r="AQ29" s="35" t="s">
        <v>26</v>
      </c>
      <c r="AR29" s="35" t="s">
        <v>26</v>
      </c>
      <c r="AS29" s="35" t="s">
        <v>26</v>
      </c>
      <c r="AT29" s="35" t="s">
        <v>26</v>
      </c>
      <c r="AU29" s="35" t="s">
        <v>26</v>
      </c>
      <c r="AV29" s="35" t="s">
        <v>26</v>
      </c>
      <c r="AW29" s="35" t="s">
        <v>26</v>
      </c>
      <c r="AX29" s="35" t="s">
        <v>26</v>
      </c>
      <c r="AY29" s="35" t="s">
        <v>26</v>
      </c>
      <c r="AZ29" s="35" t="s">
        <v>26</v>
      </c>
      <c r="BA29" s="35" t="s">
        <v>26</v>
      </c>
      <c r="BB29" s="22">
        <f t="shared" si="0"/>
        <v>0</v>
      </c>
      <c r="BC29" s="22">
        <f t="shared" si="1"/>
        <v>0</v>
      </c>
      <c r="BD29" s="23">
        <f t="shared" si="2"/>
        <v>0</v>
      </c>
      <c r="BE29" s="22">
        <f t="shared" si="3"/>
        <v>0</v>
      </c>
      <c r="BF29" s="22">
        <f t="shared" si="4"/>
        <v>0</v>
      </c>
      <c r="BG29" s="23">
        <f t="shared" si="5"/>
        <v>0</v>
      </c>
      <c r="BH29" s="23">
        <f t="shared" si="6"/>
        <v>0</v>
      </c>
      <c r="BI29" s="23">
        <f t="shared" ref="BI29" si="13">COUNTIF(B29:BA29,$AF$34)</f>
        <v>0</v>
      </c>
      <c r="BJ29" s="23">
        <f t="shared" si="8"/>
        <v>0</v>
      </c>
      <c r="BK29" s="23">
        <f t="shared" ref="BK29" si="14">COUNTIF(B29:BA29,$AZ$32)</f>
        <v>0</v>
      </c>
      <c r="BL29" s="23">
        <f t="shared" ref="BL29" si="15">COUNTIF(B29:BA29,$AQ$34)</f>
        <v>0</v>
      </c>
      <c r="BM29" s="23">
        <f t="shared" ref="BM29" si="16">COUNTIF(B29:BA29,$AZ$34)</f>
        <v>0</v>
      </c>
      <c r="BN29" s="23">
        <f t="shared" si="9"/>
        <v>0</v>
      </c>
    </row>
    <row r="30" spans="1:66" ht="15.75" customHeight="1" x14ac:dyDescent="0.2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743" t="s">
        <v>56</v>
      </c>
      <c r="AZ30" s="743"/>
      <c r="BA30" s="743"/>
      <c r="BB30" s="12">
        <f t="shared" ref="BB30:BD30" si="17">SUM(BB24:BB29)</f>
        <v>44</v>
      </c>
      <c r="BC30" s="12">
        <f t="shared" si="17"/>
        <v>57</v>
      </c>
      <c r="BD30" s="12">
        <f t="shared" si="17"/>
        <v>101</v>
      </c>
      <c r="BE30" s="12">
        <f t="shared" ref="BE30" si="18">SUM(BE24:BE29)</f>
        <v>0</v>
      </c>
      <c r="BF30" s="12">
        <f t="shared" ref="BF30" si="19">SUM(BF24:BF29)</f>
        <v>26</v>
      </c>
      <c r="BG30" s="12">
        <f t="shared" ref="BG30" si="20">SUM(BG24:BG29)</f>
        <v>26</v>
      </c>
      <c r="BH30" s="12">
        <f t="shared" ref="BH30" si="21">SUM(BH24:BH29)</f>
        <v>9</v>
      </c>
      <c r="BI30" s="12">
        <f t="shared" ref="BI30" si="22">SUM(BI24:BI29)</f>
        <v>46</v>
      </c>
      <c r="BJ30" s="12">
        <f t="shared" ref="BJ30" si="23">SUM(BJ24:BJ29)</f>
        <v>0</v>
      </c>
      <c r="BK30" s="23">
        <f t="shared" si="10"/>
        <v>0</v>
      </c>
      <c r="BL30" s="12">
        <f t="shared" ref="BL30" si="24">SUM(BL24:BL29)</f>
        <v>4</v>
      </c>
      <c r="BM30" s="12">
        <f t="shared" ref="BM30" si="25">SUM(BM24:BM29)</f>
        <v>38</v>
      </c>
      <c r="BN30" s="12">
        <f t="shared" ref="BN30" si="26">SUM(BN24:BN29)</f>
        <v>224</v>
      </c>
    </row>
    <row r="31" spans="1:66" ht="10.5" customHeight="1" x14ac:dyDescent="0.2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</row>
    <row r="32" spans="1:66" s="5" customFormat="1" ht="11.25" customHeight="1" x14ac:dyDescent="0.2">
      <c r="A32" s="204"/>
      <c r="B32" s="21" t="s">
        <v>77</v>
      </c>
      <c r="C32" s="37" t="s">
        <v>22</v>
      </c>
      <c r="D32" s="609" t="s">
        <v>483</v>
      </c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15" t="s">
        <v>227</v>
      </c>
      <c r="S32" s="37" t="s">
        <v>22</v>
      </c>
      <c r="T32" s="609" t="s">
        <v>484</v>
      </c>
      <c r="U32" s="609"/>
      <c r="V32" s="609"/>
      <c r="W32" s="609"/>
      <c r="X32" s="609"/>
      <c r="Y32" s="609"/>
      <c r="Z32" s="609"/>
      <c r="AA32" s="609"/>
      <c r="AB32" s="609"/>
      <c r="AC32" s="609"/>
      <c r="AD32" s="609"/>
      <c r="AE32" s="609"/>
      <c r="AF32" s="17" t="s">
        <v>52</v>
      </c>
      <c r="AG32" s="37" t="s">
        <v>22</v>
      </c>
      <c r="AH32" s="581" t="s">
        <v>23</v>
      </c>
      <c r="AI32" s="581"/>
      <c r="AJ32" s="581"/>
      <c r="AK32" s="581"/>
      <c r="AL32" s="581"/>
      <c r="AM32" s="581"/>
      <c r="AN32" s="581"/>
      <c r="AO32" s="581"/>
      <c r="AP32" s="581"/>
      <c r="AQ32" s="15" t="s">
        <v>29</v>
      </c>
      <c r="AR32" s="37" t="s">
        <v>22</v>
      </c>
      <c r="AS32" s="609" t="s">
        <v>54</v>
      </c>
      <c r="AT32" s="609"/>
      <c r="AU32" s="609"/>
      <c r="AV32" s="609"/>
      <c r="AW32" s="609"/>
      <c r="AX32" s="609"/>
      <c r="AY32" s="609"/>
      <c r="AZ32" s="288"/>
      <c r="BA32" s="288"/>
      <c r="BB32" s="288"/>
      <c r="BC32" s="288"/>
      <c r="BD32" s="288"/>
      <c r="BE32" s="288"/>
      <c r="BF32" s="288"/>
      <c r="BG32" s="288"/>
      <c r="BH32" s="288"/>
      <c r="BI32" s="204"/>
      <c r="BJ32" s="204"/>
      <c r="BK32" s="204"/>
      <c r="BL32" s="204"/>
      <c r="BM32" s="204"/>
      <c r="BN32" s="204"/>
    </row>
    <row r="33" spans="1:66" s="5" customFormat="1" ht="11.25" x14ac:dyDescent="0.2">
      <c r="A33" s="204"/>
      <c r="B33" s="204"/>
      <c r="C33" s="204"/>
      <c r="D33" s="37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3"/>
      <c r="V33" s="37"/>
      <c r="W33" s="203"/>
      <c r="X33" s="203"/>
      <c r="Y33" s="37"/>
      <c r="Z33" s="203"/>
      <c r="AA33" s="203"/>
      <c r="AB33" s="37"/>
      <c r="AC33" s="203"/>
      <c r="AD33" s="203"/>
      <c r="AE33" s="37"/>
      <c r="AF33" s="203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</row>
    <row r="34" spans="1:66" s="5" customFormat="1" ht="11.25" customHeight="1" x14ac:dyDescent="0.2">
      <c r="A34" s="204"/>
      <c r="B34" s="21" t="s">
        <v>33</v>
      </c>
      <c r="C34" s="37" t="s">
        <v>22</v>
      </c>
      <c r="D34" s="609" t="s">
        <v>485</v>
      </c>
      <c r="E34" s="609"/>
      <c r="F34" s="609"/>
      <c r="G34" s="609"/>
      <c r="H34" s="609"/>
      <c r="I34" s="609"/>
      <c r="J34" s="609"/>
      <c r="K34" s="609"/>
      <c r="L34" s="609"/>
      <c r="M34" s="609"/>
      <c r="N34" s="609"/>
      <c r="O34" s="609"/>
      <c r="P34" s="609"/>
      <c r="Q34" s="609"/>
      <c r="R34" s="15" t="s">
        <v>228</v>
      </c>
      <c r="S34" s="37" t="s">
        <v>22</v>
      </c>
      <c r="T34" s="609" t="s">
        <v>486</v>
      </c>
      <c r="U34" s="609"/>
      <c r="V34" s="609"/>
      <c r="W34" s="609"/>
      <c r="X34" s="609"/>
      <c r="Y34" s="609"/>
      <c r="Z34" s="609"/>
      <c r="AA34" s="609"/>
      <c r="AB34" s="609"/>
      <c r="AC34" s="609"/>
      <c r="AD34" s="609"/>
      <c r="AE34" s="609"/>
      <c r="AF34" s="17" t="s">
        <v>53</v>
      </c>
      <c r="AG34" s="37" t="s">
        <v>22</v>
      </c>
      <c r="AH34" s="581" t="s">
        <v>224</v>
      </c>
      <c r="AI34" s="581"/>
      <c r="AJ34" s="581"/>
      <c r="AK34" s="581"/>
      <c r="AL34" s="581"/>
      <c r="AM34" s="581"/>
      <c r="AN34" s="581"/>
      <c r="AO34" s="581"/>
      <c r="AP34" s="581"/>
      <c r="AQ34" s="15" t="s">
        <v>32</v>
      </c>
      <c r="AR34" s="37" t="s">
        <v>22</v>
      </c>
      <c r="AS34" s="581" t="s">
        <v>55</v>
      </c>
      <c r="AT34" s="581"/>
      <c r="AU34" s="581"/>
      <c r="AV34" s="581"/>
      <c r="AW34" s="581"/>
      <c r="AX34" s="581"/>
      <c r="AY34" s="581"/>
      <c r="AZ34" s="18" t="s">
        <v>28</v>
      </c>
      <c r="BA34" s="37" t="s">
        <v>22</v>
      </c>
      <c r="BB34" s="581" t="s">
        <v>223</v>
      </c>
      <c r="BC34" s="581"/>
      <c r="BD34" s="581"/>
      <c r="BE34" s="581"/>
      <c r="BF34" s="581"/>
      <c r="BG34" s="582"/>
      <c r="BH34" s="11" t="s">
        <v>26</v>
      </c>
      <c r="BI34" s="37" t="s">
        <v>22</v>
      </c>
      <c r="BJ34" s="581" t="s">
        <v>44</v>
      </c>
      <c r="BK34" s="581"/>
      <c r="BL34" s="581"/>
      <c r="BM34" s="581"/>
      <c r="BN34" s="581"/>
    </row>
    <row r="35" spans="1:66" x14ac:dyDescent="0.2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</row>
    <row r="36" spans="1:66" hidden="1" x14ac:dyDescent="0.2">
      <c r="A36" s="14"/>
      <c r="B36" s="16" t="str">
        <f>B32</f>
        <v>о</v>
      </c>
      <c r="D36" s="212" t="s">
        <v>116</v>
      </c>
      <c r="L36" s="611" t="s">
        <v>165</v>
      </c>
      <c r="M36" s="611"/>
      <c r="N36" s="611"/>
      <c r="O36" s="611"/>
      <c r="P36" s="611"/>
      <c r="Q36" s="611"/>
      <c r="R36" s="611"/>
      <c r="S36" s="611"/>
      <c r="T36" s="611"/>
      <c r="U36" s="611"/>
    </row>
    <row r="37" spans="1:66" hidden="1" x14ac:dyDescent="0.2">
      <c r="A37" s="14"/>
      <c r="B37" s="16" t="str">
        <f>R32</f>
        <v>оа</v>
      </c>
      <c r="D37" s="212" t="s">
        <v>117</v>
      </c>
      <c r="L37" s="611" t="s">
        <v>166</v>
      </c>
      <c r="M37" s="611"/>
      <c r="N37" s="611"/>
      <c r="O37" s="611"/>
      <c r="P37" s="611"/>
      <c r="Q37" s="611"/>
      <c r="R37" s="611"/>
      <c r="S37" s="611"/>
      <c r="T37" s="611"/>
      <c r="U37" s="611"/>
      <c r="BA37" s="5"/>
      <c r="BK37" s="1"/>
      <c r="BL37" s="1"/>
    </row>
    <row r="38" spans="1:66" hidden="1" x14ac:dyDescent="0.2">
      <c r="A38" s="14"/>
      <c r="B38" s="15" t="str">
        <f>B34</f>
        <v>в</v>
      </c>
      <c r="D38" s="212" t="s">
        <v>118</v>
      </c>
      <c r="L38" s="611" t="s">
        <v>169</v>
      </c>
      <c r="M38" s="611"/>
      <c r="N38" s="611"/>
      <c r="O38" s="611"/>
      <c r="P38" s="611"/>
      <c r="Q38" s="611"/>
      <c r="R38" s="611"/>
      <c r="S38" s="611"/>
      <c r="T38" s="611"/>
      <c r="U38" s="611"/>
      <c r="V38" s="611"/>
      <c r="W38" s="611"/>
      <c r="X38" s="611"/>
      <c r="Y38" s="611"/>
      <c r="Z38" s="611"/>
      <c r="AA38" s="611"/>
      <c r="AB38" s="611"/>
      <c r="AC38" s="611"/>
      <c r="AD38" s="611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14"/>
      <c r="B39" s="15" t="str">
        <f>R34</f>
        <v>ва</v>
      </c>
      <c r="D39" s="212"/>
      <c r="L39" s="611" t="s">
        <v>170</v>
      </c>
      <c r="M39" s="611"/>
      <c r="N39" s="611"/>
      <c r="O39" s="611"/>
      <c r="P39" s="611"/>
      <c r="Q39" s="611"/>
      <c r="R39" s="611"/>
      <c r="S39" s="611"/>
      <c r="T39" s="611"/>
      <c r="U39" s="611"/>
      <c r="V39" s="611"/>
      <c r="W39" s="611"/>
      <c r="X39" s="611"/>
      <c r="Y39" s="611"/>
      <c r="Z39" s="611"/>
      <c r="AA39" s="611"/>
      <c r="AB39" s="611"/>
      <c r="AC39" s="611"/>
      <c r="AD39" s="611"/>
      <c r="AE39" s="5"/>
      <c r="AF39" s="5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6" hidden="1" x14ac:dyDescent="0.2">
      <c r="A40" s="14"/>
      <c r="B40" s="17" t="str">
        <f>AF32</f>
        <v>у</v>
      </c>
      <c r="D40" s="212" t="s">
        <v>119</v>
      </c>
      <c r="AQ40" s="5"/>
      <c r="BA40" s="5"/>
    </row>
    <row r="41" spans="1:66" hidden="1" x14ac:dyDescent="0.2">
      <c r="A41" s="14"/>
      <c r="B41" s="17" t="str">
        <f>AF34</f>
        <v>п</v>
      </c>
    </row>
    <row r="42" spans="1:66" hidden="1" x14ac:dyDescent="0.2">
      <c r="A42" s="14"/>
      <c r="B42" s="18" t="str">
        <f>AZ34</f>
        <v>к</v>
      </c>
    </row>
    <row r="43" spans="1:66" hidden="1" x14ac:dyDescent="0.2">
      <c r="A43" s="14"/>
      <c r="B43" s="19" t="str">
        <f>AQ32</f>
        <v>д</v>
      </c>
    </row>
    <row r="44" spans="1:66" hidden="1" x14ac:dyDescent="0.2">
      <c r="A44" s="14"/>
      <c r="B44" s="287">
        <f>AZ32</f>
        <v>0</v>
      </c>
    </row>
    <row r="45" spans="1:66" hidden="1" x14ac:dyDescent="0.2">
      <c r="A45" s="14"/>
      <c r="B45" s="19" t="str">
        <f>AQ34</f>
        <v>А</v>
      </c>
    </row>
    <row r="46" spans="1:66" hidden="1" x14ac:dyDescent="0.2">
      <c r="A46" s="14"/>
      <c r="B46" s="20" t="str">
        <f>BH34</f>
        <v xml:space="preserve"> </v>
      </c>
    </row>
  </sheetData>
  <sheetProtection password="CF70" sheet="1" objects="1" scenarios="1" selectLockedCells="1" selectUnlockedCells="1"/>
  <mergeCells count="90">
    <mergeCell ref="O1:BB1"/>
    <mergeCell ref="A2:N2"/>
    <mergeCell ref="O2:BB2"/>
    <mergeCell ref="BC2:BN2"/>
    <mergeCell ref="A3:G3"/>
    <mergeCell ref="H3:N3"/>
    <mergeCell ref="O3:BB3"/>
    <mergeCell ref="BC3:BN3"/>
    <mergeCell ref="BC13:BN13"/>
    <mergeCell ref="A4:N4"/>
    <mergeCell ref="BC4:BN4"/>
    <mergeCell ref="A7:BN7"/>
    <mergeCell ref="X8:AT8"/>
    <mergeCell ref="A9:N9"/>
    <mergeCell ref="O9:BB9"/>
    <mergeCell ref="BC9:BN12"/>
    <mergeCell ref="A10:N10"/>
    <mergeCell ref="O10:BB10"/>
    <mergeCell ref="A11:N11"/>
    <mergeCell ref="O11:BB11"/>
    <mergeCell ref="O12:BB12"/>
    <mergeCell ref="A13:N13"/>
    <mergeCell ref="O13:BB13"/>
    <mergeCell ref="BC6:BO6"/>
    <mergeCell ref="A14:N14"/>
    <mergeCell ref="O14:BB14"/>
    <mergeCell ref="A15:N15"/>
    <mergeCell ref="O15:BB15"/>
    <mergeCell ref="A16:N16"/>
    <mergeCell ref="O16:P16"/>
    <mergeCell ref="Q16:S16"/>
    <mergeCell ref="T16:U16"/>
    <mergeCell ref="V16:Z16"/>
    <mergeCell ref="AG19:AI20"/>
    <mergeCell ref="O17:BB17"/>
    <mergeCell ref="A19:A23"/>
    <mergeCell ref="B19:E20"/>
    <mergeCell ref="F19:F20"/>
    <mergeCell ref="G19:I20"/>
    <mergeCell ref="J19:J20"/>
    <mergeCell ref="K19:N20"/>
    <mergeCell ref="O19:R20"/>
    <mergeCell ref="S19:S20"/>
    <mergeCell ref="T19:V20"/>
    <mergeCell ref="W19:W20"/>
    <mergeCell ref="X19:Z20"/>
    <mergeCell ref="AA19:AA20"/>
    <mergeCell ref="AB19:AE20"/>
    <mergeCell ref="AF19:AF20"/>
    <mergeCell ref="BK20:BK23"/>
    <mergeCell ref="BL20:BL23"/>
    <mergeCell ref="BM20:BM23"/>
    <mergeCell ref="AJ19:AJ20"/>
    <mergeCell ref="AK19:AN20"/>
    <mergeCell ref="AO19:AR20"/>
    <mergeCell ref="AS19:AS20"/>
    <mergeCell ref="AT19:AV20"/>
    <mergeCell ref="AW19:AW20"/>
    <mergeCell ref="BB20:BD22"/>
    <mergeCell ref="BE20:BG22"/>
    <mergeCell ref="BH20:BH23"/>
    <mergeCell ref="BI20:BI23"/>
    <mergeCell ref="BJ20:BJ23"/>
    <mergeCell ref="D32:Q32"/>
    <mergeCell ref="T32:AE32"/>
    <mergeCell ref="AH32:AP32"/>
    <mergeCell ref="AS32:AY32"/>
    <mergeCell ref="BN20:BN23"/>
    <mergeCell ref="F21:F22"/>
    <mergeCell ref="J21:J22"/>
    <mergeCell ref="S21:S22"/>
    <mergeCell ref="W21:W22"/>
    <mergeCell ref="AA21:AA22"/>
    <mergeCell ref="AF21:AF22"/>
    <mergeCell ref="AJ21:AJ22"/>
    <mergeCell ref="AS21:AS22"/>
    <mergeCell ref="AW21:AW22"/>
    <mergeCell ref="AX19:BA20"/>
    <mergeCell ref="BB19:BN19"/>
    <mergeCell ref="AH34:AP34"/>
    <mergeCell ref="AS34:AY34"/>
    <mergeCell ref="BB34:BG34"/>
    <mergeCell ref="BJ34:BN34"/>
    <mergeCell ref="AY30:BA30"/>
    <mergeCell ref="L36:U36"/>
    <mergeCell ref="L37:U37"/>
    <mergeCell ref="L38:AD38"/>
    <mergeCell ref="L39:AD39"/>
    <mergeCell ref="D34:Q34"/>
    <mergeCell ref="T34:AE34"/>
  </mergeCells>
  <conditionalFormatting sqref="A36:A37">
    <cfRule type="cellIs" priority="16" stopIfTrue="1" operator="equal">
      <formula>#REF!</formula>
    </cfRule>
  </conditionalFormatting>
  <conditionalFormatting sqref="A38:A39">
    <cfRule type="expression" dxfId="15" priority="15" stopIfTrue="1">
      <formula>$R$32</formula>
    </cfRule>
  </conditionalFormatting>
  <conditionalFormatting sqref="B36">
    <cfRule type="cellIs" priority="14" stopIfTrue="1" operator="equal">
      <formula>$B$32</formula>
    </cfRule>
  </conditionalFormatting>
  <conditionalFormatting sqref="B37">
    <cfRule type="cellIs" dxfId="14" priority="13" stopIfTrue="1" operator="equal">
      <formula>$R$32</formula>
    </cfRule>
  </conditionalFormatting>
  <conditionalFormatting sqref="B38">
    <cfRule type="cellIs" dxfId="13" priority="12" stopIfTrue="1" operator="equal">
      <formula>$B$34</formula>
    </cfRule>
  </conditionalFormatting>
  <conditionalFormatting sqref="B39">
    <cfRule type="cellIs" dxfId="12" priority="11" stopIfTrue="1" operator="equal">
      <formula>$R$34</formula>
    </cfRule>
  </conditionalFormatting>
  <conditionalFormatting sqref="B40">
    <cfRule type="cellIs" priority="10" stopIfTrue="1" operator="equal">
      <formula>$AF$32</formula>
    </cfRule>
  </conditionalFormatting>
  <conditionalFormatting sqref="B41">
    <cfRule type="cellIs" dxfId="11" priority="9" stopIfTrue="1" operator="equal">
      <formula>$AF$34</formula>
    </cfRule>
  </conditionalFormatting>
  <conditionalFormatting sqref="B42">
    <cfRule type="cellIs" dxfId="10" priority="8" stopIfTrue="1" operator="equal">
      <formula>$AZ$34</formula>
    </cfRule>
  </conditionalFormatting>
  <conditionalFormatting sqref="B43">
    <cfRule type="cellIs" dxfId="9" priority="7" stopIfTrue="1" operator="equal">
      <formula>$AQ$32</formula>
    </cfRule>
  </conditionalFormatting>
  <conditionalFormatting sqref="B44">
    <cfRule type="cellIs" dxfId="8" priority="6" stopIfTrue="1" operator="equal">
      <formula>$AZ$32</formula>
    </cfRule>
  </conditionalFormatting>
  <conditionalFormatting sqref="B45">
    <cfRule type="cellIs" dxfId="7" priority="5" stopIfTrue="1" operator="equal">
      <formula>$AQ$34</formula>
    </cfRule>
  </conditionalFormatting>
  <conditionalFormatting sqref="B46">
    <cfRule type="cellIs" priority="4" stopIfTrue="1" operator="equal">
      <formula>$BH$34</formula>
    </cfRule>
  </conditionalFormatting>
  <conditionalFormatting sqref="B24:BA29">
    <cfRule type="expression" dxfId="6" priority="1" stopIfTrue="1">
      <formula>OR(B24=$R$32,B24=$R$34,B24=$AQ$32,B24=$AZ$32,B24=$AQ$34)</formula>
    </cfRule>
    <cfRule type="expression" dxfId="5" priority="2" stopIfTrue="1">
      <formula>OR(B24=$AF$32,B24=$AF$34)</formula>
    </cfRule>
    <cfRule type="cellIs" dxfId="4" priority="3" stopIfTrue="1" operator="equal">
      <formula>$AZ$34</formula>
    </cfRule>
  </conditionalFormatting>
  <dataValidations count="4">
    <dataValidation type="list" allowBlank="1" showInputMessage="1" showErrorMessage="1" prompt="выберите из списка" sqref="O14:BB14">
      <formula1>$L$38:$L$39</formula1>
    </dataValidation>
    <dataValidation type="list" allowBlank="1" showInputMessage="1" showErrorMessage="1" prompt="выберите из списка" sqref="O15:BB15">
      <formula1>$D$36:$D$40</formula1>
    </dataValidation>
    <dataValidation type="list" allowBlank="1" showInputMessage="1" showErrorMessage="1" prompt="выберите из списка" sqref="B24:BA29">
      <formula1>$B$36:$B$46</formula1>
    </dataValidation>
    <dataValidation type="list" allowBlank="1" showInputMessage="1" showErrorMessage="1" prompt="выберите из списка" sqref="O13:BB13">
      <formula1>$L$36:$L$37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8"/>
  <sheetViews>
    <sheetView showZeros="0" zoomScale="70" zoomScaleNormal="70" workbookViewId="0">
      <pane xSplit="16" ySplit="10" topLeftCell="AE11" activePane="bottomRight" state="frozen"/>
      <selection pane="topRight" activeCell="Q1" sqref="Q1"/>
      <selection pane="bottomLeft" activeCell="A11" sqref="A11"/>
      <selection pane="bottomRight" activeCell="AI12" sqref="AI12"/>
    </sheetView>
  </sheetViews>
  <sheetFormatPr defaultRowHeight="12.75" x14ac:dyDescent="0.2"/>
  <cols>
    <col min="1" max="1" width="15.83203125" style="215" customWidth="1"/>
    <col min="2" max="2" width="53.33203125" style="215" customWidth="1"/>
    <col min="3" max="3" width="16.83203125" style="215" customWidth="1"/>
    <col min="4" max="4" width="8" style="64" customWidth="1"/>
    <col min="5" max="5" width="8.6640625" style="64" customWidth="1"/>
    <col min="6" max="7" width="7.6640625" style="64" customWidth="1"/>
    <col min="8" max="8" width="6.6640625" style="64" customWidth="1"/>
    <col min="9" max="9" width="6.6640625" style="65" hidden="1" customWidth="1"/>
    <col min="10" max="10" width="6.6640625" style="64" hidden="1" customWidth="1"/>
    <col min="11" max="11" width="6.6640625" style="65" customWidth="1"/>
    <col min="12" max="12" width="7.5" style="65" customWidth="1"/>
    <col min="13" max="14" width="8.33203125" style="215" customWidth="1"/>
    <col min="15" max="15" width="7.83203125" style="215" customWidth="1"/>
    <col min="16" max="16" width="7.1640625" style="215" customWidth="1"/>
    <col min="17" max="18" width="7.6640625" style="215" customWidth="1"/>
    <col min="19" max="19" width="7.1640625" style="215" customWidth="1"/>
    <col min="20" max="21" width="6.83203125" style="215" customWidth="1"/>
    <col min="22" max="22" width="7.6640625" style="215" customWidth="1"/>
    <col min="23" max="23" width="7.5" style="215" customWidth="1"/>
    <col min="24" max="24" width="6.83203125" style="215" customWidth="1"/>
    <col min="25" max="25" width="7.83203125" style="215" customWidth="1"/>
    <col min="26" max="27" width="6.83203125" style="215" customWidth="1"/>
    <col min="28" max="28" width="7.6640625" style="215" customWidth="1"/>
    <col min="29" max="30" width="6.83203125" style="215" customWidth="1"/>
    <col min="31" max="31" width="7.83203125" style="215" customWidth="1"/>
    <col min="32" max="32" width="6.83203125" style="215" customWidth="1"/>
    <col min="33" max="33" width="7.33203125" style="215" customWidth="1"/>
    <col min="34" max="36" width="6.83203125" style="215" customWidth="1"/>
    <col min="37" max="37" width="7.1640625" style="215" customWidth="1"/>
    <col min="38" max="42" width="6.83203125" style="215" customWidth="1"/>
    <col min="43" max="43" width="7" style="215" customWidth="1"/>
    <col min="44" max="46" width="6.83203125" style="215" customWidth="1"/>
    <col min="47" max="47" width="8.5" style="215" customWidth="1"/>
    <col min="48" max="49" width="6.83203125" style="215" customWidth="1"/>
    <col min="50" max="50" width="6.33203125" style="215" hidden="1" customWidth="1"/>
    <col min="51" max="54" width="6.83203125" style="215" hidden="1" customWidth="1"/>
    <col min="55" max="55" width="8.5" style="215" hidden="1" customWidth="1"/>
    <col min="56" max="58" width="6.83203125" style="215" hidden="1" customWidth="1"/>
    <col min="59" max="59" width="6.33203125" style="192" hidden="1" customWidth="1"/>
    <col min="60" max="60" width="13" style="44" customWidth="1"/>
    <col min="61" max="61" width="28.83203125" style="44" customWidth="1"/>
    <col min="62" max="16384" width="9.33203125" style="41"/>
  </cols>
  <sheetData>
    <row r="1" spans="1:61" s="45" customFormat="1" ht="29.25" customHeight="1" x14ac:dyDescent="0.2">
      <c r="A1" s="718" t="s">
        <v>171</v>
      </c>
      <c r="B1" s="730" t="s">
        <v>583</v>
      </c>
      <c r="C1" s="666" t="s">
        <v>75</v>
      </c>
      <c r="D1" s="671" t="s">
        <v>584</v>
      </c>
      <c r="E1" s="672"/>
      <c r="F1" s="672"/>
      <c r="G1" s="672"/>
      <c r="H1" s="672"/>
      <c r="I1" s="311"/>
      <c r="J1" s="753" t="s">
        <v>489</v>
      </c>
      <c r="K1" s="800" t="s">
        <v>2</v>
      </c>
      <c r="L1" s="801"/>
      <c r="M1" s="806" t="s">
        <v>2</v>
      </c>
      <c r="N1" s="807"/>
      <c r="O1" s="807"/>
      <c r="P1" s="807"/>
      <c r="Q1" s="807"/>
      <c r="R1" s="807"/>
      <c r="S1" s="808"/>
      <c r="T1" s="806" t="s">
        <v>151</v>
      </c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7"/>
      <c r="AP1" s="807"/>
      <c r="AQ1" s="807"/>
      <c r="AR1" s="807"/>
      <c r="AS1" s="807"/>
      <c r="AT1" s="807"/>
      <c r="AU1" s="807"/>
      <c r="AV1" s="807"/>
      <c r="AW1" s="807"/>
      <c r="AX1" s="834"/>
      <c r="AY1" s="218"/>
      <c r="AZ1" s="218"/>
      <c r="BA1" s="218"/>
      <c r="BB1" s="218"/>
      <c r="BC1" s="218"/>
      <c r="BD1" s="218"/>
      <c r="BE1" s="218"/>
      <c r="BF1" s="218"/>
      <c r="BG1" s="219"/>
      <c r="BH1" s="790" t="s">
        <v>172</v>
      </c>
      <c r="BI1" s="725" t="s">
        <v>73</v>
      </c>
    </row>
    <row r="2" spans="1:61" s="45" customFormat="1" ht="12.75" customHeight="1" x14ac:dyDescent="0.2">
      <c r="A2" s="719"/>
      <c r="B2" s="731"/>
      <c r="C2" s="667"/>
      <c r="D2" s="673"/>
      <c r="E2" s="674"/>
      <c r="F2" s="674"/>
      <c r="G2" s="674"/>
      <c r="H2" s="674"/>
      <c r="I2" s="312"/>
      <c r="J2" s="754"/>
      <c r="K2" s="802"/>
      <c r="L2" s="803"/>
      <c r="M2" s="794" t="s">
        <v>1</v>
      </c>
      <c r="N2" s="627" t="s">
        <v>3</v>
      </c>
      <c r="O2" s="628"/>
      <c r="P2" s="628"/>
      <c r="Q2" s="628"/>
      <c r="R2" s="628"/>
      <c r="S2" s="629"/>
      <c r="T2" s="628" t="s">
        <v>80</v>
      </c>
      <c r="U2" s="628"/>
      <c r="V2" s="628"/>
      <c r="W2" s="628"/>
      <c r="X2" s="628"/>
      <c r="Y2" s="628"/>
      <c r="Z2" s="627" t="s">
        <v>81</v>
      </c>
      <c r="AA2" s="628"/>
      <c r="AB2" s="628"/>
      <c r="AC2" s="628"/>
      <c r="AD2" s="628"/>
      <c r="AE2" s="629"/>
      <c r="AF2" s="752" t="s">
        <v>82</v>
      </c>
      <c r="AG2" s="752"/>
      <c r="AH2" s="752"/>
      <c r="AI2" s="752"/>
      <c r="AJ2" s="752"/>
      <c r="AK2" s="752"/>
      <c r="AL2" s="752" t="s">
        <v>83</v>
      </c>
      <c r="AM2" s="752"/>
      <c r="AN2" s="752"/>
      <c r="AO2" s="752"/>
      <c r="AP2" s="752"/>
      <c r="AQ2" s="752"/>
      <c r="AR2" s="752" t="s">
        <v>84</v>
      </c>
      <c r="AS2" s="752"/>
      <c r="AT2" s="752"/>
      <c r="AU2" s="752"/>
      <c r="AV2" s="752"/>
      <c r="AW2" s="752"/>
      <c r="AX2" s="752" t="s">
        <v>488</v>
      </c>
      <c r="AY2" s="752"/>
      <c r="AZ2" s="752"/>
      <c r="BA2" s="752"/>
      <c r="BB2" s="752"/>
      <c r="BC2" s="752"/>
      <c r="BD2" s="752"/>
      <c r="BE2" s="752"/>
      <c r="BF2" s="752"/>
      <c r="BG2" s="627"/>
      <c r="BH2" s="790"/>
      <c r="BI2" s="726"/>
    </row>
    <row r="3" spans="1:61" s="45" customFormat="1" ht="12.75" customHeight="1" x14ac:dyDescent="0.2">
      <c r="A3" s="719"/>
      <c r="B3" s="731"/>
      <c r="C3" s="667"/>
      <c r="D3" s="669" t="s">
        <v>65</v>
      </c>
      <c r="E3" s="669" t="s">
        <v>578</v>
      </c>
      <c r="F3" s="341"/>
      <c r="G3" s="669" t="s">
        <v>585</v>
      </c>
      <c r="H3" s="683" t="s">
        <v>586</v>
      </c>
      <c r="I3" s="313"/>
      <c r="J3" s="754"/>
      <c r="K3" s="802"/>
      <c r="L3" s="803"/>
      <c r="M3" s="795"/>
      <c r="N3" s="791" t="s">
        <v>86</v>
      </c>
      <c r="O3" s="628"/>
      <c r="P3" s="628"/>
      <c r="Q3" s="628"/>
      <c r="R3" s="629"/>
      <c r="S3" s="835" t="s">
        <v>87</v>
      </c>
      <c r="T3" s="630"/>
      <c r="U3" s="631"/>
      <c r="V3" s="339"/>
      <c r="W3" s="756">
        <v>30</v>
      </c>
      <c r="X3" s="756"/>
      <c r="Y3" s="420"/>
      <c r="Z3" s="630"/>
      <c r="AA3" s="631"/>
      <c r="AB3" s="339"/>
      <c r="AC3" s="756">
        <v>30</v>
      </c>
      <c r="AD3" s="756"/>
      <c r="AE3" s="420"/>
      <c r="AF3" s="630"/>
      <c r="AG3" s="631"/>
      <c r="AH3" s="344"/>
      <c r="AI3" s="344"/>
      <c r="AJ3" s="756">
        <v>40</v>
      </c>
      <c r="AK3" s="617"/>
      <c r="AL3" s="630"/>
      <c r="AM3" s="631"/>
      <c r="AN3" s="344"/>
      <c r="AO3" s="756">
        <v>40</v>
      </c>
      <c r="AP3" s="756"/>
      <c r="AQ3" s="420"/>
      <c r="AR3" s="630"/>
      <c r="AS3" s="631"/>
      <c r="AT3" s="344"/>
      <c r="AU3" s="756">
        <v>40</v>
      </c>
      <c r="AV3" s="756"/>
      <c r="AW3" s="420"/>
      <c r="AX3" s="460"/>
      <c r="AY3" s="797"/>
      <c r="AZ3" s="798"/>
      <c r="BA3" s="798"/>
      <c r="BB3" s="267"/>
      <c r="BC3" s="799">
        <v>40</v>
      </c>
      <c r="BD3" s="799"/>
      <c r="BE3" s="799"/>
      <c r="BF3" s="268"/>
      <c r="BG3" s="220"/>
      <c r="BH3" s="790"/>
      <c r="BI3" s="726"/>
    </row>
    <row r="4" spans="1:61" s="45" customFormat="1" ht="12.75" customHeight="1" x14ac:dyDescent="0.2">
      <c r="A4" s="719"/>
      <c r="B4" s="731"/>
      <c r="C4" s="667"/>
      <c r="D4" s="670"/>
      <c r="E4" s="670"/>
      <c r="F4" s="342"/>
      <c r="G4" s="670"/>
      <c r="H4" s="684"/>
      <c r="I4" s="313"/>
      <c r="J4" s="754"/>
      <c r="K4" s="802"/>
      <c r="L4" s="803"/>
      <c r="M4" s="795"/>
      <c r="N4" s="792"/>
      <c r="O4" s="791" t="s">
        <v>312</v>
      </c>
      <c r="P4" s="791" t="s">
        <v>70</v>
      </c>
      <c r="Q4" s="791" t="s">
        <v>232</v>
      </c>
      <c r="R4" s="791" t="s">
        <v>313</v>
      </c>
      <c r="S4" s="836"/>
      <c r="T4" s="673"/>
      <c r="U4" s="674"/>
      <c r="V4" s="343"/>
      <c r="W4" s="674" t="s">
        <v>487</v>
      </c>
      <c r="X4" s="674"/>
      <c r="Y4" s="421"/>
      <c r="Z4" s="673"/>
      <c r="AA4" s="674"/>
      <c r="AB4" s="343"/>
      <c r="AC4" s="674" t="s">
        <v>487</v>
      </c>
      <c r="AD4" s="674"/>
      <c r="AE4" s="421"/>
      <c r="AF4" s="673"/>
      <c r="AG4" s="674"/>
      <c r="AH4" s="343"/>
      <c r="AI4" s="343"/>
      <c r="AJ4" s="674" t="s">
        <v>487</v>
      </c>
      <c r="AK4" s="717"/>
      <c r="AL4" s="673"/>
      <c r="AM4" s="674"/>
      <c r="AN4" s="343"/>
      <c r="AO4" s="674" t="s">
        <v>487</v>
      </c>
      <c r="AP4" s="674"/>
      <c r="AQ4" s="421"/>
      <c r="AR4" s="673"/>
      <c r="AS4" s="674"/>
      <c r="AT4" s="343"/>
      <c r="AU4" s="674" t="s">
        <v>487</v>
      </c>
      <c r="AV4" s="674"/>
      <c r="AW4" s="421"/>
      <c r="AX4" s="461"/>
      <c r="AY4" s="706"/>
      <c r="AZ4" s="674"/>
      <c r="BA4" s="674"/>
      <c r="BB4" s="214"/>
      <c r="BC4" s="674" t="s">
        <v>487</v>
      </c>
      <c r="BD4" s="674"/>
      <c r="BE4" s="674"/>
      <c r="BF4" s="46"/>
      <c r="BG4" s="220"/>
      <c r="BH4" s="790"/>
      <c r="BI4" s="726"/>
    </row>
    <row r="5" spans="1:61" s="45" customFormat="1" ht="12.75" customHeight="1" x14ac:dyDescent="0.2">
      <c r="A5" s="719"/>
      <c r="B5" s="731"/>
      <c r="C5" s="667"/>
      <c r="D5" s="670"/>
      <c r="E5" s="670"/>
      <c r="F5" s="342"/>
      <c r="G5" s="670"/>
      <c r="H5" s="684"/>
      <c r="I5" s="313"/>
      <c r="J5" s="754"/>
      <c r="K5" s="802"/>
      <c r="L5" s="803"/>
      <c r="M5" s="795"/>
      <c r="N5" s="792"/>
      <c r="O5" s="792"/>
      <c r="P5" s="792"/>
      <c r="Q5" s="792"/>
      <c r="R5" s="792"/>
      <c r="S5" s="836"/>
      <c r="T5" s="528" t="s">
        <v>148</v>
      </c>
      <c r="U5" s="346"/>
      <c r="V5" s="346"/>
      <c r="W5" s="346"/>
      <c r="X5" s="48">
        <f>IF((SUM(U81:Y81)+SUM(U76:Y76))=0,0,(SUM(U81:Y81)+SUM(U76:Y76))/Нормы!$G$38)</f>
        <v>0</v>
      </c>
      <c r="Y5" s="428" t="s">
        <v>149</v>
      </c>
      <c r="Z5" s="346" t="s">
        <v>148</v>
      </c>
      <c r="AA5" s="346"/>
      <c r="AB5" s="346"/>
      <c r="AC5" s="346"/>
      <c r="AD5" s="48">
        <f>IF((SUM(AA81:AE81)+SUM(AA76:AE76))=0,0,(SUM(AA81:AE81)+SUM(AA76:AE76))/Нормы!$G$38)</f>
        <v>9</v>
      </c>
      <c r="AE5" s="428" t="s">
        <v>149</v>
      </c>
      <c r="AF5" s="346" t="s">
        <v>148</v>
      </c>
      <c r="AG5" s="346"/>
      <c r="AH5" s="346"/>
      <c r="AI5" s="346"/>
      <c r="AJ5" s="48">
        <f>IF((SUM(AG81:AK81)+SUM(AG76:AK76))=0,0,(SUM(AG81:AK81)+SUM(AG76:AK76))/Нормы!$G$38)</f>
        <v>11</v>
      </c>
      <c r="AK5" s="428" t="s">
        <v>149</v>
      </c>
      <c r="AL5" s="346" t="s">
        <v>148</v>
      </c>
      <c r="AM5" s="346"/>
      <c r="AN5" s="346"/>
      <c r="AO5" s="346"/>
      <c r="AP5" s="48">
        <f>IF((SUM(AM81:AQ81)+SUM(AM76:AQ76))=0,0,(SUM(AM81:AQ81)+SUM(AM76:AQ76))/Нормы!$G$38)</f>
        <v>23</v>
      </c>
      <c r="AQ5" s="428" t="s">
        <v>149</v>
      </c>
      <c r="AR5" s="346" t="s">
        <v>148</v>
      </c>
      <c r="AS5" s="346"/>
      <c r="AT5" s="346"/>
      <c r="AU5" s="346"/>
      <c r="AV5" s="48">
        <f>IF((SUM(AS81:AW81)+SUM(AS76:AW76))=0,0,(SUM(AS81:AW81)+SUM(AS76:AW76))/Нормы!$G$38)</f>
        <v>12</v>
      </c>
      <c r="AW5" s="428" t="s">
        <v>149</v>
      </c>
      <c r="AX5" s="462"/>
      <c r="AY5" s="49"/>
      <c r="AZ5" s="634" t="s">
        <v>148</v>
      </c>
      <c r="BA5" s="634"/>
      <c r="BB5" s="213"/>
      <c r="BC5" s="213"/>
      <c r="BD5" s="47"/>
      <c r="BE5" s="48">
        <f>IF((SUM(AZ81:BF81)+SUM(AZ76:BF76))=0,0,(SUM(AZ81:BF81)+SUM(AZ76:BF76))/Нормы!$G$37)</f>
        <v>0</v>
      </c>
      <c r="BF5" s="50" t="s">
        <v>149</v>
      </c>
      <c r="BG5" s="220"/>
      <c r="BH5" s="790"/>
      <c r="BI5" s="726"/>
    </row>
    <row r="6" spans="1:61" s="45" customFormat="1" ht="12.75" customHeight="1" x14ac:dyDescent="0.2">
      <c r="A6" s="719"/>
      <c r="B6" s="731"/>
      <c r="C6" s="667"/>
      <c r="D6" s="670"/>
      <c r="E6" s="670"/>
      <c r="F6" s="342"/>
      <c r="G6" s="670"/>
      <c r="H6" s="684"/>
      <c r="I6" s="313"/>
      <c r="J6" s="754"/>
      <c r="K6" s="804"/>
      <c r="L6" s="805"/>
      <c r="M6" s="795"/>
      <c r="N6" s="792"/>
      <c r="O6" s="792"/>
      <c r="P6" s="792"/>
      <c r="Q6" s="792"/>
      <c r="R6" s="792"/>
      <c r="S6" s="836"/>
      <c r="T6" s="632" t="s">
        <v>150</v>
      </c>
      <c r="U6" s="633"/>
      <c r="V6" s="347"/>
      <c r="W6" s="347"/>
      <c r="X6" s="51">
        <f>IF(SUM(U84:Y84)=0,0,SUM(U84:Y84)/Нормы!$G$37)</f>
        <v>0</v>
      </c>
      <c r="Y6" s="423" t="s">
        <v>149</v>
      </c>
      <c r="Z6" s="633" t="s">
        <v>150</v>
      </c>
      <c r="AA6" s="633"/>
      <c r="AB6" s="347"/>
      <c r="AC6" s="347"/>
      <c r="AD6" s="51">
        <f>IF(SUM(AA84:AE84)=0,0,SUM(AA84:AE84)/Нормы!$G$37)</f>
        <v>0</v>
      </c>
      <c r="AE6" s="423" t="s">
        <v>149</v>
      </c>
      <c r="AF6" s="633" t="s">
        <v>150</v>
      </c>
      <c r="AG6" s="633"/>
      <c r="AH6" s="347"/>
      <c r="AI6" s="347"/>
      <c r="AJ6" s="51">
        <f>IF(SUM(AG84:AK84)=0,0,SUM(AG84:AK84)/Нормы!$G$37)</f>
        <v>0</v>
      </c>
      <c r="AK6" s="423" t="s">
        <v>149</v>
      </c>
      <c r="AL6" s="633" t="s">
        <v>150</v>
      </c>
      <c r="AM6" s="633"/>
      <c r="AN6" s="347"/>
      <c r="AO6" s="347"/>
      <c r="AP6" s="51">
        <f>IF(SUM(AM84:AQ84)=0,0,SUM(AM84:AQ84)/Нормы!$G$37)</f>
        <v>0</v>
      </c>
      <c r="AQ6" s="423" t="s">
        <v>149</v>
      </c>
      <c r="AR6" s="633" t="s">
        <v>150</v>
      </c>
      <c r="AS6" s="633"/>
      <c r="AT6" s="347"/>
      <c r="AU6" s="347"/>
      <c r="AV6" s="51">
        <f>IF(SUM(AS84:AW84)=0,0,SUM(AS84:AW84)/Нормы!$G$37)</f>
        <v>4</v>
      </c>
      <c r="AW6" s="423" t="s">
        <v>149</v>
      </c>
      <c r="AX6" s="461"/>
      <c r="AY6" s="52"/>
      <c r="AZ6" s="633" t="s">
        <v>150</v>
      </c>
      <c r="BA6" s="633"/>
      <c r="BB6" s="633"/>
      <c r="BC6" s="633"/>
      <c r="BD6" s="633"/>
      <c r="BE6" s="51">
        <f>IF(SUM(AZ84:BF84)=0,0,SUM(AZ84:BF84)/Нормы!$G$37)</f>
        <v>0</v>
      </c>
      <c r="BF6" s="53" t="s">
        <v>149</v>
      </c>
      <c r="BG6" s="220"/>
      <c r="BH6" s="790"/>
      <c r="BI6" s="726"/>
    </row>
    <row r="7" spans="1:61" s="45" customFormat="1" ht="135.75" x14ac:dyDescent="0.2">
      <c r="A7" s="720"/>
      <c r="B7" s="732"/>
      <c r="C7" s="668"/>
      <c r="D7" s="670"/>
      <c r="E7" s="670"/>
      <c r="F7" s="342" t="s">
        <v>66</v>
      </c>
      <c r="G7" s="670"/>
      <c r="H7" s="684"/>
      <c r="I7" s="314"/>
      <c r="J7" s="755"/>
      <c r="K7" s="459" t="s">
        <v>180</v>
      </c>
      <c r="L7" s="459" t="s">
        <v>274</v>
      </c>
      <c r="M7" s="796"/>
      <c r="N7" s="793"/>
      <c r="O7" s="793"/>
      <c r="P7" s="793"/>
      <c r="Q7" s="793"/>
      <c r="R7" s="793"/>
      <c r="S7" s="837"/>
      <c r="T7" s="424" t="s">
        <v>139</v>
      </c>
      <c r="U7" s="425" t="s">
        <v>589</v>
      </c>
      <c r="V7" s="426" t="s">
        <v>590</v>
      </c>
      <c r="W7" s="425" t="s">
        <v>232</v>
      </c>
      <c r="X7" s="426" t="s">
        <v>313</v>
      </c>
      <c r="Y7" s="426" t="s">
        <v>71</v>
      </c>
      <c r="Z7" s="424" t="s">
        <v>139</v>
      </c>
      <c r="AA7" s="425" t="s">
        <v>589</v>
      </c>
      <c r="AB7" s="426" t="s">
        <v>590</v>
      </c>
      <c r="AC7" s="425" t="s">
        <v>232</v>
      </c>
      <c r="AD7" s="426" t="s">
        <v>313</v>
      </c>
      <c r="AE7" s="426" t="s">
        <v>71</v>
      </c>
      <c r="AF7" s="424" t="s">
        <v>139</v>
      </c>
      <c r="AG7" s="425" t="s">
        <v>589</v>
      </c>
      <c r="AH7" s="426" t="s">
        <v>590</v>
      </c>
      <c r="AI7" s="425" t="s">
        <v>232</v>
      </c>
      <c r="AJ7" s="426" t="s">
        <v>313</v>
      </c>
      <c r="AK7" s="426" t="s">
        <v>71</v>
      </c>
      <c r="AL7" s="424" t="s">
        <v>139</v>
      </c>
      <c r="AM7" s="425" t="s">
        <v>589</v>
      </c>
      <c r="AN7" s="426" t="s">
        <v>590</v>
      </c>
      <c r="AO7" s="425" t="s">
        <v>232</v>
      </c>
      <c r="AP7" s="426" t="s">
        <v>313</v>
      </c>
      <c r="AQ7" s="426" t="s">
        <v>71</v>
      </c>
      <c r="AR7" s="424" t="s">
        <v>139</v>
      </c>
      <c r="AS7" s="425" t="s">
        <v>589</v>
      </c>
      <c r="AT7" s="426" t="s">
        <v>590</v>
      </c>
      <c r="AU7" s="425" t="s">
        <v>232</v>
      </c>
      <c r="AV7" s="426" t="s">
        <v>313</v>
      </c>
      <c r="AW7" s="426" t="s">
        <v>71</v>
      </c>
      <c r="AX7" s="461" t="s">
        <v>140</v>
      </c>
      <c r="AY7" s="56" t="s">
        <v>139</v>
      </c>
      <c r="AZ7" s="55" t="s">
        <v>311</v>
      </c>
      <c r="BA7" s="55" t="s">
        <v>312</v>
      </c>
      <c r="BB7" s="55" t="s">
        <v>70</v>
      </c>
      <c r="BC7" s="55" t="s">
        <v>232</v>
      </c>
      <c r="BD7" s="55" t="s">
        <v>313</v>
      </c>
      <c r="BE7" s="55" t="s">
        <v>152</v>
      </c>
      <c r="BF7" s="57" t="s">
        <v>71</v>
      </c>
      <c r="BG7" s="221"/>
      <c r="BH7" s="790"/>
      <c r="BI7" s="727"/>
    </row>
    <row r="8" spans="1:61" s="45" customFormat="1" x14ac:dyDescent="0.2">
      <c r="A8" s="345">
        <v>1</v>
      </c>
      <c r="B8" s="345">
        <v>2</v>
      </c>
      <c r="C8" s="345">
        <v>3</v>
      </c>
      <c r="D8" s="345">
        <v>4</v>
      </c>
      <c r="E8" s="345">
        <v>5</v>
      </c>
      <c r="F8" s="345">
        <v>6</v>
      </c>
      <c r="G8" s="345">
        <v>7</v>
      </c>
      <c r="H8" s="345">
        <v>8</v>
      </c>
      <c r="I8" s="345">
        <v>9</v>
      </c>
      <c r="J8" s="345">
        <v>10</v>
      </c>
      <c r="K8" s="345">
        <v>11</v>
      </c>
      <c r="L8" s="345">
        <v>12</v>
      </c>
      <c r="M8" s="345">
        <v>13</v>
      </c>
      <c r="N8" s="345">
        <v>14</v>
      </c>
      <c r="O8" s="345">
        <v>15</v>
      </c>
      <c r="P8" s="345">
        <v>16</v>
      </c>
      <c r="Q8" s="345">
        <v>17</v>
      </c>
      <c r="R8" s="345">
        <v>18</v>
      </c>
      <c r="S8" s="345">
        <v>19</v>
      </c>
      <c r="T8" s="345">
        <v>20</v>
      </c>
      <c r="U8" s="345">
        <v>21</v>
      </c>
      <c r="V8" s="345">
        <v>22</v>
      </c>
      <c r="W8" s="345">
        <v>23</v>
      </c>
      <c r="X8" s="345">
        <v>24</v>
      </c>
      <c r="Y8" s="345">
        <v>25</v>
      </c>
      <c r="Z8" s="345">
        <v>26</v>
      </c>
      <c r="AA8" s="345">
        <v>27</v>
      </c>
      <c r="AB8" s="345">
        <v>28</v>
      </c>
      <c r="AC8" s="345">
        <v>29</v>
      </c>
      <c r="AD8" s="345">
        <v>30</v>
      </c>
      <c r="AE8" s="345">
        <v>31</v>
      </c>
      <c r="AF8" s="345">
        <v>32</v>
      </c>
      <c r="AG8" s="345">
        <v>33</v>
      </c>
      <c r="AH8" s="345">
        <v>34</v>
      </c>
      <c r="AI8" s="345">
        <v>35</v>
      </c>
      <c r="AJ8" s="345">
        <v>36</v>
      </c>
      <c r="AK8" s="345">
        <v>37</v>
      </c>
      <c r="AL8" s="345">
        <v>38</v>
      </c>
      <c r="AM8" s="345">
        <v>39</v>
      </c>
      <c r="AN8" s="345">
        <v>40</v>
      </c>
      <c r="AO8" s="345">
        <v>41</v>
      </c>
      <c r="AP8" s="345">
        <v>42</v>
      </c>
      <c r="AQ8" s="345">
        <v>43</v>
      </c>
      <c r="AR8" s="345">
        <v>44</v>
      </c>
      <c r="AS8" s="345">
        <v>45</v>
      </c>
      <c r="AT8" s="345">
        <v>46</v>
      </c>
      <c r="AU8" s="345">
        <v>47</v>
      </c>
      <c r="AV8" s="345">
        <v>48</v>
      </c>
      <c r="AW8" s="345">
        <v>49</v>
      </c>
      <c r="AX8" s="345">
        <v>56</v>
      </c>
      <c r="AY8" s="345">
        <v>57</v>
      </c>
      <c r="AZ8" s="345">
        <v>58</v>
      </c>
      <c r="BA8" s="345">
        <v>59</v>
      </c>
      <c r="BB8" s="345">
        <v>60</v>
      </c>
      <c r="BC8" s="345">
        <v>61</v>
      </c>
      <c r="BD8" s="345">
        <v>62</v>
      </c>
      <c r="BE8" s="345">
        <v>63</v>
      </c>
      <c r="BF8" s="345">
        <v>64</v>
      </c>
      <c r="BG8" s="345">
        <v>65</v>
      </c>
      <c r="BH8" s="345"/>
      <c r="BI8" s="345"/>
    </row>
    <row r="9" spans="1:61" s="228" customFormat="1" ht="26.1" customHeight="1" x14ac:dyDescent="0.2">
      <c r="A9" s="350"/>
      <c r="B9" s="699" t="s">
        <v>378</v>
      </c>
      <c r="C9" s="700"/>
      <c r="D9" s="700"/>
      <c r="E9" s="700"/>
      <c r="F9" s="700"/>
      <c r="G9" s="700"/>
      <c r="H9" s="701"/>
      <c r="I9" s="464"/>
      <c r="J9" s="465"/>
      <c r="K9" s="464">
        <f>'Учебный план'!K28</f>
        <v>5391</v>
      </c>
      <c r="L9" s="464">
        <f>'Учебный план'!L28</f>
        <v>3594</v>
      </c>
      <c r="M9" s="464">
        <f t="shared" ref="M9:AE9" si="0">SUM(M10+M16+M20)</f>
        <v>3961</v>
      </c>
      <c r="N9" s="464">
        <f t="shared" si="0"/>
        <v>540</v>
      </c>
      <c r="O9" s="464">
        <f t="shared" si="0"/>
        <v>358</v>
      </c>
      <c r="P9" s="464">
        <f t="shared" si="0"/>
        <v>125</v>
      </c>
      <c r="Q9" s="464">
        <f t="shared" si="0"/>
        <v>57</v>
      </c>
      <c r="R9" s="464">
        <f t="shared" si="0"/>
        <v>0</v>
      </c>
      <c r="S9" s="464">
        <f t="shared" si="0"/>
        <v>3421</v>
      </c>
      <c r="T9" s="464">
        <f t="shared" si="0"/>
        <v>936</v>
      </c>
      <c r="U9" s="464">
        <f t="shared" si="0"/>
        <v>122</v>
      </c>
      <c r="V9" s="464">
        <f t="shared" si="0"/>
        <v>38</v>
      </c>
      <c r="W9" s="464">
        <f t="shared" si="0"/>
        <v>0</v>
      </c>
      <c r="X9" s="464">
        <f t="shared" si="0"/>
        <v>0</v>
      </c>
      <c r="Y9" s="464">
        <f t="shared" si="0"/>
        <v>776</v>
      </c>
      <c r="Z9" s="464">
        <f t="shared" si="0"/>
        <v>1168</v>
      </c>
      <c r="AA9" s="464">
        <f>SUM(AA10+AA16+AA20)</f>
        <v>124</v>
      </c>
      <c r="AB9" s="464">
        <f t="shared" si="0"/>
        <v>14</v>
      </c>
      <c r="AC9" s="464">
        <f t="shared" si="0"/>
        <v>0</v>
      </c>
      <c r="AD9" s="464">
        <f t="shared" si="0"/>
        <v>0</v>
      </c>
      <c r="AE9" s="464">
        <f t="shared" si="0"/>
        <v>1030</v>
      </c>
      <c r="AF9" s="464">
        <f t="shared" ref="AF9:AW9" si="1">SUM(AF10+AF16+AF20)</f>
        <v>1144</v>
      </c>
      <c r="AG9" s="464">
        <f t="shared" si="1"/>
        <v>118</v>
      </c>
      <c r="AH9" s="464">
        <f t="shared" si="1"/>
        <v>42</v>
      </c>
      <c r="AI9" s="464">
        <f t="shared" si="1"/>
        <v>0</v>
      </c>
      <c r="AJ9" s="464">
        <f t="shared" si="1"/>
        <v>0</v>
      </c>
      <c r="AK9" s="464">
        <f t="shared" si="1"/>
        <v>984</v>
      </c>
      <c r="AL9" s="464">
        <f t="shared" si="1"/>
        <v>1159</v>
      </c>
      <c r="AM9" s="464">
        <f t="shared" si="1"/>
        <v>96</v>
      </c>
      <c r="AN9" s="464">
        <f t="shared" si="1"/>
        <v>34</v>
      </c>
      <c r="AO9" s="464">
        <f t="shared" si="1"/>
        <v>22</v>
      </c>
      <c r="AP9" s="464">
        <f t="shared" si="1"/>
        <v>0</v>
      </c>
      <c r="AQ9" s="464">
        <f t="shared" si="1"/>
        <v>1007</v>
      </c>
      <c r="AR9" s="464">
        <f t="shared" si="1"/>
        <v>984</v>
      </c>
      <c r="AS9" s="464">
        <f t="shared" si="1"/>
        <v>41</v>
      </c>
      <c r="AT9" s="464">
        <f t="shared" si="1"/>
        <v>51</v>
      </c>
      <c r="AU9" s="464">
        <f t="shared" si="1"/>
        <v>68</v>
      </c>
      <c r="AV9" s="464">
        <f t="shared" si="1"/>
        <v>0</v>
      </c>
      <c r="AW9" s="464">
        <f t="shared" si="1"/>
        <v>824</v>
      </c>
      <c r="AX9" s="464" t="e">
        <f>AX10+AX16+AX20</f>
        <v>#REF!</v>
      </c>
      <c r="AY9" s="464">
        <f t="shared" ref="AY9:BF9" si="2">SUM(AY10+AY16+AY20)</f>
        <v>0</v>
      </c>
      <c r="AZ9" s="464">
        <f t="shared" si="2"/>
        <v>0</v>
      </c>
      <c r="BA9" s="464">
        <f t="shared" si="2"/>
        <v>0</v>
      </c>
      <c r="BB9" s="464">
        <f t="shared" si="2"/>
        <v>0</v>
      </c>
      <c r="BC9" s="464">
        <f t="shared" si="2"/>
        <v>0</v>
      </c>
      <c r="BD9" s="464">
        <f t="shared" si="2"/>
        <v>0</v>
      </c>
      <c r="BE9" s="464">
        <f t="shared" si="2"/>
        <v>0</v>
      </c>
      <c r="BF9" s="464">
        <f t="shared" si="2"/>
        <v>0</v>
      </c>
      <c r="BG9" s="310"/>
      <c r="BH9" s="465">
        <f>'Учебный план'!BZ28</f>
        <v>0</v>
      </c>
      <c r="BI9" s="465">
        <f>'Учебный план'!CA28</f>
        <v>0</v>
      </c>
    </row>
    <row r="10" spans="1:61" s="228" customFormat="1" ht="26.1" customHeight="1" x14ac:dyDescent="0.2">
      <c r="A10" s="357" t="s">
        <v>173</v>
      </c>
      <c r="B10" s="685" t="s">
        <v>174</v>
      </c>
      <c r="C10" s="686"/>
      <c r="D10" s="686"/>
      <c r="E10" s="686"/>
      <c r="F10" s="686"/>
      <c r="G10" s="686"/>
      <c r="H10" s="687"/>
      <c r="I10" s="466"/>
      <c r="J10" s="467"/>
      <c r="K10" s="466">
        <f>'Учебный план'!K29</f>
        <v>943</v>
      </c>
      <c r="L10" s="466">
        <f>'Учебный план'!L29</f>
        <v>560</v>
      </c>
      <c r="M10" s="466">
        <f t="shared" ref="M10:AE10" si="3">SUM(M11:M15)</f>
        <v>943</v>
      </c>
      <c r="N10" s="466">
        <f t="shared" si="3"/>
        <v>84</v>
      </c>
      <c r="O10" s="466">
        <f t="shared" si="3"/>
        <v>38</v>
      </c>
      <c r="P10" s="466">
        <f t="shared" si="3"/>
        <v>46</v>
      </c>
      <c r="Q10" s="466">
        <f t="shared" si="3"/>
        <v>0</v>
      </c>
      <c r="R10" s="466">
        <f t="shared" si="3"/>
        <v>0</v>
      </c>
      <c r="S10" s="466">
        <f t="shared" si="3"/>
        <v>859</v>
      </c>
      <c r="T10" s="466">
        <f t="shared" si="3"/>
        <v>291</v>
      </c>
      <c r="U10" s="466">
        <f t="shared" si="3"/>
        <v>26</v>
      </c>
      <c r="V10" s="466">
        <f t="shared" si="3"/>
        <v>10</v>
      </c>
      <c r="W10" s="466">
        <f t="shared" si="3"/>
        <v>0</v>
      </c>
      <c r="X10" s="466">
        <f t="shared" si="3"/>
        <v>0</v>
      </c>
      <c r="Y10" s="466">
        <f t="shared" si="3"/>
        <v>255</v>
      </c>
      <c r="Z10" s="466">
        <f>SUM(Z11:Z15)</f>
        <v>217</v>
      </c>
      <c r="AA10" s="466">
        <f t="shared" si="3"/>
        <v>12</v>
      </c>
      <c r="AB10" s="466">
        <f t="shared" si="3"/>
        <v>10</v>
      </c>
      <c r="AC10" s="466">
        <f t="shared" si="3"/>
        <v>0</v>
      </c>
      <c r="AD10" s="466">
        <f t="shared" si="3"/>
        <v>0</v>
      </c>
      <c r="AE10" s="466">
        <f t="shared" si="3"/>
        <v>195</v>
      </c>
      <c r="AF10" s="466">
        <f t="shared" ref="AF10:BF10" si="4">SUM(AF11:AF15)</f>
        <v>145</v>
      </c>
      <c r="AG10" s="466">
        <f t="shared" si="4"/>
        <v>0</v>
      </c>
      <c r="AH10" s="466">
        <f t="shared" si="4"/>
        <v>8</v>
      </c>
      <c r="AI10" s="466">
        <f t="shared" si="4"/>
        <v>0</v>
      </c>
      <c r="AJ10" s="466">
        <f t="shared" si="4"/>
        <v>0</v>
      </c>
      <c r="AK10" s="466">
        <f t="shared" si="4"/>
        <v>137</v>
      </c>
      <c r="AL10" s="466">
        <f t="shared" si="4"/>
        <v>147</v>
      </c>
      <c r="AM10" s="466">
        <f t="shared" si="4"/>
        <v>0</v>
      </c>
      <c r="AN10" s="466">
        <f t="shared" si="4"/>
        <v>8</v>
      </c>
      <c r="AO10" s="466">
        <f t="shared" si="4"/>
        <v>0</v>
      </c>
      <c r="AP10" s="466">
        <f t="shared" si="4"/>
        <v>0</v>
      </c>
      <c r="AQ10" s="466">
        <f t="shared" si="4"/>
        <v>139</v>
      </c>
      <c r="AR10" s="466">
        <f t="shared" si="4"/>
        <v>143</v>
      </c>
      <c r="AS10" s="466">
        <f t="shared" si="4"/>
        <v>0</v>
      </c>
      <c r="AT10" s="466">
        <f t="shared" si="4"/>
        <v>10</v>
      </c>
      <c r="AU10" s="466">
        <f t="shared" si="4"/>
        <v>0</v>
      </c>
      <c r="AV10" s="466">
        <f t="shared" si="4"/>
        <v>0</v>
      </c>
      <c r="AW10" s="466">
        <f t="shared" si="4"/>
        <v>133</v>
      </c>
      <c r="AX10" s="466">
        <f t="shared" si="4"/>
        <v>0</v>
      </c>
      <c r="AY10" s="466">
        <f t="shared" si="4"/>
        <v>0</v>
      </c>
      <c r="AZ10" s="466">
        <f t="shared" si="4"/>
        <v>0</v>
      </c>
      <c r="BA10" s="466">
        <f t="shared" si="4"/>
        <v>0</v>
      </c>
      <c r="BB10" s="466">
        <f t="shared" si="4"/>
        <v>0</v>
      </c>
      <c r="BC10" s="466">
        <f t="shared" si="4"/>
        <v>0</v>
      </c>
      <c r="BD10" s="466">
        <f t="shared" si="4"/>
        <v>0</v>
      </c>
      <c r="BE10" s="466">
        <f t="shared" si="4"/>
        <v>0</v>
      </c>
      <c r="BF10" s="466">
        <f t="shared" si="4"/>
        <v>0</v>
      </c>
      <c r="BG10" s="310"/>
      <c r="BH10" s="467">
        <f>'Учебный план'!BZ29</f>
        <v>0</v>
      </c>
      <c r="BI10" s="467">
        <f>'Учебный план'!CA29</f>
        <v>0</v>
      </c>
    </row>
    <row r="11" spans="1:61" s="224" customFormat="1" ht="26.1" customHeight="1" x14ac:dyDescent="0.2">
      <c r="A11" s="416" t="str">
        <f>'Учебный план'!A30</f>
        <v>ОГСЭ.01</v>
      </c>
      <c r="B11" s="416" t="str">
        <f>'Учебный план'!B30</f>
        <v>Основы философии</v>
      </c>
      <c r="C11" s="416">
        <f>'Учебный план'!C30</f>
        <v>0</v>
      </c>
      <c r="D11" s="363"/>
      <c r="E11" s="363" t="s">
        <v>27</v>
      </c>
      <c r="F11" s="363"/>
      <c r="G11" s="363"/>
      <c r="H11" s="363"/>
      <c r="I11" s="468">
        <f>K11-M11</f>
        <v>0</v>
      </c>
      <c r="J11" s="469">
        <f>L11*$J$1</f>
        <v>14.4</v>
      </c>
      <c r="K11" s="177">
        <f>'Учебный план'!K30</f>
        <v>72</v>
      </c>
      <c r="L11" s="177">
        <f>'Учебный план'!L30</f>
        <v>48</v>
      </c>
      <c r="M11" s="470">
        <f t="shared" ref="M11:M41" si="5">SUM(N11+S11)</f>
        <v>72</v>
      </c>
      <c r="N11" s="470">
        <f>SUM(O11:R11)</f>
        <v>12</v>
      </c>
      <c r="O11" s="470">
        <f t="shared" ref="O11:R15" si="6">U11+AG11+AM11+AS11+AA11+BA11</f>
        <v>12</v>
      </c>
      <c r="P11" s="470">
        <f t="shared" si="6"/>
        <v>0</v>
      </c>
      <c r="Q11" s="470">
        <f t="shared" si="6"/>
        <v>0</v>
      </c>
      <c r="R11" s="470">
        <f t="shared" si="6"/>
        <v>0</v>
      </c>
      <c r="S11" s="470">
        <f>Y11+AK11+AQ11+AW11+BF11+AE11</f>
        <v>60</v>
      </c>
      <c r="T11" s="471">
        <f t="shared" ref="T11:T28" si="7">SUM(U11:Y11)</f>
        <v>72</v>
      </c>
      <c r="U11" s="458">
        <v>12</v>
      </c>
      <c r="V11" s="458"/>
      <c r="W11" s="458"/>
      <c r="X11" s="458"/>
      <c r="Y11" s="458">
        <f>K11-SUM(U11:V11)</f>
        <v>60</v>
      </c>
      <c r="Z11" s="471">
        <f t="shared" ref="Z11:Z28" si="8">SUM(AA11:AE11)</f>
        <v>0</v>
      </c>
      <c r="AA11" s="458"/>
      <c r="AB11" s="458"/>
      <c r="AC11" s="458"/>
      <c r="AD11" s="458"/>
      <c r="AE11" s="458"/>
      <c r="AF11" s="471">
        <f>SUM(AG11:AK11)</f>
        <v>0</v>
      </c>
      <c r="AG11" s="458"/>
      <c r="AH11" s="458"/>
      <c r="AI11" s="458"/>
      <c r="AJ11" s="458"/>
      <c r="AK11" s="458"/>
      <c r="AL11" s="471">
        <f t="shared" ref="AL11:AL28" si="9">SUM(AM11:AQ11)</f>
        <v>0</v>
      </c>
      <c r="AM11" s="458"/>
      <c r="AN11" s="458"/>
      <c r="AO11" s="458"/>
      <c r="AP11" s="458"/>
      <c r="AQ11" s="458"/>
      <c r="AR11" s="471">
        <f>SUM(AS11:AW11)</f>
        <v>0</v>
      </c>
      <c r="AS11" s="458"/>
      <c r="AT11" s="458"/>
      <c r="AU11" s="458"/>
      <c r="AV11" s="458"/>
      <c r="AW11" s="458"/>
      <c r="AX11" s="472">
        <f>LEN(H11)-LEN(SUBSTITUTE(H11,"9",""))</f>
        <v>0</v>
      </c>
      <c r="AY11" s="471">
        <f>SUM(AZ11:BF11)</f>
        <v>0</v>
      </c>
      <c r="AZ11" s="458"/>
      <c r="BA11" s="458"/>
      <c r="BB11" s="458"/>
      <c r="BC11" s="458"/>
      <c r="BD11" s="458"/>
      <c r="BE11" s="458"/>
      <c r="BF11" s="458"/>
      <c r="BG11" s="473"/>
      <c r="BH11" s="474" t="str">
        <f>'Учебный план'!BZ30</f>
        <v>64-1</v>
      </c>
      <c r="BI11" s="475" t="str">
        <f>'Учебный план'!CA30</f>
        <v>ОК 1-10, ПК 1.1</v>
      </c>
    </row>
    <row r="12" spans="1:61" s="224" customFormat="1" ht="26.1" customHeight="1" x14ac:dyDescent="0.2">
      <c r="A12" s="416" t="str">
        <f>'Учебный план'!A31</f>
        <v>ОГСЭ.02</v>
      </c>
      <c r="B12" s="416" t="str">
        <f>'Учебный план'!B31</f>
        <v>История</v>
      </c>
      <c r="C12" s="416">
        <f>'Учебный план'!C31</f>
        <v>0</v>
      </c>
      <c r="D12" s="363"/>
      <c r="E12" s="363" t="s">
        <v>27</v>
      </c>
      <c r="F12" s="363"/>
      <c r="G12" s="363"/>
      <c r="H12" s="363"/>
      <c r="I12" s="468">
        <f t="shared" ref="I12:I14" si="10">K12-M12</f>
        <v>0</v>
      </c>
      <c r="J12" s="469">
        <f>L12*$J$1</f>
        <v>14.4</v>
      </c>
      <c r="K12" s="177">
        <f>'Учебный план'!K31</f>
        <v>72</v>
      </c>
      <c r="L12" s="177">
        <f>'Учебный план'!L31</f>
        <v>48</v>
      </c>
      <c r="M12" s="470">
        <f t="shared" si="5"/>
        <v>72</v>
      </c>
      <c r="N12" s="470">
        <f>SUM(O12:R12)</f>
        <v>12</v>
      </c>
      <c r="O12" s="470">
        <f t="shared" si="6"/>
        <v>12</v>
      </c>
      <c r="P12" s="470">
        <f t="shared" si="6"/>
        <v>0</v>
      </c>
      <c r="Q12" s="470">
        <f t="shared" si="6"/>
        <v>0</v>
      </c>
      <c r="R12" s="470">
        <f t="shared" si="6"/>
        <v>0</v>
      </c>
      <c r="S12" s="470">
        <f>Y12+AK12+AQ12+AW12+BF12+AE12</f>
        <v>60</v>
      </c>
      <c r="T12" s="471">
        <f t="shared" si="7"/>
        <v>72</v>
      </c>
      <c r="U12" s="458">
        <v>12</v>
      </c>
      <c r="V12" s="458"/>
      <c r="W12" s="458"/>
      <c r="X12" s="458"/>
      <c r="Y12" s="458">
        <v>60</v>
      </c>
      <c r="Z12" s="471">
        <f t="shared" si="8"/>
        <v>0</v>
      </c>
      <c r="AA12" s="458"/>
      <c r="AB12" s="458"/>
      <c r="AC12" s="458"/>
      <c r="AD12" s="458"/>
      <c r="AE12" s="458"/>
      <c r="AF12" s="471">
        <f>SUM(AG12:AK12)</f>
        <v>0</v>
      </c>
      <c r="AG12" s="458"/>
      <c r="AH12" s="458"/>
      <c r="AI12" s="458"/>
      <c r="AJ12" s="458"/>
      <c r="AK12" s="458"/>
      <c r="AL12" s="471">
        <f t="shared" si="9"/>
        <v>0</v>
      </c>
      <c r="AM12" s="458"/>
      <c r="AN12" s="458"/>
      <c r="AO12" s="458"/>
      <c r="AP12" s="458"/>
      <c r="AQ12" s="458"/>
      <c r="AR12" s="471">
        <f>SUM(AS12:AW12)</f>
        <v>0</v>
      </c>
      <c r="AS12" s="458"/>
      <c r="AT12" s="458"/>
      <c r="AU12" s="458"/>
      <c r="AV12" s="458"/>
      <c r="AW12" s="458"/>
      <c r="AX12" s="472">
        <f>LEN(H12)-LEN(SUBSTITUTE(H12,"9",""))</f>
        <v>0</v>
      </c>
      <c r="AY12" s="471">
        <f>SUM(AZ12:BF12)</f>
        <v>0</v>
      </c>
      <c r="AZ12" s="458"/>
      <c r="BA12" s="458"/>
      <c r="BB12" s="458"/>
      <c r="BC12" s="458"/>
      <c r="BD12" s="458"/>
      <c r="BE12" s="458"/>
      <c r="BF12" s="458"/>
      <c r="BG12" s="473"/>
      <c r="BH12" s="474" t="str">
        <f>'Учебный план'!BZ31</f>
        <v>64-1</v>
      </c>
      <c r="BI12" s="475" t="str">
        <f>'Учебный план'!CA31</f>
        <v>ОК 1-10</v>
      </c>
    </row>
    <row r="13" spans="1:61" s="224" customFormat="1" ht="26.1" customHeight="1" x14ac:dyDescent="0.2">
      <c r="A13" s="416" t="str">
        <f>'Учебный план'!A32</f>
        <v>ОГСЭ.03</v>
      </c>
      <c r="B13" s="416" t="str">
        <f>'Учебный план'!B32</f>
        <v>Психология общения</v>
      </c>
      <c r="C13" s="416">
        <f>'Учебный план'!C32</f>
        <v>0</v>
      </c>
      <c r="D13" s="363"/>
      <c r="E13" s="363" t="s">
        <v>31</v>
      </c>
      <c r="F13" s="363"/>
      <c r="G13" s="363"/>
      <c r="H13" s="363"/>
      <c r="I13" s="468">
        <f t="shared" si="10"/>
        <v>0</v>
      </c>
      <c r="J13" s="469">
        <f>L13*$J$1</f>
        <v>14.4</v>
      </c>
      <c r="K13" s="177">
        <f>'Учебный план'!K32</f>
        <v>72</v>
      </c>
      <c r="L13" s="177">
        <f>'Учебный план'!L32</f>
        <v>48</v>
      </c>
      <c r="M13" s="470">
        <f t="shared" si="5"/>
        <v>72</v>
      </c>
      <c r="N13" s="470">
        <f>SUM(O13:R13)</f>
        <v>12</v>
      </c>
      <c r="O13" s="470">
        <f t="shared" si="6"/>
        <v>12</v>
      </c>
      <c r="P13" s="470">
        <f t="shared" si="6"/>
        <v>0</v>
      </c>
      <c r="Q13" s="470">
        <f t="shared" si="6"/>
        <v>0</v>
      </c>
      <c r="R13" s="470">
        <f t="shared" si="6"/>
        <v>0</v>
      </c>
      <c r="S13" s="470">
        <f>Y13+AK13+AQ13+AW13+BF13+AE13</f>
        <v>60</v>
      </c>
      <c r="T13" s="471">
        <f t="shared" si="7"/>
        <v>0</v>
      </c>
      <c r="U13" s="458"/>
      <c r="V13" s="458"/>
      <c r="W13" s="458"/>
      <c r="X13" s="458"/>
      <c r="Y13" s="458"/>
      <c r="Z13" s="471">
        <f t="shared" si="8"/>
        <v>72</v>
      </c>
      <c r="AA13" s="458">
        <v>12</v>
      </c>
      <c r="AB13" s="458"/>
      <c r="AC13" s="458"/>
      <c r="AD13" s="458"/>
      <c r="AE13" s="458">
        <v>60</v>
      </c>
      <c r="AF13" s="471">
        <f>SUM(AG13:AK13)</f>
        <v>0</v>
      </c>
      <c r="AG13" s="458"/>
      <c r="AH13" s="458"/>
      <c r="AI13" s="458"/>
      <c r="AJ13" s="458"/>
      <c r="AK13" s="458"/>
      <c r="AL13" s="471">
        <f t="shared" si="9"/>
        <v>0</v>
      </c>
      <c r="AM13" s="458"/>
      <c r="AN13" s="458"/>
      <c r="AO13" s="458"/>
      <c r="AP13" s="458"/>
      <c r="AQ13" s="458"/>
      <c r="AR13" s="471">
        <f>SUM(AS13:AW13)</f>
        <v>0</v>
      </c>
      <c r="AS13" s="458"/>
      <c r="AT13" s="458"/>
      <c r="AU13" s="458"/>
      <c r="AV13" s="458"/>
      <c r="AW13" s="458"/>
      <c r="AX13" s="472">
        <f>LEN(H13)-LEN(SUBSTITUTE(H13,"9",""))</f>
        <v>0</v>
      </c>
      <c r="AY13" s="471">
        <f>SUM(AZ13:BF13)</f>
        <v>0</v>
      </c>
      <c r="AZ13" s="458"/>
      <c r="BA13" s="458"/>
      <c r="BB13" s="458"/>
      <c r="BC13" s="458"/>
      <c r="BD13" s="458"/>
      <c r="BE13" s="458"/>
      <c r="BF13" s="458"/>
      <c r="BG13" s="473"/>
      <c r="BH13" s="474" t="str">
        <f>'Учебный план'!BZ32</f>
        <v>64-1</v>
      </c>
      <c r="BI13" s="475" t="str">
        <f>'Учебный план'!CA32</f>
        <v>ОК 1-10, ПК 2.3-2.7</v>
      </c>
    </row>
    <row r="14" spans="1:61" s="224" customFormat="1" ht="26.1" customHeight="1" x14ac:dyDescent="0.2">
      <c r="A14" s="416" t="str">
        <f>'Учебный план'!A33</f>
        <v>ОГСЭ.04</v>
      </c>
      <c r="B14" s="416" t="str">
        <f>'Учебный план'!B33</f>
        <v>Иностранный язык</v>
      </c>
      <c r="C14" s="416">
        <f>'Учебный план'!C33</f>
        <v>0</v>
      </c>
      <c r="D14" s="363" t="s">
        <v>30</v>
      </c>
      <c r="E14" s="363" t="s">
        <v>559</v>
      </c>
      <c r="F14" s="363"/>
      <c r="G14" s="363"/>
      <c r="H14" s="363"/>
      <c r="I14" s="468">
        <f t="shared" si="10"/>
        <v>0</v>
      </c>
      <c r="J14" s="469">
        <f>L14*$J$1</f>
        <v>62.4</v>
      </c>
      <c r="K14" s="177">
        <f>'Учебный план'!K33</f>
        <v>311</v>
      </c>
      <c r="L14" s="177">
        <f>'Учебный план'!L33</f>
        <v>208</v>
      </c>
      <c r="M14" s="470">
        <f t="shared" si="5"/>
        <v>311</v>
      </c>
      <c r="N14" s="470">
        <f>SUM(O14:R14)</f>
        <v>46</v>
      </c>
      <c r="O14" s="470">
        <f t="shared" si="6"/>
        <v>0</v>
      </c>
      <c r="P14" s="470">
        <f t="shared" si="6"/>
        <v>46</v>
      </c>
      <c r="Q14" s="470">
        <f t="shared" si="6"/>
        <v>0</v>
      </c>
      <c r="R14" s="470">
        <f t="shared" si="6"/>
        <v>0</v>
      </c>
      <c r="S14" s="470">
        <f>Y14+AK14+AQ14+AW14+BF14+AE14</f>
        <v>265</v>
      </c>
      <c r="T14" s="471">
        <f t="shared" si="7"/>
        <v>62</v>
      </c>
      <c r="U14" s="458"/>
      <c r="V14" s="458">
        <v>10</v>
      </c>
      <c r="W14" s="458"/>
      <c r="X14" s="458"/>
      <c r="Y14" s="458">
        <v>52</v>
      </c>
      <c r="Z14" s="471">
        <f t="shared" si="8"/>
        <v>62</v>
      </c>
      <c r="AA14" s="458"/>
      <c r="AB14" s="458">
        <v>10</v>
      </c>
      <c r="AC14" s="458"/>
      <c r="AD14" s="458"/>
      <c r="AE14" s="458">
        <v>52</v>
      </c>
      <c r="AF14" s="471">
        <f>SUM(AG14:AK14)</f>
        <v>62</v>
      </c>
      <c r="AG14" s="458"/>
      <c r="AH14" s="458">
        <v>8</v>
      </c>
      <c r="AI14" s="458"/>
      <c r="AJ14" s="458"/>
      <c r="AK14" s="458">
        <v>54</v>
      </c>
      <c r="AL14" s="471">
        <f t="shared" si="9"/>
        <v>64</v>
      </c>
      <c r="AM14" s="458"/>
      <c r="AN14" s="458">
        <v>8</v>
      </c>
      <c r="AO14" s="458"/>
      <c r="AP14" s="458"/>
      <c r="AQ14" s="458">
        <v>56</v>
      </c>
      <c r="AR14" s="471">
        <f>SUM(AS14:AW14)</f>
        <v>61</v>
      </c>
      <c r="AS14" s="458"/>
      <c r="AT14" s="458">
        <v>10</v>
      </c>
      <c r="AU14" s="458"/>
      <c r="AV14" s="458"/>
      <c r="AW14" s="458">
        <v>51</v>
      </c>
      <c r="AX14" s="472"/>
      <c r="AY14" s="471">
        <f t="shared" ref="AY14" si="11">SUM(AZ14:BF14)</f>
        <v>0</v>
      </c>
      <c r="AZ14" s="458"/>
      <c r="BA14" s="458"/>
      <c r="BB14" s="458"/>
      <c r="BC14" s="458"/>
      <c r="BD14" s="458"/>
      <c r="BE14" s="458"/>
      <c r="BF14" s="458"/>
      <c r="BG14" s="473"/>
      <c r="BH14" s="474" t="str">
        <f>'Учебный план'!BZ33</f>
        <v>64-1</v>
      </c>
      <c r="BI14" s="475" t="str">
        <f>'Учебный план'!CA33</f>
        <v>ОК 1-10; ПК 2.4,2.6,2.7</v>
      </c>
    </row>
    <row r="15" spans="1:61" s="224" customFormat="1" ht="26.1" customHeight="1" x14ac:dyDescent="0.2">
      <c r="A15" s="416" t="str">
        <f>'Учебный план'!A34</f>
        <v>ОГСЭ.05</v>
      </c>
      <c r="B15" s="416" t="str">
        <f>'Учебный план'!B34</f>
        <v>Физическая культура</v>
      </c>
      <c r="C15" s="416">
        <f>'Учебный план'!C34</f>
        <v>0</v>
      </c>
      <c r="D15" s="363"/>
      <c r="E15" s="363"/>
      <c r="F15" s="529" t="s">
        <v>41</v>
      </c>
      <c r="G15" s="363"/>
      <c r="H15" s="363"/>
      <c r="I15" s="468">
        <f t="shared" ref="I15" si="12">K15-M15</f>
        <v>0</v>
      </c>
      <c r="J15" s="469">
        <f>L15*$J$1</f>
        <v>62.4</v>
      </c>
      <c r="K15" s="177">
        <f>'Учебный план'!K34</f>
        <v>416</v>
      </c>
      <c r="L15" s="177">
        <f>'Учебный план'!L34</f>
        <v>208</v>
      </c>
      <c r="M15" s="470">
        <f t="shared" si="5"/>
        <v>416</v>
      </c>
      <c r="N15" s="470">
        <f>SUM(O15:R15)</f>
        <v>2</v>
      </c>
      <c r="O15" s="470">
        <f t="shared" si="6"/>
        <v>2</v>
      </c>
      <c r="P15" s="470">
        <f t="shared" si="6"/>
        <v>0</v>
      </c>
      <c r="Q15" s="470">
        <f t="shared" si="6"/>
        <v>0</v>
      </c>
      <c r="R15" s="470">
        <f t="shared" si="6"/>
        <v>0</v>
      </c>
      <c r="S15" s="470">
        <f>Y15+AK15+AQ15+AW15+BF15+AE15</f>
        <v>414</v>
      </c>
      <c r="T15" s="471">
        <f t="shared" si="7"/>
        <v>85</v>
      </c>
      <c r="U15" s="458">
        <v>2</v>
      </c>
      <c r="V15" s="458"/>
      <c r="W15" s="458"/>
      <c r="X15" s="458"/>
      <c r="Y15" s="458">
        <v>83</v>
      </c>
      <c r="Z15" s="471">
        <f t="shared" si="8"/>
        <v>83</v>
      </c>
      <c r="AA15" s="458"/>
      <c r="AB15" s="458"/>
      <c r="AC15" s="458"/>
      <c r="AD15" s="458"/>
      <c r="AE15" s="458">
        <v>83</v>
      </c>
      <c r="AF15" s="471">
        <f>SUM(AG15:AK15)</f>
        <v>83</v>
      </c>
      <c r="AG15" s="458"/>
      <c r="AH15" s="458"/>
      <c r="AI15" s="458"/>
      <c r="AJ15" s="458"/>
      <c r="AK15" s="458">
        <v>83</v>
      </c>
      <c r="AL15" s="471">
        <f t="shared" si="9"/>
        <v>83</v>
      </c>
      <c r="AM15" s="458"/>
      <c r="AN15" s="458"/>
      <c r="AO15" s="458"/>
      <c r="AP15" s="458"/>
      <c r="AQ15" s="458">
        <v>83</v>
      </c>
      <c r="AR15" s="471">
        <f>SUM(AS15:AW15)</f>
        <v>82</v>
      </c>
      <c r="AS15" s="458"/>
      <c r="AT15" s="458"/>
      <c r="AU15" s="458"/>
      <c r="AV15" s="458"/>
      <c r="AW15" s="458">
        <v>82</v>
      </c>
      <c r="AX15" s="472">
        <f>LEN(H15)-LEN(SUBSTITUTE(H15,"9",""))</f>
        <v>0</v>
      </c>
      <c r="AY15" s="471">
        <f>SUM(AZ15:BF15)</f>
        <v>0</v>
      </c>
      <c r="AZ15" s="458"/>
      <c r="BA15" s="458"/>
      <c r="BB15" s="458"/>
      <c r="BC15" s="458"/>
      <c r="BD15" s="458"/>
      <c r="BE15" s="458"/>
      <c r="BF15" s="458"/>
      <c r="BG15" s="473"/>
      <c r="BH15" s="474" t="str">
        <f>'Учебный план'!BZ34</f>
        <v>33</v>
      </c>
      <c r="BI15" s="475" t="str">
        <f>'Учебный план'!CA34</f>
        <v>ОК-2,3,6,7</v>
      </c>
    </row>
    <row r="16" spans="1:61" s="228" customFormat="1" ht="26.1" customHeight="1" x14ac:dyDescent="0.2">
      <c r="A16" s="357" t="str">
        <f>'Учебный план'!A35</f>
        <v>ЕН.00</v>
      </c>
      <c r="B16" s="685" t="str">
        <f>'Учебный план'!B35</f>
        <v>Математический и общий естественнонаучный цикл</v>
      </c>
      <c r="C16" s="686"/>
      <c r="D16" s="686"/>
      <c r="E16" s="686"/>
      <c r="F16" s="686"/>
      <c r="G16" s="686"/>
      <c r="H16" s="687"/>
      <c r="I16" s="466"/>
      <c r="J16" s="467"/>
      <c r="K16" s="392">
        <f>'Учебный план'!K35</f>
        <v>198</v>
      </c>
      <c r="L16" s="392">
        <f>'Учебный план'!L35</f>
        <v>132</v>
      </c>
      <c r="M16" s="476">
        <f t="shared" si="5"/>
        <v>198</v>
      </c>
      <c r="N16" s="466">
        <f t="shared" ref="N16:S16" si="13">SUM(N17:N19)</f>
        <v>42</v>
      </c>
      <c r="O16" s="466">
        <f t="shared" si="13"/>
        <v>30</v>
      </c>
      <c r="P16" s="466">
        <f t="shared" si="13"/>
        <v>12</v>
      </c>
      <c r="Q16" s="466">
        <f t="shared" si="13"/>
        <v>0</v>
      </c>
      <c r="R16" s="466">
        <f t="shared" si="13"/>
        <v>0</v>
      </c>
      <c r="S16" s="466">
        <f t="shared" si="13"/>
        <v>156</v>
      </c>
      <c r="T16" s="476">
        <f t="shared" si="7"/>
        <v>198</v>
      </c>
      <c r="U16" s="466">
        <f t="shared" ref="U16:AV16" si="14">SUM(U17:U19)</f>
        <v>30</v>
      </c>
      <c r="V16" s="466">
        <f t="shared" si="14"/>
        <v>12</v>
      </c>
      <c r="W16" s="466">
        <f t="shared" si="14"/>
        <v>0</v>
      </c>
      <c r="X16" s="466">
        <f t="shared" si="14"/>
        <v>0</v>
      </c>
      <c r="Y16" s="466">
        <f t="shared" si="14"/>
        <v>156</v>
      </c>
      <c r="Z16" s="476">
        <f t="shared" si="8"/>
        <v>0</v>
      </c>
      <c r="AA16" s="466">
        <f t="shared" ref="AA16:AE16" si="15">SUM(AA17:AA19)</f>
        <v>0</v>
      </c>
      <c r="AB16" s="466">
        <f t="shared" si="15"/>
        <v>0</v>
      </c>
      <c r="AC16" s="466">
        <f t="shared" si="15"/>
        <v>0</v>
      </c>
      <c r="AD16" s="466">
        <f t="shared" si="15"/>
        <v>0</v>
      </c>
      <c r="AE16" s="466">
        <f t="shared" si="15"/>
        <v>0</v>
      </c>
      <c r="AF16" s="466">
        <f t="shared" si="14"/>
        <v>0</v>
      </c>
      <c r="AG16" s="466">
        <f t="shared" si="14"/>
        <v>0</v>
      </c>
      <c r="AH16" s="466">
        <f t="shared" si="14"/>
        <v>0</v>
      </c>
      <c r="AI16" s="466">
        <f t="shared" si="14"/>
        <v>0</v>
      </c>
      <c r="AJ16" s="466">
        <f t="shared" si="14"/>
        <v>0</v>
      </c>
      <c r="AK16" s="466">
        <f t="shared" si="14"/>
        <v>0</v>
      </c>
      <c r="AL16" s="476">
        <f t="shared" si="9"/>
        <v>0</v>
      </c>
      <c r="AM16" s="466">
        <f t="shared" si="14"/>
        <v>0</v>
      </c>
      <c r="AN16" s="466">
        <f t="shared" si="14"/>
        <v>0</v>
      </c>
      <c r="AO16" s="466">
        <f t="shared" si="14"/>
        <v>0</v>
      </c>
      <c r="AP16" s="466">
        <f t="shared" si="14"/>
        <v>0</v>
      </c>
      <c r="AQ16" s="466">
        <f t="shared" si="14"/>
        <v>0</v>
      </c>
      <c r="AR16" s="466">
        <f t="shared" si="14"/>
        <v>0</v>
      </c>
      <c r="AS16" s="466">
        <f t="shared" si="14"/>
        <v>0</v>
      </c>
      <c r="AT16" s="466">
        <f t="shared" si="14"/>
        <v>0</v>
      </c>
      <c r="AU16" s="466">
        <f t="shared" si="14"/>
        <v>0</v>
      </c>
      <c r="AV16" s="466">
        <f t="shared" si="14"/>
        <v>0</v>
      </c>
      <c r="AW16" s="466">
        <f>SUM(AW17:AW18)</f>
        <v>0</v>
      </c>
      <c r="AX16" s="466">
        <f>SUM(AX17:AX18)</f>
        <v>0</v>
      </c>
      <c r="AY16" s="466">
        <f t="shared" ref="AY16:BE16" si="16">SUM(AY17:AY19)</f>
        <v>0</v>
      </c>
      <c r="AZ16" s="466">
        <f t="shared" si="16"/>
        <v>0</v>
      </c>
      <c r="BA16" s="466">
        <f t="shared" si="16"/>
        <v>0</v>
      </c>
      <c r="BB16" s="466">
        <f t="shared" si="16"/>
        <v>0</v>
      </c>
      <c r="BC16" s="466">
        <f t="shared" si="16"/>
        <v>0</v>
      </c>
      <c r="BD16" s="466">
        <f t="shared" si="16"/>
        <v>0</v>
      </c>
      <c r="BE16" s="466">
        <f t="shared" si="16"/>
        <v>0</v>
      </c>
      <c r="BF16" s="466">
        <f>SUM(BF17:BF18)</f>
        <v>0</v>
      </c>
      <c r="BG16" s="310"/>
      <c r="BH16" s="467">
        <f>'Учебный план'!BZ35</f>
        <v>0</v>
      </c>
      <c r="BI16" s="467">
        <f>'Учебный план'!CA35</f>
        <v>0</v>
      </c>
    </row>
    <row r="17" spans="1:64" s="224" customFormat="1" ht="26.1" customHeight="1" x14ac:dyDescent="0.2">
      <c r="A17" s="416" t="str">
        <f>'Учебный план'!A36</f>
        <v>ЕН.01</v>
      </c>
      <c r="B17" s="416" t="str">
        <f>'Учебный план'!B36</f>
        <v>Математика</v>
      </c>
      <c r="C17" s="416">
        <f>'Учебный план'!C36</f>
        <v>0</v>
      </c>
      <c r="D17" s="363" t="s">
        <v>27</v>
      </c>
      <c r="E17" s="363"/>
      <c r="F17" s="363"/>
      <c r="G17" s="363"/>
      <c r="H17" s="363"/>
      <c r="I17" s="468">
        <f t="shared" ref="I17:I19" si="17">K17-M17</f>
        <v>0</v>
      </c>
      <c r="J17" s="469">
        <f t="shared" ref="J17:J19" si="18">L17*$J$1</f>
        <v>18</v>
      </c>
      <c r="K17" s="177">
        <f>'Учебный план'!K36</f>
        <v>90</v>
      </c>
      <c r="L17" s="177">
        <f>'Учебный план'!L36</f>
        <v>60</v>
      </c>
      <c r="M17" s="470">
        <f t="shared" si="5"/>
        <v>90</v>
      </c>
      <c r="N17" s="470">
        <f>SUM(O17:R17)</f>
        <v>16</v>
      </c>
      <c r="O17" s="470">
        <f t="shared" ref="O17:R19" si="19">U17+AG17+AM17+AS17+AA17+BA17</f>
        <v>16</v>
      </c>
      <c r="P17" s="470">
        <f t="shared" si="19"/>
        <v>0</v>
      </c>
      <c r="Q17" s="470">
        <f t="shared" si="19"/>
        <v>0</v>
      </c>
      <c r="R17" s="470">
        <f t="shared" si="19"/>
        <v>0</v>
      </c>
      <c r="S17" s="470">
        <f>Y17+AK17+AQ17+AW17+BF17+AE17</f>
        <v>74</v>
      </c>
      <c r="T17" s="471">
        <f t="shared" si="7"/>
        <v>90</v>
      </c>
      <c r="U17" s="458">
        <v>16</v>
      </c>
      <c r="V17" s="458"/>
      <c r="W17" s="458"/>
      <c r="X17" s="458"/>
      <c r="Y17" s="458">
        <v>74</v>
      </c>
      <c r="Z17" s="471">
        <f t="shared" si="8"/>
        <v>0</v>
      </c>
      <c r="AA17" s="458"/>
      <c r="AB17" s="458"/>
      <c r="AC17" s="458"/>
      <c r="AD17" s="458"/>
      <c r="AE17" s="458"/>
      <c r="AF17" s="471">
        <f>SUM(AG17:AK17)</f>
        <v>0</v>
      </c>
      <c r="AG17" s="458"/>
      <c r="AH17" s="458"/>
      <c r="AI17" s="458"/>
      <c r="AJ17" s="458"/>
      <c r="AK17" s="458"/>
      <c r="AL17" s="471">
        <f t="shared" si="9"/>
        <v>0</v>
      </c>
      <c r="AM17" s="458"/>
      <c r="AN17" s="458"/>
      <c r="AO17" s="458"/>
      <c r="AP17" s="458"/>
      <c r="AQ17" s="458"/>
      <c r="AR17" s="471">
        <f>SUM(AS17:AW17)</f>
        <v>0</v>
      </c>
      <c r="AS17" s="458"/>
      <c r="AT17" s="458"/>
      <c r="AU17" s="458"/>
      <c r="AV17" s="458"/>
      <c r="AW17" s="458"/>
      <c r="AX17" s="472">
        <f>LEN(H17)-LEN(SUBSTITUTE(H17,"9",""))</f>
        <v>0</v>
      </c>
      <c r="AY17" s="471">
        <f>SUM(AZ17:BF17)</f>
        <v>0</v>
      </c>
      <c r="AZ17" s="458"/>
      <c r="BA17" s="458"/>
      <c r="BB17" s="458"/>
      <c r="BC17" s="458"/>
      <c r="BD17" s="458"/>
      <c r="BE17" s="458"/>
      <c r="BF17" s="458"/>
      <c r="BG17" s="473"/>
      <c r="BH17" s="474" t="str">
        <f>'Учебный план'!BZ36</f>
        <v>64-2</v>
      </c>
      <c r="BI17" s="475" t="str">
        <f>'Учебный план'!CA36</f>
        <v>ОК 1-10; ПК 1.1, 1.3. 3.1</v>
      </c>
    </row>
    <row r="18" spans="1:64" s="224" customFormat="1" ht="26.1" customHeight="1" x14ac:dyDescent="0.2">
      <c r="A18" s="416" t="str">
        <f>'Учебный план'!A37</f>
        <v>ЕН.02</v>
      </c>
      <c r="B18" s="416" t="str">
        <f>'Учебный план'!B37</f>
        <v>Информатика</v>
      </c>
      <c r="C18" s="416">
        <f>'Учебный план'!C37</f>
        <v>0</v>
      </c>
      <c r="D18" s="363"/>
      <c r="E18" s="363" t="s">
        <v>27</v>
      </c>
      <c r="F18" s="363"/>
      <c r="G18" s="363"/>
      <c r="H18" s="363"/>
      <c r="I18" s="468">
        <f t="shared" si="17"/>
        <v>0</v>
      </c>
      <c r="J18" s="469">
        <f t="shared" si="18"/>
        <v>10.8</v>
      </c>
      <c r="K18" s="177">
        <f>'Учебный план'!K37</f>
        <v>54</v>
      </c>
      <c r="L18" s="177">
        <f>'Учебный план'!L37</f>
        <v>36</v>
      </c>
      <c r="M18" s="470">
        <f t="shared" si="5"/>
        <v>54</v>
      </c>
      <c r="N18" s="470">
        <f>SUM(O18:R18)</f>
        <v>14</v>
      </c>
      <c r="O18" s="470">
        <f t="shared" si="19"/>
        <v>2</v>
      </c>
      <c r="P18" s="470">
        <f t="shared" si="19"/>
        <v>12</v>
      </c>
      <c r="Q18" s="470">
        <f t="shared" si="19"/>
        <v>0</v>
      </c>
      <c r="R18" s="470">
        <f t="shared" si="19"/>
        <v>0</v>
      </c>
      <c r="S18" s="470">
        <f>Y18+AK18+AQ18+AW18+BF18+AE18</f>
        <v>40</v>
      </c>
      <c r="T18" s="471">
        <f t="shared" si="7"/>
        <v>54</v>
      </c>
      <c r="U18" s="458">
        <v>2</v>
      </c>
      <c r="V18" s="458">
        <v>12</v>
      </c>
      <c r="W18" s="458"/>
      <c r="X18" s="458"/>
      <c r="Y18" s="458">
        <f>K18-SUM(U18:V18)</f>
        <v>40</v>
      </c>
      <c r="Z18" s="471">
        <f t="shared" si="8"/>
        <v>0</v>
      </c>
      <c r="AA18" s="458"/>
      <c r="AB18" s="458"/>
      <c r="AC18" s="458"/>
      <c r="AD18" s="458"/>
      <c r="AE18" s="458"/>
      <c r="AF18" s="471">
        <f>SUM(AG18:AK18)</f>
        <v>0</v>
      </c>
      <c r="AG18" s="458"/>
      <c r="AH18" s="458"/>
      <c r="AI18" s="458"/>
      <c r="AJ18" s="458"/>
      <c r="AK18" s="458"/>
      <c r="AL18" s="471">
        <f t="shared" si="9"/>
        <v>0</v>
      </c>
      <c r="AM18" s="458"/>
      <c r="AN18" s="458"/>
      <c r="AO18" s="458"/>
      <c r="AP18" s="458"/>
      <c r="AQ18" s="458"/>
      <c r="AR18" s="471">
        <f>SUM(AS18:AW18)</f>
        <v>0</v>
      </c>
      <c r="AS18" s="458"/>
      <c r="AT18" s="458"/>
      <c r="AU18" s="458"/>
      <c r="AV18" s="458"/>
      <c r="AW18" s="458"/>
      <c r="AX18" s="472">
        <f>LEN(H18)-LEN(SUBSTITUTE(H18,"9",""))</f>
        <v>0</v>
      </c>
      <c r="AY18" s="471">
        <f>SUM(AZ18:BF18)</f>
        <v>0</v>
      </c>
      <c r="AZ18" s="458"/>
      <c r="BA18" s="458"/>
      <c r="BB18" s="458"/>
      <c r="BC18" s="458"/>
      <c r="BD18" s="458"/>
      <c r="BE18" s="458"/>
      <c r="BF18" s="458"/>
      <c r="BG18" s="473"/>
      <c r="BH18" s="474" t="str">
        <f>'Учебный план'!BZ37</f>
        <v>64-2</v>
      </c>
      <c r="BI18" s="475" t="str">
        <f>'Учебный план'!CA37</f>
        <v>ОК-1-10, ПК 1.3, 3.1, 4.2,4.3</v>
      </c>
    </row>
    <row r="19" spans="1:64" s="224" customFormat="1" ht="26.1" customHeight="1" x14ac:dyDescent="0.2">
      <c r="A19" s="416" t="str">
        <f>'Учебный план'!A38</f>
        <v>ЕН.03</v>
      </c>
      <c r="B19" s="416" t="str">
        <f>'Учебный план'!B38</f>
        <v>Экологические основы природопользования</v>
      </c>
      <c r="C19" s="416">
        <f>'Учебный план'!C38</f>
        <v>0</v>
      </c>
      <c r="D19" s="363"/>
      <c r="E19" s="363" t="s">
        <v>27</v>
      </c>
      <c r="F19" s="363"/>
      <c r="G19" s="363"/>
      <c r="H19" s="363"/>
      <c r="I19" s="468">
        <f t="shared" si="17"/>
        <v>0</v>
      </c>
      <c r="J19" s="469">
        <f t="shared" si="18"/>
        <v>10.8</v>
      </c>
      <c r="K19" s="177">
        <f>'Учебный план'!K38</f>
        <v>54</v>
      </c>
      <c r="L19" s="177">
        <f>'Учебный план'!L38</f>
        <v>36</v>
      </c>
      <c r="M19" s="470">
        <f t="shared" si="5"/>
        <v>54</v>
      </c>
      <c r="N19" s="470">
        <f>SUM(O19:R19)</f>
        <v>12</v>
      </c>
      <c r="O19" s="470">
        <f t="shared" si="19"/>
        <v>12</v>
      </c>
      <c r="P19" s="470">
        <f t="shared" si="19"/>
        <v>0</v>
      </c>
      <c r="Q19" s="470">
        <f t="shared" si="19"/>
        <v>0</v>
      </c>
      <c r="R19" s="470">
        <f t="shared" si="19"/>
        <v>0</v>
      </c>
      <c r="S19" s="470">
        <f>Y19+AK19+AQ19+AW19+BF19+AE19</f>
        <v>42</v>
      </c>
      <c r="T19" s="471">
        <f t="shared" si="7"/>
        <v>54</v>
      </c>
      <c r="U19" s="458">
        <v>12</v>
      </c>
      <c r="V19" s="458"/>
      <c r="W19" s="458"/>
      <c r="X19" s="458"/>
      <c r="Y19" s="458">
        <v>42</v>
      </c>
      <c r="Z19" s="471">
        <f t="shared" si="8"/>
        <v>0</v>
      </c>
      <c r="AA19" s="458"/>
      <c r="AB19" s="458"/>
      <c r="AC19" s="458"/>
      <c r="AD19" s="458"/>
      <c r="AE19" s="458"/>
      <c r="AF19" s="471">
        <f>SUM(AG19:AK19)</f>
        <v>0</v>
      </c>
      <c r="AG19" s="458"/>
      <c r="AH19" s="458"/>
      <c r="AI19" s="458"/>
      <c r="AJ19" s="458"/>
      <c r="AK19" s="458"/>
      <c r="AL19" s="471">
        <f t="shared" si="9"/>
        <v>0</v>
      </c>
      <c r="AM19" s="458"/>
      <c r="AN19" s="458"/>
      <c r="AO19" s="458"/>
      <c r="AP19" s="458"/>
      <c r="AQ19" s="458"/>
      <c r="AR19" s="471">
        <v>0</v>
      </c>
      <c r="AS19" s="458"/>
      <c r="AT19" s="458"/>
      <c r="AU19" s="458"/>
      <c r="AV19" s="458"/>
      <c r="AW19" s="458"/>
      <c r="AX19" s="472"/>
      <c r="AY19" s="471">
        <v>0</v>
      </c>
      <c r="AZ19" s="458"/>
      <c r="BA19" s="458"/>
      <c r="BB19" s="458"/>
      <c r="BC19" s="458"/>
      <c r="BD19" s="458"/>
      <c r="BE19" s="458"/>
      <c r="BF19" s="458"/>
      <c r="BG19" s="473"/>
      <c r="BH19" s="474" t="str">
        <f>'Учебный план'!BZ38</f>
        <v>64-2</v>
      </c>
      <c r="BI19" s="475" t="str">
        <f>'Учебный план'!CA38</f>
        <v>ОК-1-10 ПК 2.7, 3.2</v>
      </c>
    </row>
    <row r="20" spans="1:64" s="228" customFormat="1" ht="26.1" customHeight="1" x14ac:dyDescent="0.2">
      <c r="A20" s="357" t="str">
        <f>'Учебный план'!A39</f>
        <v>П.00</v>
      </c>
      <c r="B20" s="685" t="str">
        <f>'Учебный план'!B39</f>
        <v>Профессиональный цикл</v>
      </c>
      <c r="C20" s="686"/>
      <c r="D20" s="686"/>
      <c r="E20" s="686"/>
      <c r="F20" s="686"/>
      <c r="G20" s="686"/>
      <c r="H20" s="687"/>
      <c r="I20" s="466"/>
      <c r="J20" s="467"/>
      <c r="K20" s="392">
        <f>'Учебный план'!K39</f>
        <v>4250</v>
      </c>
      <c r="L20" s="392">
        <f>'Учебный план'!L39</f>
        <v>2902</v>
      </c>
      <c r="M20" s="476">
        <f t="shared" si="5"/>
        <v>2820</v>
      </c>
      <c r="N20" s="466">
        <f>SUM(N21+N29)</f>
        <v>414</v>
      </c>
      <c r="O20" s="466">
        <f t="shared" ref="O20:S20" si="20">SUM(O21+O29)</f>
        <v>290</v>
      </c>
      <c r="P20" s="466">
        <f t="shared" si="20"/>
        <v>67</v>
      </c>
      <c r="Q20" s="466">
        <f t="shared" si="20"/>
        <v>57</v>
      </c>
      <c r="R20" s="466">
        <f t="shared" si="20"/>
        <v>0</v>
      </c>
      <c r="S20" s="466">
        <f t="shared" si="20"/>
        <v>2406</v>
      </c>
      <c r="T20" s="476">
        <f t="shared" si="7"/>
        <v>447</v>
      </c>
      <c r="U20" s="476">
        <f t="shared" ref="U20:BF20" si="21">U21+U29</f>
        <v>66</v>
      </c>
      <c r="V20" s="476">
        <f t="shared" si="21"/>
        <v>16</v>
      </c>
      <c r="W20" s="476">
        <f t="shared" si="21"/>
        <v>0</v>
      </c>
      <c r="X20" s="476">
        <f t="shared" si="21"/>
        <v>0</v>
      </c>
      <c r="Y20" s="476">
        <f t="shared" si="21"/>
        <v>365</v>
      </c>
      <c r="Z20" s="476">
        <f t="shared" si="8"/>
        <v>951</v>
      </c>
      <c r="AA20" s="476">
        <f>AA21+AA29</f>
        <v>112</v>
      </c>
      <c r="AB20" s="476">
        <f t="shared" ref="AB20:AE20" si="22">AB21+AB29</f>
        <v>4</v>
      </c>
      <c r="AC20" s="476">
        <f t="shared" si="22"/>
        <v>0</v>
      </c>
      <c r="AD20" s="476">
        <f t="shared" si="22"/>
        <v>0</v>
      </c>
      <c r="AE20" s="476">
        <f t="shared" si="22"/>
        <v>835</v>
      </c>
      <c r="AF20" s="476">
        <f t="shared" si="21"/>
        <v>999</v>
      </c>
      <c r="AG20" s="476">
        <f t="shared" si="21"/>
        <v>118</v>
      </c>
      <c r="AH20" s="466">
        <f t="shared" si="21"/>
        <v>34</v>
      </c>
      <c r="AI20" s="466">
        <f t="shared" si="21"/>
        <v>0</v>
      </c>
      <c r="AJ20" s="466">
        <f t="shared" si="21"/>
        <v>0</v>
      </c>
      <c r="AK20" s="466">
        <f t="shared" si="21"/>
        <v>847</v>
      </c>
      <c r="AL20" s="476">
        <f t="shared" si="9"/>
        <v>1012</v>
      </c>
      <c r="AM20" s="466">
        <f t="shared" si="21"/>
        <v>96</v>
      </c>
      <c r="AN20" s="466">
        <f t="shared" si="21"/>
        <v>26</v>
      </c>
      <c r="AO20" s="466">
        <f t="shared" si="21"/>
        <v>22</v>
      </c>
      <c r="AP20" s="466">
        <f t="shared" si="21"/>
        <v>0</v>
      </c>
      <c r="AQ20" s="466">
        <f t="shared" si="21"/>
        <v>868</v>
      </c>
      <c r="AR20" s="466">
        <f t="shared" si="21"/>
        <v>841</v>
      </c>
      <c r="AS20" s="466">
        <f t="shared" si="21"/>
        <v>41</v>
      </c>
      <c r="AT20" s="466">
        <f t="shared" si="21"/>
        <v>41</v>
      </c>
      <c r="AU20" s="466">
        <f t="shared" si="21"/>
        <v>68</v>
      </c>
      <c r="AV20" s="466">
        <f t="shared" si="21"/>
        <v>0</v>
      </c>
      <c r="AW20" s="466">
        <f t="shared" si="21"/>
        <v>691</v>
      </c>
      <c r="AX20" s="466" t="e">
        <f t="shared" si="21"/>
        <v>#REF!</v>
      </c>
      <c r="AY20" s="466">
        <f t="shared" si="21"/>
        <v>0</v>
      </c>
      <c r="AZ20" s="466">
        <f t="shared" si="21"/>
        <v>0</v>
      </c>
      <c r="BA20" s="466">
        <f t="shared" si="21"/>
        <v>0</v>
      </c>
      <c r="BB20" s="466">
        <f t="shared" si="21"/>
        <v>0</v>
      </c>
      <c r="BC20" s="466">
        <f t="shared" si="21"/>
        <v>0</v>
      </c>
      <c r="BD20" s="466">
        <f t="shared" si="21"/>
        <v>0</v>
      </c>
      <c r="BE20" s="466">
        <f t="shared" si="21"/>
        <v>0</v>
      </c>
      <c r="BF20" s="466">
        <f t="shared" si="21"/>
        <v>0</v>
      </c>
      <c r="BG20" s="310"/>
      <c r="BH20" s="467">
        <f>'Учебный план'!BZ39</f>
        <v>0</v>
      </c>
      <c r="BI20" s="467">
        <f>'Учебный план'!CA39</f>
        <v>0</v>
      </c>
    </row>
    <row r="21" spans="1:64" s="228" customFormat="1" ht="26.1" customHeight="1" x14ac:dyDescent="0.2">
      <c r="A21" s="477" t="str">
        <f>'Учебный план'!A40</f>
        <v>ОП.00</v>
      </c>
      <c r="B21" s="831" t="str">
        <f>'Учебный план'!B40</f>
        <v>Общепрофессиональные дисциплины</v>
      </c>
      <c r="C21" s="832"/>
      <c r="D21" s="832"/>
      <c r="E21" s="832"/>
      <c r="F21" s="832"/>
      <c r="G21" s="832"/>
      <c r="H21" s="833"/>
      <c r="I21" s="466"/>
      <c r="J21" s="467"/>
      <c r="K21" s="392">
        <f>'Учебный план'!K40</f>
        <v>620</v>
      </c>
      <c r="L21" s="392">
        <f>'Учебный план'!L40</f>
        <v>413</v>
      </c>
      <c r="M21" s="476">
        <f t="shared" si="5"/>
        <v>620</v>
      </c>
      <c r="N21" s="466">
        <f t="shared" ref="N21:AW21" si="23">SUM(N22:N28)</f>
        <v>106</v>
      </c>
      <c r="O21" s="466">
        <f t="shared" si="23"/>
        <v>90</v>
      </c>
      <c r="P21" s="466">
        <f t="shared" si="23"/>
        <v>16</v>
      </c>
      <c r="Q21" s="466">
        <f t="shared" si="23"/>
        <v>0</v>
      </c>
      <c r="R21" s="466">
        <f t="shared" si="23"/>
        <v>0</v>
      </c>
      <c r="S21" s="466">
        <f t="shared" si="23"/>
        <v>514</v>
      </c>
      <c r="T21" s="476">
        <f t="shared" si="7"/>
        <v>447</v>
      </c>
      <c r="U21" s="476">
        <f>SUM(U22:U28)</f>
        <v>66</v>
      </c>
      <c r="V21" s="476">
        <f t="shared" si="23"/>
        <v>16</v>
      </c>
      <c r="W21" s="476">
        <f t="shared" si="23"/>
        <v>0</v>
      </c>
      <c r="X21" s="476">
        <f t="shared" si="23"/>
        <v>0</v>
      </c>
      <c r="Y21" s="476">
        <f t="shared" si="23"/>
        <v>365</v>
      </c>
      <c r="Z21" s="476">
        <f t="shared" si="8"/>
        <v>74</v>
      </c>
      <c r="AA21" s="476">
        <f t="shared" ref="AA21:AE21" si="24">SUM(AA22:AA28)</f>
        <v>12</v>
      </c>
      <c r="AB21" s="476">
        <f t="shared" si="24"/>
        <v>0</v>
      </c>
      <c r="AC21" s="476">
        <f t="shared" si="24"/>
        <v>0</v>
      </c>
      <c r="AD21" s="476">
        <f t="shared" si="24"/>
        <v>0</v>
      </c>
      <c r="AE21" s="476">
        <f t="shared" si="24"/>
        <v>62</v>
      </c>
      <c r="AF21" s="476">
        <f t="shared" si="23"/>
        <v>0</v>
      </c>
      <c r="AG21" s="476">
        <f t="shared" si="23"/>
        <v>0</v>
      </c>
      <c r="AH21" s="466">
        <f t="shared" si="23"/>
        <v>0</v>
      </c>
      <c r="AI21" s="466">
        <f t="shared" si="23"/>
        <v>0</v>
      </c>
      <c r="AJ21" s="466">
        <f t="shared" si="23"/>
        <v>0</v>
      </c>
      <c r="AK21" s="466">
        <f t="shared" si="23"/>
        <v>0</v>
      </c>
      <c r="AL21" s="476">
        <f t="shared" si="9"/>
        <v>99</v>
      </c>
      <c r="AM21" s="466">
        <f t="shared" si="23"/>
        <v>12</v>
      </c>
      <c r="AN21" s="466">
        <f t="shared" si="23"/>
        <v>0</v>
      </c>
      <c r="AO21" s="466">
        <f t="shared" si="23"/>
        <v>0</v>
      </c>
      <c r="AP21" s="466">
        <f t="shared" si="23"/>
        <v>0</v>
      </c>
      <c r="AQ21" s="466">
        <f t="shared" si="23"/>
        <v>87</v>
      </c>
      <c r="AR21" s="466">
        <f t="shared" si="23"/>
        <v>0</v>
      </c>
      <c r="AS21" s="466">
        <f t="shared" si="23"/>
        <v>0</v>
      </c>
      <c r="AT21" s="466">
        <f t="shared" si="23"/>
        <v>0</v>
      </c>
      <c r="AU21" s="466">
        <f t="shared" si="23"/>
        <v>0</v>
      </c>
      <c r="AV21" s="466">
        <f t="shared" si="23"/>
        <v>0</v>
      </c>
      <c r="AW21" s="466">
        <f t="shared" si="23"/>
        <v>0</v>
      </c>
      <c r="AX21" s="478">
        <f>SUM(AX22:AX28)</f>
        <v>0</v>
      </c>
      <c r="AY21" s="466">
        <f t="shared" ref="AY21:BF21" si="25">SUM(AY22:AY28)</f>
        <v>0</v>
      </c>
      <c r="AZ21" s="466">
        <f t="shared" si="25"/>
        <v>0</v>
      </c>
      <c r="BA21" s="466">
        <f t="shared" si="25"/>
        <v>0</v>
      </c>
      <c r="BB21" s="466">
        <f t="shared" si="25"/>
        <v>0</v>
      </c>
      <c r="BC21" s="466">
        <f t="shared" si="25"/>
        <v>0</v>
      </c>
      <c r="BD21" s="466">
        <f t="shared" si="25"/>
        <v>0</v>
      </c>
      <c r="BE21" s="466">
        <f t="shared" si="25"/>
        <v>0</v>
      </c>
      <c r="BF21" s="466">
        <f t="shared" si="25"/>
        <v>0</v>
      </c>
      <c r="BG21" s="479"/>
      <c r="BH21" s="467">
        <f>'Учебный план'!BZ40</f>
        <v>0</v>
      </c>
      <c r="BI21" s="467">
        <f>'Учебный план'!CA40</f>
        <v>0</v>
      </c>
    </row>
    <row r="22" spans="1:64" s="224" customFormat="1" ht="26.1" customHeight="1" x14ac:dyDescent="0.2">
      <c r="A22" s="416" t="str">
        <f>'Учебный план'!A41</f>
        <v>ОП.01</v>
      </c>
      <c r="B22" s="416" t="str">
        <f>'Учебный план'!B41</f>
        <v>Инженерная графика</v>
      </c>
      <c r="C22" s="416">
        <f>'Учебный план'!C41</f>
        <v>0</v>
      </c>
      <c r="D22" s="363"/>
      <c r="E22" s="363" t="s">
        <v>27</v>
      </c>
      <c r="F22" s="363"/>
      <c r="G22" s="363"/>
      <c r="H22" s="363" t="s">
        <v>30</v>
      </c>
      <c r="I22" s="468">
        <f t="shared" ref="I22:I28" si="26">K22-M22</f>
        <v>0</v>
      </c>
      <c r="J22" s="469">
        <f t="shared" ref="J22:J28" si="27">L22*$J$1</f>
        <v>15</v>
      </c>
      <c r="K22" s="177">
        <f>'Учебный план'!K41</f>
        <v>76</v>
      </c>
      <c r="L22" s="177">
        <f>'Учебный план'!L41</f>
        <v>50</v>
      </c>
      <c r="M22" s="470">
        <f t="shared" si="5"/>
        <v>76</v>
      </c>
      <c r="N22" s="470">
        <f t="shared" ref="N22:N28" si="28">SUM(O22:R22)</f>
        <v>14</v>
      </c>
      <c r="O22" s="470">
        <f t="shared" ref="O22:R28" si="29">U22+AG22+AM22+AS22+AA22+BA22</f>
        <v>2</v>
      </c>
      <c r="P22" s="470">
        <f t="shared" si="29"/>
        <v>12</v>
      </c>
      <c r="Q22" s="470">
        <f t="shared" si="29"/>
        <v>0</v>
      </c>
      <c r="R22" s="470">
        <f t="shared" si="29"/>
        <v>0</v>
      </c>
      <c r="S22" s="470">
        <f t="shared" ref="S22:S28" si="30">Y22+AK22+AQ22+AW22+BF22+AE22</f>
        <v>62</v>
      </c>
      <c r="T22" s="471">
        <f t="shared" si="7"/>
        <v>76</v>
      </c>
      <c r="U22" s="458">
        <v>2</v>
      </c>
      <c r="V22" s="458">
        <v>12</v>
      </c>
      <c r="W22" s="458"/>
      <c r="X22" s="458"/>
      <c r="Y22" s="458">
        <v>62</v>
      </c>
      <c r="Z22" s="471">
        <f t="shared" si="8"/>
        <v>0</v>
      </c>
      <c r="AA22" s="458"/>
      <c r="AB22" s="458"/>
      <c r="AC22" s="458"/>
      <c r="AD22" s="458"/>
      <c r="AE22" s="458"/>
      <c r="AF22" s="471">
        <f t="shared" ref="AF22:AF28" si="31">SUM(AG22:AK22)</f>
        <v>0</v>
      </c>
      <c r="AG22" s="458"/>
      <c r="AH22" s="458"/>
      <c r="AI22" s="458"/>
      <c r="AJ22" s="458"/>
      <c r="AK22" s="458"/>
      <c r="AL22" s="471">
        <f t="shared" si="9"/>
        <v>0</v>
      </c>
      <c r="AM22" s="458"/>
      <c r="AN22" s="458"/>
      <c r="AO22" s="458"/>
      <c r="AP22" s="458"/>
      <c r="AQ22" s="458"/>
      <c r="AR22" s="471">
        <f t="shared" ref="AR22:AR28" si="32">SUM(AS22:AW22)</f>
        <v>0</v>
      </c>
      <c r="AS22" s="458"/>
      <c r="AT22" s="458"/>
      <c r="AU22" s="458"/>
      <c r="AV22" s="458"/>
      <c r="AW22" s="458"/>
      <c r="AX22" s="472">
        <f t="shared" ref="AX22:AX28" si="33">LEN(H22)-LEN(SUBSTITUTE(H22,"9",""))</f>
        <v>0</v>
      </c>
      <c r="AY22" s="471">
        <f>SUM(AZ22:BF22)</f>
        <v>0</v>
      </c>
      <c r="AZ22" s="458"/>
      <c r="BA22" s="458"/>
      <c r="BB22" s="458"/>
      <c r="BC22" s="458"/>
      <c r="BD22" s="458"/>
      <c r="BE22" s="458"/>
      <c r="BF22" s="458"/>
      <c r="BG22" s="473"/>
      <c r="BH22" s="474" t="str">
        <f>'Учебный план'!BZ41</f>
        <v>64-2</v>
      </c>
      <c r="BI22" s="397" t="str">
        <f>'Учебный план'!CA41</f>
        <v>ОК-1-10 ПК 1.1-1.4, 3.1</v>
      </c>
    </row>
    <row r="23" spans="1:64" s="224" customFormat="1" ht="26.1" customHeight="1" x14ac:dyDescent="0.2">
      <c r="A23" s="416" t="str">
        <f>'Учебный план'!A42</f>
        <v>ОП.02</v>
      </c>
      <c r="B23" s="416" t="str">
        <f>'Учебный план'!B42</f>
        <v>Механика</v>
      </c>
      <c r="C23" s="416">
        <f>'Учебный план'!C42</f>
        <v>0</v>
      </c>
      <c r="D23" s="363"/>
      <c r="E23" s="363" t="s">
        <v>31</v>
      </c>
      <c r="F23" s="363"/>
      <c r="G23" s="363"/>
      <c r="H23" s="363"/>
      <c r="I23" s="468">
        <f t="shared" si="26"/>
        <v>0</v>
      </c>
      <c r="J23" s="480">
        <f t="shared" si="27"/>
        <v>15.3</v>
      </c>
      <c r="K23" s="177">
        <f>'Учебный план'!K42</f>
        <v>76</v>
      </c>
      <c r="L23" s="177">
        <f>'Учебный план'!L42</f>
        <v>51</v>
      </c>
      <c r="M23" s="470">
        <f t="shared" si="5"/>
        <v>76</v>
      </c>
      <c r="N23" s="470">
        <f t="shared" si="28"/>
        <v>14</v>
      </c>
      <c r="O23" s="470">
        <f t="shared" si="29"/>
        <v>14</v>
      </c>
      <c r="P23" s="470">
        <f t="shared" si="29"/>
        <v>0</v>
      </c>
      <c r="Q23" s="470">
        <f t="shared" si="29"/>
        <v>0</v>
      </c>
      <c r="R23" s="470">
        <f t="shared" si="29"/>
        <v>0</v>
      </c>
      <c r="S23" s="470">
        <f t="shared" si="30"/>
        <v>62</v>
      </c>
      <c r="T23" s="471">
        <f t="shared" si="7"/>
        <v>76</v>
      </c>
      <c r="U23" s="458">
        <v>14</v>
      </c>
      <c r="V23" s="458"/>
      <c r="W23" s="458"/>
      <c r="X23" s="458"/>
      <c r="Y23" s="458">
        <v>62</v>
      </c>
      <c r="Z23" s="471">
        <f t="shared" si="8"/>
        <v>0</v>
      </c>
      <c r="AA23" s="458"/>
      <c r="AB23" s="458"/>
      <c r="AC23" s="458"/>
      <c r="AD23" s="458"/>
      <c r="AE23" s="458"/>
      <c r="AF23" s="471">
        <f t="shared" si="31"/>
        <v>0</v>
      </c>
      <c r="AG23" s="458"/>
      <c r="AH23" s="458"/>
      <c r="AI23" s="458"/>
      <c r="AJ23" s="458"/>
      <c r="AK23" s="458"/>
      <c r="AL23" s="471">
        <f t="shared" si="9"/>
        <v>0</v>
      </c>
      <c r="AM23" s="458"/>
      <c r="AN23" s="458"/>
      <c r="AO23" s="458"/>
      <c r="AP23" s="458"/>
      <c r="AQ23" s="458"/>
      <c r="AR23" s="471">
        <f t="shared" si="32"/>
        <v>0</v>
      </c>
      <c r="AS23" s="458"/>
      <c r="AT23" s="458"/>
      <c r="AU23" s="458"/>
      <c r="AV23" s="458"/>
      <c r="AW23" s="458"/>
      <c r="AX23" s="472">
        <f t="shared" si="33"/>
        <v>0</v>
      </c>
      <c r="AY23" s="471">
        <f t="shared" ref="AY23:AY28" si="34">SUM(AZ23:BF23)</f>
        <v>0</v>
      </c>
      <c r="AZ23" s="458"/>
      <c r="BA23" s="458"/>
      <c r="BB23" s="458"/>
      <c r="BC23" s="458"/>
      <c r="BD23" s="458"/>
      <c r="BE23" s="458"/>
      <c r="BF23" s="458"/>
      <c r="BG23" s="473"/>
      <c r="BH23" s="474" t="str">
        <f>'Учебный план'!BZ42</f>
        <v>64-2</v>
      </c>
      <c r="BI23" s="177" t="str">
        <f>'Учебный план'!CA42</f>
        <v>ОК-1-10 ПК 1.2 - 1.4</v>
      </c>
    </row>
    <row r="24" spans="1:64" s="224" customFormat="1" ht="26.1" customHeight="1" x14ac:dyDescent="0.2">
      <c r="A24" s="416" t="str">
        <f>'Учебный план'!A43</f>
        <v>ОП.03</v>
      </c>
      <c r="B24" s="416" t="str">
        <f>'Учебный план'!B43</f>
        <v>Электроника и электротехника</v>
      </c>
      <c r="C24" s="416" t="str">
        <f>'Учебный план'!C43</f>
        <v>Электроника</v>
      </c>
      <c r="D24" s="363"/>
      <c r="E24" s="363" t="s">
        <v>27</v>
      </c>
      <c r="F24" s="363"/>
      <c r="G24" s="363"/>
      <c r="H24" s="363"/>
      <c r="I24" s="468">
        <f t="shared" si="26"/>
        <v>0</v>
      </c>
      <c r="J24" s="469">
        <f t="shared" si="27"/>
        <v>13.2</v>
      </c>
      <c r="K24" s="177">
        <f>'Учебный план'!K43</f>
        <v>66</v>
      </c>
      <c r="L24" s="177">
        <f>'Учебный план'!L43</f>
        <v>44</v>
      </c>
      <c r="M24" s="470">
        <f t="shared" si="5"/>
        <v>66</v>
      </c>
      <c r="N24" s="470">
        <f t="shared" si="28"/>
        <v>12</v>
      </c>
      <c r="O24" s="470">
        <f t="shared" si="29"/>
        <v>8</v>
      </c>
      <c r="P24" s="470">
        <f t="shared" si="29"/>
        <v>4</v>
      </c>
      <c r="Q24" s="470">
        <f t="shared" si="29"/>
        <v>0</v>
      </c>
      <c r="R24" s="470">
        <f t="shared" si="29"/>
        <v>0</v>
      </c>
      <c r="S24" s="470">
        <f t="shared" si="30"/>
        <v>54</v>
      </c>
      <c r="T24" s="471">
        <f t="shared" si="7"/>
        <v>66</v>
      </c>
      <c r="U24" s="458">
        <v>8</v>
      </c>
      <c r="V24" s="458">
        <v>4</v>
      </c>
      <c r="W24" s="458"/>
      <c r="X24" s="458"/>
      <c r="Y24" s="458">
        <v>54</v>
      </c>
      <c r="Z24" s="471">
        <f t="shared" si="8"/>
        <v>0</v>
      </c>
      <c r="AA24" s="458"/>
      <c r="AB24" s="458"/>
      <c r="AC24" s="458"/>
      <c r="AD24" s="458"/>
      <c r="AE24" s="458"/>
      <c r="AF24" s="471">
        <f t="shared" si="31"/>
        <v>0</v>
      </c>
      <c r="AG24" s="458"/>
      <c r="AH24" s="458"/>
      <c r="AI24" s="458"/>
      <c r="AJ24" s="458"/>
      <c r="AK24" s="458"/>
      <c r="AL24" s="471">
        <f t="shared" si="9"/>
        <v>0</v>
      </c>
      <c r="AM24" s="458"/>
      <c r="AN24" s="458"/>
      <c r="AO24" s="458"/>
      <c r="AP24" s="458"/>
      <c r="AQ24" s="458"/>
      <c r="AR24" s="471">
        <f t="shared" si="32"/>
        <v>0</v>
      </c>
      <c r="AS24" s="458"/>
      <c r="AT24" s="458"/>
      <c r="AU24" s="458"/>
      <c r="AV24" s="458"/>
      <c r="AW24" s="458"/>
      <c r="AX24" s="472">
        <f t="shared" si="33"/>
        <v>0</v>
      </c>
      <c r="AY24" s="471">
        <f t="shared" si="34"/>
        <v>0</v>
      </c>
      <c r="AZ24" s="458"/>
      <c r="BA24" s="458"/>
      <c r="BB24" s="458"/>
      <c r="BC24" s="458"/>
      <c r="BD24" s="458"/>
      <c r="BE24" s="458"/>
      <c r="BF24" s="458"/>
      <c r="BG24" s="473"/>
      <c r="BH24" s="474" t="str">
        <f>'Учебный план'!BZ43</f>
        <v>64-5</v>
      </c>
      <c r="BI24" s="177" t="str">
        <f>'Учебный план'!CA43</f>
        <v>ОК 1-10; ПК-1.3</v>
      </c>
    </row>
    <row r="25" spans="1:64" s="224" customFormat="1" ht="26.1" customHeight="1" x14ac:dyDescent="0.2">
      <c r="A25" s="416" t="str">
        <f>'Учебный план'!A44</f>
        <v>ОП.04</v>
      </c>
      <c r="B25" s="416" t="str">
        <f>'Учебный план'!B44</f>
        <v xml:space="preserve">Правовые основы профессиональной деятельности                                               </v>
      </c>
      <c r="C25" s="416" t="str">
        <f>'Учебный план'!C44</f>
        <v>ПОПД</v>
      </c>
      <c r="D25" s="529" t="s">
        <v>40</v>
      </c>
      <c r="E25" s="363"/>
      <c r="F25" s="363"/>
      <c r="G25" s="363"/>
      <c r="H25" s="529" t="s">
        <v>40</v>
      </c>
      <c r="I25" s="468">
        <f t="shared" si="26"/>
        <v>0</v>
      </c>
      <c r="J25" s="469">
        <f t="shared" si="27"/>
        <v>19.8</v>
      </c>
      <c r="K25" s="177">
        <f>'Учебный план'!K44</f>
        <v>99</v>
      </c>
      <c r="L25" s="177">
        <f>'Учебный план'!L44</f>
        <v>66</v>
      </c>
      <c r="M25" s="470">
        <f t="shared" si="5"/>
        <v>99</v>
      </c>
      <c r="N25" s="470">
        <f t="shared" si="28"/>
        <v>12</v>
      </c>
      <c r="O25" s="470">
        <f t="shared" si="29"/>
        <v>12</v>
      </c>
      <c r="P25" s="470">
        <f t="shared" si="29"/>
        <v>0</v>
      </c>
      <c r="Q25" s="470">
        <f t="shared" si="29"/>
        <v>0</v>
      </c>
      <c r="R25" s="470">
        <f t="shared" si="29"/>
        <v>0</v>
      </c>
      <c r="S25" s="470">
        <f t="shared" si="30"/>
        <v>87</v>
      </c>
      <c r="T25" s="471">
        <f t="shared" si="7"/>
        <v>0</v>
      </c>
      <c r="U25" s="458"/>
      <c r="V25" s="458"/>
      <c r="W25" s="458"/>
      <c r="X25" s="458"/>
      <c r="Y25" s="458"/>
      <c r="Z25" s="471">
        <f t="shared" si="8"/>
        <v>0</v>
      </c>
      <c r="AA25" s="458"/>
      <c r="AB25" s="458"/>
      <c r="AC25" s="458"/>
      <c r="AD25" s="458"/>
      <c r="AE25" s="458"/>
      <c r="AF25" s="471">
        <f t="shared" si="31"/>
        <v>0</v>
      </c>
      <c r="AG25" s="458"/>
      <c r="AH25" s="458"/>
      <c r="AI25" s="458"/>
      <c r="AJ25" s="458"/>
      <c r="AK25" s="458"/>
      <c r="AL25" s="471">
        <f t="shared" si="9"/>
        <v>99</v>
      </c>
      <c r="AM25" s="458">
        <v>12</v>
      </c>
      <c r="AN25" s="458"/>
      <c r="AO25" s="458"/>
      <c r="AP25" s="458"/>
      <c r="AQ25" s="458">
        <v>87</v>
      </c>
      <c r="AR25" s="471">
        <f t="shared" si="32"/>
        <v>0</v>
      </c>
      <c r="AS25" s="458"/>
      <c r="AT25" s="458"/>
      <c r="AU25" s="458"/>
      <c r="AV25" s="458"/>
      <c r="AW25" s="458"/>
      <c r="AX25" s="472">
        <f t="shared" si="33"/>
        <v>0</v>
      </c>
      <c r="AY25" s="471">
        <f t="shared" si="34"/>
        <v>0</v>
      </c>
      <c r="AZ25" s="458"/>
      <c r="BA25" s="458"/>
      <c r="BB25" s="458"/>
      <c r="BC25" s="458"/>
      <c r="BD25" s="458"/>
      <c r="BE25" s="458"/>
      <c r="BF25" s="458"/>
      <c r="BG25" s="473"/>
      <c r="BH25" s="474" t="str">
        <f>'Учебный план'!BZ44</f>
        <v>64-4</v>
      </c>
      <c r="BI25" s="177" t="str">
        <f>'Учебный план'!CA44</f>
        <v>ОК-1-10 ПК 1.1 - 1.4, 2.1 - 2.7, 3.1, 3.2, 4.1-4.3</v>
      </c>
    </row>
    <row r="26" spans="1:64" s="224" customFormat="1" ht="26.1" customHeight="1" x14ac:dyDescent="0.2">
      <c r="A26" s="416" t="str">
        <f>'Учебный план'!A45</f>
        <v>ОП.05</v>
      </c>
      <c r="B26" s="416" t="str">
        <f>'Учебный план'!B45</f>
        <v>Метрология и стандартизация</v>
      </c>
      <c r="C26" s="416">
        <f>'Учебный план'!C45</f>
        <v>0</v>
      </c>
      <c r="D26" s="363"/>
      <c r="E26" s="363" t="s">
        <v>27</v>
      </c>
      <c r="F26" s="363"/>
      <c r="G26" s="363"/>
      <c r="H26" s="363"/>
      <c r="I26" s="468">
        <f t="shared" si="26"/>
        <v>0</v>
      </c>
      <c r="J26" s="469">
        <f t="shared" si="27"/>
        <v>10.8</v>
      </c>
      <c r="K26" s="177">
        <f>'Учебный план'!K45</f>
        <v>54</v>
      </c>
      <c r="L26" s="177">
        <f>'Учебный план'!L45</f>
        <v>36</v>
      </c>
      <c r="M26" s="470">
        <f t="shared" si="5"/>
        <v>54</v>
      </c>
      <c r="N26" s="470">
        <f t="shared" si="28"/>
        <v>10</v>
      </c>
      <c r="O26" s="470">
        <f t="shared" si="29"/>
        <v>10</v>
      </c>
      <c r="P26" s="470">
        <f t="shared" si="29"/>
        <v>0</v>
      </c>
      <c r="Q26" s="470">
        <f t="shared" si="29"/>
        <v>0</v>
      </c>
      <c r="R26" s="470">
        <f t="shared" si="29"/>
        <v>0</v>
      </c>
      <c r="S26" s="470">
        <f t="shared" si="30"/>
        <v>44</v>
      </c>
      <c r="T26" s="471">
        <f t="shared" si="7"/>
        <v>54</v>
      </c>
      <c r="U26" s="458">
        <v>10</v>
      </c>
      <c r="V26" s="458"/>
      <c r="W26" s="458"/>
      <c r="X26" s="458"/>
      <c r="Y26" s="458">
        <v>44</v>
      </c>
      <c r="Z26" s="471">
        <f t="shared" si="8"/>
        <v>0</v>
      </c>
      <c r="AA26" s="458"/>
      <c r="AB26" s="458"/>
      <c r="AC26" s="458"/>
      <c r="AD26" s="458"/>
      <c r="AE26" s="458"/>
      <c r="AF26" s="471">
        <f t="shared" si="31"/>
        <v>0</v>
      </c>
      <c r="AG26" s="458"/>
      <c r="AH26" s="458"/>
      <c r="AI26" s="458"/>
      <c r="AJ26" s="458"/>
      <c r="AK26" s="458"/>
      <c r="AL26" s="471">
        <f t="shared" si="9"/>
        <v>0</v>
      </c>
      <c r="AM26" s="458"/>
      <c r="AN26" s="458"/>
      <c r="AO26" s="458"/>
      <c r="AP26" s="458"/>
      <c r="AQ26" s="458"/>
      <c r="AR26" s="471">
        <f t="shared" si="32"/>
        <v>0</v>
      </c>
      <c r="AS26" s="458"/>
      <c r="AT26" s="458"/>
      <c r="AU26" s="458"/>
      <c r="AV26" s="458"/>
      <c r="AW26" s="458"/>
      <c r="AX26" s="472">
        <f t="shared" si="33"/>
        <v>0</v>
      </c>
      <c r="AY26" s="471">
        <f t="shared" si="34"/>
        <v>0</v>
      </c>
      <c r="AZ26" s="458"/>
      <c r="BA26" s="458"/>
      <c r="BB26" s="458"/>
      <c r="BC26" s="458"/>
      <c r="BD26" s="458"/>
      <c r="BE26" s="458"/>
      <c r="BF26" s="458"/>
      <c r="BG26" s="473"/>
      <c r="BH26" s="474" t="str">
        <f>'Учебный план'!BZ45</f>
        <v>64-3</v>
      </c>
      <c r="BI26" s="177" t="str">
        <f>'Учебный план'!CA45</f>
        <v>ОК 1-10, ПК 1.1 - 1.4, 3.1, 3.2,4.1-4.3</v>
      </c>
    </row>
    <row r="27" spans="1:64" s="224" customFormat="1" ht="26.1" customHeight="1" x14ac:dyDescent="0.2">
      <c r="A27" s="416" t="str">
        <f>'Учебный план'!A46</f>
        <v>ОП.06</v>
      </c>
      <c r="B27" s="416" t="str">
        <f>'Учебный план'!B46</f>
        <v>Теория и устройство судна</v>
      </c>
      <c r="C27" s="416" t="str">
        <f>'Учебный план'!C46</f>
        <v>ТУС</v>
      </c>
      <c r="D27" s="363" t="s">
        <v>31</v>
      </c>
      <c r="E27" s="363"/>
      <c r="F27" s="363"/>
      <c r="G27" s="363"/>
      <c r="H27" s="529" t="s">
        <v>27</v>
      </c>
      <c r="I27" s="468">
        <f t="shared" si="26"/>
        <v>0</v>
      </c>
      <c r="J27" s="469">
        <f t="shared" si="27"/>
        <v>29.4</v>
      </c>
      <c r="K27" s="177">
        <f>'Учебный план'!K46</f>
        <v>147</v>
      </c>
      <c r="L27" s="177">
        <f>'Учебный план'!L46</f>
        <v>98</v>
      </c>
      <c r="M27" s="470">
        <f t="shared" si="5"/>
        <v>147</v>
      </c>
      <c r="N27" s="470">
        <f t="shared" si="28"/>
        <v>28</v>
      </c>
      <c r="O27" s="470">
        <f t="shared" si="29"/>
        <v>28</v>
      </c>
      <c r="P27" s="470">
        <f t="shared" si="29"/>
        <v>0</v>
      </c>
      <c r="Q27" s="470">
        <f t="shared" si="29"/>
        <v>0</v>
      </c>
      <c r="R27" s="470">
        <f t="shared" si="29"/>
        <v>0</v>
      </c>
      <c r="S27" s="470">
        <f t="shared" si="30"/>
        <v>119</v>
      </c>
      <c r="T27" s="471">
        <f t="shared" si="7"/>
        <v>73</v>
      </c>
      <c r="U27" s="458">
        <v>16</v>
      </c>
      <c r="V27" s="458"/>
      <c r="W27" s="458"/>
      <c r="X27" s="458"/>
      <c r="Y27" s="458">
        <v>57</v>
      </c>
      <c r="Z27" s="471">
        <f t="shared" si="8"/>
        <v>74</v>
      </c>
      <c r="AA27" s="458">
        <v>12</v>
      </c>
      <c r="AB27" s="458"/>
      <c r="AC27" s="458"/>
      <c r="AD27" s="458"/>
      <c r="AE27" s="458">
        <v>62</v>
      </c>
      <c r="AF27" s="471">
        <f t="shared" si="31"/>
        <v>0</v>
      </c>
      <c r="AG27" s="458"/>
      <c r="AH27" s="458"/>
      <c r="AI27" s="458"/>
      <c r="AJ27" s="458"/>
      <c r="AK27" s="458"/>
      <c r="AL27" s="471">
        <f t="shared" si="9"/>
        <v>0</v>
      </c>
      <c r="AM27" s="458"/>
      <c r="AN27" s="458"/>
      <c r="AO27" s="458"/>
      <c r="AP27" s="458"/>
      <c r="AQ27" s="458"/>
      <c r="AR27" s="471">
        <f t="shared" si="32"/>
        <v>0</v>
      </c>
      <c r="AS27" s="458"/>
      <c r="AT27" s="458"/>
      <c r="AU27" s="458"/>
      <c r="AV27" s="458"/>
      <c r="AW27" s="458"/>
      <c r="AX27" s="472">
        <f t="shared" si="33"/>
        <v>0</v>
      </c>
      <c r="AY27" s="471">
        <f t="shared" si="34"/>
        <v>0</v>
      </c>
      <c r="AZ27" s="458"/>
      <c r="BA27" s="458"/>
      <c r="BB27" s="458"/>
      <c r="BC27" s="458"/>
      <c r="BD27" s="458"/>
      <c r="BE27" s="458"/>
      <c r="BF27" s="458"/>
      <c r="BG27" s="473"/>
      <c r="BH27" s="474" t="str">
        <f>'Учебный план'!BZ46</f>
        <v>64-4</v>
      </c>
      <c r="BI27" s="177" t="str">
        <f>'Учебный план'!CA46</f>
        <v>ОК 1-10 ПК 1.1 - 1.4, 2.1-2.7, 3.1, 3.2, 4.1-4.3</v>
      </c>
    </row>
    <row r="28" spans="1:64" s="224" customFormat="1" ht="26.1" customHeight="1" x14ac:dyDescent="0.2">
      <c r="A28" s="416" t="str">
        <f>'Учебный план'!A47</f>
        <v>ОП.07</v>
      </c>
      <c r="B28" s="416" t="str">
        <f>'Учебный план'!B47</f>
        <v>Безопасность жизнедеятельности</v>
      </c>
      <c r="C28" s="416">
        <f>'Учебный план'!C47</f>
        <v>0</v>
      </c>
      <c r="D28" s="363" t="s">
        <v>27</v>
      </c>
      <c r="E28" s="363"/>
      <c r="F28" s="363"/>
      <c r="G28" s="363"/>
      <c r="H28" s="363"/>
      <c r="I28" s="468">
        <f t="shared" si="26"/>
        <v>0</v>
      </c>
      <c r="J28" s="469">
        <f t="shared" si="27"/>
        <v>20.399999999999999</v>
      </c>
      <c r="K28" s="177">
        <f>'Учебный план'!K47</f>
        <v>102</v>
      </c>
      <c r="L28" s="177">
        <f>'Учебный план'!L47</f>
        <v>68</v>
      </c>
      <c r="M28" s="470">
        <f t="shared" si="5"/>
        <v>102</v>
      </c>
      <c r="N28" s="470">
        <f t="shared" si="28"/>
        <v>16</v>
      </c>
      <c r="O28" s="470">
        <f t="shared" si="29"/>
        <v>16</v>
      </c>
      <c r="P28" s="470">
        <f t="shared" si="29"/>
        <v>0</v>
      </c>
      <c r="Q28" s="470">
        <f t="shared" si="29"/>
        <v>0</v>
      </c>
      <c r="R28" s="470">
        <f t="shared" si="29"/>
        <v>0</v>
      </c>
      <c r="S28" s="470">
        <f t="shared" si="30"/>
        <v>86</v>
      </c>
      <c r="T28" s="471">
        <f t="shared" si="7"/>
        <v>102</v>
      </c>
      <c r="U28" s="458">
        <v>16</v>
      </c>
      <c r="V28" s="458"/>
      <c r="W28" s="458"/>
      <c r="X28" s="458"/>
      <c r="Y28" s="458">
        <v>86</v>
      </c>
      <c r="Z28" s="471">
        <f t="shared" si="8"/>
        <v>0</v>
      </c>
      <c r="AA28" s="458"/>
      <c r="AB28" s="458"/>
      <c r="AC28" s="458"/>
      <c r="AD28" s="458"/>
      <c r="AE28" s="458"/>
      <c r="AF28" s="471">
        <f t="shared" si="31"/>
        <v>0</v>
      </c>
      <c r="AG28" s="458"/>
      <c r="AH28" s="458"/>
      <c r="AI28" s="458"/>
      <c r="AJ28" s="458"/>
      <c r="AK28" s="458"/>
      <c r="AL28" s="471">
        <f t="shared" si="9"/>
        <v>0</v>
      </c>
      <c r="AM28" s="458"/>
      <c r="AN28" s="458"/>
      <c r="AO28" s="458"/>
      <c r="AP28" s="458"/>
      <c r="AQ28" s="458"/>
      <c r="AR28" s="471">
        <f t="shared" si="32"/>
        <v>0</v>
      </c>
      <c r="AS28" s="458"/>
      <c r="AT28" s="458"/>
      <c r="AU28" s="458"/>
      <c r="AV28" s="458"/>
      <c r="AW28" s="458"/>
      <c r="AX28" s="472">
        <f t="shared" si="33"/>
        <v>0</v>
      </c>
      <c r="AY28" s="471">
        <f t="shared" si="34"/>
        <v>0</v>
      </c>
      <c r="AZ28" s="458"/>
      <c r="BA28" s="458"/>
      <c r="BB28" s="458"/>
      <c r="BC28" s="458"/>
      <c r="BD28" s="458"/>
      <c r="BE28" s="458"/>
      <c r="BF28" s="458"/>
      <c r="BG28" s="473"/>
      <c r="BH28" s="474" t="str">
        <f>'Учебный план'!BZ47</f>
        <v>64-4</v>
      </c>
      <c r="BI28" s="177" t="str">
        <f>'Учебный план'!CA47</f>
        <v>ОК-1-10, ПК 1.1-1.4. 2.1-2.7, 3.1, 3.2, 4.1-4.3</v>
      </c>
      <c r="BL28" s="224" t="s">
        <v>26</v>
      </c>
    </row>
    <row r="29" spans="1:64" s="228" customFormat="1" ht="26.1" customHeight="1" x14ac:dyDescent="0.2">
      <c r="A29" s="437" t="str">
        <f>'Учебный план'!A48</f>
        <v>ПМ.00</v>
      </c>
      <c r="B29" s="735" t="str">
        <f>'Учебный план'!B48</f>
        <v>Профессиональные модули</v>
      </c>
      <c r="C29" s="736"/>
      <c r="D29" s="736"/>
      <c r="E29" s="736"/>
      <c r="F29" s="736"/>
      <c r="G29" s="736"/>
      <c r="H29" s="737"/>
      <c r="I29" s="476"/>
      <c r="J29" s="481"/>
      <c r="K29" s="392">
        <f>'Учебный план'!K48</f>
        <v>3630</v>
      </c>
      <c r="L29" s="392">
        <f>'Учебный план'!L48</f>
        <v>2489</v>
      </c>
      <c r="M29" s="476">
        <f t="shared" si="5"/>
        <v>2200</v>
      </c>
      <c r="N29" s="476">
        <f t="shared" ref="N29:AW29" si="35">SUM(N30+N56+N62+N67+N70)</f>
        <v>308</v>
      </c>
      <c r="O29" s="476">
        <f t="shared" si="35"/>
        <v>200</v>
      </c>
      <c r="P29" s="476">
        <f t="shared" si="35"/>
        <v>51</v>
      </c>
      <c r="Q29" s="476">
        <f t="shared" si="35"/>
        <v>57</v>
      </c>
      <c r="R29" s="476">
        <f t="shared" si="35"/>
        <v>0</v>
      </c>
      <c r="S29" s="476">
        <f t="shared" si="35"/>
        <v>1892</v>
      </c>
      <c r="T29" s="476">
        <f t="shared" si="35"/>
        <v>0</v>
      </c>
      <c r="U29" s="476">
        <f t="shared" si="35"/>
        <v>0</v>
      </c>
      <c r="V29" s="476">
        <f t="shared" si="35"/>
        <v>0</v>
      </c>
      <c r="W29" s="476">
        <f t="shared" si="35"/>
        <v>0</v>
      </c>
      <c r="X29" s="476">
        <f t="shared" si="35"/>
        <v>0</v>
      </c>
      <c r="Y29" s="476">
        <f t="shared" si="35"/>
        <v>0</v>
      </c>
      <c r="Z29" s="476">
        <f t="shared" si="35"/>
        <v>877</v>
      </c>
      <c r="AA29" s="476">
        <f t="shared" si="35"/>
        <v>100</v>
      </c>
      <c r="AB29" s="476">
        <f t="shared" si="35"/>
        <v>4</v>
      </c>
      <c r="AC29" s="476">
        <f t="shared" si="35"/>
        <v>0</v>
      </c>
      <c r="AD29" s="476">
        <f t="shared" si="35"/>
        <v>0</v>
      </c>
      <c r="AE29" s="476">
        <f t="shared" si="35"/>
        <v>773</v>
      </c>
      <c r="AF29" s="476">
        <f t="shared" si="35"/>
        <v>999</v>
      </c>
      <c r="AG29" s="476">
        <f t="shared" si="35"/>
        <v>118</v>
      </c>
      <c r="AH29" s="476">
        <f t="shared" si="35"/>
        <v>34</v>
      </c>
      <c r="AI29" s="476">
        <f t="shared" si="35"/>
        <v>0</v>
      </c>
      <c r="AJ29" s="476">
        <f t="shared" si="35"/>
        <v>0</v>
      </c>
      <c r="AK29" s="476">
        <f t="shared" si="35"/>
        <v>847</v>
      </c>
      <c r="AL29" s="476">
        <f t="shared" si="35"/>
        <v>913</v>
      </c>
      <c r="AM29" s="476">
        <f t="shared" si="35"/>
        <v>84</v>
      </c>
      <c r="AN29" s="476">
        <f t="shared" si="35"/>
        <v>26</v>
      </c>
      <c r="AO29" s="476">
        <f t="shared" si="35"/>
        <v>22</v>
      </c>
      <c r="AP29" s="476">
        <f t="shared" si="35"/>
        <v>0</v>
      </c>
      <c r="AQ29" s="476">
        <f t="shared" si="35"/>
        <v>781</v>
      </c>
      <c r="AR29" s="476">
        <f t="shared" si="35"/>
        <v>841</v>
      </c>
      <c r="AS29" s="476">
        <f t="shared" si="35"/>
        <v>41</v>
      </c>
      <c r="AT29" s="476">
        <f t="shared" si="35"/>
        <v>41</v>
      </c>
      <c r="AU29" s="476">
        <f t="shared" si="35"/>
        <v>68</v>
      </c>
      <c r="AV29" s="476">
        <f t="shared" si="35"/>
        <v>0</v>
      </c>
      <c r="AW29" s="476">
        <f t="shared" si="35"/>
        <v>691</v>
      </c>
      <c r="AX29" s="476" t="e">
        <f>SUM(AX30+AX56+AX62+#REF!)</f>
        <v>#REF!</v>
      </c>
      <c r="AY29" s="476">
        <f t="shared" ref="AY29:BF29" si="36">SUM(AY30+AY56+AY62+AY67+AY70)</f>
        <v>0</v>
      </c>
      <c r="AZ29" s="476">
        <f t="shared" si="36"/>
        <v>0</v>
      </c>
      <c r="BA29" s="476">
        <f t="shared" si="36"/>
        <v>0</v>
      </c>
      <c r="BB29" s="476">
        <f t="shared" si="36"/>
        <v>0</v>
      </c>
      <c r="BC29" s="476">
        <f t="shared" si="36"/>
        <v>0</v>
      </c>
      <c r="BD29" s="476">
        <f t="shared" si="36"/>
        <v>0</v>
      </c>
      <c r="BE29" s="476">
        <f t="shared" si="36"/>
        <v>0</v>
      </c>
      <c r="BF29" s="476">
        <f t="shared" si="36"/>
        <v>0</v>
      </c>
      <c r="BG29" s="476"/>
      <c r="BH29" s="481">
        <f>'Учебный план'!BZ48</f>
        <v>0</v>
      </c>
      <c r="BI29" s="481">
        <f>'Учебный план'!CA48</f>
        <v>0</v>
      </c>
    </row>
    <row r="30" spans="1:64" s="228" customFormat="1" ht="26.1" customHeight="1" x14ac:dyDescent="0.2">
      <c r="A30" s="482" t="str">
        <f>'Учебный план'!A49</f>
        <v>ПМ.01</v>
      </c>
      <c r="B30" s="811" t="str">
        <f>'Учебный план'!B49</f>
        <v>Управление и эксплуатация судна с правом эксплуатации судовых энергетических установок</v>
      </c>
      <c r="C30" s="812"/>
      <c r="D30" s="812"/>
      <c r="E30" s="812"/>
      <c r="F30" s="812"/>
      <c r="G30" s="812"/>
      <c r="H30" s="813"/>
      <c r="I30" s="483"/>
      <c r="J30" s="484"/>
      <c r="K30" s="380">
        <f>'Учебный план'!K49</f>
        <v>2856</v>
      </c>
      <c r="L30" s="380">
        <f>'Учебный план'!L49</f>
        <v>1951</v>
      </c>
      <c r="M30" s="483">
        <f t="shared" si="5"/>
        <v>1426</v>
      </c>
      <c r="N30" s="483">
        <f t="shared" ref="N30:Y30" si="37">SUM(N31+N37)</f>
        <v>214</v>
      </c>
      <c r="O30" s="483">
        <f t="shared" si="37"/>
        <v>128</v>
      </c>
      <c r="P30" s="483">
        <f t="shared" si="37"/>
        <v>51</v>
      </c>
      <c r="Q30" s="483">
        <f t="shared" si="37"/>
        <v>35</v>
      </c>
      <c r="R30" s="483">
        <f t="shared" si="37"/>
        <v>0</v>
      </c>
      <c r="S30" s="483">
        <f t="shared" si="37"/>
        <v>1212</v>
      </c>
      <c r="T30" s="483">
        <f t="shared" si="37"/>
        <v>0</v>
      </c>
      <c r="U30" s="483">
        <f t="shared" si="37"/>
        <v>0</v>
      </c>
      <c r="V30" s="483">
        <f t="shared" si="37"/>
        <v>0</v>
      </c>
      <c r="W30" s="483">
        <f t="shared" si="37"/>
        <v>0</v>
      </c>
      <c r="X30" s="483">
        <f t="shared" si="37"/>
        <v>0</v>
      </c>
      <c r="Y30" s="483">
        <f t="shared" si="37"/>
        <v>0</v>
      </c>
      <c r="Z30" s="483">
        <f>SUM(Z31+Z37+Z44+Z51)</f>
        <v>355</v>
      </c>
      <c r="AA30" s="483">
        <f t="shared" ref="AA30:AE30" si="38">SUM(AA31+AA37+AA44+AA51)</f>
        <v>56</v>
      </c>
      <c r="AB30" s="483">
        <f t="shared" si="38"/>
        <v>4</v>
      </c>
      <c r="AC30" s="483">
        <f t="shared" si="38"/>
        <v>0</v>
      </c>
      <c r="AD30" s="483">
        <f t="shared" si="38"/>
        <v>0</v>
      </c>
      <c r="AE30" s="483">
        <f t="shared" si="38"/>
        <v>295</v>
      </c>
      <c r="AF30" s="483">
        <f t="shared" ref="AF30" si="39">SUM(AF31+AF37+AF44+AF51)</f>
        <v>934</v>
      </c>
      <c r="AG30" s="483">
        <f t="shared" ref="AG30" si="40">SUM(AG31+AG37+AG44+AG51)</f>
        <v>108</v>
      </c>
      <c r="AH30" s="483">
        <f t="shared" ref="AH30" si="41">SUM(AH31+AH37+AH44+AH51)</f>
        <v>34</v>
      </c>
      <c r="AI30" s="483">
        <f t="shared" ref="AI30" si="42">SUM(AI31+AI37+AI44+AI51)</f>
        <v>0</v>
      </c>
      <c r="AJ30" s="483">
        <f t="shared" ref="AJ30" si="43">SUM(AJ31+AJ37+AJ44+AJ51)</f>
        <v>0</v>
      </c>
      <c r="AK30" s="483">
        <f t="shared" ref="AK30" si="44">SUM(AK31+AK37+AK44+AK51)</f>
        <v>792</v>
      </c>
      <c r="AL30" s="483">
        <f t="shared" ref="AL30" si="45">SUM(AL31+AL37+AL44+AL51)</f>
        <v>726</v>
      </c>
      <c r="AM30" s="483">
        <f t="shared" ref="AM30" si="46">SUM(AM31+AM37+AM44+AM51)</f>
        <v>66</v>
      </c>
      <c r="AN30" s="483">
        <f t="shared" ref="AN30" si="47">SUM(AN31+AN37+AN44+AN51)</f>
        <v>26</v>
      </c>
      <c r="AO30" s="483">
        <f t="shared" ref="AO30" si="48">SUM(AO31+AO37+AO44+AO51)</f>
        <v>0</v>
      </c>
      <c r="AP30" s="483">
        <f t="shared" ref="AP30" si="49">SUM(AP31+AP37+AP44+AP51)</f>
        <v>0</v>
      </c>
      <c r="AQ30" s="483">
        <f t="shared" ref="AQ30" si="50">SUM(AQ31+AQ37+AQ44+AQ51)</f>
        <v>634</v>
      </c>
      <c r="AR30" s="483">
        <f t="shared" ref="AR30" si="51">SUM(AR31+AR37+AR44+AR51)</f>
        <v>841</v>
      </c>
      <c r="AS30" s="483">
        <f t="shared" ref="AS30" si="52">SUM(AS31+AS37+AS44+AS51)</f>
        <v>41</v>
      </c>
      <c r="AT30" s="483">
        <f t="shared" ref="AT30" si="53">SUM(AT31+AT37+AT44+AT51)</f>
        <v>41</v>
      </c>
      <c r="AU30" s="483">
        <f t="shared" ref="AU30" si="54">SUM(AU31+AU37+AU44+AU51)</f>
        <v>68</v>
      </c>
      <c r="AV30" s="483">
        <f t="shared" ref="AV30" si="55">SUM(AV31+AV37+AV44+AV51)</f>
        <v>0</v>
      </c>
      <c r="AW30" s="483">
        <f t="shared" ref="AW30" si="56">SUM(AW31+AW37+AW44+AW51)</f>
        <v>691</v>
      </c>
      <c r="AX30" s="483"/>
      <c r="AY30" s="483">
        <f t="shared" ref="AY30:BB30" si="57">SUM(AY31+AY37)</f>
        <v>0</v>
      </c>
      <c r="AZ30" s="483">
        <f t="shared" si="57"/>
        <v>0</v>
      </c>
      <c r="BA30" s="483">
        <f t="shared" si="57"/>
        <v>0</v>
      </c>
      <c r="BB30" s="483">
        <f t="shared" si="57"/>
        <v>0</v>
      </c>
      <c r="BC30" s="483">
        <f>SUM(BC31+BC37)</f>
        <v>0</v>
      </c>
      <c r="BD30" s="483">
        <f t="shared" ref="BD30:BF30" si="58">SUM(BD31+BD37)</f>
        <v>0</v>
      </c>
      <c r="BE30" s="483">
        <f t="shared" si="58"/>
        <v>0</v>
      </c>
      <c r="BF30" s="483">
        <f t="shared" si="58"/>
        <v>0</v>
      </c>
      <c r="BG30" s="483"/>
      <c r="BH30" s="484">
        <f>'Учебный план'!BZ49</f>
        <v>0</v>
      </c>
      <c r="BI30" s="511" t="str">
        <f>'Учебный план'!CA49</f>
        <v>ОК 1-10, ПК1.1-1.4</v>
      </c>
    </row>
    <row r="31" spans="1:64" s="228" customFormat="1" ht="26.1" customHeight="1" x14ac:dyDescent="0.2">
      <c r="A31" s="512" t="str">
        <f>'Учебный план'!A50</f>
        <v>МДК.01.01</v>
      </c>
      <c r="B31" s="814" t="str">
        <f>'Учебный план'!B50</f>
        <v>Навигация, навигационная гидрометеорология и лоция</v>
      </c>
      <c r="C31" s="815"/>
      <c r="D31" s="815"/>
      <c r="E31" s="815"/>
      <c r="F31" s="815"/>
      <c r="G31" s="815"/>
      <c r="H31" s="816"/>
      <c r="I31" s="513"/>
      <c r="J31" s="514"/>
      <c r="K31" s="451">
        <f>'Учебный план'!K50</f>
        <v>726</v>
      </c>
      <c r="L31" s="451">
        <f>'Учебный план'!L50</f>
        <v>484</v>
      </c>
      <c r="M31" s="513">
        <f t="shared" si="5"/>
        <v>726</v>
      </c>
      <c r="N31" s="513">
        <f t="shared" ref="N31:BF31" si="59">SUM(N32:N36)</f>
        <v>116</v>
      </c>
      <c r="O31" s="513">
        <f t="shared" si="59"/>
        <v>69</v>
      </c>
      <c r="P31" s="513">
        <f t="shared" si="59"/>
        <v>12</v>
      </c>
      <c r="Q31" s="513">
        <f t="shared" si="59"/>
        <v>35</v>
      </c>
      <c r="R31" s="513">
        <f t="shared" si="59"/>
        <v>0</v>
      </c>
      <c r="S31" s="513">
        <f t="shared" si="59"/>
        <v>610</v>
      </c>
      <c r="T31" s="513">
        <f>SUM(T32:T36)</f>
        <v>0</v>
      </c>
      <c r="U31" s="513">
        <f t="shared" si="59"/>
        <v>0</v>
      </c>
      <c r="V31" s="513">
        <f t="shared" si="59"/>
        <v>0</v>
      </c>
      <c r="W31" s="513">
        <f t="shared" si="59"/>
        <v>0</v>
      </c>
      <c r="X31" s="513">
        <f t="shared" si="59"/>
        <v>0</v>
      </c>
      <c r="Y31" s="513">
        <f t="shared" si="59"/>
        <v>0</v>
      </c>
      <c r="Z31" s="513">
        <f t="shared" ref="Z31:AQ31" si="60">SUM(Z32:Z36)</f>
        <v>57</v>
      </c>
      <c r="AA31" s="513">
        <f t="shared" si="60"/>
        <v>12</v>
      </c>
      <c r="AB31" s="513">
        <f t="shared" si="60"/>
        <v>0</v>
      </c>
      <c r="AC31" s="513">
        <f t="shared" si="60"/>
        <v>0</v>
      </c>
      <c r="AD31" s="513">
        <f t="shared" si="60"/>
        <v>0</v>
      </c>
      <c r="AE31" s="513">
        <f t="shared" si="60"/>
        <v>45</v>
      </c>
      <c r="AF31" s="513">
        <f t="shared" si="60"/>
        <v>281</v>
      </c>
      <c r="AG31" s="513">
        <f t="shared" si="60"/>
        <v>28</v>
      </c>
      <c r="AH31" s="513">
        <f t="shared" si="60"/>
        <v>12</v>
      </c>
      <c r="AI31" s="513">
        <f t="shared" si="60"/>
        <v>0</v>
      </c>
      <c r="AJ31" s="513">
        <f t="shared" si="60"/>
        <v>0</v>
      </c>
      <c r="AK31" s="513">
        <f t="shared" si="60"/>
        <v>241</v>
      </c>
      <c r="AL31" s="513">
        <f t="shared" si="60"/>
        <v>158</v>
      </c>
      <c r="AM31" s="513">
        <f t="shared" si="60"/>
        <v>16</v>
      </c>
      <c r="AN31" s="513">
        <f t="shared" si="60"/>
        <v>0</v>
      </c>
      <c r="AO31" s="513">
        <f t="shared" si="60"/>
        <v>0</v>
      </c>
      <c r="AP31" s="513">
        <f t="shared" si="60"/>
        <v>0</v>
      </c>
      <c r="AQ31" s="513">
        <f t="shared" si="60"/>
        <v>142</v>
      </c>
      <c r="AR31" s="513">
        <f t="shared" ref="AR31:AW31" si="61">SUM(AR32:AR36)</f>
        <v>230</v>
      </c>
      <c r="AS31" s="513">
        <f t="shared" si="61"/>
        <v>13</v>
      </c>
      <c r="AT31" s="513">
        <f t="shared" si="61"/>
        <v>0</v>
      </c>
      <c r="AU31" s="513">
        <f t="shared" si="61"/>
        <v>35</v>
      </c>
      <c r="AV31" s="513">
        <f t="shared" si="61"/>
        <v>0</v>
      </c>
      <c r="AW31" s="513">
        <f t="shared" si="61"/>
        <v>182</v>
      </c>
      <c r="AX31" s="513">
        <f t="shared" si="59"/>
        <v>0</v>
      </c>
      <c r="AY31" s="513">
        <f t="shared" si="59"/>
        <v>0</v>
      </c>
      <c r="AZ31" s="513">
        <f t="shared" si="59"/>
        <v>0</v>
      </c>
      <c r="BA31" s="513">
        <f t="shared" si="59"/>
        <v>0</v>
      </c>
      <c r="BB31" s="513">
        <f t="shared" si="59"/>
        <v>0</v>
      </c>
      <c r="BC31" s="513">
        <f t="shared" si="59"/>
        <v>0</v>
      </c>
      <c r="BD31" s="513">
        <f t="shared" si="59"/>
        <v>0</v>
      </c>
      <c r="BE31" s="513">
        <f t="shared" si="59"/>
        <v>0</v>
      </c>
      <c r="BF31" s="513">
        <f t="shared" si="59"/>
        <v>0</v>
      </c>
      <c r="BG31" s="513"/>
      <c r="BH31" s="513">
        <f>'Учебный план'!BZ50</f>
        <v>0</v>
      </c>
      <c r="BI31" s="451">
        <f>'Учебный план'!CA50</f>
        <v>0</v>
      </c>
    </row>
    <row r="32" spans="1:64" s="225" customFormat="1" ht="26.1" customHeight="1" x14ac:dyDescent="0.2">
      <c r="A32" s="416">
        <f>'Учебный план'!A51</f>
        <v>0</v>
      </c>
      <c r="B32" s="416" t="str">
        <f>'Учебный план'!B51</f>
        <v>Навигация и лоция</v>
      </c>
      <c r="C32" s="416">
        <f>'Учебный план'!C51</f>
        <v>0</v>
      </c>
      <c r="D32" s="363"/>
      <c r="E32" s="363" t="s">
        <v>41</v>
      </c>
      <c r="F32" s="363"/>
      <c r="G32" s="363" t="s">
        <v>41</v>
      </c>
      <c r="H32" s="529" t="s">
        <v>619</v>
      </c>
      <c r="I32" s="468">
        <f t="shared" ref="I32:I36" si="62">K32-M32</f>
        <v>0</v>
      </c>
      <c r="J32" s="469">
        <f t="shared" ref="J32:J36" si="63">L32*$J$1</f>
        <v>61.2</v>
      </c>
      <c r="K32" s="177">
        <f>'Учебный план'!K51</f>
        <v>312</v>
      </c>
      <c r="L32" s="177">
        <f>'Учебный план'!L51</f>
        <v>204</v>
      </c>
      <c r="M32" s="470">
        <f t="shared" si="5"/>
        <v>312</v>
      </c>
      <c r="N32" s="470">
        <f>SUM(O32:R32)</f>
        <v>52</v>
      </c>
      <c r="O32" s="470">
        <f t="shared" ref="O32:R36" si="64">U32+AG32+AM32+AS32+AA32+BA32</f>
        <v>17</v>
      </c>
      <c r="P32" s="470">
        <f t="shared" si="64"/>
        <v>0</v>
      </c>
      <c r="Q32" s="470">
        <f t="shared" si="64"/>
        <v>35</v>
      </c>
      <c r="R32" s="470">
        <f t="shared" si="64"/>
        <v>0</v>
      </c>
      <c r="S32" s="470">
        <f>Y32+AK32+AQ32+AW32+BF32+AE32</f>
        <v>260</v>
      </c>
      <c r="T32" s="471">
        <f>SUM(U32:Y32)</f>
        <v>0</v>
      </c>
      <c r="U32" s="458"/>
      <c r="V32" s="458"/>
      <c r="W32" s="458"/>
      <c r="X32" s="458"/>
      <c r="Y32" s="458"/>
      <c r="Z32" s="471">
        <f>SUM(AA32:AE32)</f>
        <v>0</v>
      </c>
      <c r="AA32" s="458"/>
      <c r="AB32" s="458"/>
      <c r="AC32" s="458"/>
      <c r="AD32" s="458"/>
      <c r="AE32" s="458"/>
      <c r="AF32" s="471">
        <f>SUM(AG32:AK32)</f>
        <v>90</v>
      </c>
      <c r="AG32" s="458">
        <v>8</v>
      </c>
      <c r="AH32" s="458"/>
      <c r="AI32" s="458"/>
      <c r="AJ32" s="458"/>
      <c r="AK32" s="458">
        <v>82</v>
      </c>
      <c r="AL32" s="471">
        <f>SUM(AM32:AQ32)</f>
        <v>90</v>
      </c>
      <c r="AM32" s="458">
        <v>8</v>
      </c>
      <c r="AN32" s="458"/>
      <c r="AO32" s="458"/>
      <c r="AP32" s="458"/>
      <c r="AQ32" s="458">
        <v>82</v>
      </c>
      <c r="AR32" s="471">
        <f>SUM(AS32:AW32)</f>
        <v>132</v>
      </c>
      <c r="AS32" s="458">
        <v>1</v>
      </c>
      <c r="AT32" s="458"/>
      <c r="AU32" s="458">
        <v>35</v>
      </c>
      <c r="AV32" s="458"/>
      <c r="AW32" s="458">
        <v>96</v>
      </c>
      <c r="AX32" s="472">
        <f>LEN(H32)-LEN(SUBSTITUTE(H32,"9",""))</f>
        <v>0</v>
      </c>
      <c r="AY32" s="471">
        <f>SUM(AZ32:BF32)</f>
        <v>0</v>
      </c>
      <c r="AZ32" s="458"/>
      <c r="BA32" s="458"/>
      <c r="BB32" s="458"/>
      <c r="BC32" s="458"/>
      <c r="BD32" s="458"/>
      <c r="BE32" s="458"/>
      <c r="BF32" s="458"/>
      <c r="BG32" s="473"/>
      <c r="BH32" s="474" t="str">
        <f>'Учебный план'!BZ51</f>
        <v>64-4</v>
      </c>
      <c r="BI32" s="177" t="str">
        <f>'Учебный план'!CA51</f>
        <v>ОК-1-10; ПК-1.1</v>
      </c>
    </row>
    <row r="33" spans="1:61" s="225" customFormat="1" ht="26.1" customHeight="1" x14ac:dyDescent="0.2">
      <c r="A33" s="416">
        <f>'Учебный план'!A52</f>
        <v>0</v>
      </c>
      <c r="B33" s="416" t="str">
        <f>'Учебный план'!B52</f>
        <v>Основы картографии и навигационные карты</v>
      </c>
      <c r="C33" s="416">
        <f>'Учебный план'!C52</f>
        <v>0</v>
      </c>
      <c r="D33" s="363"/>
      <c r="E33" s="363" t="s">
        <v>30</v>
      </c>
      <c r="F33" s="363"/>
      <c r="G33" s="363"/>
      <c r="H33" s="529" t="s">
        <v>31</v>
      </c>
      <c r="I33" s="468">
        <f t="shared" si="62"/>
        <v>0</v>
      </c>
      <c r="J33" s="469">
        <f t="shared" si="63"/>
        <v>24.6</v>
      </c>
      <c r="K33" s="177">
        <f>'Учебный план'!K52</f>
        <v>120</v>
      </c>
      <c r="L33" s="177">
        <f>'Учебный план'!L52</f>
        <v>82</v>
      </c>
      <c r="M33" s="470">
        <f t="shared" si="5"/>
        <v>120</v>
      </c>
      <c r="N33" s="470">
        <f>SUM(O33:R33)</f>
        <v>20</v>
      </c>
      <c r="O33" s="470">
        <f t="shared" si="64"/>
        <v>20</v>
      </c>
      <c r="P33" s="470">
        <f t="shared" si="64"/>
        <v>0</v>
      </c>
      <c r="Q33" s="470">
        <f t="shared" si="64"/>
        <v>0</v>
      </c>
      <c r="R33" s="470">
        <f t="shared" si="64"/>
        <v>0</v>
      </c>
      <c r="S33" s="470">
        <f>Y33+AK33+AQ33+AW33+BF33+AE33</f>
        <v>100</v>
      </c>
      <c r="T33" s="471">
        <f>SUM(U33:Y33)</f>
        <v>0</v>
      </c>
      <c r="U33" s="458"/>
      <c r="V33" s="458"/>
      <c r="W33" s="458"/>
      <c r="X33" s="458"/>
      <c r="Y33" s="458"/>
      <c r="Z33" s="471">
        <f>SUM(AA33:AE33)</f>
        <v>57</v>
      </c>
      <c r="AA33" s="458">
        <v>12</v>
      </c>
      <c r="AB33" s="458"/>
      <c r="AC33" s="458"/>
      <c r="AD33" s="458"/>
      <c r="AE33" s="458">
        <v>45</v>
      </c>
      <c r="AF33" s="471">
        <f>SUM(AG33:AK33)</f>
        <v>63</v>
      </c>
      <c r="AG33" s="458">
        <v>8</v>
      </c>
      <c r="AH33" s="458"/>
      <c r="AI33" s="458"/>
      <c r="AJ33" s="458"/>
      <c r="AK33" s="458">
        <v>55</v>
      </c>
      <c r="AL33" s="471">
        <f>SUM(AM33:AQ33)</f>
        <v>0</v>
      </c>
      <c r="AM33" s="458"/>
      <c r="AN33" s="458"/>
      <c r="AO33" s="458"/>
      <c r="AP33" s="458"/>
      <c r="AQ33" s="458"/>
      <c r="AR33" s="471">
        <f>SUM(AS33:AW33)</f>
        <v>0</v>
      </c>
      <c r="AS33" s="458"/>
      <c r="AT33" s="458"/>
      <c r="AU33" s="458"/>
      <c r="AV33" s="458"/>
      <c r="AW33" s="458"/>
      <c r="AX33" s="472">
        <f>LEN(H33)-LEN(SUBSTITUTE(H33,"9",""))</f>
        <v>0</v>
      </c>
      <c r="AY33" s="471">
        <f>SUM(AZ33:BF33)</f>
        <v>0</v>
      </c>
      <c r="AZ33" s="458"/>
      <c r="BA33" s="458"/>
      <c r="BB33" s="458"/>
      <c r="BC33" s="458"/>
      <c r="BD33" s="458"/>
      <c r="BE33" s="458"/>
      <c r="BF33" s="458"/>
      <c r="BG33" s="473"/>
      <c r="BH33" s="474" t="str">
        <f>'Учебный план'!BZ52</f>
        <v>64-4</v>
      </c>
      <c r="BI33" s="177" t="str">
        <f>'Учебный план'!CA52</f>
        <v>ОК-1-10; ПК-1.1</v>
      </c>
    </row>
    <row r="34" spans="1:61" s="225" customFormat="1" ht="26.1" customHeight="1" x14ac:dyDescent="0.2">
      <c r="A34" s="416">
        <f>'Учебный план'!A53</f>
        <v>0</v>
      </c>
      <c r="B34" s="416" t="str">
        <f>'Учебный план'!B53</f>
        <v>Навигационная гидрометеорология</v>
      </c>
      <c r="C34" s="416">
        <f>'Учебный план'!C53</f>
        <v>0</v>
      </c>
      <c r="D34" s="363"/>
      <c r="E34" s="363" t="s">
        <v>41</v>
      </c>
      <c r="F34" s="363"/>
      <c r="G34" s="363"/>
      <c r="H34" s="529" t="s">
        <v>41</v>
      </c>
      <c r="I34" s="468">
        <f t="shared" si="62"/>
        <v>0</v>
      </c>
      <c r="J34" s="469">
        <f t="shared" si="63"/>
        <v>19.8</v>
      </c>
      <c r="K34" s="177">
        <f>'Учебный план'!K53</f>
        <v>98</v>
      </c>
      <c r="L34" s="177">
        <f>'Учебный план'!L53</f>
        <v>66</v>
      </c>
      <c r="M34" s="470">
        <f t="shared" si="5"/>
        <v>98</v>
      </c>
      <c r="N34" s="470">
        <f>SUM(O34:R34)</f>
        <v>12</v>
      </c>
      <c r="O34" s="470">
        <f t="shared" si="64"/>
        <v>12</v>
      </c>
      <c r="P34" s="470">
        <f t="shared" si="64"/>
        <v>0</v>
      </c>
      <c r="Q34" s="470">
        <f t="shared" si="64"/>
        <v>0</v>
      </c>
      <c r="R34" s="470">
        <f t="shared" si="64"/>
        <v>0</v>
      </c>
      <c r="S34" s="470">
        <f>Y34+AK34+AQ34+AW34+BF34+AE34</f>
        <v>86</v>
      </c>
      <c r="T34" s="471">
        <f>SUM(U34:Y34)</f>
        <v>0</v>
      </c>
      <c r="U34" s="458"/>
      <c r="V34" s="458"/>
      <c r="W34" s="458"/>
      <c r="X34" s="458"/>
      <c r="Y34" s="458"/>
      <c r="Z34" s="471">
        <f>SUM(AA34:AE34)</f>
        <v>0</v>
      </c>
      <c r="AA34" s="458"/>
      <c r="AB34" s="458"/>
      <c r="AC34" s="458"/>
      <c r="AD34" s="458"/>
      <c r="AE34" s="458"/>
      <c r="AF34" s="471">
        <f>SUM(AG34:AK34)</f>
        <v>0</v>
      </c>
      <c r="AG34" s="458"/>
      <c r="AH34" s="458"/>
      <c r="AI34" s="458"/>
      <c r="AJ34" s="458"/>
      <c r="AK34" s="458"/>
      <c r="AL34" s="471">
        <f>SUM(AM34:AQ34)</f>
        <v>0</v>
      </c>
      <c r="AM34" s="458"/>
      <c r="AN34" s="458"/>
      <c r="AO34" s="458"/>
      <c r="AP34" s="458"/>
      <c r="AQ34" s="458"/>
      <c r="AR34" s="471">
        <f>SUM(AS34:AW34)</f>
        <v>98</v>
      </c>
      <c r="AS34" s="458">
        <v>12</v>
      </c>
      <c r="AT34" s="458"/>
      <c r="AU34" s="458"/>
      <c r="AV34" s="458"/>
      <c r="AW34" s="458">
        <f>K34-AS34</f>
        <v>86</v>
      </c>
      <c r="AX34" s="472"/>
      <c r="AY34" s="471">
        <f t="shared" ref="AY34:AY36" si="65">SUM(AZ34:BF34)</f>
        <v>0</v>
      </c>
      <c r="AZ34" s="458"/>
      <c r="BA34" s="458"/>
      <c r="BB34" s="458"/>
      <c r="BC34" s="458"/>
      <c r="BD34" s="458"/>
      <c r="BE34" s="458"/>
      <c r="BF34" s="458"/>
      <c r="BG34" s="473"/>
      <c r="BH34" s="474" t="str">
        <f>'Учебный план'!BZ53</f>
        <v>64-4</v>
      </c>
      <c r="BI34" s="177" t="str">
        <f>'Учебный план'!CA53</f>
        <v>ОК-1-10; ПК-1.1</v>
      </c>
    </row>
    <row r="35" spans="1:61" s="225" customFormat="1" ht="26.1" customHeight="1" x14ac:dyDescent="0.2">
      <c r="A35" s="416">
        <f>'Учебный план'!A54</f>
        <v>0</v>
      </c>
      <c r="B35" s="416" t="str">
        <f>'Учебный план'!B54</f>
        <v>Мореходная астрономия</v>
      </c>
      <c r="C35" s="416">
        <f>'Учебный план'!C54</f>
        <v>0</v>
      </c>
      <c r="D35" s="363" t="s">
        <v>40</v>
      </c>
      <c r="E35" s="363"/>
      <c r="F35" s="363"/>
      <c r="G35" s="363"/>
      <c r="H35" s="529" t="s">
        <v>30</v>
      </c>
      <c r="I35" s="468">
        <f t="shared" si="62"/>
        <v>0</v>
      </c>
      <c r="J35" s="469">
        <f t="shared" si="63"/>
        <v>26.4</v>
      </c>
      <c r="K35" s="177">
        <f>'Учебный план'!K54</f>
        <v>130</v>
      </c>
      <c r="L35" s="177">
        <f>'Учебный план'!L54</f>
        <v>88</v>
      </c>
      <c r="M35" s="470">
        <f t="shared" si="5"/>
        <v>130</v>
      </c>
      <c r="N35" s="470">
        <f>SUM(O35:R35)</f>
        <v>20</v>
      </c>
      <c r="O35" s="470">
        <f t="shared" si="64"/>
        <v>20</v>
      </c>
      <c r="P35" s="470">
        <f t="shared" si="64"/>
        <v>0</v>
      </c>
      <c r="Q35" s="470">
        <f t="shared" si="64"/>
        <v>0</v>
      </c>
      <c r="R35" s="470">
        <f t="shared" si="64"/>
        <v>0</v>
      </c>
      <c r="S35" s="470">
        <f>Y35+AK35+AQ35+AW35+BF35+AE35</f>
        <v>110</v>
      </c>
      <c r="T35" s="471">
        <f>SUM(U35:Y35)</f>
        <v>0</v>
      </c>
      <c r="U35" s="458"/>
      <c r="V35" s="458"/>
      <c r="W35" s="458"/>
      <c r="X35" s="458"/>
      <c r="Y35" s="458"/>
      <c r="Z35" s="471">
        <f>SUM(AA35:AE35)</f>
        <v>0</v>
      </c>
      <c r="AA35" s="458"/>
      <c r="AB35" s="458"/>
      <c r="AC35" s="458"/>
      <c r="AD35" s="458"/>
      <c r="AE35" s="458"/>
      <c r="AF35" s="471">
        <f>SUM(AG35:AK35)</f>
        <v>62</v>
      </c>
      <c r="AG35" s="458">
        <v>12</v>
      </c>
      <c r="AH35" s="458"/>
      <c r="AI35" s="458"/>
      <c r="AJ35" s="458"/>
      <c r="AK35" s="458">
        <v>50</v>
      </c>
      <c r="AL35" s="471">
        <f>SUM(AM35:AQ35)</f>
        <v>68</v>
      </c>
      <c r="AM35" s="458">
        <v>8</v>
      </c>
      <c r="AN35" s="458"/>
      <c r="AO35" s="458"/>
      <c r="AP35" s="458"/>
      <c r="AQ35" s="458">
        <v>60</v>
      </c>
      <c r="AR35" s="471">
        <f>SUM(AS35:AW35)</f>
        <v>0</v>
      </c>
      <c r="AS35" s="458"/>
      <c r="AT35" s="458"/>
      <c r="AU35" s="458"/>
      <c r="AV35" s="458"/>
      <c r="AW35" s="458"/>
      <c r="AX35" s="472"/>
      <c r="AY35" s="471">
        <f t="shared" si="65"/>
        <v>0</v>
      </c>
      <c r="AZ35" s="458"/>
      <c r="BA35" s="458"/>
      <c r="BB35" s="458"/>
      <c r="BC35" s="458"/>
      <c r="BD35" s="458"/>
      <c r="BE35" s="458"/>
      <c r="BF35" s="458"/>
      <c r="BG35" s="473"/>
      <c r="BH35" s="474" t="str">
        <f>'Учебный план'!BZ54</f>
        <v>64-4</v>
      </c>
      <c r="BI35" s="177" t="str">
        <f>'Учебный план'!CA54</f>
        <v>ОК-1-10; ПК-1.1</v>
      </c>
    </row>
    <row r="36" spans="1:61" s="225" customFormat="1" ht="26.1" customHeight="1" x14ac:dyDescent="0.2">
      <c r="A36" s="416">
        <f>'Учебный план'!A55</f>
        <v>0</v>
      </c>
      <c r="B36" s="416" t="str">
        <f>'Учебный план'!B55</f>
        <v>Тренажерная подготовка. Использование ЭКНИС</v>
      </c>
      <c r="C36" s="416" t="str">
        <f>'Учебный план'!C55</f>
        <v>ЭКНИС</v>
      </c>
      <c r="D36" s="363"/>
      <c r="E36" s="363"/>
      <c r="F36" s="529" t="s">
        <v>30</v>
      </c>
      <c r="G36" s="363"/>
      <c r="H36" s="363"/>
      <c r="I36" s="468">
        <f t="shared" si="62"/>
        <v>0</v>
      </c>
      <c r="J36" s="469">
        <f t="shared" si="63"/>
        <v>13.2</v>
      </c>
      <c r="K36" s="177">
        <f>'Учебный план'!K55</f>
        <v>66</v>
      </c>
      <c r="L36" s="177">
        <f>'Учебный план'!L55</f>
        <v>44</v>
      </c>
      <c r="M36" s="470">
        <f t="shared" si="5"/>
        <v>66</v>
      </c>
      <c r="N36" s="470">
        <f>SUM(O36:R36)</f>
        <v>12</v>
      </c>
      <c r="O36" s="470">
        <f t="shared" si="64"/>
        <v>0</v>
      </c>
      <c r="P36" s="470">
        <f t="shared" si="64"/>
        <v>12</v>
      </c>
      <c r="Q36" s="470">
        <f t="shared" si="64"/>
        <v>0</v>
      </c>
      <c r="R36" s="470">
        <f t="shared" si="64"/>
        <v>0</v>
      </c>
      <c r="S36" s="470">
        <f>Y36+AK36+AQ36+AW36+BF36+AE36</f>
        <v>54</v>
      </c>
      <c r="T36" s="471">
        <f>SUM(U36:Y36)</f>
        <v>0</v>
      </c>
      <c r="U36" s="458"/>
      <c r="V36" s="458"/>
      <c r="W36" s="458"/>
      <c r="X36" s="458"/>
      <c r="Y36" s="458"/>
      <c r="Z36" s="471">
        <f>SUM(AA36:AE36)</f>
        <v>0</v>
      </c>
      <c r="AA36" s="458"/>
      <c r="AB36" s="458"/>
      <c r="AC36" s="458"/>
      <c r="AD36" s="458"/>
      <c r="AE36" s="458"/>
      <c r="AF36" s="471">
        <f>SUM(AG36:AK36)</f>
        <v>66</v>
      </c>
      <c r="AG36" s="458"/>
      <c r="AH36" s="458">
        <v>12</v>
      </c>
      <c r="AI36" s="458"/>
      <c r="AJ36" s="458"/>
      <c r="AK36" s="458">
        <v>54</v>
      </c>
      <c r="AL36" s="471">
        <f>SUM(AM36:AQ36)</f>
        <v>0</v>
      </c>
      <c r="AM36" s="458"/>
      <c r="AN36" s="458"/>
      <c r="AO36" s="458"/>
      <c r="AP36" s="458"/>
      <c r="AQ36" s="458"/>
      <c r="AR36" s="471">
        <f>SUM(AS36:AW36)</f>
        <v>0</v>
      </c>
      <c r="AS36" s="458"/>
      <c r="AT36" s="458"/>
      <c r="AU36" s="458"/>
      <c r="AV36" s="458"/>
      <c r="AW36" s="458"/>
      <c r="AX36" s="472"/>
      <c r="AY36" s="471">
        <f t="shared" si="65"/>
        <v>0</v>
      </c>
      <c r="AZ36" s="458"/>
      <c r="BA36" s="458"/>
      <c r="BB36" s="458"/>
      <c r="BC36" s="458"/>
      <c r="BD36" s="458"/>
      <c r="BE36" s="458"/>
      <c r="BF36" s="458"/>
      <c r="BG36" s="473"/>
      <c r="BH36" s="474" t="str">
        <f>'Учебный план'!BZ55</f>
        <v>64-4</v>
      </c>
      <c r="BI36" s="177" t="str">
        <f>'Учебный план'!CA55</f>
        <v>ОК 1-10; 
ПК-1.1,1.2,1.4</v>
      </c>
    </row>
    <row r="37" spans="1:61" s="228" customFormat="1" ht="26.1" customHeight="1" x14ac:dyDescent="0.2">
      <c r="A37" s="512" t="str">
        <f>'Учебный план'!A56</f>
        <v>МДК.01.02</v>
      </c>
      <c r="B37" s="814" t="str">
        <f>'Учебный план'!B56</f>
        <v>Управление судном и технические средства судовождения</v>
      </c>
      <c r="C37" s="815"/>
      <c r="D37" s="815"/>
      <c r="E37" s="815"/>
      <c r="F37" s="815"/>
      <c r="G37" s="815"/>
      <c r="H37" s="816"/>
      <c r="I37" s="513"/>
      <c r="J37" s="514"/>
      <c r="K37" s="451">
        <f>'Учебный план'!K56</f>
        <v>700</v>
      </c>
      <c r="L37" s="451">
        <f>'Учебный план'!L56</f>
        <v>481</v>
      </c>
      <c r="M37" s="513">
        <f t="shared" si="5"/>
        <v>700</v>
      </c>
      <c r="N37" s="513">
        <f t="shared" ref="N37:AE37" si="66">SUM(N38:N43)</f>
        <v>98</v>
      </c>
      <c r="O37" s="513">
        <f t="shared" si="66"/>
        <v>59</v>
      </c>
      <c r="P37" s="513">
        <f t="shared" si="66"/>
        <v>39</v>
      </c>
      <c r="Q37" s="513">
        <f t="shared" si="66"/>
        <v>0</v>
      </c>
      <c r="R37" s="513">
        <f t="shared" si="66"/>
        <v>0</v>
      </c>
      <c r="S37" s="513">
        <f t="shared" si="66"/>
        <v>602</v>
      </c>
      <c r="T37" s="513">
        <f>SUM(T38:T43)</f>
        <v>0</v>
      </c>
      <c r="U37" s="513">
        <f t="shared" si="66"/>
        <v>0</v>
      </c>
      <c r="V37" s="513">
        <f t="shared" si="66"/>
        <v>0</v>
      </c>
      <c r="W37" s="513">
        <f t="shared" si="66"/>
        <v>0</v>
      </c>
      <c r="X37" s="513">
        <f t="shared" si="66"/>
        <v>0</v>
      </c>
      <c r="Y37" s="513">
        <f t="shared" si="66"/>
        <v>0</v>
      </c>
      <c r="Z37" s="513">
        <f t="shared" si="66"/>
        <v>0</v>
      </c>
      <c r="AA37" s="513">
        <f t="shared" si="66"/>
        <v>0</v>
      </c>
      <c r="AB37" s="513">
        <f t="shared" si="66"/>
        <v>0</v>
      </c>
      <c r="AC37" s="513">
        <f t="shared" si="66"/>
        <v>0</v>
      </c>
      <c r="AD37" s="513">
        <f t="shared" si="66"/>
        <v>0</v>
      </c>
      <c r="AE37" s="513">
        <f t="shared" si="66"/>
        <v>0</v>
      </c>
      <c r="AF37" s="513">
        <f t="shared" ref="AF37:BF37" si="67">SUM(AF38:AF43)</f>
        <v>292</v>
      </c>
      <c r="AG37" s="513">
        <f t="shared" si="67"/>
        <v>40</v>
      </c>
      <c r="AH37" s="513">
        <f t="shared" si="67"/>
        <v>10</v>
      </c>
      <c r="AI37" s="513">
        <f t="shared" si="67"/>
        <v>0</v>
      </c>
      <c r="AJ37" s="513">
        <f t="shared" si="67"/>
        <v>0</v>
      </c>
      <c r="AK37" s="513">
        <f t="shared" si="67"/>
        <v>242</v>
      </c>
      <c r="AL37" s="513">
        <f t="shared" si="67"/>
        <v>144</v>
      </c>
      <c r="AM37" s="513">
        <f t="shared" si="67"/>
        <v>16</v>
      </c>
      <c r="AN37" s="513">
        <f t="shared" si="67"/>
        <v>6</v>
      </c>
      <c r="AO37" s="513">
        <f t="shared" si="67"/>
        <v>0</v>
      </c>
      <c r="AP37" s="513">
        <f t="shared" si="67"/>
        <v>0</v>
      </c>
      <c r="AQ37" s="513">
        <f t="shared" si="67"/>
        <v>122</v>
      </c>
      <c r="AR37" s="513">
        <f t="shared" si="67"/>
        <v>264</v>
      </c>
      <c r="AS37" s="513">
        <f t="shared" si="67"/>
        <v>3</v>
      </c>
      <c r="AT37" s="513">
        <f t="shared" si="67"/>
        <v>23</v>
      </c>
      <c r="AU37" s="513">
        <f t="shared" si="67"/>
        <v>0</v>
      </c>
      <c r="AV37" s="513">
        <f t="shared" si="67"/>
        <v>0</v>
      </c>
      <c r="AW37" s="513">
        <f t="shared" si="67"/>
        <v>238</v>
      </c>
      <c r="AX37" s="513">
        <f t="shared" si="67"/>
        <v>0</v>
      </c>
      <c r="AY37" s="513">
        <f t="shared" si="67"/>
        <v>0</v>
      </c>
      <c r="AZ37" s="513">
        <f t="shared" si="67"/>
        <v>0</v>
      </c>
      <c r="BA37" s="513">
        <f t="shared" si="67"/>
        <v>0</v>
      </c>
      <c r="BB37" s="513">
        <f t="shared" si="67"/>
        <v>0</v>
      </c>
      <c r="BC37" s="513">
        <f t="shared" si="67"/>
        <v>0</v>
      </c>
      <c r="BD37" s="513">
        <f t="shared" si="67"/>
        <v>0</v>
      </c>
      <c r="BE37" s="513">
        <f t="shared" si="67"/>
        <v>0</v>
      </c>
      <c r="BF37" s="513">
        <f t="shared" si="67"/>
        <v>0</v>
      </c>
      <c r="BG37" s="513"/>
      <c r="BH37" s="513">
        <f>'Учебный план'!BZ56</f>
        <v>0</v>
      </c>
      <c r="BI37" s="451">
        <f>'Учебный план'!CA56</f>
        <v>0</v>
      </c>
    </row>
    <row r="38" spans="1:61" s="225" customFormat="1" ht="26.1" customHeight="1" x14ac:dyDescent="0.2">
      <c r="A38" s="416">
        <f>'Учебный план'!A57</f>
        <v>0</v>
      </c>
      <c r="B38" s="416" t="str">
        <f>'Учебный план'!B57</f>
        <v>Управление судном</v>
      </c>
      <c r="C38" s="416">
        <f>'Учебный план'!C57</f>
        <v>0</v>
      </c>
      <c r="D38" s="363"/>
      <c r="E38" s="363" t="s">
        <v>40</v>
      </c>
      <c r="F38" s="363"/>
      <c r="G38" s="363"/>
      <c r="H38" s="531" t="s">
        <v>30</v>
      </c>
      <c r="I38" s="468">
        <f t="shared" ref="I38:I43" si="68">K38-M38</f>
        <v>0</v>
      </c>
      <c r="J38" s="469">
        <f t="shared" ref="J38:J54" si="69">L38*$J$1</f>
        <v>33</v>
      </c>
      <c r="K38" s="177">
        <f>'Учебный план'!K57</f>
        <v>161</v>
      </c>
      <c r="L38" s="177">
        <f>'Учебный план'!L57</f>
        <v>110</v>
      </c>
      <c r="M38" s="470">
        <f t="shared" si="5"/>
        <v>161</v>
      </c>
      <c r="N38" s="470">
        <f t="shared" ref="N38:N50" si="70">SUM(O38:R38)</f>
        <v>26</v>
      </c>
      <c r="O38" s="470">
        <f t="shared" ref="O38:R41" si="71">U38+AG38+AM38+AS38+AA38+BA38</f>
        <v>18</v>
      </c>
      <c r="P38" s="470">
        <f t="shared" si="71"/>
        <v>8</v>
      </c>
      <c r="Q38" s="470">
        <f t="shared" si="71"/>
        <v>0</v>
      </c>
      <c r="R38" s="470">
        <f t="shared" si="71"/>
        <v>0</v>
      </c>
      <c r="S38" s="470">
        <f>Y38+AK38+AQ38+AW38+BF38+AE38</f>
        <v>135</v>
      </c>
      <c r="T38" s="471">
        <f>SUM(U38:Y38)</f>
        <v>0</v>
      </c>
      <c r="U38" s="458"/>
      <c r="V38" s="458"/>
      <c r="W38" s="458"/>
      <c r="X38" s="458"/>
      <c r="Y38" s="458"/>
      <c r="Z38" s="471">
        <f>SUM(AA38:AE38)</f>
        <v>0</v>
      </c>
      <c r="AA38" s="458"/>
      <c r="AB38" s="458"/>
      <c r="AC38" s="458"/>
      <c r="AD38" s="458"/>
      <c r="AE38" s="458"/>
      <c r="AF38" s="471">
        <f>SUM(AG38:AK38)</f>
        <v>81</v>
      </c>
      <c r="AG38" s="458">
        <v>10</v>
      </c>
      <c r="AH38" s="458">
        <v>4</v>
      </c>
      <c r="AI38" s="458"/>
      <c r="AJ38" s="458"/>
      <c r="AK38" s="458">
        <v>67</v>
      </c>
      <c r="AL38" s="471">
        <f t="shared" ref="AL38:AL43" si="72">SUM(AM38:AQ38)</f>
        <v>80</v>
      </c>
      <c r="AM38" s="458">
        <v>8</v>
      </c>
      <c r="AN38" s="458">
        <v>4</v>
      </c>
      <c r="AO38" s="458"/>
      <c r="AP38" s="458"/>
      <c r="AQ38" s="458">
        <v>68</v>
      </c>
      <c r="AR38" s="471">
        <f t="shared" ref="AR38:AR43" si="73">SUM(AS38:AW38)</f>
        <v>0</v>
      </c>
      <c r="AS38" s="458"/>
      <c r="AT38" s="458"/>
      <c r="AU38" s="458"/>
      <c r="AV38" s="458"/>
      <c r="AW38" s="458"/>
      <c r="AX38" s="472"/>
      <c r="AY38" s="471">
        <f t="shared" ref="AY38:AY43" si="74">SUM(AZ38:BF38)</f>
        <v>0</v>
      </c>
      <c r="AZ38" s="458"/>
      <c r="BA38" s="458"/>
      <c r="BB38" s="458"/>
      <c r="BC38" s="458"/>
      <c r="BD38" s="458"/>
      <c r="BE38" s="458"/>
      <c r="BF38" s="458"/>
      <c r="BG38" s="473"/>
      <c r="BH38" s="177" t="str">
        <f>'Учебный план'!BZ57</f>
        <v>64-4</v>
      </c>
      <c r="BI38" s="177" t="str">
        <f>'Учебный план'!CA57</f>
        <v>ОК-1-10; ПК-1.1,1.2</v>
      </c>
    </row>
    <row r="39" spans="1:61" s="225" customFormat="1" ht="26.1" customHeight="1" x14ac:dyDescent="0.2">
      <c r="A39" s="416">
        <f>'Учебный план'!A58</f>
        <v>0</v>
      </c>
      <c r="B39" s="416" t="str">
        <f>'Учебный план'!B58</f>
        <v xml:space="preserve">Радионавигационные системы </v>
      </c>
      <c r="C39" s="416" t="str">
        <f>'Учебный план'!C58</f>
        <v>РНС</v>
      </c>
      <c r="D39" s="363"/>
      <c r="E39" s="363" t="s">
        <v>30</v>
      </c>
      <c r="F39" s="363"/>
      <c r="G39" s="363"/>
      <c r="H39" s="531" t="s">
        <v>30</v>
      </c>
      <c r="I39" s="468">
        <f t="shared" si="68"/>
        <v>0</v>
      </c>
      <c r="J39" s="469">
        <f t="shared" si="69"/>
        <v>19.8</v>
      </c>
      <c r="K39" s="177">
        <f>'Учебный план'!K58</f>
        <v>95</v>
      </c>
      <c r="L39" s="177">
        <f>'Учебный план'!L58</f>
        <v>66</v>
      </c>
      <c r="M39" s="470">
        <f t="shared" si="5"/>
        <v>95</v>
      </c>
      <c r="N39" s="470">
        <f t="shared" si="70"/>
        <v>16</v>
      </c>
      <c r="O39" s="470">
        <f t="shared" si="71"/>
        <v>12</v>
      </c>
      <c r="P39" s="470">
        <f t="shared" si="71"/>
        <v>4</v>
      </c>
      <c r="Q39" s="470">
        <f t="shared" si="71"/>
        <v>0</v>
      </c>
      <c r="R39" s="470">
        <f t="shared" si="71"/>
        <v>0</v>
      </c>
      <c r="S39" s="470">
        <f>Y39+AK39+AQ39+AW39+BF39+AE39</f>
        <v>79</v>
      </c>
      <c r="T39" s="471">
        <f>SUM(U39:Y39)</f>
        <v>0</v>
      </c>
      <c r="U39" s="458"/>
      <c r="V39" s="458"/>
      <c r="W39" s="458"/>
      <c r="X39" s="458"/>
      <c r="Y39" s="458"/>
      <c r="Z39" s="471">
        <f>SUM(AA39:AE39)</f>
        <v>0</v>
      </c>
      <c r="AA39" s="458"/>
      <c r="AB39" s="458"/>
      <c r="AC39" s="458"/>
      <c r="AD39" s="458"/>
      <c r="AE39" s="458"/>
      <c r="AF39" s="471">
        <f>SUM(AG39:AK39)</f>
        <v>95</v>
      </c>
      <c r="AG39" s="458">
        <v>12</v>
      </c>
      <c r="AH39" s="458">
        <v>4</v>
      </c>
      <c r="AI39" s="458"/>
      <c r="AJ39" s="458"/>
      <c r="AK39" s="458">
        <v>79</v>
      </c>
      <c r="AL39" s="471">
        <f t="shared" si="72"/>
        <v>0</v>
      </c>
      <c r="AM39" s="458"/>
      <c r="AN39" s="458"/>
      <c r="AO39" s="458"/>
      <c r="AP39" s="458"/>
      <c r="AQ39" s="458"/>
      <c r="AR39" s="471">
        <f t="shared" si="73"/>
        <v>0</v>
      </c>
      <c r="AS39" s="458"/>
      <c r="AT39" s="458"/>
      <c r="AU39" s="458"/>
      <c r="AV39" s="458"/>
      <c r="AW39" s="458"/>
      <c r="AX39" s="472"/>
      <c r="AY39" s="471">
        <f t="shared" si="74"/>
        <v>0</v>
      </c>
      <c r="AZ39" s="458"/>
      <c r="BA39" s="458"/>
      <c r="BB39" s="458"/>
      <c r="BC39" s="458"/>
      <c r="BD39" s="458"/>
      <c r="BE39" s="458"/>
      <c r="BF39" s="458"/>
      <c r="BG39" s="473"/>
      <c r="BH39" s="177" t="str">
        <f>'Учебный план'!BZ58</f>
        <v>64-4</v>
      </c>
      <c r="BI39" s="177" t="str">
        <f>'Учебный план'!CA58</f>
        <v>ОК-1-10; ПК-1.4</v>
      </c>
    </row>
    <row r="40" spans="1:61" s="226" customFormat="1" ht="26.1" customHeight="1" x14ac:dyDescent="0.2">
      <c r="A40" s="416">
        <f>'Учебный план'!A59</f>
        <v>0</v>
      </c>
      <c r="B40" s="416" t="str">
        <f>'Учебный план'!B59</f>
        <v>Электронавигационные приборы и системы</v>
      </c>
      <c r="C40" s="416" t="str">
        <f>'Учебный план'!C59</f>
        <v>ЭНПиС</v>
      </c>
      <c r="D40" s="363" t="s">
        <v>40</v>
      </c>
      <c r="E40" s="363"/>
      <c r="F40" s="363"/>
      <c r="G40" s="363"/>
      <c r="H40" s="529" t="s">
        <v>30</v>
      </c>
      <c r="I40" s="468">
        <f t="shared" si="68"/>
        <v>0</v>
      </c>
      <c r="J40" s="469">
        <f t="shared" si="69"/>
        <v>26.4</v>
      </c>
      <c r="K40" s="177">
        <f>'Учебный план'!K59</f>
        <v>128</v>
      </c>
      <c r="L40" s="177">
        <f>'Учебный план'!L59</f>
        <v>88</v>
      </c>
      <c r="M40" s="470">
        <f t="shared" si="5"/>
        <v>128</v>
      </c>
      <c r="N40" s="470">
        <f t="shared" si="70"/>
        <v>22</v>
      </c>
      <c r="O40" s="470">
        <f t="shared" si="71"/>
        <v>18</v>
      </c>
      <c r="P40" s="470">
        <f t="shared" si="71"/>
        <v>4</v>
      </c>
      <c r="Q40" s="470">
        <f t="shared" si="71"/>
        <v>0</v>
      </c>
      <c r="R40" s="470">
        <f t="shared" si="71"/>
        <v>0</v>
      </c>
      <c r="S40" s="470">
        <f>Y40+AK40+AQ40+AW40+BF40+AE40</f>
        <v>106</v>
      </c>
      <c r="T40" s="471">
        <f>SUM(U40:Y40)</f>
        <v>0</v>
      </c>
      <c r="U40" s="458"/>
      <c r="V40" s="458"/>
      <c r="W40" s="458"/>
      <c r="X40" s="458"/>
      <c r="Y40" s="458"/>
      <c r="Z40" s="471">
        <f>SUM(AA40:AE40)</f>
        <v>0</v>
      </c>
      <c r="AA40" s="458"/>
      <c r="AB40" s="458"/>
      <c r="AC40" s="458"/>
      <c r="AD40" s="458"/>
      <c r="AE40" s="458"/>
      <c r="AF40" s="471">
        <f>SUM(AG40:AK40)</f>
        <v>64</v>
      </c>
      <c r="AG40" s="458">
        <v>10</v>
      </c>
      <c r="AH40" s="458">
        <v>2</v>
      </c>
      <c r="AI40" s="458"/>
      <c r="AJ40" s="458"/>
      <c r="AK40" s="458">
        <v>52</v>
      </c>
      <c r="AL40" s="471">
        <f t="shared" si="72"/>
        <v>64</v>
      </c>
      <c r="AM40" s="458">
        <v>8</v>
      </c>
      <c r="AN40" s="458">
        <v>2</v>
      </c>
      <c r="AO40" s="458"/>
      <c r="AP40" s="458"/>
      <c r="AQ40" s="458">
        <v>54</v>
      </c>
      <c r="AR40" s="471">
        <f t="shared" si="73"/>
        <v>0</v>
      </c>
      <c r="AS40" s="458"/>
      <c r="AT40" s="458"/>
      <c r="AU40" s="458"/>
      <c r="AV40" s="458"/>
      <c r="AW40" s="458"/>
      <c r="AX40" s="472">
        <f>LEN(H40)-LEN(SUBSTITUTE(H40,"9",""))</f>
        <v>0</v>
      </c>
      <c r="AY40" s="471">
        <f t="shared" ref="AY40" si="75">SUM(AZ40:BF40)</f>
        <v>0</v>
      </c>
      <c r="AZ40" s="458"/>
      <c r="BA40" s="458"/>
      <c r="BB40" s="458"/>
      <c r="BC40" s="458"/>
      <c r="BD40" s="458"/>
      <c r="BE40" s="458"/>
      <c r="BF40" s="458"/>
      <c r="BG40" s="473"/>
      <c r="BH40" s="177" t="str">
        <f>'Учебный план'!BZ59</f>
        <v>64-4</v>
      </c>
      <c r="BI40" s="177" t="str">
        <f>'Учебный план'!CA59</f>
        <v>ОК-1-10; ПК-1.4</v>
      </c>
    </row>
    <row r="41" spans="1:61" s="226" customFormat="1" ht="26.1" customHeight="1" x14ac:dyDescent="0.2">
      <c r="A41" s="416">
        <f>'Учебный план'!A60</f>
        <v>0</v>
      </c>
      <c r="B41" s="416" t="str">
        <f>'Учебный план'!B60</f>
        <v>Тренажерная подготовка. Использование РЛС и САРП</v>
      </c>
      <c r="C41" s="416" t="str">
        <f>'Учебный план'!C60</f>
        <v>РЛС и САРП</v>
      </c>
      <c r="D41" s="363"/>
      <c r="E41" s="363"/>
      <c r="F41" s="529" t="s">
        <v>41</v>
      </c>
      <c r="G41" s="363"/>
      <c r="H41" s="529" t="s">
        <v>41</v>
      </c>
      <c r="I41" s="468">
        <f t="shared" si="68"/>
        <v>0</v>
      </c>
      <c r="J41" s="469">
        <f t="shared" si="69"/>
        <v>28.8</v>
      </c>
      <c r="K41" s="177">
        <f>'Учебный план'!K60</f>
        <v>140</v>
      </c>
      <c r="L41" s="177">
        <f>'Учебный план'!L60</f>
        <v>96</v>
      </c>
      <c r="M41" s="470">
        <f t="shared" si="5"/>
        <v>140</v>
      </c>
      <c r="N41" s="470">
        <f t="shared" si="70"/>
        <v>12</v>
      </c>
      <c r="O41" s="470">
        <f t="shared" si="71"/>
        <v>1</v>
      </c>
      <c r="P41" s="470">
        <f t="shared" si="71"/>
        <v>11</v>
      </c>
      <c r="Q41" s="470">
        <f t="shared" si="71"/>
        <v>0</v>
      </c>
      <c r="R41" s="470">
        <f t="shared" si="71"/>
        <v>0</v>
      </c>
      <c r="S41" s="470">
        <f>Y41+AK41+AQ41+AW41+BF41+AE41</f>
        <v>128</v>
      </c>
      <c r="T41" s="471">
        <f>SUM(U41:Y41)</f>
        <v>0</v>
      </c>
      <c r="U41" s="458"/>
      <c r="V41" s="458"/>
      <c r="W41" s="458"/>
      <c r="X41" s="458"/>
      <c r="Y41" s="458"/>
      <c r="Z41" s="471">
        <f>SUM(AA41:AE41)</f>
        <v>0</v>
      </c>
      <c r="AA41" s="458"/>
      <c r="AB41" s="458"/>
      <c r="AC41" s="458"/>
      <c r="AD41" s="458"/>
      <c r="AE41" s="458"/>
      <c r="AF41" s="471">
        <f>SUM(AG41:AK41)</f>
        <v>0</v>
      </c>
      <c r="AG41" s="458"/>
      <c r="AH41" s="458"/>
      <c r="AI41" s="458"/>
      <c r="AJ41" s="458"/>
      <c r="AK41" s="458"/>
      <c r="AL41" s="471">
        <f t="shared" si="72"/>
        <v>0</v>
      </c>
      <c r="AM41" s="458"/>
      <c r="AN41" s="458"/>
      <c r="AO41" s="458"/>
      <c r="AP41" s="458"/>
      <c r="AQ41" s="458"/>
      <c r="AR41" s="471">
        <f t="shared" si="73"/>
        <v>140</v>
      </c>
      <c r="AS41" s="458">
        <v>1</v>
      </c>
      <c r="AT41" s="458">
        <v>11</v>
      </c>
      <c r="AU41" s="458"/>
      <c r="AV41" s="458"/>
      <c r="AW41" s="458">
        <v>128</v>
      </c>
      <c r="AX41" s="472">
        <f>LEN(H41)-LEN(SUBSTITUTE(H41,"9",""))</f>
        <v>0</v>
      </c>
      <c r="AY41" s="471">
        <f t="shared" si="74"/>
        <v>0</v>
      </c>
      <c r="AZ41" s="458"/>
      <c r="BA41" s="458"/>
      <c r="BB41" s="458"/>
      <c r="BC41" s="458"/>
      <c r="BD41" s="458"/>
      <c r="BE41" s="458"/>
      <c r="BF41" s="458"/>
      <c r="BG41" s="473"/>
      <c r="BH41" s="177" t="str">
        <f>'Учебный план'!BZ60</f>
        <v>64-4</v>
      </c>
      <c r="BI41" s="177" t="str">
        <f>'Учебный план'!CA60</f>
        <v>ОК 1-10; 
ПК-1.1,1.2,1.4</v>
      </c>
    </row>
    <row r="42" spans="1:61" s="225" customFormat="1" ht="26.1" customHeight="1" x14ac:dyDescent="0.2">
      <c r="A42" s="416">
        <f>'Учебный план'!A61</f>
        <v>0</v>
      </c>
      <c r="B42" s="416" t="str">
        <f>'Учебный план'!B61</f>
        <v>Радиооборудование судов</v>
      </c>
      <c r="C42" s="416">
        <f>'Учебный план'!C61</f>
        <v>0</v>
      </c>
      <c r="D42" s="363"/>
      <c r="E42" s="529" t="s">
        <v>30</v>
      </c>
      <c r="F42" s="363"/>
      <c r="G42" s="363"/>
      <c r="H42" s="363"/>
      <c r="I42" s="468">
        <f t="shared" si="68"/>
        <v>0</v>
      </c>
      <c r="J42" s="469">
        <f t="shared" si="69"/>
        <v>10.8</v>
      </c>
      <c r="K42" s="177">
        <f>'Учебный план'!K61</f>
        <v>52</v>
      </c>
      <c r="L42" s="177">
        <f>'Учебный план'!L61</f>
        <v>36</v>
      </c>
      <c r="M42" s="470">
        <f t="shared" ref="M42:M43" si="76">SUM(N42+S42)</f>
        <v>52</v>
      </c>
      <c r="N42" s="470">
        <f t="shared" ref="N42:N43" si="77">SUM(O42:R42)</f>
        <v>8</v>
      </c>
      <c r="O42" s="470">
        <f t="shared" ref="O42:O43" si="78">U42+AG42+AM42+AS42+AA42+BA42</f>
        <v>8</v>
      </c>
      <c r="P42" s="470">
        <f t="shared" ref="P42:P43" si="79">V42+AH42+AN42+AT42+AB42+BB42</f>
        <v>0</v>
      </c>
      <c r="Q42" s="470">
        <f t="shared" ref="Q42:Q43" si="80">W42+AI42+AO42+AU42+AC42+BC42</f>
        <v>0</v>
      </c>
      <c r="R42" s="470">
        <f t="shared" ref="R42:R43" si="81">X42+AJ42+AP42+AV42+AD42+BD42</f>
        <v>0</v>
      </c>
      <c r="S42" s="470">
        <f t="shared" ref="S42:S43" si="82">Y42+AK42+AQ42+AW42+BF42+AE42</f>
        <v>44</v>
      </c>
      <c r="T42" s="471">
        <f t="shared" ref="T42:T43" si="83">SUM(U42:Y42)</f>
        <v>0</v>
      </c>
      <c r="U42" s="458"/>
      <c r="V42" s="458"/>
      <c r="W42" s="458"/>
      <c r="X42" s="458"/>
      <c r="Y42" s="458"/>
      <c r="Z42" s="471">
        <f t="shared" ref="Z42:Z43" si="84">SUM(AA42:AE42)</f>
        <v>0</v>
      </c>
      <c r="AA42" s="458"/>
      <c r="AB42" s="458"/>
      <c r="AC42" s="458"/>
      <c r="AD42" s="458"/>
      <c r="AE42" s="458"/>
      <c r="AF42" s="471">
        <f t="shared" ref="AF42:AF43" si="85">SUM(AG42:AK42)</f>
        <v>52</v>
      </c>
      <c r="AG42" s="458">
        <v>8</v>
      </c>
      <c r="AH42" s="458"/>
      <c r="AI42" s="458"/>
      <c r="AJ42" s="458"/>
      <c r="AK42" s="458">
        <v>44</v>
      </c>
      <c r="AL42" s="471">
        <f t="shared" si="72"/>
        <v>0</v>
      </c>
      <c r="AM42" s="458"/>
      <c r="AN42" s="458"/>
      <c r="AO42" s="458"/>
      <c r="AP42" s="458"/>
      <c r="AQ42" s="458"/>
      <c r="AR42" s="471">
        <f t="shared" si="73"/>
        <v>0</v>
      </c>
      <c r="AS42" s="458"/>
      <c r="AT42" s="458"/>
      <c r="AU42" s="458"/>
      <c r="AV42" s="458"/>
      <c r="AW42" s="458"/>
      <c r="AX42" s="472"/>
      <c r="AY42" s="471"/>
      <c r="AZ42" s="458"/>
      <c r="BA42" s="458"/>
      <c r="BB42" s="458"/>
      <c r="BC42" s="458"/>
      <c r="BD42" s="458"/>
      <c r="BE42" s="458"/>
      <c r="BF42" s="458"/>
      <c r="BG42" s="473"/>
      <c r="BH42" s="177" t="str">
        <f>'Учебный план'!BZ61</f>
        <v>64-4</v>
      </c>
      <c r="BI42" s="177" t="str">
        <f>'Учебный план'!CA61</f>
        <v>ОК 1-10; 
ПК-1.1,1.2,1.4
ПК-4.2,4.3</v>
      </c>
    </row>
    <row r="43" spans="1:61" s="225" customFormat="1" ht="26.1" customHeight="1" x14ac:dyDescent="0.2">
      <c r="A43" s="416">
        <f>'Учебный план'!A62</f>
        <v>0</v>
      </c>
      <c r="B43" s="416" t="str">
        <f>'Учебный план'!B62</f>
        <v>Оператор связи ГМССБ</v>
      </c>
      <c r="C43" s="416" t="str">
        <f>'Учебный план'!C62</f>
        <v>ГМССБ</v>
      </c>
      <c r="D43" s="363"/>
      <c r="E43" s="363"/>
      <c r="F43" s="529" t="s">
        <v>41</v>
      </c>
      <c r="G43" s="363"/>
      <c r="H43" s="529" t="s">
        <v>41</v>
      </c>
      <c r="I43" s="468">
        <f t="shared" si="68"/>
        <v>0</v>
      </c>
      <c r="J43" s="469">
        <f t="shared" si="69"/>
        <v>25.5</v>
      </c>
      <c r="K43" s="177">
        <f>'Учебный план'!K62</f>
        <v>124</v>
      </c>
      <c r="L43" s="177">
        <f>'Учебный план'!L62</f>
        <v>85</v>
      </c>
      <c r="M43" s="470">
        <f t="shared" si="76"/>
        <v>124</v>
      </c>
      <c r="N43" s="470">
        <f t="shared" si="77"/>
        <v>14</v>
      </c>
      <c r="O43" s="470">
        <f t="shared" si="78"/>
        <v>2</v>
      </c>
      <c r="P43" s="470">
        <f t="shared" si="79"/>
        <v>12</v>
      </c>
      <c r="Q43" s="470">
        <f t="shared" si="80"/>
        <v>0</v>
      </c>
      <c r="R43" s="470">
        <f t="shared" si="81"/>
        <v>0</v>
      </c>
      <c r="S43" s="470">
        <f t="shared" si="82"/>
        <v>110</v>
      </c>
      <c r="T43" s="471">
        <f t="shared" si="83"/>
        <v>0</v>
      </c>
      <c r="U43" s="458"/>
      <c r="V43" s="458"/>
      <c r="W43" s="458"/>
      <c r="X43" s="458"/>
      <c r="Y43" s="458"/>
      <c r="Z43" s="471">
        <f t="shared" si="84"/>
        <v>0</v>
      </c>
      <c r="AA43" s="458"/>
      <c r="AB43" s="458"/>
      <c r="AC43" s="458"/>
      <c r="AD43" s="458"/>
      <c r="AE43" s="458"/>
      <c r="AF43" s="471">
        <f t="shared" si="85"/>
        <v>0</v>
      </c>
      <c r="AG43" s="458"/>
      <c r="AH43" s="458"/>
      <c r="AI43" s="458"/>
      <c r="AJ43" s="458"/>
      <c r="AK43" s="458"/>
      <c r="AL43" s="471">
        <f t="shared" si="72"/>
        <v>0</v>
      </c>
      <c r="AM43" s="458"/>
      <c r="AN43" s="458"/>
      <c r="AO43" s="458"/>
      <c r="AP43" s="458"/>
      <c r="AQ43" s="458"/>
      <c r="AR43" s="471">
        <f t="shared" si="73"/>
        <v>124</v>
      </c>
      <c r="AS43" s="458">
        <v>2</v>
      </c>
      <c r="AT43" s="458">
        <v>12</v>
      </c>
      <c r="AU43" s="458"/>
      <c r="AV43" s="458"/>
      <c r="AW43" s="458">
        <v>110</v>
      </c>
      <c r="AX43" s="472"/>
      <c r="AY43" s="471">
        <f t="shared" si="74"/>
        <v>0</v>
      </c>
      <c r="AZ43" s="458"/>
      <c r="BA43" s="458"/>
      <c r="BB43" s="458"/>
      <c r="BC43" s="458"/>
      <c r="BD43" s="458"/>
      <c r="BE43" s="458"/>
      <c r="BF43" s="458"/>
      <c r="BG43" s="473"/>
      <c r="BH43" s="177" t="str">
        <f>'Учебный план'!BZ62</f>
        <v>64-4</v>
      </c>
      <c r="BI43" s="177" t="str">
        <f>'Учебный план'!CA62</f>
        <v>ОК 1-10; 
ПК-1.1,1.2,1.4
ПК-4.2,4.3</v>
      </c>
    </row>
    <row r="44" spans="1:61" s="228" customFormat="1" ht="26.1" customHeight="1" x14ac:dyDescent="0.2">
      <c r="A44" s="512" t="str">
        <f>'Учебный план'!A63</f>
        <v>МДК.01.03</v>
      </c>
      <c r="B44" s="814" t="str">
        <f>'Учебный план'!B63</f>
        <v>Судовые энергетические установки и электрооборудование судов</v>
      </c>
      <c r="C44" s="815"/>
      <c r="D44" s="815"/>
      <c r="E44" s="815"/>
      <c r="F44" s="815"/>
      <c r="G44" s="815"/>
      <c r="H44" s="816"/>
      <c r="I44" s="513"/>
      <c r="J44" s="514"/>
      <c r="K44" s="451">
        <f>'Учебный план'!K63</f>
        <v>874</v>
      </c>
      <c r="L44" s="451">
        <f>'Учебный план'!L63</f>
        <v>613</v>
      </c>
      <c r="M44" s="513">
        <f t="shared" ref="M44:M75" si="86">SUM(N44+S44)</f>
        <v>846</v>
      </c>
      <c r="N44" s="513">
        <f t="shared" si="70"/>
        <v>108</v>
      </c>
      <c r="O44" s="513">
        <f>U44+AG44+AM44+AS44+BA44</f>
        <v>68</v>
      </c>
      <c r="P44" s="513">
        <f>V44+AH44+AN44+AT44+BB44</f>
        <v>40</v>
      </c>
      <c r="Q44" s="513">
        <f>W44+AI44+AO44+AU44+BC44</f>
        <v>0</v>
      </c>
      <c r="R44" s="513">
        <f>X44+AJ44+AP44+AV44+BD44</f>
        <v>0</v>
      </c>
      <c r="S44" s="513">
        <f>SUM(S45:S50)</f>
        <v>738</v>
      </c>
      <c r="T44" s="513">
        <f>SUM(T45:T50)</f>
        <v>0</v>
      </c>
      <c r="U44" s="513">
        <f t="shared" ref="U44:Y44" si="87">SUM(U45:U50)</f>
        <v>0</v>
      </c>
      <c r="V44" s="513">
        <f t="shared" si="87"/>
        <v>0</v>
      </c>
      <c r="W44" s="513">
        <f t="shared" si="87"/>
        <v>0</v>
      </c>
      <c r="X44" s="513">
        <f t="shared" si="87"/>
        <v>0</v>
      </c>
      <c r="Y44" s="513">
        <f t="shared" si="87"/>
        <v>0</v>
      </c>
      <c r="Z44" s="513">
        <f>SUM(Z45:Z50)</f>
        <v>172</v>
      </c>
      <c r="AA44" s="513">
        <f t="shared" ref="AA44:AE44" si="88">SUM(AA45:AA50)</f>
        <v>24</v>
      </c>
      <c r="AB44" s="513">
        <f t="shared" si="88"/>
        <v>4</v>
      </c>
      <c r="AC44" s="513">
        <f t="shared" si="88"/>
        <v>0</v>
      </c>
      <c r="AD44" s="513">
        <f t="shared" si="88"/>
        <v>0</v>
      </c>
      <c r="AE44" s="513">
        <f t="shared" si="88"/>
        <v>144</v>
      </c>
      <c r="AF44" s="513">
        <f>SUM(AF45:AF50)</f>
        <v>235</v>
      </c>
      <c r="AG44" s="513">
        <f t="shared" ref="AG44:AK44" si="89">SUM(AG45:AG50)</f>
        <v>24</v>
      </c>
      <c r="AH44" s="513">
        <f t="shared" si="89"/>
        <v>12</v>
      </c>
      <c r="AI44" s="513">
        <f t="shared" si="89"/>
        <v>0</v>
      </c>
      <c r="AJ44" s="513">
        <f t="shared" si="89"/>
        <v>0</v>
      </c>
      <c r="AK44" s="513">
        <f t="shared" si="89"/>
        <v>199</v>
      </c>
      <c r="AL44" s="513">
        <f>SUM(AL45:AL50)</f>
        <v>227</v>
      </c>
      <c r="AM44" s="513">
        <f t="shared" ref="AM44:AQ44" si="90">SUM(AM45:AM50)</f>
        <v>24</v>
      </c>
      <c r="AN44" s="513">
        <f t="shared" si="90"/>
        <v>10</v>
      </c>
      <c r="AO44" s="513">
        <f t="shared" si="90"/>
        <v>0</v>
      </c>
      <c r="AP44" s="513">
        <f t="shared" si="90"/>
        <v>0</v>
      </c>
      <c r="AQ44" s="513">
        <f t="shared" si="90"/>
        <v>193</v>
      </c>
      <c r="AR44" s="513">
        <f>SUM(AR45:AR50)</f>
        <v>240</v>
      </c>
      <c r="AS44" s="513">
        <f t="shared" ref="AS44:AW44" si="91">SUM(AS45:AS50)</f>
        <v>20</v>
      </c>
      <c r="AT44" s="513">
        <f t="shared" si="91"/>
        <v>18</v>
      </c>
      <c r="AU44" s="513">
        <f t="shared" si="91"/>
        <v>0</v>
      </c>
      <c r="AV44" s="513">
        <f t="shared" si="91"/>
        <v>0</v>
      </c>
      <c r="AW44" s="513">
        <f t="shared" si="91"/>
        <v>202</v>
      </c>
      <c r="AX44" s="513">
        <f>SUM(AX56:AX59)</f>
        <v>0</v>
      </c>
      <c r="AY44" s="513">
        <f>SUM(AY45:AY50)</f>
        <v>0</v>
      </c>
      <c r="AZ44" s="513">
        <f t="shared" ref="AZ44:BF44" si="92">SUM(AZ45:AZ50)</f>
        <v>0</v>
      </c>
      <c r="BA44" s="513">
        <f t="shared" si="92"/>
        <v>0</v>
      </c>
      <c r="BB44" s="513">
        <f t="shared" si="92"/>
        <v>0</v>
      </c>
      <c r="BC44" s="513">
        <f t="shared" si="92"/>
        <v>0</v>
      </c>
      <c r="BD44" s="513">
        <f t="shared" si="92"/>
        <v>0</v>
      </c>
      <c r="BE44" s="513">
        <f t="shared" si="92"/>
        <v>0</v>
      </c>
      <c r="BF44" s="513">
        <f t="shared" si="92"/>
        <v>0</v>
      </c>
      <c r="BG44" s="513"/>
      <c r="BH44" s="451">
        <f>'Учебный план'!BZ63</f>
        <v>0</v>
      </c>
      <c r="BI44" s="451">
        <f>'Учебный план'!CA63</f>
        <v>0</v>
      </c>
    </row>
    <row r="45" spans="1:61" s="225" customFormat="1" ht="26.1" customHeight="1" x14ac:dyDescent="0.2">
      <c r="A45" s="416">
        <f>'Учебный план'!A64</f>
        <v>0</v>
      </c>
      <c r="B45" s="416" t="str">
        <f>'Учебный план'!B64</f>
        <v>Судовые вспомогательные механизмы и системы</v>
      </c>
      <c r="C45" s="416" t="str">
        <f>'Учебный план'!C64</f>
        <v>СВМиС</v>
      </c>
      <c r="D45" s="363"/>
      <c r="E45" s="363" t="s">
        <v>30</v>
      </c>
      <c r="F45" s="363"/>
      <c r="G45" s="363"/>
      <c r="H45" s="529" t="s">
        <v>31</v>
      </c>
      <c r="I45" s="468">
        <f t="shared" ref="I45:I50" si="93">K45-M45</f>
        <v>0</v>
      </c>
      <c r="J45" s="469">
        <f t="shared" si="69"/>
        <v>29.4</v>
      </c>
      <c r="K45" s="177">
        <f>'Учебный план'!K64</f>
        <v>142</v>
      </c>
      <c r="L45" s="177">
        <f>'Учебный план'!L64</f>
        <v>98</v>
      </c>
      <c r="M45" s="470">
        <f t="shared" si="86"/>
        <v>142</v>
      </c>
      <c r="N45" s="470">
        <f t="shared" si="70"/>
        <v>28</v>
      </c>
      <c r="O45" s="470">
        <f t="shared" ref="O45:R50" si="94">U45+AG45+AM45+AS45+AA45+BA45</f>
        <v>20</v>
      </c>
      <c r="P45" s="470">
        <f t="shared" si="94"/>
        <v>8</v>
      </c>
      <c r="Q45" s="470">
        <f t="shared" si="94"/>
        <v>0</v>
      </c>
      <c r="R45" s="470">
        <f t="shared" si="94"/>
        <v>0</v>
      </c>
      <c r="S45" s="470">
        <f t="shared" ref="S45:S50" si="95">Y45+AK45+AQ45+AW45+BF45+AE45</f>
        <v>114</v>
      </c>
      <c r="T45" s="471">
        <f t="shared" ref="T45:T50" si="96">SUM(U45:Y45)</f>
        <v>0</v>
      </c>
      <c r="U45" s="458"/>
      <c r="V45" s="458"/>
      <c r="W45" s="458"/>
      <c r="X45" s="458"/>
      <c r="Y45" s="458"/>
      <c r="Z45" s="471">
        <f t="shared" ref="Z45:Z50" si="97">SUM(AA45:AE45)</f>
        <v>74</v>
      </c>
      <c r="AA45" s="458">
        <v>12</v>
      </c>
      <c r="AB45" s="458">
        <v>4</v>
      </c>
      <c r="AC45" s="458"/>
      <c r="AD45" s="458"/>
      <c r="AE45" s="458">
        <v>58</v>
      </c>
      <c r="AF45" s="471">
        <f t="shared" ref="AF45:AF50" si="98">SUM(AG45:AK45)</f>
        <v>68</v>
      </c>
      <c r="AG45" s="458">
        <v>8</v>
      </c>
      <c r="AH45" s="458">
        <v>4</v>
      </c>
      <c r="AI45" s="458"/>
      <c r="AJ45" s="458"/>
      <c r="AK45" s="458">
        <v>56</v>
      </c>
      <c r="AL45" s="471">
        <f t="shared" ref="AL45:AL50" si="99">SUM(AM45:AQ45)</f>
        <v>0</v>
      </c>
      <c r="AM45" s="458"/>
      <c r="AN45" s="458"/>
      <c r="AO45" s="458"/>
      <c r="AP45" s="458"/>
      <c r="AQ45" s="458"/>
      <c r="AR45" s="471">
        <f t="shared" ref="AR45:AR50" si="100">SUM(AS45:AW45)</f>
        <v>0</v>
      </c>
      <c r="AS45" s="458"/>
      <c r="AT45" s="458"/>
      <c r="AU45" s="458"/>
      <c r="AV45" s="458"/>
      <c r="AW45" s="458"/>
      <c r="AX45" s="472"/>
      <c r="AY45" s="471">
        <f t="shared" ref="AY45:AY50" si="101">SUM(AZ45:BF45)</f>
        <v>0</v>
      </c>
      <c r="AZ45" s="458"/>
      <c r="BA45" s="458"/>
      <c r="BB45" s="458"/>
      <c r="BC45" s="458"/>
      <c r="BD45" s="458"/>
      <c r="BE45" s="458"/>
      <c r="BF45" s="458"/>
      <c r="BG45" s="473"/>
      <c r="BH45" s="177" t="str">
        <f>'Учебный план'!BZ64</f>
        <v>64-5</v>
      </c>
      <c r="BI45" s="177" t="str">
        <f>'Учебный план'!CA64</f>
        <v>ОК-1-10; ПК-1.3</v>
      </c>
    </row>
    <row r="46" spans="1:61" s="225" customFormat="1" ht="26.1" customHeight="1" x14ac:dyDescent="0.2">
      <c r="A46" s="416">
        <f>'Учебный план'!A65</f>
        <v>0</v>
      </c>
      <c r="B46" s="416" t="str">
        <f>'Учебный план'!B65</f>
        <v>Судовые энергетические установки (включая тренажер вахтенного механика)</v>
      </c>
      <c r="C46" s="416" t="str">
        <f>'Учебный план'!C65</f>
        <v>СЭУ</v>
      </c>
      <c r="D46" s="363"/>
      <c r="E46" s="363" t="s">
        <v>560</v>
      </c>
      <c r="F46" s="363"/>
      <c r="G46" s="363"/>
      <c r="H46" s="529" t="s">
        <v>620</v>
      </c>
      <c r="I46" s="468">
        <f t="shared" si="93"/>
        <v>0</v>
      </c>
      <c r="J46" s="469">
        <f t="shared" si="69"/>
        <v>85.5</v>
      </c>
      <c r="K46" s="177">
        <f>'Учебный план'!K65</f>
        <v>414</v>
      </c>
      <c r="L46" s="177">
        <f>'Учебный план'!L65</f>
        <v>285</v>
      </c>
      <c r="M46" s="470">
        <f t="shared" si="86"/>
        <v>414</v>
      </c>
      <c r="N46" s="470">
        <f t="shared" si="70"/>
        <v>58</v>
      </c>
      <c r="O46" s="470">
        <f t="shared" si="94"/>
        <v>36</v>
      </c>
      <c r="P46" s="470">
        <f t="shared" si="94"/>
        <v>22</v>
      </c>
      <c r="Q46" s="470">
        <f t="shared" si="94"/>
        <v>0</v>
      </c>
      <c r="R46" s="470">
        <f t="shared" si="94"/>
        <v>0</v>
      </c>
      <c r="S46" s="470">
        <f t="shared" si="95"/>
        <v>356</v>
      </c>
      <c r="T46" s="471">
        <f t="shared" si="96"/>
        <v>0</v>
      </c>
      <c r="U46" s="458"/>
      <c r="V46" s="458"/>
      <c r="W46" s="458"/>
      <c r="X46" s="458"/>
      <c r="Y46" s="458"/>
      <c r="Z46" s="471">
        <f t="shared" si="97"/>
        <v>98</v>
      </c>
      <c r="AA46" s="458">
        <v>12</v>
      </c>
      <c r="AB46" s="458"/>
      <c r="AC46" s="458"/>
      <c r="AD46" s="458"/>
      <c r="AE46" s="458">
        <v>86</v>
      </c>
      <c r="AF46" s="471">
        <f t="shared" si="98"/>
        <v>102</v>
      </c>
      <c r="AG46" s="458">
        <v>8</v>
      </c>
      <c r="AH46" s="458">
        <v>4</v>
      </c>
      <c r="AI46" s="458"/>
      <c r="AJ46" s="458"/>
      <c r="AK46" s="458">
        <v>90</v>
      </c>
      <c r="AL46" s="471">
        <f t="shared" si="99"/>
        <v>102</v>
      </c>
      <c r="AM46" s="458">
        <v>8</v>
      </c>
      <c r="AN46" s="458">
        <v>4</v>
      </c>
      <c r="AO46" s="458"/>
      <c r="AP46" s="458"/>
      <c r="AQ46" s="458">
        <v>90</v>
      </c>
      <c r="AR46" s="471">
        <f t="shared" si="100"/>
        <v>112</v>
      </c>
      <c r="AS46" s="458">
        <v>8</v>
      </c>
      <c r="AT46" s="458">
        <v>14</v>
      </c>
      <c r="AU46" s="458"/>
      <c r="AV46" s="458"/>
      <c r="AW46" s="458">
        <v>90</v>
      </c>
      <c r="AX46" s="472"/>
      <c r="AY46" s="471">
        <f t="shared" si="101"/>
        <v>0</v>
      </c>
      <c r="AZ46" s="458"/>
      <c r="BA46" s="458"/>
      <c r="BB46" s="458"/>
      <c r="BC46" s="458"/>
      <c r="BD46" s="458"/>
      <c r="BE46" s="458"/>
      <c r="BF46" s="458"/>
      <c r="BG46" s="473"/>
      <c r="BH46" s="177" t="str">
        <f>'Учебный план'!BZ65</f>
        <v>64-5</v>
      </c>
      <c r="BI46" s="177" t="str">
        <f>'Учебный план'!CA65</f>
        <v>ОК-1-10; ПК-1.3</v>
      </c>
    </row>
    <row r="47" spans="1:61" s="225" customFormat="1" ht="26.1" customHeight="1" x14ac:dyDescent="0.2">
      <c r="A47" s="416">
        <f>'Учебный план'!A66</f>
        <v>0</v>
      </c>
      <c r="B47" s="416" t="str">
        <f>'Учебный план'!B66</f>
        <v>Судовая автоматика и контрольно-измерительные приборы</v>
      </c>
      <c r="C47" s="416" t="str">
        <f>'Учебный план'!C66</f>
        <v>САиКИП</v>
      </c>
      <c r="D47" s="363"/>
      <c r="E47" s="363" t="s">
        <v>40</v>
      </c>
      <c r="F47" s="363"/>
      <c r="G47" s="363"/>
      <c r="H47" s="529" t="s">
        <v>40</v>
      </c>
      <c r="I47" s="468">
        <f t="shared" si="93"/>
        <v>0</v>
      </c>
      <c r="J47" s="469">
        <f t="shared" si="69"/>
        <v>16.2</v>
      </c>
      <c r="K47" s="177">
        <f>'Учебный план'!K66</f>
        <v>76</v>
      </c>
      <c r="L47" s="177">
        <f>'Учебный план'!L66</f>
        <v>54</v>
      </c>
      <c r="M47" s="470">
        <f t="shared" si="86"/>
        <v>76</v>
      </c>
      <c r="N47" s="470">
        <f t="shared" si="70"/>
        <v>12</v>
      </c>
      <c r="O47" s="470">
        <f t="shared" si="94"/>
        <v>8</v>
      </c>
      <c r="P47" s="470">
        <f t="shared" si="94"/>
        <v>4</v>
      </c>
      <c r="Q47" s="470">
        <f t="shared" si="94"/>
        <v>0</v>
      </c>
      <c r="R47" s="470">
        <f t="shared" si="94"/>
        <v>0</v>
      </c>
      <c r="S47" s="470">
        <f t="shared" si="95"/>
        <v>64</v>
      </c>
      <c r="T47" s="471">
        <f t="shared" si="96"/>
        <v>0</v>
      </c>
      <c r="U47" s="458"/>
      <c r="V47" s="458"/>
      <c r="W47" s="458"/>
      <c r="X47" s="458"/>
      <c r="Y47" s="458"/>
      <c r="Z47" s="471">
        <f t="shared" si="97"/>
        <v>0</v>
      </c>
      <c r="AA47" s="458"/>
      <c r="AB47" s="458"/>
      <c r="AC47" s="458"/>
      <c r="AD47" s="458"/>
      <c r="AE47" s="458"/>
      <c r="AF47" s="471">
        <f t="shared" si="98"/>
        <v>0</v>
      </c>
      <c r="AG47" s="458"/>
      <c r="AH47" s="458"/>
      <c r="AI47" s="458"/>
      <c r="AJ47" s="458"/>
      <c r="AK47" s="458"/>
      <c r="AL47" s="471">
        <f t="shared" si="99"/>
        <v>76</v>
      </c>
      <c r="AM47" s="458">
        <v>8</v>
      </c>
      <c r="AN47" s="458">
        <v>4</v>
      </c>
      <c r="AO47" s="458"/>
      <c r="AP47" s="458"/>
      <c r="AQ47" s="458">
        <v>64</v>
      </c>
      <c r="AR47" s="471">
        <f t="shared" si="100"/>
        <v>0</v>
      </c>
      <c r="AS47" s="458"/>
      <c r="AT47" s="458"/>
      <c r="AU47" s="458"/>
      <c r="AV47" s="458"/>
      <c r="AW47" s="458"/>
      <c r="AX47" s="472"/>
      <c r="AY47" s="471">
        <f t="shared" si="101"/>
        <v>0</v>
      </c>
      <c r="AZ47" s="458"/>
      <c r="BA47" s="458"/>
      <c r="BB47" s="458"/>
      <c r="BC47" s="458"/>
      <c r="BD47" s="458"/>
      <c r="BE47" s="458"/>
      <c r="BF47" s="458"/>
      <c r="BG47" s="473"/>
      <c r="BH47" s="177" t="str">
        <f>'Учебный план'!BZ66</f>
        <v>64-6</v>
      </c>
      <c r="BI47" s="177" t="str">
        <f>'Учебный план'!CA66</f>
        <v>ОК-1-10; ПК-1.3</v>
      </c>
    </row>
    <row r="48" spans="1:61" s="226" customFormat="1" ht="26.1" customHeight="1" x14ac:dyDescent="0.2">
      <c r="A48" s="416">
        <f>'Учебный план'!A67</f>
        <v>0</v>
      </c>
      <c r="B48" s="416" t="str">
        <f>'Учебный план'!B67</f>
        <v>Обслуживание и ремонт судовых энергетических установок</v>
      </c>
      <c r="C48" s="416">
        <f>'Учебный план'!C67</f>
        <v>0</v>
      </c>
      <c r="D48" s="363"/>
      <c r="E48" s="363" t="s">
        <v>41</v>
      </c>
      <c r="F48" s="363"/>
      <c r="G48" s="363"/>
      <c r="H48" s="529" t="s">
        <v>41</v>
      </c>
      <c r="I48" s="468">
        <f t="shared" si="93"/>
        <v>0</v>
      </c>
      <c r="J48" s="469">
        <f t="shared" si="69"/>
        <v>26.4</v>
      </c>
      <c r="K48" s="177">
        <f>'Учебный план'!K67</f>
        <v>128</v>
      </c>
      <c r="L48" s="177">
        <f>'Учебный план'!L67</f>
        <v>88</v>
      </c>
      <c r="M48" s="470">
        <f t="shared" si="86"/>
        <v>128</v>
      </c>
      <c r="N48" s="470">
        <f t="shared" si="70"/>
        <v>16</v>
      </c>
      <c r="O48" s="470">
        <f t="shared" si="94"/>
        <v>12</v>
      </c>
      <c r="P48" s="470">
        <f t="shared" si="94"/>
        <v>4</v>
      </c>
      <c r="Q48" s="470">
        <f t="shared" si="94"/>
        <v>0</v>
      </c>
      <c r="R48" s="470">
        <f t="shared" si="94"/>
        <v>0</v>
      </c>
      <c r="S48" s="470">
        <f t="shared" si="95"/>
        <v>112</v>
      </c>
      <c r="T48" s="471">
        <f t="shared" si="96"/>
        <v>0</v>
      </c>
      <c r="U48" s="458"/>
      <c r="V48" s="458"/>
      <c r="W48" s="458"/>
      <c r="X48" s="458"/>
      <c r="Y48" s="458"/>
      <c r="Z48" s="471">
        <f t="shared" si="97"/>
        <v>0</v>
      </c>
      <c r="AA48" s="458"/>
      <c r="AB48" s="458"/>
      <c r="AC48" s="458"/>
      <c r="AD48" s="458"/>
      <c r="AE48" s="458"/>
      <c r="AF48" s="471">
        <f t="shared" si="98"/>
        <v>0</v>
      </c>
      <c r="AG48" s="458"/>
      <c r="AH48" s="458"/>
      <c r="AI48" s="458"/>
      <c r="AJ48" s="458"/>
      <c r="AK48" s="458"/>
      <c r="AL48" s="471">
        <f t="shared" si="99"/>
        <v>0</v>
      </c>
      <c r="AM48" s="458"/>
      <c r="AN48" s="458"/>
      <c r="AO48" s="458"/>
      <c r="AP48" s="458"/>
      <c r="AQ48" s="458"/>
      <c r="AR48" s="471">
        <f t="shared" si="100"/>
        <v>128</v>
      </c>
      <c r="AS48" s="458">
        <v>12</v>
      </c>
      <c r="AT48" s="458">
        <v>4</v>
      </c>
      <c r="AU48" s="458"/>
      <c r="AV48" s="458"/>
      <c r="AW48" s="458">
        <v>112</v>
      </c>
      <c r="AX48" s="472">
        <f>LEN(H48)-LEN(SUBSTITUTE(H48,"9",""))</f>
        <v>0</v>
      </c>
      <c r="AY48" s="471">
        <f t="shared" si="101"/>
        <v>0</v>
      </c>
      <c r="AZ48" s="458"/>
      <c r="BA48" s="458"/>
      <c r="BB48" s="458"/>
      <c r="BC48" s="458"/>
      <c r="BD48" s="458"/>
      <c r="BE48" s="458"/>
      <c r="BF48" s="458"/>
      <c r="BG48" s="473"/>
      <c r="BH48" s="177" t="str">
        <f>'Учебный план'!BZ67</f>
        <v>64-5</v>
      </c>
      <c r="BI48" s="177" t="str">
        <f>'Учебный план'!CA67</f>
        <v>ОК-1-10; ПК-1.3</v>
      </c>
    </row>
    <row r="49" spans="1:61" s="225" customFormat="1" ht="26.1" customHeight="1" x14ac:dyDescent="0.2">
      <c r="A49" s="416">
        <f>'Учебный план'!A68</f>
        <v>0</v>
      </c>
      <c r="B49" s="416" t="str">
        <f>'Учебный план'!B68</f>
        <v>Электрооборудование судов</v>
      </c>
      <c r="C49" s="416">
        <f>'Учебный план'!C68</f>
        <v>0</v>
      </c>
      <c r="D49" s="363"/>
      <c r="E49" s="363" t="s">
        <v>30</v>
      </c>
      <c r="F49" s="363"/>
      <c r="G49" s="363"/>
      <c r="H49" s="529" t="s">
        <v>30</v>
      </c>
      <c r="I49" s="468">
        <f t="shared" si="93"/>
        <v>0</v>
      </c>
      <c r="J49" s="469">
        <f t="shared" si="69"/>
        <v>16.5</v>
      </c>
      <c r="K49" s="177">
        <f>'Учебный план'!K68</f>
        <v>65</v>
      </c>
      <c r="L49" s="177">
        <f>'Учебный план'!L68</f>
        <v>55</v>
      </c>
      <c r="M49" s="470">
        <f t="shared" si="86"/>
        <v>65</v>
      </c>
      <c r="N49" s="470">
        <f t="shared" si="70"/>
        <v>12</v>
      </c>
      <c r="O49" s="470">
        <f t="shared" si="94"/>
        <v>8</v>
      </c>
      <c r="P49" s="470">
        <f t="shared" si="94"/>
        <v>4</v>
      </c>
      <c r="Q49" s="470">
        <f t="shared" si="94"/>
        <v>0</v>
      </c>
      <c r="R49" s="470">
        <f t="shared" si="94"/>
        <v>0</v>
      </c>
      <c r="S49" s="470">
        <f t="shared" si="95"/>
        <v>53</v>
      </c>
      <c r="T49" s="471">
        <f t="shared" si="96"/>
        <v>0</v>
      </c>
      <c r="U49" s="458"/>
      <c r="V49" s="458"/>
      <c r="W49" s="458"/>
      <c r="X49" s="458"/>
      <c r="Y49" s="458"/>
      <c r="Z49" s="471">
        <f t="shared" si="97"/>
        <v>0</v>
      </c>
      <c r="AA49" s="458"/>
      <c r="AB49" s="458"/>
      <c r="AC49" s="458"/>
      <c r="AD49" s="458"/>
      <c r="AE49" s="458"/>
      <c r="AF49" s="471">
        <f t="shared" si="98"/>
        <v>65</v>
      </c>
      <c r="AG49" s="458">
        <v>8</v>
      </c>
      <c r="AH49" s="458">
        <v>4</v>
      </c>
      <c r="AI49" s="458"/>
      <c r="AJ49" s="458"/>
      <c r="AK49" s="458">
        <v>53</v>
      </c>
      <c r="AL49" s="471">
        <f t="shared" si="99"/>
        <v>0</v>
      </c>
      <c r="AM49" s="458"/>
      <c r="AN49" s="458"/>
      <c r="AO49" s="458"/>
      <c r="AP49" s="458"/>
      <c r="AQ49" s="458"/>
      <c r="AR49" s="471">
        <f t="shared" si="100"/>
        <v>0</v>
      </c>
      <c r="AS49" s="458"/>
      <c r="AT49" s="458"/>
      <c r="AU49" s="458"/>
      <c r="AV49" s="458"/>
      <c r="AW49" s="458"/>
      <c r="AX49" s="472"/>
      <c r="AY49" s="471">
        <f t="shared" si="101"/>
        <v>0</v>
      </c>
      <c r="AZ49" s="458"/>
      <c r="BA49" s="458"/>
      <c r="BB49" s="458"/>
      <c r="BC49" s="458"/>
      <c r="BD49" s="458"/>
      <c r="BE49" s="458"/>
      <c r="BF49" s="458"/>
      <c r="BG49" s="473"/>
      <c r="BH49" s="177" t="str">
        <f>'Учебный план'!BZ68</f>
        <v>64-6</v>
      </c>
      <c r="BI49" s="177" t="str">
        <f>'Учебный план'!CA68</f>
        <v>ОК 2,3,6,9; ПК-1.3</v>
      </c>
    </row>
    <row r="50" spans="1:61" s="225" customFormat="1" ht="26.1" customHeight="1" x14ac:dyDescent="0.2">
      <c r="A50" s="416">
        <f>'Учебный план'!A69</f>
        <v>0</v>
      </c>
      <c r="B50" s="416" t="str">
        <f>'Учебный план'!B69</f>
        <v>Обслуживание и ремонт судового электрического и электронного оборудования</v>
      </c>
      <c r="C50" s="416">
        <f>'Учебный план'!C69</f>
        <v>0</v>
      </c>
      <c r="D50" s="363"/>
      <c r="E50" s="363" t="s">
        <v>40</v>
      </c>
      <c r="F50" s="363"/>
      <c r="G50" s="363"/>
      <c r="H50" s="363"/>
      <c r="I50" s="468">
        <f t="shared" si="93"/>
        <v>0</v>
      </c>
      <c r="J50" s="469">
        <f t="shared" si="69"/>
        <v>9.9</v>
      </c>
      <c r="K50" s="177">
        <f>'Учебный план'!K69</f>
        <v>49</v>
      </c>
      <c r="L50" s="177">
        <f>'Учебный план'!L69</f>
        <v>33</v>
      </c>
      <c r="M50" s="470">
        <f t="shared" si="86"/>
        <v>49</v>
      </c>
      <c r="N50" s="470">
        <f t="shared" si="70"/>
        <v>10</v>
      </c>
      <c r="O50" s="470">
        <f t="shared" si="94"/>
        <v>8</v>
      </c>
      <c r="P50" s="470">
        <f t="shared" si="94"/>
        <v>2</v>
      </c>
      <c r="Q50" s="470">
        <f t="shared" si="94"/>
        <v>0</v>
      </c>
      <c r="R50" s="470">
        <f t="shared" si="94"/>
        <v>0</v>
      </c>
      <c r="S50" s="470">
        <f t="shared" si="95"/>
        <v>39</v>
      </c>
      <c r="T50" s="471">
        <f t="shared" si="96"/>
        <v>0</v>
      </c>
      <c r="U50" s="458"/>
      <c r="V50" s="458"/>
      <c r="W50" s="458"/>
      <c r="X50" s="458"/>
      <c r="Y50" s="458"/>
      <c r="Z50" s="471">
        <f t="shared" si="97"/>
        <v>0</v>
      </c>
      <c r="AA50" s="458"/>
      <c r="AB50" s="458"/>
      <c r="AC50" s="458"/>
      <c r="AD50" s="458"/>
      <c r="AE50" s="458"/>
      <c r="AF50" s="471">
        <f t="shared" si="98"/>
        <v>0</v>
      </c>
      <c r="AG50" s="458"/>
      <c r="AH50" s="458"/>
      <c r="AI50" s="458"/>
      <c r="AJ50" s="458"/>
      <c r="AK50" s="458"/>
      <c r="AL50" s="471">
        <f t="shared" si="99"/>
        <v>49</v>
      </c>
      <c r="AM50" s="458">
        <v>8</v>
      </c>
      <c r="AN50" s="458">
        <v>2</v>
      </c>
      <c r="AO50" s="458"/>
      <c r="AP50" s="458"/>
      <c r="AQ50" s="458">
        <v>39</v>
      </c>
      <c r="AR50" s="471">
        <f t="shared" si="100"/>
        <v>0</v>
      </c>
      <c r="AS50" s="458"/>
      <c r="AT50" s="458"/>
      <c r="AU50" s="458"/>
      <c r="AV50" s="458"/>
      <c r="AW50" s="458"/>
      <c r="AX50" s="472"/>
      <c r="AY50" s="471">
        <f t="shared" si="101"/>
        <v>0</v>
      </c>
      <c r="AZ50" s="458"/>
      <c r="BA50" s="458"/>
      <c r="BB50" s="458"/>
      <c r="BC50" s="458"/>
      <c r="BD50" s="458"/>
      <c r="BE50" s="458"/>
      <c r="BF50" s="458"/>
      <c r="BG50" s="473"/>
      <c r="BH50" s="177" t="str">
        <f>'Учебный план'!BZ69</f>
        <v>64-6</v>
      </c>
      <c r="BI50" s="177" t="str">
        <f>'Учебный план'!CA69</f>
        <v>ОК-2,3,5,7; ПК-1.3</v>
      </c>
    </row>
    <row r="51" spans="1:61" s="228" customFormat="1" ht="26.1" customHeight="1" x14ac:dyDescent="0.2">
      <c r="A51" s="512" t="str">
        <f>'Учебный план'!A70</f>
        <v>МДК.01.04</v>
      </c>
      <c r="B51" s="814" t="str">
        <f>'Учебный план'!B70</f>
        <v>Судовождение на внутренних водных путях</v>
      </c>
      <c r="C51" s="815"/>
      <c r="D51" s="815"/>
      <c r="E51" s="815"/>
      <c r="F51" s="815"/>
      <c r="G51" s="815"/>
      <c r="H51" s="816"/>
      <c r="I51" s="513"/>
      <c r="J51" s="514"/>
      <c r="K51" s="451">
        <f>'Учебный план'!K70</f>
        <v>556</v>
      </c>
      <c r="L51" s="451">
        <f>'Учебный план'!L70</f>
        <v>373</v>
      </c>
      <c r="M51" s="513">
        <f t="shared" si="86"/>
        <v>556</v>
      </c>
      <c r="N51" s="513">
        <f t="shared" ref="N51:Y51" si="102">SUM(N52:N54)</f>
        <v>94</v>
      </c>
      <c r="O51" s="513">
        <f t="shared" si="102"/>
        <v>51</v>
      </c>
      <c r="P51" s="513">
        <f t="shared" si="102"/>
        <v>10</v>
      </c>
      <c r="Q51" s="513">
        <f t="shared" si="102"/>
        <v>33</v>
      </c>
      <c r="R51" s="513">
        <f t="shared" si="102"/>
        <v>0</v>
      </c>
      <c r="S51" s="513">
        <f t="shared" si="102"/>
        <v>462</v>
      </c>
      <c r="T51" s="513">
        <f t="shared" si="102"/>
        <v>0</v>
      </c>
      <c r="U51" s="513">
        <f t="shared" si="102"/>
        <v>0</v>
      </c>
      <c r="V51" s="513">
        <f t="shared" si="102"/>
        <v>0</v>
      </c>
      <c r="W51" s="513">
        <f t="shared" si="102"/>
        <v>0</v>
      </c>
      <c r="X51" s="513">
        <f t="shared" si="102"/>
        <v>0</v>
      </c>
      <c r="Y51" s="513">
        <f t="shared" si="102"/>
        <v>0</v>
      </c>
      <c r="Z51" s="513">
        <f t="shared" ref="Z51:AE51" si="103">SUM(Z52:Z54)</f>
        <v>126</v>
      </c>
      <c r="AA51" s="513">
        <f t="shared" si="103"/>
        <v>20</v>
      </c>
      <c r="AB51" s="513">
        <f t="shared" si="103"/>
        <v>0</v>
      </c>
      <c r="AC51" s="513">
        <f t="shared" si="103"/>
        <v>0</v>
      </c>
      <c r="AD51" s="513">
        <f t="shared" si="103"/>
        <v>0</v>
      </c>
      <c r="AE51" s="513">
        <f t="shared" si="103"/>
        <v>106</v>
      </c>
      <c r="AF51" s="513">
        <f t="shared" ref="AF51:AK51" si="104">SUM(AF52:AF54)</f>
        <v>126</v>
      </c>
      <c r="AG51" s="513">
        <f t="shared" si="104"/>
        <v>16</v>
      </c>
      <c r="AH51" s="513">
        <f t="shared" si="104"/>
        <v>0</v>
      </c>
      <c r="AI51" s="513">
        <f t="shared" si="104"/>
        <v>0</v>
      </c>
      <c r="AJ51" s="513">
        <f t="shared" si="104"/>
        <v>0</v>
      </c>
      <c r="AK51" s="513">
        <f t="shared" si="104"/>
        <v>110</v>
      </c>
      <c r="AL51" s="513">
        <f t="shared" ref="AL51:AQ51" si="105">SUM(AL52:AL54)</f>
        <v>197</v>
      </c>
      <c r="AM51" s="513">
        <f t="shared" si="105"/>
        <v>10</v>
      </c>
      <c r="AN51" s="513">
        <f t="shared" si="105"/>
        <v>10</v>
      </c>
      <c r="AO51" s="513">
        <f t="shared" si="105"/>
        <v>0</v>
      </c>
      <c r="AP51" s="513">
        <f t="shared" si="105"/>
        <v>0</v>
      </c>
      <c r="AQ51" s="513">
        <f t="shared" si="105"/>
        <v>177</v>
      </c>
      <c r="AR51" s="513">
        <f t="shared" ref="AR51:AW51" si="106">SUM(AR52:AR54)</f>
        <v>107</v>
      </c>
      <c r="AS51" s="513">
        <f t="shared" si="106"/>
        <v>5</v>
      </c>
      <c r="AT51" s="513">
        <f t="shared" si="106"/>
        <v>0</v>
      </c>
      <c r="AU51" s="513">
        <f t="shared" si="106"/>
        <v>33</v>
      </c>
      <c r="AV51" s="513">
        <f t="shared" si="106"/>
        <v>0</v>
      </c>
      <c r="AW51" s="513">
        <f t="shared" si="106"/>
        <v>69</v>
      </c>
      <c r="AX51" s="513"/>
      <c r="AY51" s="513">
        <f t="shared" ref="AY51:BF51" si="107">SUM(AY52:AY54)</f>
        <v>0</v>
      </c>
      <c r="AZ51" s="513">
        <f t="shared" si="107"/>
        <v>0</v>
      </c>
      <c r="BA51" s="513">
        <f t="shared" si="107"/>
        <v>0</v>
      </c>
      <c r="BB51" s="513">
        <f t="shared" si="107"/>
        <v>0</v>
      </c>
      <c r="BC51" s="513">
        <f t="shared" si="107"/>
        <v>0</v>
      </c>
      <c r="BD51" s="513">
        <f t="shared" si="107"/>
        <v>0</v>
      </c>
      <c r="BE51" s="513">
        <f t="shared" si="107"/>
        <v>0</v>
      </c>
      <c r="BF51" s="513">
        <f t="shared" si="107"/>
        <v>0</v>
      </c>
      <c r="BG51" s="513"/>
      <c r="BH51" s="514">
        <f>'Учебный план'!BZ70</f>
        <v>0</v>
      </c>
      <c r="BI51" s="451">
        <f>'Учебный план'!CA70</f>
        <v>0</v>
      </c>
    </row>
    <row r="52" spans="1:61" s="225" customFormat="1" ht="26.1" customHeight="1" x14ac:dyDescent="0.2">
      <c r="A52" s="416">
        <f>'Учебный план'!A71</f>
        <v>0</v>
      </c>
      <c r="B52" s="416" t="str">
        <f>'Учебный план'!B71</f>
        <v>Правила плавания и управление судами на ВВП</v>
      </c>
      <c r="C52" s="416">
        <f>'Учебный план'!C71</f>
        <v>0</v>
      </c>
      <c r="D52" s="363" t="s">
        <v>40</v>
      </c>
      <c r="E52" s="363" t="s">
        <v>41</v>
      </c>
      <c r="F52" s="363"/>
      <c r="G52" s="363" t="s">
        <v>41</v>
      </c>
      <c r="H52" s="529" t="s">
        <v>619</v>
      </c>
      <c r="I52" s="468">
        <f t="shared" ref="I52:I54" si="108">K52-M52</f>
        <v>0</v>
      </c>
      <c r="J52" s="469">
        <f t="shared" si="69"/>
        <v>61.2</v>
      </c>
      <c r="K52" s="177">
        <f>'Учебный план'!K71</f>
        <v>297</v>
      </c>
      <c r="L52" s="177">
        <f>'Учебный план'!L71</f>
        <v>204</v>
      </c>
      <c r="M52" s="470">
        <f t="shared" si="86"/>
        <v>297</v>
      </c>
      <c r="N52" s="470">
        <f>SUM(O52:R52)</f>
        <v>62</v>
      </c>
      <c r="O52" s="470">
        <f t="shared" ref="O52:R54" si="109">U52+AG52+AM52+AS52+AA52+BA52</f>
        <v>29</v>
      </c>
      <c r="P52" s="470">
        <f t="shared" si="109"/>
        <v>0</v>
      </c>
      <c r="Q52" s="470">
        <f t="shared" si="109"/>
        <v>33</v>
      </c>
      <c r="R52" s="470">
        <f t="shared" si="109"/>
        <v>0</v>
      </c>
      <c r="S52" s="470">
        <f>Y52+AK52+AQ52+AW52+BF52+AE52</f>
        <v>235</v>
      </c>
      <c r="T52" s="471">
        <f>SUM(U52:Y52)</f>
        <v>0</v>
      </c>
      <c r="U52" s="458"/>
      <c r="V52" s="458"/>
      <c r="W52" s="458"/>
      <c r="X52" s="458"/>
      <c r="Y52" s="458"/>
      <c r="Z52" s="471">
        <f>SUM(AA52:AE52)</f>
        <v>62</v>
      </c>
      <c r="AA52" s="458">
        <v>8</v>
      </c>
      <c r="AB52" s="458"/>
      <c r="AC52" s="458"/>
      <c r="AD52" s="458"/>
      <c r="AE52" s="458">
        <v>54</v>
      </c>
      <c r="AF52" s="471">
        <f>SUM(AG52:AK52)</f>
        <v>64</v>
      </c>
      <c r="AG52" s="458">
        <v>8</v>
      </c>
      <c r="AH52" s="458"/>
      <c r="AI52" s="458"/>
      <c r="AJ52" s="458"/>
      <c r="AK52" s="458">
        <v>56</v>
      </c>
      <c r="AL52" s="471">
        <f>SUM(AM52:AQ52)</f>
        <v>64</v>
      </c>
      <c r="AM52" s="458">
        <v>8</v>
      </c>
      <c r="AN52" s="458"/>
      <c r="AO52" s="458"/>
      <c r="AP52" s="458"/>
      <c r="AQ52" s="458">
        <v>56</v>
      </c>
      <c r="AR52" s="471">
        <f>SUM(AS52:AW52)</f>
        <v>107</v>
      </c>
      <c r="AS52" s="458">
        <v>5</v>
      </c>
      <c r="AT52" s="458"/>
      <c r="AU52" s="458">
        <v>33</v>
      </c>
      <c r="AV52" s="458"/>
      <c r="AW52" s="458">
        <v>69</v>
      </c>
      <c r="AX52" s="472"/>
      <c r="AY52" s="471">
        <f t="shared" ref="AY52:AY54" si="110">SUM(AZ52:BF52)</f>
        <v>0</v>
      </c>
      <c r="AZ52" s="458"/>
      <c r="BA52" s="458"/>
      <c r="BB52" s="458"/>
      <c r="BC52" s="458"/>
      <c r="BD52" s="458"/>
      <c r="BE52" s="458"/>
      <c r="BF52" s="458"/>
      <c r="BG52" s="473"/>
      <c r="BH52" s="474" t="str">
        <f>'Учебный план'!BZ71</f>
        <v>64-4</v>
      </c>
      <c r="BI52" s="177" t="str">
        <f>'Учебный план'!CA71</f>
        <v>ОК-1-10; ПК-1.3</v>
      </c>
    </row>
    <row r="53" spans="1:61" s="225" customFormat="1" ht="26.1" customHeight="1" x14ac:dyDescent="0.2">
      <c r="A53" s="416">
        <f>'Учебный план'!A72</f>
        <v>0</v>
      </c>
      <c r="B53" s="416" t="str">
        <f>'Учебный план'!B72</f>
        <v>Лоция внутренних водных путей</v>
      </c>
      <c r="C53" s="416" t="str">
        <f>'Учебный план'!C72</f>
        <v>Лоция ВВП</v>
      </c>
      <c r="D53" s="363"/>
      <c r="E53" s="363" t="s">
        <v>30</v>
      </c>
      <c r="F53" s="363"/>
      <c r="G53" s="363"/>
      <c r="H53" s="529" t="s">
        <v>31</v>
      </c>
      <c r="I53" s="468">
        <f t="shared" si="108"/>
        <v>0</v>
      </c>
      <c r="J53" s="469">
        <f t="shared" si="69"/>
        <v>26.4</v>
      </c>
      <c r="K53" s="177">
        <f>'Учебный план'!K72</f>
        <v>126</v>
      </c>
      <c r="L53" s="177">
        <f>'Учебный план'!L72</f>
        <v>88</v>
      </c>
      <c r="M53" s="470">
        <f t="shared" si="86"/>
        <v>126</v>
      </c>
      <c r="N53" s="470">
        <f>SUM(O53:R53)</f>
        <v>20</v>
      </c>
      <c r="O53" s="470">
        <f t="shared" si="109"/>
        <v>20</v>
      </c>
      <c r="P53" s="470">
        <f t="shared" si="109"/>
        <v>0</v>
      </c>
      <c r="Q53" s="470">
        <f t="shared" si="109"/>
        <v>0</v>
      </c>
      <c r="R53" s="470">
        <f t="shared" si="109"/>
        <v>0</v>
      </c>
      <c r="S53" s="470">
        <f>Y53+AK53+AQ53+AW53+BF53+AE53</f>
        <v>106</v>
      </c>
      <c r="T53" s="471">
        <f>SUM(U53:Y53)</f>
        <v>0</v>
      </c>
      <c r="U53" s="458"/>
      <c r="V53" s="458"/>
      <c r="W53" s="458"/>
      <c r="X53" s="458"/>
      <c r="Y53" s="458"/>
      <c r="Z53" s="471">
        <f>SUM(AA53:AE53)</f>
        <v>64</v>
      </c>
      <c r="AA53" s="458">
        <v>12</v>
      </c>
      <c r="AB53" s="458"/>
      <c r="AC53" s="458"/>
      <c r="AD53" s="458"/>
      <c r="AE53" s="458">
        <v>52</v>
      </c>
      <c r="AF53" s="471">
        <f>SUM(AG53:AK53)</f>
        <v>62</v>
      </c>
      <c r="AG53" s="458">
        <v>8</v>
      </c>
      <c r="AH53" s="458"/>
      <c r="AI53" s="458"/>
      <c r="AJ53" s="458"/>
      <c r="AK53" s="458">
        <v>54</v>
      </c>
      <c r="AL53" s="471">
        <f>SUM(AM53:AQ53)</f>
        <v>0</v>
      </c>
      <c r="AM53" s="458"/>
      <c r="AN53" s="458"/>
      <c r="AO53" s="458"/>
      <c r="AP53" s="458"/>
      <c r="AQ53" s="458"/>
      <c r="AR53" s="471">
        <f>SUM(AS53:AW53)</f>
        <v>0</v>
      </c>
      <c r="AS53" s="458"/>
      <c r="AT53" s="458"/>
      <c r="AU53" s="458"/>
      <c r="AV53" s="458"/>
      <c r="AW53" s="458"/>
      <c r="AX53" s="472"/>
      <c r="AY53" s="471">
        <f t="shared" si="110"/>
        <v>0</v>
      </c>
      <c r="AZ53" s="458"/>
      <c r="BA53" s="458"/>
      <c r="BB53" s="458"/>
      <c r="BC53" s="458"/>
      <c r="BD53" s="458"/>
      <c r="BE53" s="458"/>
      <c r="BF53" s="458"/>
      <c r="BG53" s="473"/>
      <c r="BH53" s="474" t="str">
        <f>'Учебный план'!BZ72</f>
        <v>64-4</v>
      </c>
      <c r="BI53" s="177" t="str">
        <f>'Учебный план'!CA72</f>
        <v>ОК-1-10; ПК-1.3</v>
      </c>
    </row>
    <row r="54" spans="1:61" s="225" customFormat="1" ht="26.1" customHeight="1" x14ac:dyDescent="0.2">
      <c r="A54" s="416">
        <f>'Учебный план'!A73</f>
        <v>0</v>
      </c>
      <c r="B54" s="416" t="str">
        <f>'Учебный план'!B73</f>
        <v>Использование РЛС на ВВП</v>
      </c>
      <c r="C54" s="416" t="str">
        <f>'Учебный план'!C73</f>
        <v>РЛС на ВВП</v>
      </c>
      <c r="D54" s="363"/>
      <c r="E54" s="363"/>
      <c r="F54" s="529" t="s">
        <v>40</v>
      </c>
      <c r="G54" s="363"/>
      <c r="H54" s="529" t="s">
        <v>40</v>
      </c>
      <c r="I54" s="468">
        <f t="shared" si="108"/>
        <v>0</v>
      </c>
      <c r="J54" s="469">
        <f t="shared" si="69"/>
        <v>24.3</v>
      </c>
      <c r="K54" s="177">
        <f>'Учебный план'!K73</f>
        <v>133</v>
      </c>
      <c r="L54" s="177">
        <f>'Учебный план'!L73</f>
        <v>81</v>
      </c>
      <c r="M54" s="470">
        <f t="shared" si="86"/>
        <v>133</v>
      </c>
      <c r="N54" s="470">
        <f>SUM(O54:R54)</f>
        <v>12</v>
      </c>
      <c r="O54" s="470">
        <f t="shared" si="109"/>
        <v>2</v>
      </c>
      <c r="P54" s="470">
        <f t="shared" si="109"/>
        <v>10</v>
      </c>
      <c r="Q54" s="470">
        <f t="shared" si="109"/>
        <v>0</v>
      </c>
      <c r="R54" s="470">
        <f t="shared" si="109"/>
        <v>0</v>
      </c>
      <c r="S54" s="470">
        <f>Y54+AK54+AQ54+AW54+BF54+AE54</f>
        <v>121</v>
      </c>
      <c r="T54" s="471">
        <f>SUM(U54:Y54)</f>
        <v>0</v>
      </c>
      <c r="U54" s="458"/>
      <c r="V54" s="458"/>
      <c r="W54" s="458"/>
      <c r="X54" s="458"/>
      <c r="Y54" s="458"/>
      <c r="Z54" s="471">
        <f>SUM(AA54:AE54)</f>
        <v>0</v>
      </c>
      <c r="AA54" s="458"/>
      <c r="AB54" s="458"/>
      <c r="AC54" s="458"/>
      <c r="AD54" s="458"/>
      <c r="AE54" s="458"/>
      <c r="AF54" s="471">
        <f>SUM(AG54:AK54)</f>
        <v>0</v>
      </c>
      <c r="AG54" s="458"/>
      <c r="AH54" s="458"/>
      <c r="AI54" s="458"/>
      <c r="AJ54" s="458"/>
      <c r="AK54" s="458"/>
      <c r="AL54" s="471">
        <f>SUM(AM54:AQ54)</f>
        <v>133</v>
      </c>
      <c r="AM54" s="458">
        <v>2</v>
      </c>
      <c r="AN54" s="458">
        <v>10</v>
      </c>
      <c r="AO54" s="458"/>
      <c r="AP54" s="458"/>
      <c r="AQ54" s="458">
        <v>121</v>
      </c>
      <c r="AR54" s="471">
        <f>SUM(AS54:AW54)</f>
        <v>0</v>
      </c>
      <c r="AS54" s="458"/>
      <c r="AT54" s="458"/>
      <c r="AU54" s="458"/>
      <c r="AV54" s="458"/>
      <c r="AW54" s="458"/>
      <c r="AX54" s="472"/>
      <c r="AY54" s="471">
        <f t="shared" si="110"/>
        <v>0</v>
      </c>
      <c r="AZ54" s="458"/>
      <c r="BA54" s="458"/>
      <c r="BB54" s="458"/>
      <c r="BC54" s="458"/>
      <c r="BD54" s="458"/>
      <c r="BE54" s="458"/>
      <c r="BF54" s="458"/>
      <c r="BG54" s="473"/>
      <c r="BH54" s="474" t="str">
        <f>'Учебный план'!BZ73</f>
        <v>64-4</v>
      </c>
      <c r="BI54" s="177" t="str">
        <f>'Учебный план'!CA73</f>
        <v>ОК-1-10; ПК-1.3</v>
      </c>
    </row>
    <row r="55" spans="1:61" s="225" customFormat="1" ht="12" customHeight="1" x14ac:dyDescent="0.2">
      <c r="A55" s="817" t="str">
        <f>'Учебный план'!A74</f>
        <v xml:space="preserve"> Экзамен квалификационный</v>
      </c>
      <c r="B55" s="818"/>
      <c r="C55" s="485"/>
      <c r="D55" s="405" t="s">
        <v>41</v>
      </c>
      <c r="E55" s="405"/>
      <c r="F55" s="405"/>
      <c r="G55" s="405"/>
      <c r="H55" s="405"/>
      <c r="I55" s="486"/>
      <c r="J55" s="487"/>
      <c r="K55" s="406">
        <f>'Учебный план'!K74</f>
        <v>0</v>
      </c>
      <c r="L55" s="406">
        <f>'Учебный план'!L74</f>
        <v>0</v>
      </c>
      <c r="M55" s="488">
        <f t="shared" si="86"/>
        <v>0</v>
      </c>
      <c r="N55" s="488"/>
      <c r="O55" s="488"/>
      <c r="P55" s="488"/>
      <c r="Q55" s="488"/>
      <c r="R55" s="488"/>
      <c r="S55" s="488"/>
      <c r="T55" s="488"/>
      <c r="U55" s="486"/>
      <c r="V55" s="486"/>
      <c r="W55" s="486"/>
      <c r="X55" s="486"/>
      <c r="Y55" s="486"/>
      <c r="Z55" s="488"/>
      <c r="AA55" s="486"/>
      <c r="AB55" s="486"/>
      <c r="AC55" s="486"/>
      <c r="AD55" s="486"/>
      <c r="AE55" s="486"/>
      <c r="AF55" s="488"/>
      <c r="AG55" s="486"/>
      <c r="AH55" s="486"/>
      <c r="AI55" s="486"/>
      <c r="AJ55" s="486"/>
      <c r="AK55" s="486"/>
      <c r="AL55" s="488"/>
      <c r="AM55" s="486"/>
      <c r="AN55" s="486"/>
      <c r="AO55" s="486"/>
      <c r="AP55" s="486"/>
      <c r="AQ55" s="486"/>
      <c r="AR55" s="488"/>
      <c r="AS55" s="486"/>
      <c r="AT55" s="486"/>
      <c r="AU55" s="486"/>
      <c r="AV55" s="486"/>
      <c r="AW55" s="486"/>
      <c r="AX55" s="486"/>
      <c r="AY55" s="488"/>
      <c r="AZ55" s="486"/>
      <c r="BA55" s="486"/>
      <c r="BB55" s="486"/>
      <c r="BC55" s="486"/>
      <c r="BD55" s="486"/>
      <c r="BE55" s="486"/>
      <c r="BF55" s="486"/>
      <c r="BG55" s="486"/>
      <c r="BH55" s="487">
        <f>'Учебный план'!BZ74</f>
        <v>0</v>
      </c>
      <c r="BI55" s="489">
        <f>'Учебный план'!CA74</f>
        <v>0</v>
      </c>
    </row>
    <row r="56" spans="1:61" s="228" customFormat="1" ht="26.1" customHeight="1" x14ac:dyDescent="0.2">
      <c r="A56" s="482" t="str">
        <f>'Учебный план'!A75</f>
        <v>ПМ.02</v>
      </c>
      <c r="B56" s="819" t="str">
        <f>'Учебный план'!B75</f>
        <v>Обеспечение безопасности плавания</v>
      </c>
      <c r="C56" s="820"/>
      <c r="D56" s="820"/>
      <c r="E56" s="820"/>
      <c r="F56" s="820"/>
      <c r="G56" s="820"/>
      <c r="H56" s="821"/>
      <c r="I56" s="483"/>
      <c r="J56" s="483"/>
      <c r="K56" s="380">
        <f>'Учебный план'!K75</f>
        <v>420</v>
      </c>
      <c r="L56" s="380">
        <f>'Учебный план'!L75</f>
        <v>300</v>
      </c>
      <c r="M56" s="483">
        <f t="shared" si="86"/>
        <v>420</v>
      </c>
      <c r="N56" s="483">
        <f t="shared" ref="N56:S56" si="111">SUM(N58:N60)</f>
        <v>28</v>
      </c>
      <c r="O56" s="483">
        <f t="shared" si="111"/>
        <v>28</v>
      </c>
      <c r="P56" s="483">
        <f t="shared" si="111"/>
        <v>0</v>
      </c>
      <c r="Q56" s="483">
        <f t="shared" si="111"/>
        <v>0</v>
      </c>
      <c r="R56" s="483">
        <f t="shared" si="111"/>
        <v>0</v>
      </c>
      <c r="S56" s="483">
        <f t="shared" si="111"/>
        <v>392</v>
      </c>
      <c r="T56" s="483">
        <f t="shared" ref="T56:Y56" si="112">SUM(T57:T59)</f>
        <v>0</v>
      </c>
      <c r="U56" s="483">
        <f t="shared" si="112"/>
        <v>0</v>
      </c>
      <c r="V56" s="483">
        <f t="shared" si="112"/>
        <v>0</v>
      </c>
      <c r="W56" s="483">
        <f t="shared" si="112"/>
        <v>0</v>
      </c>
      <c r="X56" s="483">
        <f t="shared" si="112"/>
        <v>0</v>
      </c>
      <c r="Y56" s="483">
        <f t="shared" si="112"/>
        <v>0</v>
      </c>
      <c r="Z56" s="483">
        <f>SUM(Z57:Z60)</f>
        <v>420</v>
      </c>
      <c r="AA56" s="483">
        <f>SUM(AA57:AA60)</f>
        <v>28</v>
      </c>
      <c r="AB56" s="483">
        <f t="shared" ref="AB56:AE56" si="113">SUM(AB57:AB60)</f>
        <v>0</v>
      </c>
      <c r="AC56" s="483">
        <f t="shared" si="113"/>
        <v>0</v>
      </c>
      <c r="AD56" s="483">
        <f t="shared" si="113"/>
        <v>0</v>
      </c>
      <c r="AE56" s="483">
        <f t="shared" si="113"/>
        <v>392</v>
      </c>
      <c r="AF56" s="483">
        <f t="shared" ref="AF56" si="114">SUM(AF57:AF60)</f>
        <v>0</v>
      </c>
      <c r="AG56" s="483">
        <f>SUM(AG57:AG60)</f>
        <v>0</v>
      </c>
      <c r="AH56" s="483">
        <f>SUM(AH57:AH60)</f>
        <v>0</v>
      </c>
      <c r="AI56" s="483">
        <f>SUM(AI57:AI60)</f>
        <v>0</v>
      </c>
      <c r="AJ56" s="483">
        <f>SUM(AJ57:AJ60)</f>
        <v>0</v>
      </c>
      <c r="AK56" s="483">
        <f>SUM(AK57:AK60)</f>
        <v>0</v>
      </c>
      <c r="AL56" s="483">
        <f t="shared" ref="AL56:AW56" si="115">SUM(AL57:AL59)</f>
        <v>0</v>
      </c>
      <c r="AM56" s="483">
        <f t="shared" si="115"/>
        <v>0</v>
      </c>
      <c r="AN56" s="483">
        <f t="shared" si="115"/>
        <v>0</v>
      </c>
      <c r="AO56" s="483">
        <f t="shared" si="115"/>
        <v>0</v>
      </c>
      <c r="AP56" s="483">
        <f t="shared" si="115"/>
        <v>0</v>
      </c>
      <c r="AQ56" s="483">
        <f t="shared" si="115"/>
        <v>0</v>
      </c>
      <c r="AR56" s="483">
        <f t="shared" si="115"/>
        <v>0</v>
      </c>
      <c r="AS56" s="483">
        <f t="shared" si="115"/>
        <v>0</v>
      </c>
      <c r="AT56" s="483">
        <f t="shared" si="115"/>
        <v>0</v>
      </c>
      <c r="AU56" s="483">
        <f t="shared" si="115"/>
        <v>0</v>
      </c>
      <c r="AV56" s="483">
        <f t="shared" si="115"/>
        <v>0</v>
      </c>
      <c r="AW56" s="483">
        <f t="shared" si="115"/>
        <v>0</v>
      </c>
      <c r="AX56" s="483"/>
      <c r="AY56" s="483">
        <f t="shared" ref="AY56:BF56" si="116">SUM(AY57:AY59)</f>
        <v>0</v>
      </c>
      <c r="AZ56" s="483">
        <f t="shared" si="116"/>
        <v>0</v>
      </c>
      <c r="BA56" s="483">
        <f t="shared" si="116"/>
        <v>0</v>
      </c>
      <c r="BB56" s="483">
        <f t="shared" si="116"/>
        <v>0</v>
      </c>
      <c r="BC56" s="483">
        <f t="shared" si="116"/>
        <v>0</v>
      </c>
      <c r="BD56" s="483">
        <f t="shared" si="116"/>
        <v>0</v>
      </c>
      <c r="BE56" s="483">
        <f t="shared" si="116"/>
        <v>0</v>
      </c>
      <c r="BF56" s="483">
        <f t="shared" si="116"/>
        <v>0</v>
      </c>
      <c r="BG56" s="483"/>
      <c r="BH56" s="484">
        <f>'Учебный план'!BZ75</f>
        <v>0</v>
      </c>
      <c r="BI56" s="511" t="str">
        <f>'Учебный план'!CA75</f>
        <v>ОК 1-10; ПК 2.1-2.7</v>
      </c>
    </row>
    <row r="57" spans="1:61" s="225" customFormat="1" ht="26.1" customHeight="1" x14ac:dyDescent="0.2">
      <c r="A57" s="512" t="str">
        <f>'Учебный план'!A76</f>
        <v>МДК.02.01</v>
      </c>
      <c r="B57" s="828" t="str">
        <f>'Учебный план'!B76</f>
        <v>Безопасность жизнедеятельности на судне и транспортная безопасность</v>
      </c>
      <c r="C57" s="829"/>
      <c r="D57" s="829"/>
      <c r="E57" s="829"/>
      <c r="F57" s="829"/>
      <c r="G57" s="829"/>
      <c r="H57" s="830"/>
      <c r="I57" s="515"/>
      <c r="J57" s="516"/>
      <c r="K57" s="450">
        <f>'Учебный план'!K76</f>
        <v>420</v>
      </c>
      <c r="L57" s="450">
        <f>'Учебный план'!L76</f>
        <v>300</v>
      </c>
      <c r="M57" s="513">
        <f t="shared" si="86"/>
        <v>0</v>
      </c>
      <c r="N57" s="513">
        <f>SUM(O57:R57)</f>
        <v>0</v>
      </c>
      <c r="O57" s="513">
        <f>U57+AG57+AM57+AS57</f>
        <v>0</v>
      </c>
      <c r="P57" s="513">
        <f>V57+AH57+AN57+AT57</f>
        <v>0</v>
      </c>
      <c r="Q57" s="513">
        <f>W57+AI57+AO57+AU57</f>
        <v>0</v>
      </c>
      <c r="R57" s="513">
        <f>X57+AJ57+AP57+AV57</f>
        <v>0</v>
      </c>
      <c r="S57" s="513">
        <f>Y57+AK57+AQ57+AW57</f>
        <v>0</v>
      </c>
      <c r="T57" s="513">
        <f>SUM(U57:Y57)</f>
        <v>0</v>
      </c>
      <c r="U57" s="517"/>
      <c r="V57" s="517"/>
      <c r="W57" s="517"/>
      <c r="X57" s="517"/>
      <c r="Y57" s="517"/>
      <c r="Z57" s="513">
        <f>SUM(AA57:AE57)</f>
        <v>0</v>
      </c>
      <c r="AA57" s="517"/>
      <c r="AB57" s="517"/>
      <c r="AC57" s="517"/>
      <c r="AD57" s="517"/>
      <c r="AE57" s="517"/>
      <c r="AF57" s="513">
        <f>SUM(AG57:AK57)</f>
        <v>0</v>
      </c>
      <c r="AG57" s="517"/>
      <c r="AH57" s="517"/>
      <c r="AI57" s="517"/>
      <c r="AJ57" s="517"/>
      <c r="AK57" s="517"/>
      <c r="AL57" s="513">
        <f>SUM(AM57:AQ57)</f>
        <v>0</v>
      </c>
      <c r="AM57" s="517"/>
      <c r="AN57" s="517"/>
      <c r="AO57" s="517"/>
      <c r="AP57" s="517"/>
      <c r="AQ57" s="517"/>
      <c r="AR57" s="513">
        <f>SUM(AS57:AW57)</f>
        <v>0</v>
      </c>
      <c r="AS57" s="517"/>
      <c r="AT57" s="517"/>
      <c r="AU57" s="517"/>
      <c r="AV57" s="517"/>
      <c r="AW57" s="517"/>
      <c r="AX57" s="517">
        <f>LEN(H57)-LEN(SUBSTITUTE(H57,"9",""))</f>
        <v>0</v>
      </c>
      <c r="AY57" s="513">
        <f t="shared" ref="AY57:AY59" si="117">SUM(AZ57:BF57)</f>
        <v>0</v>
      </c>
      <c r="AZ57" s="517">
        <v>0</v>
      </c>
      <c r="BA57" s="517"/>
      <c r="BB57" s="517"/>
      <c r="BC57" s="517"/>
      <c r="BD57" s="517"/>
      <c r="BE57" s="517"/>
      <c r="BF57" s="517"/>
      <c r="BG57" s="517"/>
      <c r="BH57" s="517">
        <f>'Учебный план'!BZ76</f>
        <v>0</v>
      </c>
      <c r="BI57" s="517">
        <f>'Учебный план'!CA76</f>
        <v>0</v>
      </c>
    </row>
    <row r="58" spans="1:61" s="225" customFormat="1" ht="26.1" customHeight="1" x14ac:dyDescent="0.2">
      <c r="A58" s="416">
        <f>'Учебный план'!A77</f>
        <v>0</v>
      </c>
      <c r="B58" s="416" t="str">
        <f>'Учебный план'!B77</f>
        <v>Безопасность жизнедеятельности на судне</v>
      </c>
      <c r="C58" s="201"/>
      <c r="D58" s="363"/>
      <c r="E58" s="363"/>
      <c r="F58" s="529" t="s">
        <v>31</v>
      </c>
      <c r="G58" s="417"/>
      <c r="H58" s="529" t="s">
        <v>31</v>
      </c>
      <c r="I58" s="468">
        <f t="shared" ref="I58:I60" si="118">K58-M58</f>
        <v>0</v>
      </c>
      <c r="J58" s="469">
        <f t="shared" ref="J58:J60" si="119">L58*$J$1</f>
        <v>63</v>
      </c>
      <c r="K58" s="177">
        <f>'Учебный план'!K77</f>
        <v>291</v>
      </c>
      <c r="L58" s="177">
        <f>'Учебный план'!L77</f>
        <v>210</v>
      </c>
      <c r="M58" s="470">
        <f t="shared" si="86"/>
        <v>291</v>
      </c>
      <c r="N58" s="470">
        <f>SUM(O58:R58)</f>
        <v>8</v>
      </c>
      <c r="O58" s="470">
        <f t="shared" ref="O58:R60" si="120">U58+AG58+AM58+AS58+AA58+BA58</f>
        <v>8</v>
      </c>
      <c r="P58" s="470">
        <f t="shared" si="120"/>
        <v>0</v>
      </c>
      <c r="Q58" s="470">
        <f t="shared" si="120"/>
        <v>0</v>
      </c>
      <c r="R58" s="470">
        <f t="shared" si="120"/>
        <v>0</v>
      </c>
      <c r="S58" s="470">
        <f>Y58+AK58+AQ58+AW58+BF58+AE58</f>
        <v>283</v>
      </c>
      <c r="T58" s="471">
        <f>SUM(U58:Y58)</f>
        <v>0</v>
      </c>
      <c r="U58" s="458"/>
      <c r="V58" s="458"/>
      <c r="W58" s="458"/>
      <c r="X58" s="458"/>
      <c r="Y58" s="458"/>
      <c r="Z58" s="471">
        <f>SUM(AA58:AE58)</f>
        <v>291</v>
      </c>
      <c r="AA58" s="458">
        <v>8</v>
      </c>
      <c r="AB58" s="458"/>
      <c r="AC58" s="458"/>
      <c r="AD58" s="458"/>
      <c r="AE58" s="458">
        <v>283</v>
      </c>
      <c r="AF58" s="471">
        <f>SUM(AG58:AK58)</f>
        <v>0</v>
      </c>
      <c r="AG58" s="458"/>
      <c r="AH58" s="458"/>
      <c r="AI58" s="458"/>
      <c r="AJ58" s="458"/>
      <c r="AK58" s="458"/>
      <c r="AL58" s="471">
        <f>SUM(AM58:AQ58)</f>
        <v>0</v>
      </c>
      <c r="AM58" s="458"/>
      <c r="AN58" s="458"/>
      <c r="AO58" s="458"/>
      <c r="AP58" s="458"/>
      <c r="AQ58" s="458"/>
      <c r="AR58" s="471">
        <f>SUM(AS58:AW58)</f>
        <v>0</v>
      </c>
      <c r="AS58" s="458"/>
      <c r="AT58" s="458"/>
      <c r="AU58" s="458"/>
      <c r="AV58" s="458"/>
      <c r="AW58" s="458"/>
      <c r="AX58" s="472">
        <f>LEN(H58)-LEN(SUBSTITUTE(H58,"9",""))</f>
        <v>0</v>
      </c>
      <c r="AY58" s="471">
        <f t="shared" si="117"/>
        <v>0</v>
      </c>
      <c r="AZ58" s="458"/>
      <c r="BA58" s="458"/>
      <c r="BB58" s="458"/>
      <c r="BC58" s="458"/>
      <c r="BD58" s="458"/>
      <c r="BE58" s="458"/>
      <c r="BF58" s="458"/>
      <c r="BG58" s="473"/>
      <c r="BH58" s="491" t="str">
        <f>'Учебный план'!BZ77</f>
        <v>5</v>
      </c>
      <c r="BI58" s="491" t="str">
        <f>'Учебный план'!CA77</f>
        <v>ОК-1-10; ПК 2.1-2.7</v>
      </c>
    </row>
    <row r="59" spans="1:61" s="225" customFormat="1" ht="26.1" customHeight="1" x14ac:dyDescent="0.2">
      <c r="A59" s="416">
        <f>'Учебный план'!A78</f>
        <v>0</v>
      </c>
      <c r="B59" s="416" t="str">
        <f>'Учебный план'!B78</f>
        <v>Транспортная безопасность</v>
      </c>
      <c r="C59" s="201"/>
      <c r="D59" s="363"/>
      <c r="E59" s="363" t="s">
        <v>31</v>
      </c>
      <c r="F59" s="363"/>
      <c r="G59" s="417"/>
      <c r="H59" s="363"/>
      <c r="I59" s="468">
        <f t="shared" si="118"/>
        <v>0</v>
      </c>
      <c r="J59" s="469">
        <f t="shared" si="119"/>
        <v>16.2</v>
      </c>
      <c r="K59" s="177">
        <f>'Учебный план'!K78</f>
        <v>79</v>
      </c>
      <c r="L59" s="177">
        <f>'Учебный план'!L78</f>
        <v>54</v>
      </c>
      <c r="M59" s="470">
        <f t="shared" si="86"/>
        <v>79</v>
      </c>
      <c r="N59" s="470">
        <f>SUM(O59:R59)</f>
        <v>12</v>
      </c>
      <c r="O59" s="470">
        <f t="shared" si="120"/>
        <v>12</v>
      </c>
      <c r="P59" s="470">
        <f t="shared" si="120"/>
        <v>0</v>
      </c>
      <c r="Q59" s="470">
        <f t="shared" si="120"/>
        <v>0</v>
      </c>
      <c r="R59" s="470">
        <f t="shared" si="120"/>
        <v>0</v>
      </c>
      <c r="S59" s="470">
        <f>Y59+AK59+AQ59+AW59+BF59+AE59</f>
        <v>67</v>
      </c>
      <c r="T59" s="471">
        <f>SUM(U59:Y59)</f>
        <v>0</v>
      </c>
      <c r="U59" s="458"/>
      <c r="V59" s="458"/>
      <c r="W59" s="458"/>
      <c r="X59" s="458"/>
      <c r="Y59" s="458"/>
      <c r="Z59" s="471">
        <f>SUM(AA59:AE59)</f>
        <v>79</v>
      </c>
      <c r="AA59" s="458">
        <v>12</v>
      </c>
      <c r="AB59" s="458"/>
      <c r="AC59" s="458"/>
      <c r="AD59" s="458"/>
      <c r="AE59" s="458">
        <v>67</v>
      </c>
      <c r="AF59" s="471">
        <f>SUM(AG59:AK59)</f>
        <v>0</v>
      </c>
      <c r="AG59" s="458"/>
      <c r="AH59" s="458"/>
      <c r="AI59" s="458"/>
      <c r="AJ59" s="458"/>
      <c r="AK59" s="458"/>
      <c r="AL59" s="471">
        <f>SUM(AM59:AQ59)</f>
        <v>0</v>
      </c>
      <c r="AM59" s="458"/>
      <c r="AN59" s="458"/>
      <c r="AO59" s="458"/>
      <c r="AP59" s="458"/>
      <c r="AQ59" s="458"/>
      <c r="AR59" s="471">
        <f>SUM(AS59:AW59)</f>
        <v>0</v>
      </c>
      <c r="AS59" s="458"/>
      <c r="AT59" s="458"/>
      <c r="AU59" s="458"/>
      <c r="AV59" s="458"/>
      <c r="AW59" s="458"/>
      <c r="AX59" s="472"/>
      <c r="AY59" s="471">
        <f t="shared" si="117"/>
        <v>0</v>
      </c>
      <c r="AZ59" s="458"/>
      <c r="BA59" s="458"/>
      <c r="BB59" s="458"/>
      <c r="BC59" s="458"/>
      <c r="BD59" s="458"/>
      <c r="BE59" s="458"/>
      <c r="BF59" s="458"/>
      <c r="BG59" s="473"/>
      <c r="BH59" s="491" t="str">
        <f>'Учебный план'!BZ78</f>
        <v>64-4</v>
      </c>
      <c r="BI59" s="491" t="str">
        <f>'Учебный план'!CA78</f>
        <v>ОК 1-10; ПК 2.1</v>
      </c>
    </row>
    <row r="60" spans="1:61" s="225" customFormat="1" ht="26.1" customHeight="1" x14ac:dyDescent="0.2">
      <c r="A60" s="416">
        <f>'Учебный план'!A79</f>
        <v>0</v>
      </c>
      <c r="B60" s="416" t="str">
        <f>'Учебный план'!B79</f>
        <v>Техника безопасности на судах</v>
      </c>
      <c r="C60" s="201"/>
      <c r="D60" s="363" t="s">
        <v>31</v>
      </c>
      <c r="E60" s="363"/>
      <c r="F60" s="363"/>
      <c r="G60" s="417"/>
      <c r="H60" s="363"/>
      <c r="I60" s="468">
        <f t="shared" si="118"/>
        <v>0</v>
      </c>
      <c r="J60" s="469">
        <f t="shared" si="119"/>
        <v>10.8</v>
      </c>
      <c r="K60" s="177">
        <f>'Учебный план'!K79</f>
        <v>50</v>
      </c>
      <c r="L60" s="177">
        <f>'Учебный план'!L79</f>
        <v>36</v>
      </c>
      <c r="M60" s="470">
        <f t="shared" si="86"/>
        <v>50</v>
      </c>
      <c r="N60" s="470">
        <f>SUM(O60:R60)</f>
        <v>8</v>
      </c>
      <c r="O60" s="470">
        <f t="shared" si="120"/>
        <v>8</v>
      </c>
      <c r="P60" s="470">
        <f t="shared" si="120"/>
        <v>0</v>
      </c>
      <c r="Q60" s="470">
        <f t="shared" si="120"/>
        <v>0</v>
      </c>
      <c r="R60" s="470">
        <f t="shared" si="120"/>
        <v>0</v>
      </c>
      <c r="S60" s="470">
        <f>Y60+AK60+AQ60+AW60+BF60+AE60</f>
        <v>42</v>
      </c>
      <c r="T60" s="471"/>
      <c r="U60" s="458"/>
      <c r="V60" s="458"/>
      <c r="W60" s="458"/>
      <c r="X60" s="458"/>
      <c r="Y60" s="458"/>
      <c r="Z60" s="471">
        <f>SUM(AA60:AE60)</f>
        <v>50</v>
      </c>
      <c r="AA60" s="458">
        <v>8</v>
      </c>
      <c r="AB60" s="458"/>
      <c r="AC60" s="458"/>
      <c r="AD60" s="458"/>
      <c r="AE60" s="458">
        <v>42</v>
      </c>
      <c r="AF60" s="471">
        <f>SUM(AG60:AK60)</f>
        <v>0</v>
      </c>
      <c r="AG60" s="458"/>
      <c r="AH60" s="458"/>
      <c r="AI60" s="458"/>
      <c r="AJ60" s="458"/>
      <c r="AK60" s="458"/>
      <c r="AL60" s="471"/>
      <c r="AM60" s="458"/>
      <c r="AN60" s="458"/>
      <c r="AO60" s="458"/>
      <c r="AP60" s="458"/>
      <c r="AQ60" s="458"/>
      <c r="AR60" s="471">
        <f>SUM(AS60:AW60)</f>
        <v>0</v>
      </c>
      <c r="AS60" s="458"/>
      <c r="AT60" s="458"/>
      <c r="AU60" s="458"/>
      <c r="AV60" s="458"/>
      <c r="AW60" s="458"/>
      <c r="AX60" s="472"/>
      <c r="AY60" s="471"/>
      <c r="AZ60" s="458"/>
      <c r="BA60" s="458"/>
      <c r="BB60" s="458"/>
      <c r="BC60" s="458"/>
      <c r="BD60" s="458"/>
      <c r="BE60" s="458"/>
      <c r="BF60" s="458"/>
      <c r="BG60" s="473"/>
      <c r="BH60" s="491" t="str">
        <f>'Учебный план'!BZ79</f>
        <v>64-4</v>
      </c>
      <c r="BI60" s="491" t="str">
        <f>'Учебный план'!CA79</f>
        <v>ОК 1-10; ПК 2.1-2.7</v>
      </c>
    </row>
    <row r="61" spans="1:61" s="225" customFormat="1" ht="12" customHeight="1" x14ac:dyDescent="0.2">
      <c r="A61" s="809" t="str">
        <f>'Учебный план'!A80</f>
        <v xml:space="preserve"> Экзамен квалификационный</v>
      </c>
      <c r="B61" s="810"/>
      <c r="C61" s="485"/>
      <c r="D61" s="405" t="s">
        <v>31</v>
      </c>
      <c r="E61" s="405"/>
      <c r="F61" s="405"/>
      <c r="G61" s="384"/>
      <c r="H61" s="405"/>
      <c r="I61" s="486"/>
      <c r="J61" s="487"/>
      <c r="K61" s="406">
        <f>'Учебный план'!K80</f>
        <v>0</v>
      </c>
      <c r="L61" s="406">
        <f>'Учебный план'!L80</f>
        <v>0</v>
      </c>
      <c r="M61" s="488">
        <f t="shared" si="86"/>
        <v>0</v>
      </c>
      <c r="N61" s="488"/>
      <c r="O61" s="488"/>
      <c r="P61" s="488"/>
      <c r="Q61" s="488"/>
      <c r="R61" s="488"/>
      <c r="S61" s="488"/>
      <c r="T61" s="488"/>
      <c r="U61" s="486"/>
      <c r="V61" s="486"/>
      <c r="W61" s="486"/>
      <c r="X61" s="486"/>
      <c r="Y61" s="486"/>
      <c r="Z61" s="488"/>
      <c r="AA61" s="486"/>
      <c r="AB61" s="486"/>
      <c r="AC61" s="486"/>
      <c r="AD61" s="486"/>
      <c r="AE61" s="486"/>
      <c r="AF61" s="488"/>
      <c r="AG61" s="486"/>
      <c r="AH61" s="486"/>
      <c r="AI61" s="486"/>
      <c r="AJ61" s="486"/>
      <c r="AK61" s="486"/>
      <c r="AL61" s="488"/>
      <c r="AM61" s="486"/>
      <c r="AN61" s="486"/>
      <c r="AO61" s="486"/>
      <c r="AP61" s="486"/>
      <c r="AQ61" s="486"/>
      <c r="AR61" s="488"/>
      <c r="AS61" s="486"/>
      <c r="AT61" s="486"/>
      <c r="AU61" s="486"/>
      <c r="AV61" s="486"/>
      <c r="AW61" s="486"/>
      <c r="AX61" s="486"/>
      <c r="AY61" s="488"/>
      <c r="AZ61" s="486"/>
      <c r="BA61" s="486"/>
      <c r="BB61" s="486"/>
      <c r="BC61" s="486"/>
      <c r="BD61" s="486"/>
      <c r="BE61" s="486"/>
      <c r="BF61" s="486"/>
      <c r="BG61" s="486"/>
      <c r="BH61" s="487">
        <f>'Учебный план'!BZ80</f>
        <v>0</v>
      </c>
      <c r="BI61" s="487">
        <f>'Учебный план'!CA80</f>
        <v>0</v>
      </c>
    </row>
    <row r="62" spans="1:61" s="228" customFormat="1" ht="26.1" customHeight="1" x14ac:dyDescent="0.2">
      <c r="A62" s="482" t="str">
        <f>'Учебный план'!A81</f>
        <v>ПМ.03</v>
      </c>
      <c r="B62" s="819" t="str">
        <f>'Учебный план'!B81</f>
        <v>Обработка и размещение груза</v>
      </c>
      <c r="C62" s="820"/>
      <c r="D62" s="820"/>
      <c r="E62" s="820"/>
      <c r="F62" s="820"/>
      <c r="G62" s="820"/>
      <c r="H62" s="821"/>
      <c r="I62" s="483"/>
      <c r="J62" s="483"/>
      <c r="K62" s="380">
        <f>'Учебный план'!K81</f>
        <v>163</v>
      </c>
      <c r="L62" s="380">
        <f>'Учебный план'!L81</f>
        <v>110</v>
      </c>
      <c r="M62" s="483">
        <f t="shared" si="86"/>
        <v>163</v>
      </c>
      <c r="N62" s="483">
        <f>SUM(N64:N65)</f>
        <v>38</v>
      </c>
      <c r="O62" s="483">
        <f t="shared" ref="O62:AW62" si="121">SUM(O64:O65)</f>
        <v>16</v>
      </c>
      <c r="P62" s="483">
        <f t="shared" si="121"/>
        <v>0</v>
      </c>
      <c r="Q62" s="483">
        <f t="shared" si="121"/>
        <v>22</v>
      </c>
      <c r="R62" s="483">
        <f t="shared" si="121"/>
        <v>0</v>
      </c>
      <c r="S62" s="483">
        <f t="shared" si="121"/>
        <v>125</v>
      </c>
      <c r="T62" s="483">
        <f t="shared" si="121"/>
        <v>0</v>
      </c>
      <c r="U62" s="483">
        <f t="shared" si="121"/>
        <v>0</v>
      </c>
      <c r="V62" s="483">
        <f t="shared" si="121"/>
        <v>0</v>
      </c>
      <c r="W62" s="483">
        <f t="shared" si="121"/>
        <v>0</v>
      </c>
      <c r="X62" s="483">
        <f t="shared" si="121"/>
        <v>0</v>
      </c>
      <c r="Y62" s="483">
        <f t="shared" si="121"/>
        <v>0</v>
      </c>
      <c r="Z62" s="483">
        <f t="shared" ref="Z62" si="122">SUM(Z64:Z65)</f>
        <v>0</v>
      </c>
      <c r="AA62" s="483">
        <f t="shared" ref="AA62:AE62" si="123">SUM(AA64:AA65)</f>
        <v>0</v>
      </c>
      <c r="AB62" s="483">
        <f t="shared" si="123"/>
        <v>0</v>
      </c>
      <c r="AC62" s="483">
        <f t="shared" si="123"/>
        <v>0</v>
      </c>
      <c r="AD62" s="483">
        <f t="shared" si="123"/>
        <v>0</v>
      </c>
      <c r="AE62" s="483">
        <f t="shared" si="123"/>
        <v>0</v>
      </c>
      <c r="AF62" s="483">
        <f t="shared" si="121"/>
        <v>65</v>
      </c>
      <c r="AG62" s="483">
        <f t="shared" si="121"/>
        <v>10</v>
      </c>
      <c r="AH62" s="483">
        <f t="shared" si="121"/>
        <v>0</v>
      </c>
      <c r="AI62" s="483">
        <f t="shared" si="121"/>
        <v>0</v>
      </c>
      <c r="AJ62" s="483">
        <f t="shared" si="121"/>
        <v>0</v>
      </c>
      <c r="AK62" s="483">
        <f t="shared" si="121"/>
        <v>55</v>
      </c>
      <c r="AL62" s="483">
        <f t="shared" si="121"/>
        <v>98</v>
      </c>
      <c r="AM62" s="483">
        <f t="shared" si="121"/>
        <v>6</v>
      </c>
      <c r="AN62" s="483">
        <f t="shared" si="121"/>
        <v>0</v>
      </c>
      <c r="AO62" s="483">
        <f t="shared" si="121"/>
        <v>22</v>
      </c>
      <c r="AP62" s="483">
        <f t="shared" si="121"/>
        <v>0</v>
      </c>
      <c r="AQ62" s="483">
        <f t="shared" si="121"/>
        <v>70</v>
      </c>
      <c r="AR62" s="483">
        <f t="shared" si="121"/>
        <v>0</v>
      </c>
      <c r="AS62" s="483">
        <f t="shared" si="121"/>
        <v>0</v>
      </c>
      <c r="AT62" s="483">
        <f t="shared" si="121"/>
        <v>0</v>
      </c>
      <c r="AU62" s="483">
        <f t="shared" si="121"/>
        <v>0</v>
      </c>
      <c r="AV62" s="483">
        <f t="shared" si="121"/>
        <v>0</v>
      </c>
      <c r="AW62" s="483">
        <f t="shared" si="121"/>
        <v>0</v>
      </c>
      <c r="AX62" s="483"/>
      <c r="AY62" s="483">
        <f t="shared" ref="AY62:BF62" si="124">SUM(AY64:AY65)</f>
        <v>0</v>
      </c>
      <c r="AZ62" s="483">
        <f t="shared" si="124"/>
        <v>0</v>
      </c>
      <c r="BA62" s="483">
        <f t="shared" si="124"/>
        <v>0</v>
      </c>
      <c r="BB62" s="483">
        <f t="shared" si="124"/>
        <v>0</v>
      </c>
      <c r="BC62" s="483">
        <f t="shared" si="124"/>
        <v>0</v>
      </c>
      <c r="BD62" s="483">
        <f t="shared" si="124"/>
        <v>0</v>
      </c>
      <c r="BE62" s="483">
        <f t="shared" si="124"/>
        <v>0</v>
      </c>
      <c r="BF62" s="483">
        <f t="shared" si="124"/>
        <v>0</v>
      </c>
      <c r="BG62" s="483"/>
      <c r="BH62" s="484">
        <f>'Учебный план'!BZ81</f>
        <v>0</v>
      </c>
      <c r="BI62" s="511" t="str">
        <f>'Учебный план'!CA81</f>
        <v>ОК 1-10; ПК 3.1 - 3.2</v>
      </c>
    </row>
    <row r="63" spans="1:61" s="225" customFormat="1" ht="26.1" customHeight="1" x14ac:dyDescent="0.2">
      <c r="A63" s="512" t="str">
        <f>'Учебный план'!A82</f>
        <v>МДК 03.01</v>
      </c>
      <c r="B63" s="825" t="str">
        <f>'Учебный план'!B82</f>
        <v>Технология перевозки груза</v>
      </c>
      <c r="C63" s="826"/>
      <c r="D63" s="826"/>
      <c r="E63" s="826"/>
      <c r="F63" s="826"/>
      <c r="G63" s="826"/>
      <c r="H63" s="827"/>
      <c r="I63" s="517"/>
      <c r="J63" s="516"/>
      <c r="K63" s="450">
        <f>'Учебный план'!K82</f>
        <v>163</v>
      </c>
      <c r="L63" s="450">
        <f>'Учебный план'!L82</f>
        <v>110</v>
      </c>
      <c r="M63" s="513">
        <f t="shared" si="86"/>
        <v>0</v>
      </c>
      <c r="N63" s="513">
        <f>SUM(O63:R63)</f>
        <v>0</v>
      </c>
      <c r="O63" s="513">
        <f>U63+AG63+AM63+AS63</f>
        <v>0</v>
      </c>
      <c r="P63" s="513">
        <f>V63+AH63+AN63+AT63</f>
        <v>0</v>
      </c>
      <c r="Q63" s="513">
        <f>W63+AI63+AO63+AU63</f>
        <v>0</v>
      </c>
      <c r="R63" s="513">
        <f>X63+AJ63+AP63+AV63</f>
        <v>0</v>
      </c>
      <c r="S63" s="513">
        <f>Y63+AK63+AQ63+AW63</f>
        <v>0</v>
      </c>
      <c r="T63" s="513">
        <f>SUM(U63:Y63)</f>
        <v>0</v>
      </c>
      <c r="U63" s="517">
        <v>0</v>
      </c>
      <c r="V63" s="517">
        <v>0</v>
      </c>
      <c r="W63" s="517">
        <v>0</v>
      </c>
      <c r="X63" s="517">
        <v>0</v>
      </c>
      <c r="Y63" s="517">
        <v>0</v>
      </c>
      <c r="Z63" s="513">
        <f>SUM(AA63:AE63)</f>
        <v>0</v>
      </c>
      <c r="AA63" s="517">
        <v>0</v>
      </c>
      <c r="AB63" s="517">
        <v>0</v>
      </c>
      <c r="AC63" s="517">
        <v>0</v>
      </c>
      <c r="AD63" s="517">
        <v>0</v>
      </c>
      <c r="AE63" s="517">
        <v>0</v>
      </c>
      <c r="AF63" s="513">
        <f>SUM(AG63:AK63)</f>
        <v>0</v>
      </c>
      <c r="AG63" s="517">
        <v>0</v>
      </c>
      <c r="AH63" s="517">
        <v>0</v>
      </c>
      <c r="AI63" s="517">
        <v>0</v>
      </c>
      <c r="AJ63" s="517">
        <v>0</v>
      </c>
      <c r="AK63" s="517">
        <v>0</v>
      </c>
      <c r="AL63" s="513">
        <f>SUM(AM63:AQ63)</f>
        <v>0</v>
      </c>
      <c r="AM63" s="517">
        <v>0</v>
      </c>
      <c r="AN63" s="517">
        <v>0</v>
      </c>
      <c r="AO63" s="517">
        <v>0</v>
      </c>
      <c r="AP63" s="517">
        <v>0</v>
      </c>
      <c r="AQ63" s="517">
        <v>0</v>
      </c>
      <c r="AR63" s="513">
        <f>SUM(AS63:AW63)</f>
        <v>0</v>
      </c>
      <c r="AS63" s="517">
        <v>0</v>
      </c>
      <c r="AT63" s="517">
        <v>0</v>
      </c>
      <c r="AU63" s="517">
        <v>0</v>
      </c>
      <c r="AV63" s="517">
        <v>0</v>
      </c>
      <c r="AW63" s="517">
        <v>0</v>
      </c>
      <c r="AX63" s="517"/>
      <c r="AY63" s="513">
        <f t="shared" ref="AY63:AY65" si="125">SUM(AZ63:BF63)</f>
        <v>0</v>
      </c>
      <c r="AZ63" s="517">
        <v>0</v>
      </c>
      <c r="BA63" s="517">
        <v>0</v>
      </c>
      <c r="BB63" s="517">
        <v>0</v>
      </c>
      <c r="BC63" s="517">
        <v>0</v>
      </c>
      <c r="BD63" s="517">
        <v>0</v>
      </c>
      <c r="BE63" s="517">
        <v>0</v>
      </c>
      <c r="BF63" s="517">
        <v>0</v>
      </c>
      <c r="BG63" s="517"/>
      <c r="BH63" s="516">
        <f>'Учебный план'!BZ82</f>
        <v>0</v>
      </c>
      <c r="BI63" s="518">
        <f>'Учебный план'!CA82</f>
        <v>0</v>
      </c>
    </row>
    <row r="64" spans="1:61" s="225" customFormat="1" ht="26.1" customHeight="1" x14ac:dyDescent="0.2">
      <c r="A64" s="490">
        <f>'Учебный план'!A83</f>
        <v>0</v>
      </c>
      <c r="B64" s="416" t="str">
        <f>'Учебный план'!B83</f>
        <v>Коммерческая эксплуатация</v>
      </c>
      <c r="C64" s="416">
        <f>'Учебный план'!C83</f>
        <v>0</v>
      </c>
      <c r="D64" s="363"/>
      <c r="E64" s="363" t="s">
        <v>30</v>
      </c>
      <c r="F64" s="363"/>
      <c r="G64" s="363"/>
      <c r="H64" s="529" t="s">
        <v>30</v>
      </c>
      <c r="I64" s="468">
        <f t="shared" ref="I64:I65" si="126">K64-M64</f>
        <v>0</v>
      </c>
      <c r="J64" s="469">
        <f t="shared" ref="J64:J65" si="127">L64*$J$1</f>
        <v>13.2</v>
      </c>
      <c r="K64" s="177">
        <f>'Учебный план'!K83</f>
        <v>65</v>
      </c>
      <c r="L64" s="177">
        <f>'Учебный план'!L83</f>
        <v>44</v>
      </c>
      <c r="M64" s="470">
        <f t="shared" si="86"/>
        <v>65</v>
      </c>
      <c r="N64" s="470">
        <f>SUM(O64:R64)</f>
        <v>10</v>
      </c>
      <c r="O64" s="470">
        <f t="shared" ref="O64:R65" si="128">U64+AG64+AM64+AS64+AA64+BA64</f>
        <v>10</v>
      </c>
      <c r="P64" s="470">
        <f t="shared" si="128"/>
        <v>0</v>
      </c>
      <c r="Q64" s="470">
        <f t="shared" si="128"/>
        <v>0</v>
      </c>
      <c r="R64" s="470">
        <f t="shared" si="128"/>
        <v>0</v>
      </c>
      <c r="S64" s="470">
        <f>Y64+AK64+AQ64+AW64+BF64+AE64</f>
        <v>55</v>
      </c>
      <c r="T64" s="471">
        <f>SUM(U64:Y64)</f>
        <v>0</v>
      </c>
      <c r="U64" s="458"/>
      <c r="V64" s="458"/>
      <c r="W64" s="458"/>
      <c r="X64" s="458"/>
      <c r="Y64" s="458"/>
      <c r="Z64" s="471">
        <f>SUM(AA64:AE64)</f>
        <v>0</v>
      </c>
      <c r="AA64" s="458"/>
      <c r="AB64" s="458"/>
      <c r="AC64" s="458"/>
      <c r="AD64" s="458"/>
      <c r="AE64" s="458"/>
      <c r="AF64" s="471">
        <f>SUM(AG64:AK64)</f>
        <v>65</v>
      </c>
      <c r="AG64" s="458">
        <v>10</v>
      </c>
      <c r="AH64" s="458"/>
      <c r="AI64" s="458"/>
      <c r="AJ64" s="458"/>
      <c r="AK64" s="458">
        <v>55</v>
      </c>
      <c r="AL64" s="471">
        <f>SUM(AM64:AQ64)</f>
        <v>0</v>
      </c>
      <c r="AM64" s="458"/>
      <c r="AN64" s="458"/>
      <c r="AO64" s="458"/>
      <c r="AP64" s="458"/>
      <c r="AQ64" s="458"/>
      <c r="AR64" s="471">
        <f>SUM(AS64:AW64)</f>
        <v>0</v>
      </c>
      <c r="AS64" s="458"/>
      <c r="AT64" s="458"/>
      <c r="AU64" s="458"/>
      <c r="AV64" s="458"/>
      <c r="AW64" s="458"/>
      <c r="AX64" s="472"/>
      <c r="AY64" s="471">
        <f t="shared" si="125"/>
        <v>0</v>
      </c>
      <c r="AZ64" s="458"/>
      <c r="BA64" s="458"/>
      <c r="BB64" s="458"/>
      <c r="BC64" s="458"/>
      <c r="BD64" s="458"/>
      <c r="BE64" s="458"/>
      <c r="BF64" s="458"/>
      <c r="BG64" s="473"/>
      <c r="BH64" s="474" t="str">
        <f>'Учебный план'!BZ83</f>
        <v>64-9</v>
      </c>
      <c r="BI64" s="475" t="str">
        <f>'Учебный план'!CA83</f>
        <v>ОК 1-10; ПК 3.1 - 3.2</v>
      </c>
    </row>
    <row r="65" spans="1:62" s="225" customFormat="1" ht="26.1" customHeight="1" x14ac:dyDescent="0.2">
      <c r="A65" s="490">
        <f>'Учебный план'!A84</f>
        <v>0</v>
      </c>
      <c r="B65" s="416" t="str">
        <f>'Учебный план'!B84</f>
        <v>Технология перевозок</v>
      </c>
      <c r="C65" s="416">
        <f>'Учебный план'!C84</f>
        <v>0</v>
      </c>
      <c r="D65" s="363"/>
      <c r="E65" s="363" t="s">
        <v>40</v>
      </c>
      <c r="F65" s="363"/>
      <c r="G65" s="363" t="s">
        <v>40</v>
      </c>
      <c r="H65" s="529" t="s">
        <v>40</v>
      </c>
      <c r="I65" s="468">
        <f t="shared" si="126"/>
        <v>0</v>
      </c>
      <c r="J65" s="469">
        <f t="shared" si="127"/>
        <v>19.8</v>
      </c>
      <c r="K65" s="177">
        <f>'Учебный план'!K84</f>
        <v>98</v>
      </c>
      <c r="L65" s="177">
        <f>'Учебный план'!L84</f>
        <v>66</v>
      </c>
      <c r="M65" s="470">
        <f t="shared" si="86"/>
        <v>98</v>
      </c>
      <c r="N65" s="470">
        <f>SUM(O65:R65)</f>
        <v>28</v>
      </c>
      <c r="O65" s="470">
        <f t="shared" si="128"/>
        <v>6</v>
      </c>
      <c r="P65" s="470">
        <f t="shared" si="128"/>
        <v>0</v>
      </c>
      <c r="Q65" s="470">
        <f t="shared" si="128"/>
        <v>22</v>
      </c>
      <c r="R65" s="470">
        <f t="shared" si="128"/>
        <v>0</v>
      </c>
      <c r="S65" s="470">
        <f>Y65+AK65+AQ65+AW65+BF65+AE65</f>
        <v>70</v>
      </c>
      <c r="T65" s="471">
        <f>SUM(U65:Y65)</f>
        <v>0</v>
      </c>
      <c r="U65" s="458"/>
      <c r="V65" s="458"/>
      <c r="W65" s="458"/>
      <c r="X65" s="458"/>
      <c r="Y65" s="458"/>
      <c r="Z65" s="471">
        <f>SUM(AA65:AE65)</f>
        <v>0</v>
      </c>
      <c r="AA65" s="458"/>
      <c r="AB65" s="458"/>
      <c r="AC65" s="458"/>
      <c r="AD65" s="458"/>
      <c r="AE65" s="458"/>
      <c r="AF65" s="471">
        <f>SUM(AG65:AK65)</f>
        <v>0</v>
      </c>
      <c r="AG65" s="458"/>
      <c r="AH65" s="458"/>
      <c r="AI65" s="458"/>
      <c r="AJ65" s="458"/>
      <c r="AK65" s="458"/>
      <c r="AL65" s="471">
        <f>SUM(AM65:AQ65)</f>
        <v>98</v>
      </c>
      <c r="AM65" s="458">
        <v>6</v>
      </c>
      <c r="AN65" s="458"/>
      <c r="AO65" s="458">
        <v>22</v>
      </c>
      <c r="AP65" s="458"/>
      <c r="AQ65" s="458">
        <v>70</v>
      </c>
      <c r="AR65" s="471">
        <f>SUM(AS65:AW65)</f>
        <v>0</v>
      </c>
      <c r="AS65" s="458"/>
      <c r="AT65" s="458"/>
      <c r="AU65" s="458"/>
      <c r="AV65" s="458"/>
      <c r="AW65" s="458"/>
      <c r="AX65" s="472"/>
      <c r="AY65" s="471">
        <f t="shared" si="125"/>
        <v>0</v>
      </c>
      <c r="AZ65" s="458"/>
      <c r="BA65" s="458"/>
      <c r="BB65" s="458"/>
      <c r="BC65" s="458"/>
      <c r="BD65" s="458"/>
      <c r="BE65" s="458"/>
      <c r="BF65" s="458"/>
      <c r="BG65" s="473"/>
      <c r="BH65" s="474" t="str">
        <f>'Учебный план'!BZ84</f>
        <v>64-9</v>
      </c>
      <c r="BI65" s="475" t="str">
        <f>'Учебный план'!CA84</f>
        <v>ОК 1-10; ПК 3.1 - 3.2</v>
      </c>
    </row>
    <row r="66" spans="1:62" s="225" customFormat="1" ht="12" customHeight="1" x14ac:dyDescent="0.2">
      <c r="A66" s="809" t="str">
        <f>'Учебный план'!A85</f>
        <v xml:space="preserve"> Экзамен квалификационный</v>
      </c>
      <c r="B66" s="810"/>
      <c r="C66" s="485"/>
      <c r="D66" s="405" t="s">
        <v>40</v>
      </c>
      <c r="E66" s="405"/>
      <c r="F66" s="405"/>
      <c r="G66" s="405"/>
      <c r="H66" s="405"/>
      <c r="I66" s="486"/>
      <c r="J66" s="487"/>
      <c r="K66" s="406">
        <f>'Учебный план'!K85</f>
        <v>0</v>
      </c>
      <c r="L66" s="406">
        <f>'Учебный план'!L85</f>
        <v>0</v>
      </c>
      <c r="M66" s="488">
        <f t="shared" si="86"/>
        <v>0</v>
      </c>
      <c r="N66" s="488"/>
      <c r="O66" s="488"/>
      <c r="P66" s="488"/>
      <c r="Q66" s="488"/>
      <c r="R66" s="488"/>
      <c r="S66" s="488"/>
      <c r="T66" s="488"/>
      <c r="U66" s="486"/>
      <c r="V66" s="486"/>
      <c r="W66" s="486"/>
      <c r="X66" s="486"/>
      <c r="Y66" s="486"/>
      <c r="Z66" s="488"/>
      <c r="AA66" s="486"/>
      <c r="AB66" s="486"/>
      <c r="AC66" s="486"/>
      <c r="AD66" s="486"/>
      <c r="AE66" s="486"/>
      <c r="AF66" s="488"/>
      <c r="AG66" s="486"/>
      <c r="AH66" s="486"/>
      <c r="AI66" s="486"/>
      <c r="AJ66" s="486"/>
      <c r="AK66" s="486"/>
      <c r="AL66" s="488"/>
      <c r="AM66" s="486"/>
      <c r="AN66" s="486"/>
      <c r="AO66" s="486"/>
      <c r="AP66" s="486"/>
      <c r="AQ66" s="486"/>
      <c r="AR66" s="488"/>
      <c r="AS66" s="486"/>
      <c r="AT66" s="486"/>
      <c r="AU66" s="486"/>
      <c r="AV66" s="486"/>
      <c r="AW66" s="486"/>
      <c r="AX66" s="486"/>
      <c r="AY66" s="488"/>
      <c r="AZ66" s="486"/>
      <c r="BA66" s="486"/>
      <c r="BB66" s="486"/>
      <c r="BC66" s="486"/>
      <c r="BD66" s="486"/>
      <c r="BE66" s="486"/>
      <c r="BF66" s="486"/>
      <c r="BG66" s="486"/>
      <c r="BH66" s="487">
        <f>'Учебный план'!BZ85</f>
        <v>0</v>
      </c>
      <c r="BI66" s="489">
        <f>'Учебный план'!CA85</f>
        <v>0</v>
      </c>
    </row>
    <row r="67" spans="1:62" s="228" customFormat="1" ht="26.1" customHeight="1" x14ac:dyDescent="0.2">
      <c r="A67" s="482" t="str">
        <f>'Учебный план'!A86</f>
        <v>ПМ.04</v>
      </c>
      <c r="B67" s="819" t="str">
        <f>'Учебный план'!B86</f>
        <v>Анализ эффективности работы судна</v>
      </c>
      <c r="C67" s="820"/>
      <c r="D67" s="820"/>
      <c r="E67" s="820"/>
      <c r="F67" s="820"/>
      <c r="G67" s="820"/>
      <c r="H67" s="821"/>
      <c r="I67" s="483"/>
      <c r="J67" s="484"/>
      <c r="K67" s="380">
        <f>'Учебный план'!K86</f>
        <v>89</v>
      </c>
      <c r="L67" s="380">
        <f>'Учебный план'!L86</f>
        <v>60</v>
      </c>
      <c r="M67" s="483">
        <f t="shared" si="86"/>
        <v>89</v>
      </c>
      <c r="N67" s="483">
        <f t="shared" ref="N67:S67" si="129">N68</f>
        <v>12</v>
      </c>
      <c r="O67" s="483">
        <f t="shared" si="129"/>
        <v>12</v>
      </c>
      <c r="P67" s="483">
        <f t="shared" si="129"/>
        <v>0</v>
      </c>
      <c r="Q67" s="483">
        <f t="shared" si="129"/>
        <v>0</v>
      </c>
      <c r="R67" s="483">
        <f t="shared" si="129"/>
        <v>0</v>
      </c>
      <c r="S67" s="483">
        <f t="shared" si="129"/>
        <v>77</v>
      </c>
      <c r="T67" s="483">
        <f>T68</f>
        <v>0</v>
      </c>
      <c r="U67" s="483">
        <f t="shared" ref="U67:Y67" si="130">U68</f>
        <v>0</v>
      </c>
      <c r="V67" s="483">
        <f t="shared" si="130"/>
        <v>0</v>
      </c>
      <c r="W67" s="483">
        <f t="shared" si="130"/>
        <v>0</v>
      </c>
      <c r="X67" s="483">
        <f t="shared" si="130"/>
        <v>0</v>
      </c>
      <c r="Y67" s="483">
        <f t="shared" si="130"/>
        <v>0</v>
      </c>
      <c r="Z67" s="483">
        <f>Z68</f>
        <v>0</v>
      </c>
      <c r="AA67" s="483">
        <f t="shared" ref="AA67:AE67" si="131">AA68</f>
        <v>0</v>
      </c>
      <c r="AB67" s="483">
        <f t="shared" si="131"/>
        <v>0</v>
      </c>
      <c r="AC67" s="483">
        <f t="shared" si="131"/>
        <v>0</v>
      </c>
      <c r="AD67" s="483">
        <f t="shared" si="131"/>
        <v>0</v>
      </c>
      <c r="AE67" s="483">
        <f t="shared" si="131"/>
        <v>0</v>
      </c>
      <c r="AF67" s="483">
        <f>AF68</f>
        <v>0</v>
      </c>
      <c r="AG67" s="483">
        <f t="shared" ref="AG67:AK67" si="132">AG68</f>
        <v>0</v>
      </c>
      <c r="AH67" s="483">
        <f t="shared" si="132"/>
        <v>0</v>
      </c>
      <c r="AI67" s="483">
        <f t="shared" si="132"/>
        <v>0</v>
      </c>
      <c r="AJ67" s="483">
        <f t="shared" si="132"/>
        <v>0</v>
      </c>
      <c r="AK67" s="483">
        <f t="shared" si="132"/>
        <v>0</v>
      </c>
      <c r="AL67" s="483">
        <f>AL68</f>
        <v>89</v>
      </c>
      <c r="AM67" s="483">
        <f t="shared" ref="AM67:AQ67" si="133">AM68</f>
        <v>12</v>
      </c>
      <c r="AN67" s="483">
        <f t="shared" si="133"/>
        <v>0</v>
      </c>
      <c r="AO67" s="483">
        <f t="shared" si="133"/>
        <v>0</v>
      </c>
      <c r="AP67" s="483">
        <f t="shared" si="133"/>
        <v>0</v>
      </c>
      <c r="AQ67" s="483">
        <f t="shared" si="133"/>
        <v>77</v>
      </c>
      <c r="AR67" s="483">
        <f>AR68</f>
        <v>0</v>
      </c>
      <c r="AS67" s="483">
        <f t="shared" ref="AS67:AW67" si="134">AS68</f>
        <v>0</v>
      </c>
      <c r="AT67" s="483">
        <f t="shared" si="134"/>
        <v>0</v>
      </c>
      <c r="AU67" s="483">
        <f t="shared" si="134"/>
        <v>0</v>
      </c>
      <c r="AV67" s="483">
        <f t="shared" si="134"/>
        <v>0</v>
      </c>
      <c r="AW67" s="483">
        <f t="shared" si="134"/>
        <v>0</v>
      </c>
      <c r="AX67" s="483"/>
      <c r="AY67" s="483">
        <f>AY68</f>
        <v>0</v>
      </c>
      <c r="AZ67" s="483">
        <f t="shared" ref="AZ67:BF67" si="135">AZ68</f>
        <v>0</v>
      </c>
      <c r="BA67" s="483">
        <f t="shared" si="135"/>
        <v>0</v>
      </c>
      <c r="BB67" s="483">
        <f t="shared" si="135"/>
        <v>0</v>
      </c>
      <c r="BC67" s="483">
        <f t="shared" si="135"/>
        <v>0</v>
      </c>
      <c r="BD67" s="483">
        <f t="shared" si="135"/>
        <v>0</v>
      </c>
      <c r="BE67" s="483">
        <f t="shared" si="135"/>
        <v>0</v>
      </c>
      <c r="BF67" s="483">
        <f t="shared" si="135"/>
        <v>0</v>
      </c>
      <c r="BG67" s="483"/>
      <c r="BH67" s="484">
        <f>'Учебный план'!BZ86</f>
        <v>0</v>
      </c>
      <c r="BI67" s="484" t="str">
        <f>'Учебный план'!CA86</f>
        <v>ОК 1-10; ПК 4.1 - 4.3</v>
      </c>
    </row>
    <row r="68" spans="1:62" s="225" customFormat="1" ht="26.1" customHeight="1" x14ac:dyDescent="0.2">
      <c r="A68" s="519" t="str">
        <f>'Учебный план'!A87</f>
        <v>МДК.04.01</v>
      </c>
      <c r="B68" s="519" t="str">
        <f>'Учебный план'!B87</f>
        <v>Основы анализа эффективности работы судна с применением информационных технологий</v>
      </c>
      <c r="C68" s="519">
        <f>'Учебный план'!C87</f>
        <v>0</v>
      </c>
      <c r="D68" s="456"/>
      <c r="E68" s="456" t="s">
        <v>40</v>
      </c>
      <c r="F68" s="456"/>
      <c r="G68" s="456"/>
      <c r="H68" s="530" t="s">
        <v>40</v>
      </c>
      <c r="I68" s="515">
        <f>K68-M68</f>
        <v>0</v>
      </c>
      <c r="J68" s="520">
        <f t="shared" ref="J68" si="136">L68*$J$1</f>
        <v>18</v>
      </c>
      <c r="K68" s="450">
        <f>'Учебный план'!K87</f>
        <v>89</v>
      </c>
      <c r="L68" s="450">
        <f>'Учебный план'!L87</f>
        <v>60</v>
      </c>
      <c r="M68" s="513">
        <f t="shared" si="86"/>
        <v>89</v>
      </c>
      <c r="N68" s="513">
        <f>SUM(O68:R68)</f>
        <v>12</v>
      </c>
      <c r="O68" s="513">
        <f>U68+AG68+AM68+AS68+AA68+BA68</f>
        <v>12</v>
      </c>
      <c r="P68" s="513">
        <f>V68+AH68+AN68+AT68+AB68+BB68</f>
        <v>0</v>
      </c>
      <c r="Q68" s="513">
        <f>W68+AI68+AO68+AU68+AC68+BC68</f>
        <v>0</v>
      </c>
      <c r="R68" s="513">
        <f>X68+AJ68+AP68+AV68+AD68+BD68</f>
        <v>0</v>
      </c>
      <c r="S68" s="513">
        <f>Y68+AK68+AQ68+AW68+BF68+AE68</f>
        <v>77</v>
      </c>
      <c r="T68" s="513">
        <f>SUM(U68:Y68)</f>
        <v>0</v>
      </c>
      <c r="U68" s="517"/>
      <c r="V68" s="517"/>
      <c r="W68" s="517"/>
      <c r="X68" s="517"/>
      <c r="Y68" s="517"/>
      <c r="Z68" s="513">
        <f>SUM(AA68:AE68)</f>
        <v>0</v>
      </c>
      <c r="AA68" s="517"/>
      <c r="AB68" s="517"/>
      <c r="AC68" s="517"/>
      <c r="AD68" s="517"/>
      <c r="AE68" s="517"/>
      <c r="AF68" s="513">
        <f>SUM(AG68:AK68)</f>
        <v>0</v>
      </c>
      <c r="AG68" s="517"/>
      <c r="AH68" s="517"/>
      <c r="AI68" s="517"/>
      <c r="AJ68" s="517"/>
      <c r="AK68" s="517"/>
      <c r="AL68" s="513">
        <f>SUM(AM68:AQ68)</f>
        <v>89</v>
      </c>
      <c r="AM68" s="517">
        <v>12</v>
      </c>
      <c r="AN68" s="517"/>
      <c r="AO68" s="517"/>
      <c r="AP68" s="517"/>
      <c r="AQ68" s="517">
        <v>77</v>
      </c>
      <c r="AR68" s="513">
        <f>SUM(AS68:AW68)</f>
        <v>0</v>
      </c>
      <c r="AS68" s="517"/>
      <c r="AT68" s="517"/>
      <c r="AU68" s="517"/>
      <c r="AV68" s="517"/>
      <c r="AW68" s="517"/>
      <c r="AX68" s="517"/>
      <c r="AY68" s="513">
        <f t="shared" ref="AY68" si="137">SUM(AZ68:BF68)</f>
        <v>0</v>
      </c>
      <c r="AZ68" s="517">
        <v>0</v>
      </c>
      <c r="BA68" s="517"/>
      <c r="BB68" s="517"/>
      <c r="BC68" s="517"/>
      <c r="BD68" s="517"/>
      <c r="BE68" s="517"/>
      <c r="BF68" s="517"/>
      <c r="BG68" s="517"/>
      <c r="BH68" s="516" t="str">
        <f>'Учебный план'!BZ87</f>
        <v>64-5</v>
      </c>
      <c r="BI68" s="516" t="str">
        <f>'Учебный план'!CA87</f>
        <v>ОК 1-10; ПК 4.1 - 4.3</v>
      </c>
    </row>
    <row r="69" spans="1:62" s="225" customFormat="1" ht="12" customHeight="1" x14ac:dyDescent="0.2">
      <c r="A69" s="809" t="str">
        <f>'Учебный план'!A88</f>
        <v xml:space="preserve"> Экзамен квалификационный</v>
      </c>
      <c r="B69" s="810"/>
      <c r="C69" s="485"/>
      <c r="D69" s="405" t="s">
        <v>40</v>
      </c>
      <c r="E69" s="405"/>
      <c r="F69" s="405"/>
      <c r="G69" s="405"/>
      <c r="H69" s="405"/>
      <c r="I69" s="486"/>
      <c r="J69" s="487"/>
      <c r="K69" s="406">
        <f>'Учебный план'!K88</f>
        <v>0</v>
      </c>
      <c r="L69" s="406">
        <f>'Учебный план'!L88</f>
        <v>0</v>
      </c>
      <c r="M69" s="488">
        <f t="shared" si="86"/>
        <v>0</v>
      </c>
      <c r="N69" s="488"/>
      <c r="O69" s="488"/>
      <c r="P69" s="488"/>
      <c r="Q69" s="488"/>
      <c r="R69" s="488"/>
      <c r="S69" s="488"/>
      <c r="T69" s="488"/>
      <c r="U69" s="486"/>
      <c r="V69" s="486"/>
      <c r="W69" s="486"/>
      <c r="X69" s="486"/>
      <c r="Y69" s="486"/>
      <c r="Z69" s="488"/>
      <c r="AA69" s="486"/>
      <c r="AB69" s="486"/>
      <c r="AC69" s="486"/>
      <c r="AD69" s="486"/>
      <c r="AE69" s="486"/>
      <c r="AF69" s="488"/>
      <c r="AG69" s="486"/>
      <c r="AH69" s="486"/>
      <c r="AI69" s="486"/>
      <c r="AJ69" s="486"/>
      <c r="AK69" s="486"/>
      <c r="AL69" s="488"/>
      <c r="AM69" s="486"/>
      <c r="AN69" s="486"/>
      <c r="AO69" s="486"/>
      <c r="AP69" s="486"/>
      <c r="AQ69" s="486"/>
      <c r="AR69" s="488"/>
      <c r="AS69" s="486"/>
      <c r="AT69" s="486"/>
      <c r="AU69" s="486"/>
      <c r="AV69" s="486"/>
      <c r="AW69" s="486"/>
      <c r="AX69" s="486"/>
      <c r="AY69" s="488"/>
      <c r="AZ69" s="486"/>
      <c r="BA69" s="486"/>
      <c r="BB69" s="486"/>
      <c r="BC69" s="486"/>
      <c r="BD69" s="486"/>
      <c r="BE69" s="486"/>
      <c r="BF69" s="486"/>
      <c r="BG69" s="486"/>
      <c r="BH69" s="487">
        <f>'Учебный план'!BZ88</f>
        <v>0</v>
      </c>
      <c r="BI69" s="487">
        <f>'Учебный план'!CA88</f>
        <v>0</v>
      </c>
    </row>
    <row r="70" spans="1:62" s="228" customFormat="1" ht="26.1" customHeight="1" x14ac:dyDescent="0.2">
      <c r="A70" s="482" t="str">
        <f>'Учебный план'!A89</f>
        <v>ПМ 05</v>
      </c>
      <c r="B70" s="819" t="str">
        <f>'Учебный план'!B89</f>
        <v>Выполнение работ по одной или нескольким профессиям рабочих, должностям служащих</v>
      </c>
      <c r="C70" s="820"/>
      <c r="D70" s="820"/>
      <c r="E70" s="820"/>
      <c r="F70" s="820"/>
      <c r="G70" s="820"/>
      <c r="H70" s="821"/>
      <c r="I70" s="483"/>
      <c r="J70" s="484"/>
      <c r="K70" s="380">
        <f>'Учебный план'!K89</f>
        <v>102</v>
      </c>
      <c r="L70" s="380">
        <f>'Учебный план'!L89</f>
        <v>68</v>
      </c>
      <c r="M70" s="483">
        <f t="shared" si="86"/>
        <v>102</v>
      </c>
      <c r="N70" s="483">
        <f t="shared" ref="N70:S70" si="138" xml:space="preserve"> SUM(N71:N71)</f>
        <v>16</v>
      </c>
      <c r="O70" s="483">
        <f t="shared" si="138"/>
        <v>16</v>
      </c>
      <c r="P70" s="483">
        <f t="shared" si="138"/>
        <v>0</v>
      </c>
      <c r="Q70" s="483">
        <f t="shared" si="138"/>
        <v>0</v>
      </c>
      <c r="R70" s="483">
        <f t="shared" si="138"/>
        <v>0</v>
      </c>
      <c r="S70" s="483">
        <f t="shared" si="138"/>
        <v>86</v>
      </c>
      <c r="T70" s="483">
        <f t="shared" ref="T70:Y70" si="139" xml:space="preserve"> SUM(T71:T71)</f>
        <v>0</v>
      </c>
      <c r="U70" s="483">
        <f t="shared" si="139"/>
        <v>0</v>
      </c>
      <c r="V70" s="483">
        <f t="shared" si="139"/>
        <v>0</v>
      </c>
      <c r="W70" s="483">
        <f t="shared" si="139"/>
        <v>0</v>
      </c>
      <c r="X70" s="483">
        <f t="shared" si="139"/>
        <v>0</v>
      </c>
      <c r="Y70" s="483">
        <f t="shared" si="139"/>
        <v>0</v>
      </c>
      <c r="Z70" s="483">
        <f t="shared" ref="Z70:AE70" si="140" xml:space="preserve"> SUM(Z71:Z71)</f>
        <v>102</v>
      </c>
      <c r="AA70" s="483">
        <f t="shared" si="140"/>
        <v>16</v>
      </c>
      <c r="AB70" s="483">
        <f t="shared" si="140"/>
        <v>0</v>
      </c>
      <c r="AC70" s="483">
        <f t="shared" si="140"/>
        <v>0</v>
      </c>
      <c r="AD70" s="483">
        <f t="shared" si="140"/>
        <v>0</v>
      </c>
      <c r="AE70" s="483">
        <f t="shared" si="140"/>
        <v>86</v>
      </c>
      <c r="AF70" s="483">
        <f t="shared" ref="AF70:AK70" si="141" xml:space="preserve"> SUM(AF71:AF71)</f>
        <v>0</v>
      </c>
      <c r="AG70" s="483">
        <f xml:space="preserve"> SUM(AG71:AG71)</f>
        <v>0</v>
      </c>
      <c r="AH70" s="483">
        <f t="shared" si="141"/>
        <v>0</v>
      </c>
      <c r="AI70" s="483">
        <f t="shared" si="141"/>
        <v>0</v>
      </c>
      <c r="AJ70" s="483">
        <f t="shared" si="141"/>
        <v>0</v>
      </c>
      <c r="AK70" s="483">
        <f t="shared" si="141"/>
        <v>0</v>
      </c>
      <c r="AL70" s="483">
        <f t="shared" ref="AL70:AQ70" si="142" xml:space="preserve"> SUM(AL71:AL71)</f>
        <v>0</v>
      </c>
      <c r="AM70" s="483">
        <f t="shared" si="142"/>
        <v>0</v>
      </c>
      <c r="AN70" s="483">
        <f t="shared" si="142"/>
        <v>0</v>
      </c>
      <c r="AO70" s="483">
        <f t="shared" si="142"/>
        <v>0</v>
      </c>
      <c r="AP70" s="483">
        <f t="shared" si="142"/>
        <v>0</v>
      </c>
      <c r="AQ70" s="483">
        <f t="shared" si="142"/>
        <v>0</v>
      </c>
      <c r="AR70" s="483">
        <f t="shared" ref="AR70:AW70" si="143" xml:space="preserve"> SUM(AR71:AR71)</f>
        <v>0</v>
      </c>
      <c r="AS70" s="483">
        <f t="shared" si="143"/>
        <v>0</v>
      </c>
      <c r="AT70" s="483">
        <f t="shared" si="143"/>
        <v>0</v>
      </c>
      <c r="AU70" s="483">
        <f t="shared" si="143"/>
        <v>0</v>
      </c>
      <c r="AV70" s="483">
        <f t="shared" si="143"/>
        <v>0</v>
      </c>
      <c r="AW70" s="483">
        <f t="shared" si="143"/>
        <v>0</v>
      </c>
      <c r="AX70" s="483"/>
      <c r="AY70" s="483">
        <f t="shared" ref="AY70:BF70" si="144" xml:space="preserve"> SUM(AY71:AY71)</f>
        <v>0</v>
      </c>
      <c r="AZ70" s="483">
        <f t="shared" si="144"/>
        <v>0</v>
      </c>
      <c r="BA70" s="483">
        <f t="shared" si="144"/>
        <v>0</v>
      </c>
      <c r="BB70" s="483">
        <f t="shared" si="144"/>
        <v>0</v>
      </c>
      <c r="BC70" s="483">
        <f t="shared" si="144"/>
        <v>0</v>
      </c>
      <c r="BD70" s="483">
        <f t="shared" si="144"/>
        <v>0</v>
      </c>
      <c r="BE70" s="483">
        <f t="shared" si="144"/>
        <v>0</v>
      </c>
      <c r="BF70" s="483">
        <f t="shared" si="144"/>
        <v>0</v>
      </c>
      <c r="BG70" s="483"/>
      <c r="BH70" s="484">
        <f>'Учебный план'!BZ89</f>
        <v>0</v>
      </c>
      <c r="BI70" s="484">
        <f>'Учебный план'!CA89</f>
        <v>0</v>
      </c>
      <c r="BJ70" s="323"/>
    </row>
    <row r="71" spans="1:62" s="225" customFormat="1" ht="26.1" customHeight="1" x14ac:dyDescent="0.2">
      <c r="A71" s="416">
        <f>'Учебный план'!A90</f>
        <v>0</v>
      </c>
      <c r="B71" s="416" t="str">
        <f>'Учебный план'!B90</f>
        <v>Матрос</v>
      </c>
      <c r="C71" s="416" t="str">
        <f>'Учебный план'!C90</f>
        <v>Матрос</v>
      </c>
      <c r="D71" s="363"/>
      <c r="E71" s="363" t="s">
        <v>31</v>
      </c>
      <c r="F71" s="363"/>
      <c r="G71" s="363"/>
      <c r="H71" s="363"/>
      <c r="I71" s="468">
        <f>K71-M71</f>
        <v>0</v>
      </c>
      <c r="J71" s="469">
        <f>L71*$J$1</f>
        <v>20.399999999999999</v>
      </c>
      <c r="K71" s="177">
        <f>'Учебный план'!K90</f>
        <v>102</v>
      </c>
      <c r="L71" s="177">
        <f>'Учебный план'!L90</f>
        <v>68</v>
      </c>
      <c r="M71" s="470">
        <f t="shared" si="86"/>
        <v>102</v>
      </c>
      <c r="N71" s="470">
        <f>SUM(O71:R71)</f>
        <v>16</v>
      </c>
      <c r="O71" s="470">
        <f>U71+AG71+AM71+AS71+AA71+BA71</f>
        <v>16</v>
      </c>
      <c r="P71" s="470">
        <f>V71+AH71+AN71+AT71+AB71+BB71</f>
        <v>0</v>
      </c>
      <c r="Q71" s="470">
        <f>W71+AI71+AO71+AU71+AC71+BC71</f>
        <v>0</v>
      </c>
      <c r="R71" s="470">
        <f>X71+AJ71+AP71+AV71+AD71+BD71</f>
        <v>0</v>
      </c>
      <c r="S71" s="470">
        <f>Y71+AK71+AQ71+AW71+BF71+AE71</f>
        <v>86</v>
      </c>
      <c r="T71" s="471">
        <f>SUM(U71:Y71)</f>
        <v>0</v>
      </c>
      <c r="U71" s="458"/>
      <c r="V71" s="458"/>
      <c r="W71" s="458"/>
      <c r="X71" s="458"/>
      <c r="Y71" s="458"/>
      <c r="Z71" s="471">
        <f>SUM(AA71:AE71)</f>
        <v>102</v>
      </c>
      <c r="AA71" s="458">
        <v>16</v>
      </c>
      <c r="AB71" s="458"/>
      <c r="AC71" s="458"/>
      <c r="AD71" s="458"/>
      <c r="AE71" s="458">
        <v>86</v>
      </c>
      <c r="AF71" s="471">
        <f>SUM(AG71:AK71)</f>
        <v>0</v>
      </c>
      <c r="AG71" s="458"/>
      <c r="AH71" s="458"/>
      <c r="AI71" s="458"/>
      <c r="AJ71" s="458"/>
      <c r="AK71" s="458"/>
      <c r="AL71" s="471">
        <f>SUM(AM71:AQ71)</f>
        <v>0</v>
      </c>
      <c r="AM71" s="458"/>
      <c r="AN71" s="458"/>
      <c r="AO71" s="458"/>
      <c r="AP71" s="458"/>
      <c r="AQ71" s="458"/>
      <c r="AR71" s="471">
        <f>SUM(AS71:AW71)</f>
        <v>0</v>
      </c>
      <c r="AS71" s="458"/>
      <c r="AT71" s="458"/>
      <c r="AU71" s="458"/>
      <c r="AV71" s="458"/>
      <c r="AW71" s="458"/>
      <c r="AX71" s="472"/>
      <c r="AY71" s="471">
        <f t="shared" ref="AY71" si="145">SUM(AZ71:BF71)</f>
        <v>0</v>
      </c>
      <c r="AZ71" s="458"/>
      <c r="BA71" s="458"/>
      <c r="BB71" s="458"/>
      <c r="BC71" s="458"/>
      <c r="BD71" s="458"/>
      <c r="BE71" s="458"/>
      <c r="BF71" s="458"/>
      <c r="BG71" s="473"/>
      <c r="BH71" s="474" t="str">
        <f>'Учебный план'!BZ90</f>
        <v>64-5</v>
      </c>
      <c r="BI71" s="475" t="str">
        <f>'Учебный план'!CA90</f>
        <v>ОК-1-10</v>
      </c>
    </row>
    <row r="72" spans="1:62" s="225" customFormat="1" ht="12" customHeight="1" x14ac:dyDescent="0.2">
      <c r="A72" s="809" t="str">
        <f>'Учебный план'!A91</f>
        <v xml:space="preserve"> Экзамен квалификационный</v>
      </c>
      <c r="B72" s="810"/>
      <c r="C72" s="485"/>
      <c r="D72" s="405" t="s">
        <v>30</v>
      </c>
      <c r="E72" s="405"/>
      <c r="F72" s="405"/>
      <c r="G72" s="405"/>
      <c r="H72" s="405"/>
      <c r="I72" s="486"/>
      <c r="J72" s="487"/>
      <c r="K72" s="406">
        <f>'Учебный план'!K91</f>
        <v>0</v>
      </c>
      <c r="L72" s="406">
        <f>'Учебный план'!L91</f>
        <v>0</v>
      </c>
      <c r="M72" s="488">
        <f t="shared" si="86"/>
        <v>0</v>
      </c>
      <c r="N72" s="488"/>
      <c r="O72" s="488"/>
      <c r="P72" s="488"/>
      <c r="Q72" s="488"/>
      <c r="R72" s="488"/>
      <c r="S72" s="488"/>
      <c r="T72" s="488"/>
      <c r="U72" s="486"/>
      <c r="V72" s="486"/>
      <c r="W72" s="486"/>
      <c r="X72" s="486"/>
      <c r="Y72" s="486"/>
      <c r="Z72" s="488"/>
      <c r="AA72" s="486"/>
      <c r="AB72" s="486"/>
      <c r="AC72" s="486"/>
      <c r="AD72" s="486"/>
      <c r="AE72" s="486"/>
      <c r="AF72" s="488"/>
      <c r="AG72" s="486"/>
      <c r="AH72" s="486"/>
      <c r="AI72" s="486"/>
      <c r="AJ72" s="486"/>
      <c r="AK72" s="486"/>
      <c r="AL72" s="488"/>
      <c r="AM72" s="486"/>
      <c r="AN72" s="486"/>
      <c r="AO72" s="486"/>
      <c r="AP72" s="486"/>
      <c r="AQ72" s="486"/>
      <c r="AR72" s="488"/>
      <c r="AS72" s="486"/>
      <c r="AT72" s="486"/>
      <c r="AU72" s="486"/>
      <c r="AV72" s="486"/>
      <c r="AW72" s="486"/>
      <c r="AX72" s="486"/>
      <c r="AY72" s="488"/>
      <c r="AZ72" s="486"/>
      <c r="BA72" s="486"/>
      <c r="BB72" s="486"/>
      <c r="BC72" s="486"/>
      <c r="BD72" s="486"/>
      <c r="BE72" s="486"/>
      <c r="BF72" s="486"/>
      <c r="BG72" s="486"/>
      <c r="BH72" s="487">
        <f>'Учебный план'!BZ91</f>
        <v>0</v>
      </c>
      <c r="BI72" s="489">
        <f>'Учебный план'!CA91</f>
        <v>0</v>
      </c>
    </row>
    <row r="73" spans="1:62" s="228" customFormat="1" ht="26.1" customHeight="1" x14ac:dyDescent="0.2">
      <c r="A73" s="447" t="str">
        <f>'Учебный план'!A92</f>
        <v>ВЧ.00</v>
      </c>
      <c r="B73" s="822" t="str">
        <f>'Учебный план'!B92</f>
        <v>Вариативная часть циклов ППССЗ</v>
      </c>
      <c r="C73" s="823"/>
      <c r="D73" s="823"/>
      <c r="E73" s="823"/>
      <c r="F73" s="823"/>
      <c r="G73" s="823"/>
      <c r="H73" s="824"/>
      <c r="I73" s="492"/>
      <c r="J73" s="493"/>
      <c r="K73" s="408">
        <f>'Учебный план'!K92</f>
        <v>225</v>
      </c>
      <c r="L73" s="408">
        <f>'Учебный план'!L92</f>
        <v>150</v>
      </c>
      <c r="M73" s="492">
        <f t="shared" si="86"/>
        <v>225</v>
      </c>
      <c r="N73" s="492">
        <f t="shared" ref="N73:S73" si="146">SUM(N74:N75)</f>
        <v>30</v>
      </c>
      <c r="O73" s="492">
        <f t="shared" si="146"/>
        <v>18</v>
      </c>
      <c r="P73" s="492">
        <f t="shared" si="146"/>
        <v>12</v>
      </c>
      <c r="Q73" s="492">
        <f t="shared" si="146"/>
        <v>0</v>
      </c>
      <c r="R73" s="492">
        <f t="shared" si="146"/>
        <v>0</v>
      </c>
      <c r="S73" s="492">
        <f t="shared" si="146"/>
        <v>195</v>
      </c>
      <c r="T73" s="492">
        <f xml:space="preserve"> SUM(T74:T75)</f>
        <v>0</v>
      </c>
      <c r="U73" s="492">
        <f xml:space="preserve"> SUM(U74:U75)</f>
        <v>0</v>
      </c>
      <c r="V73" s="492">
        <f t="shared" ref="V73" si="147" xml:space="preserve"> SUM(V74:V75)</f>
        <v>0</v>
      </c>
      <c r="W73" s="492">
        <f t="shared" ref="W73" si="148" xml:space="preserve"> SUM(W74:W75)</f>
        <v>0</v>
      </c>
      <c r="X73" s="492">
        <f t="shared" ref="X73" si="149" xml:space="preserve"> SUM(X74:X75)</f>
        <v>0</v>
      </c>
      <c r="Y73" s="492">
        <f t="shared" ref="Y73" si="150" xml:space="preserve"> SUM(Y74:Y75)</f>
        <v>0</v>
      </c>
      <c r="Z73" s="492">
        <f xml:space="preserve"> SUM(Z74:Z75)</f>
        <v>150</v>
      </c>
      <c r="AA73" s="492">
        <f xml:space="preserve"> SUM(AA74:AA75)</f>
        <v>18</v>
      </c>
      <c r="AB73" s="492">
        <f t="shared" ref="AB73:AE73" si="151" xml:space="preserve"> SUM(AB74:AB75)</f>
        <v>4</v>
      </c>
      <c r="AC73" s="492">
        <f t="shared" si="151"/>
        <v>0</v>
      </c>
      <c r="AD73" s="492">
        <f t="shared" si="151"/>
        <v>0</v>
      </c>
      <c r="AE73" s="492">
        <f t="shared" si="151"/>
        <v>128</v>
      </c>
      <c r="AF73" s="492">
        <f xml:space="preserve"> SUM(AF74:AF75)</f>
        <v>0</v>
      </c>
      <c r="AG73" s="492">
        <f xml:space="preserve"> SUM(AG74:AG75)</f>
        <v>0</v>
      </c>
      <c r="AH73" s="492">
        <f t="shared" ref="AH73" si="152" xml:space="preserve"> SUM(AH74:AH75)</f>
        <v>0</v>
      </c>
      <c r="AI73" s="492">
        <f t="shared" ref="AI73" si="153" xml:space="preserve"> SUM(AI74:AI75)</f>
        <v>0</v>
      </c>
      <c r="AJ73" s="492">
        <f t="shared" ref="AJ73" si="154" xml:space="preserve"> SUM(AJ74:AJ75)</f>
        <v>0</v>
      </c>
      <c r="AK73" s="492">
        <f t="shared" ref="AK73" si="155" xml:space="preserve"> SUM(AK74:AK75)</f>
        <v>0</v>
      </c>
      <c r="AL73" s="492">
        <f xml:space="preserve"> SUM(AL74:AL75)</f>
        <v>75</v>
      </c>
      <c r="AM73" s="492">
        <f xml:space="preserve"> SUM(AM74:AM75)</f>
        <v>0</v>
      </c>
      <c r="AN73" s="492">
        <f t="shared" ref="AN73" si="156" xml:space="preserve"> SUM(AN74:AN75)</f>
        <v>8</v>
      </c>
      <c r="AO73" s="492">
        <f t="shared" ref="AO73" si="157" xml:space="preserve"> SUM(AO74:AO75)</f>
        <v>0</v>
      </c>
      <c r="AP73" s="492">
        <f t="shared" ref="AP73" si="158" xml:space="preserve"> SUM(AP74:AP75)</f>
        <v>0</v>
      </c>
      <c r="AQ73" s="492">
        <f t="shared" ref="AQ73" si="159" xml:space="preserve"> SUM(AQ74:AQ75)</f>
        <v>67</v>
      </c>
      <c r="AR73" s="492">
        <f xml:space="preserve"> SUM(AR74:AR75)</f>
        <v>0</v>
      </c>
      <c r="AS73" s="492">
        <f xml:space="preserve"> SUM(AS74:AS75)</f>
        <v>0</v>
      </c>
      <c r="AT73" s="492">
        <f t="shared" ref="AT73" si="160" xml:space="preserve"> SUM(AT74:AT75)</f>
        <v>0</v>
      </c>
      <c r="AU73" s="492">
        <f t="shared" ref="AU73" si="161" xml:space="preserve"> SUM(AU74:AU75)</f>
        <v>0</v>
      </c>
      <c r="AV73" s="492">
        <f t="shared" ref="AV73" si="162" xml:space="preserve"> SUM(AV74:AV75)</f>
        <v>0</v>
      </c>
      <c r="AW73" s="492">
        <f t="shared" ref="AW73" si="163" xml:space="preserve"> SUM(AW74:AW75)</f>
        <v>0</v>
      </c>
      <c r="AX73" s="492" t="e">
        <f>SUM(#REF!)</f>
        <v>#REF!</v>
      </c>
      <c r="AY73" s="492"/>
      <c r="AZ73" s="492"/>
      <c r="BA73" s="492"/>
      <c r="BB73" s="492"/>
      <c r="BC73" s="492"/>
      <c r="BD73" s="492"/>
      <c r="BE73" s="492"/>
      <c r="BF73" s="492"/>
      <c r="BG73" s="492"/>
      <c r="BH73" s="493">
        <f>'Учебный план'!BZ92</f>
        <v>0</v>
      </c>
      <c r="BI73" s="494">
        <f>'Учебный план'!CA92</f>
        <v>0</v>
      </c>
    </row>
    <row r="74" spans="1:62" s="225" customFormat="1" ht="26.1" customHeight="1" x14ac:dyDescent="0.2">
      <c r="A74" s="401" t="str">
        <f>'Учебный план'!A93</f>
        <v>ВЧ.01</v>
      </c>
      <c r="B74" s="416" t="str">
        <f>'Учебный план'!B93</f>
        <v>Эксплуатация судовых энергетических установок на вспомогательном уровне</v>
      </c>
      <c r="C74" s="416" t="str">
        <f>'Учебный план'!C93</f>
        <v>ЭСЭУ</v>
      </c>
      <c r="D74" s="363" t="s">
        <v>31</v>
      </c>
      <c r="E74" s="363"/>
      <c r="F74" s="363"/>
      <c r="G74" s="363"/>
      <c r="H74" s="529" t="s">
        <v>31</v>
      </c>
      <c r="I74" s="468">
        <f t="shared" ref="I74:I75" si="164">K74-M74</f>
        <v>0</v>
      </c>
      <c r="J74" s="469">
        <f t="shared" ref="J74" si="165">L74*$J$1</f>
        <v>30</v>
      </c>
      <c r="K74" s="177">
        <f>'Учебный план'!K93</f>
        <v>150</v>
      </c>
      <c r="L74" s="177">
        <f>'Учебный план'!L93</f>
        <v>100</v>
      </c>
      <c r="M74" s="470">
        <f t="shared" si="86"/>
        <v>150</v>
      </c>
      <c r="N74" s="470">
        <f>SUM(O74:R74)</f>
        <v>22</v>
      </c>
      <c r="O74" s="470">
        <f t="shared" ref="O74:R75" si="166">U74+AG74+AM74+AS74+AA74+BA74</f>
        <v>18</v>
      </c>
      <c r="P74" s="470">
        <f t="shared" si="166"/>
        <v>4</v>
      </c>
      <c r="Q74" s="470">
        <f t="shared" si="166"/>
        <v>0</v>
      </c>
      <c r="R74" s="470">
        <f t="shared" si="166"/>
        <v>0</v>
      </c>
      <c r="S74" s="470">
        <f>Y74+AK74+AQ74+AW74+BF74+AE74</f>
        <v>128</v>
      </c>
      <c r="T74" s="471">
        <f>SUM(U74:Y74)</f>
        <v>0</v>
      </c>
      <c r="U74" s="458"/>
      <c r="V74" s="458"/>
      <c r="W74" s="458"/>
      <c r="X74" s="458"/>
      <c r="Y74" s="458"/>
      <c r="Z74" s="471">
        <f>SUM(AA74:AE74)</f>
        <v>150</v>
      </c>
      <c r="AA74" s="458">
        <v>18</v>
      </c>
      <c r="AB74" s="458">
        <v>4</v>
      </c>
      <c r="AC74" s="458"/>
      <c r="AD74" s="458"/>
      <c r="AE74" s="458">
        <v>128</v>
      </c>
      <c r="AF74" s="471">
        <f>SUM(AG74:AK74)</f>
        <v>0</v>
      </c>
      <c r="AG74" s="458"/>
      <c r="AH74" s="458"/>
      <c r="AI74" s="458"/>
      <c r="AJ74" s="458"/>
      <c r="AK74" s="458"/>
      <c r="AL74" s="471">
        <f>SUM(AM74:AQ74)</f>
        <v>0</v>
      </c>
      <c r="AM74" s="458"/>
      <c r="AN74" s="458"/>
      <c r="AO74" s="458"/>
      <c r="AP74" s="458"/>
      <c r="AQ74" s="458"/>
      <c r="AR74" s="471">
        <f>SUM(AS74:AW74)</f>
        <v>0</v>
      </c>
      <c r="AS74" s="458"/>
      <c r="AT74" s="458"/>
      <c r="AU74" s="458"/>
      <c r="AV74" s="458"/>
      <c r="AW74" s="458"/>
      <c r="AX74" s="472"/>
      <c r="AY74" s="471">
        <f t="shared" ref="AY74" si="167">SUM(AZ74:BF74)</f>
        <v>0</v>
      </c>
      <c r="AZ74" s="458"/>
      <c r="BA74" s="458"/>
      <c r="BB74" s="458"/>
      <c r="BC74" s="458"/>
      <c r="BD74" s="458"/>
      <c r="BE74" s="458"/>
      <c r="BF74" s="458"/>
      <c r="BG74" s="473"/>
      <c r="BH74" s="474" t="str">
        <f>'Учебный план'!BZ93</f>
        <v>64-5</v>
      </c>
      <c r="BI74" s="475" t="str">
        <f>'Учебный план'!CA93</f>
        <v>ОК 1-10, ПК-1.3</v>
      </c>
    </row>
    <row r="75" spans="1:62" s="228" customFormat="1" ht="26.1" customHeight="1" x14ac:dyDescent="0.2">
      <c r="A75" s="401" t="str">
        <f>'Учебный план'!A94</f>
        <v>ВЧ.02</v>
      </c>
      <c r="B75" s="416" t="str">
        <f>'Учебный план'!B94</f>
        <v>Профессиональный английский язык</v>
      </c>
      <c r="C75" s="495"/>
      <c r="D75" s="97"/>
      <c r="E75" s="97" t="s">
        <v>40</v>
      </c>
      <c r="F75" s="97"/>
      <c r="G75" s="97"/>
      <c r="H75" s="97"/>
      <c r="I75" s="468">
        <f t="shared" si="164"/>
        <v>0</v>
      </c>
      <c r="J75" s="469">
        <f t="shared" ref="J75" si="168">L75*$J$1</f>
        <v>15</v>
      </c>
      <c r="K75" s="177">
        <f>'Учебный план'!K94</f>
        <v>75</v>
      </c>
      <c r="L75" s="177">
        <f>'Учебный план'!L94</f>
        <v>50</v>
      </c>
      <c r="M75" s="470">
        <f t="shared" si="86"/>
        <v>75</v>
      </c>
      <c r="N75" s="470">
        <f>SUM(O75:R75)</f>
        <v>8</v>
      </c>
      <c r="O75" s="470">
        <f t="shared" si="166"/>
        <v>0</v>
      </c>
      <c r="P75" s="470">
        <f t="shared" si="166"/>
        <v>8</v>
      </c>
      <c r="Q75" s="470">
        <f t="shared" si="166"/>
        <v>0</v>
      </c>
      <c r="R75" s="470">
        <f t="shared" si="166"/>
        <v>0</v>
      </c>
      <c r="S75" s="470">
        <f>Y75+AK75+AQ75+AW75+BF75+AE75</f>
        <v>67</v>
      </c>
      <c r="T75" s="471">
        <f>SUM(U75:Y75)</f>
        <v>0</v>
      </c>
      <c r="U75" s="310"/>
      <c r="V75" s="310"/>
      <c r="W75" s="310"/>
      <c r="X75" s="310"/>
      <c r="Y75" s="310"/>
      <c r="Z75" s="471">
        <f>SUM(AA75:AE75)</f>
        <v>0</v>
      </c>
      <c r="AA75" s="310"/>
      <c r="AB75" s="310"/>
      <c r="AC75" s="310"/>
      <c r="AD75" s="310"/>
      <c r="AE75" s="310"/>
      <c r="AF75" s="471">
        <f>SUM(AG75:AK75)</f>
        <v>0</v>
      </c>
      <c r="AG75" s="310"/>
      <c r="AH75" s="310"/>
      <c r="AI75" s="310"/>
      <c r="AJ75" s="310"/>
      <c r="AK75" s="310"/>
      <c r="AL75" s="471">
        <f>SUM(AM75:AQ75)</f>
        <v>75</v>
      </c>
      <c r="AM75" s="310"/>
      <c r="AN75" s="310">
        <v>8</v>
      </c>
      <c r="AO75" s="310"/>
      <c r="AP75" s="310"/>
      <c r="AQ75" s="310">
        <v>67</v>
      </c>
      <c r="AR75" s="471">
        <f>SUM(AS75:AW75)</f>
        <v>0</v>
      </c>
      <c r="AS75" s="310"/>
      <c r="AT75" s="310"/>
      <c r="AU75" s="310"/>
      <c r="AV75" s="310"/>
      <c r="AW75" s="310"/>
      <c r="AX75" s="310"/>
      <c r="AY75" s="310"/>
      <c r="AZ75" s="310"/>
      <c r="BA75" s="310"/>
      <c r="BB75" s="310"/>
      <c r="BC75" s="310"/>
      <c r="BD75" s="310"/>
      <c r="BE75" s="310"/>
      <c r="BF75" s="310"/>
      <c r="BG75" s="310"/>
      <c r="BH75" s="474" t="str">
        <f>'Учебный план'!BZ94</f>
        <v>64-1</v>
      </c>
      <c r="BI75" s="475" t="str">
        <f>'Учебный план'!CA94</f>
        <v>ОК 1-10; ПК 2,4, 2.6, 2,7</v>
      </c>
    </row>
    <row r="76" spans="1:62" s="228" customFormat="1" ht="26.1" customHeight="1" x14ac:dyDescent="0.2">
      <c r="A76" s="447" t="str">
        <f>'Учебный план'!A95</f>
        <v>УП.00</v>
      </c>
      <c r="B76" s="496" t="str">
        <f>'Учебный план'!B95</f>
        <v>Учебная практика</v>
      </c>
      <c r="C76" s="496"/>
      <c r="D76" s="407"/>
      <c r="E76" s="407" t="s">
        <v>31</v>
      </c>
      <c r="F76" s="407"/>
      <c r="G76" s="407"/>
      <c r="H76" s="407"/>
      <c r="I76" s="492"/>
      <c r="J76" s="493"/>
      <c r="K76" s="546"/>
      <c r="L76" s="546">
        <f>'Учебный план'!L95</f>
        <v>324</v>
      </c>
      <c r="M76" s="492">
        <f t="shared" ref="M76:M84" si="169">SUM(N76+S76)</f>
        <v>324</v>
      </c>
      <c r="N76" s="492">
        <f t="shared" ref="N76:AW76" si="170">SUM(N77:N80)</f>
        <v>324</v>
      </c>
      <c r="O76" s="492">
        <f t="shared" si="170"/>
        <v>0</v>
      </c>
      <c r="P76" s="492">
        <f t="shared" si="170"/>
        <v>0</v>
      </c>
      <c r="Q76" s="492">
        <f t="shared" si="170"/>
        <v>0</v>
      </c>
      <c r="R76" s="492">
        <f t="shared" si="170"/>
        <v>324</v>
      </c>
      <c r="S76" s="492">
        <f t="shared" si="170"/>
        <v>0</v>
      </c>
      <c r="T76" s="492">
        <f t="shared" si="170"/>
        <v>0</v>
      </c>
      <c r="U76" s="492">
        <f t="shared" si="170"/>
        <v>0</v>
      </c>
      <c r="V76" s="492">
        <f t="shared" si="170"/>
        <v>0</v>
      </c>
      <c r="W76" s="492">
        <f t="shared" si="170"/>
        <v>0</v>
      </c>
      <c r="X76" s="492">
        <f t="shared" si="170"/>
        <v>0</v>
      </c>
      <c r="Y76" s="492">
        <f t="shared" si="170"/>
        <v>0</v>
      </c>
      <c r="Z76" s="492">
        <f t="shared" ref="Z76:AE76" si="171">SUM(Z77:Z80)</f>
        <v>324</v>
      </c>
      <c r="AA76" s="492">
        <f t="shared" si="171"/>
        <v>0</v>
      </c>
      <c r="AB76" s="492">
        <f t="shared" si="171"/>
        <v>0</v>
      </c>
      <c r="AC76" s="492">
        <f t="shared" si="171"/>
        <v>0</v>
      </c>
      <c r="AD76" s="492">
        <f t="shared" si="171"/>
        <v>324</v>
      </c>
      <c r="AE76" s="492">
        <f t="shared" si="171"/>
        <v>0</v>
      </c>
      <c r="AF76" s="492">
        <f t="shared" si="170"/>
        <v>0</v>
      </c>
      <c r="AG76" s="492">
        <f t="shared" si="170"/>
        <v>0</v>
      </c>
      <c r="AH76" s="492">
        <f t="shared" si="170"/>
        <v>0</v>
      </c>
      <c r="AI76" s="492">
        <f t="shared" si="170"/>
        <v>0</v>
      </c>
      <c r="AJ76" s="492">
        <f t="shared" si="170"/>
        <v>0</v>
      </c>
      <c r="AK76" s="492">
        <f t="shared" si="170"/>
        <v>0</v>
      </c>
      <c r="AL76" s="492">
        <f t="shared" si="170"/>
        <v>0</v>
      </c>
      <c r="AM76" s="492">
        <f t="shared" si="170"/>
        <v>0</v>
      </c>
      <c r="AN76" s="492">
        <f t="shared" si="170"/>
        <v>0</v>
      </c>
      <c r="AO76" s="492">
        <f t="shared" si="170"/>
        <v>0</v>
      </c>
      <c r="AP76" s="492">
        <f t="shared" si="170"/>
        <v>0</v>
      </c>
      <c r="AQ76" s="492">
        <f t="shared" si="170"/>
        <v>0</v>
      </c>
      <c r="AR76" s="492">
        <f t="shared" si="170"/>
        <v>0</v>
      </c>
      <c r="AS76" s="492">
        <f t="shared" si="170"/>
        <v>0</v>
      </c>
      <c r="AT76" s="492">
        <f t="shared" si="170"/>
        <v>0</v>
      </c>
      <c r="AU76" s="492">
        <f t="shared" si="170"/>
        <v>0</v>
      </c>
      <c r="AV76" s="492">
        <f t="shared" si="170"/>
        <v>0</v>
      </c>
      <c r="AW76" s="492">
        <f t="shared" si="170"/>
        <v>0</v>
      </c>
      <c r="AX76" s="492">
        <f>SUM(AX77:AX81)</f>
        <v>0</v>
      </c>
      <c r="AY76" s="492">
        <f t="shared" ref="AY76:BF76" si="172">SUM(AY77:AY80)</f>
        <v>0</v>
      </c>
      <c r="AZ76" s="492">
        <f t="shared" si="172"/>
        <v>0</v>
      </c>
      <c r="BA76" s="492">
        <f t="shared" si="172"/>
        <v>0</v>
      </c>
      <c r="BB76" s="492">
        <f t="shared" si="172"/>
        <v>0</v>
      </c>
      <c r="BC76" s="492">
        <f t="shared" si="172"/>
        <v>0</v>
      </c>
      <c r="BD76" s="492">
        <f t="shared" si="172"/>
        <v>0</v>
      </c>
      <c r="BE76" s="492">
        <f t="shared" si="172"/>
        <v>0</v>
      </c>
      <c r="BF76" s="492">
        <f t="shared" si="172"/>
        <v>0</v>
      </c>
      <c r="BG76" s="492"/>
      <c r="BH76" s="497" t="str">
        <f>'Учебный план'!BZ95</f>
        <v>64-4, 64-5</v>
      </c>
      <c r="BI76" s="497" t="str">
        <f>'Учебный план'!CA95</f>
        <v>ОК 1-10; ПК 1.1-1.3, 2.1-2.7, 3.1-3.2</v>
      </c>
    </row>
    <row r="77" spans="1:62" s="224" customFormat="1" ht="26.1" hidden="1" customHeight="1" x14ac:dyDescent="0.2">
      <c r="A77" s="395" t="str">
        <f>'Учебный план'!A96</f>
        <v>УП.01</v>
      </c>
      <c r="B77" s="395" t="str">
        <f>'Учебный план'!B96</f>
        <v>Слесарная практика</v>
      </c>
      <c r="C77" s="201"/>
      <c r="D77" s="363"/>
      <c r="E77" s="363"/>
      <c r="F77" s="363"/>
      <c r="G77" s="363"/>
      <c r="H77" s="363"/>
      <c r="I77" s="468"/>
      <c r="J77" s="469"/>
      <c r="K77" s="546"/>
      <c r="L77" s="546">
        <f>'Учебный план'!L96</f>
        <v>36</v>
      </c>
      <c r="M77" s="492">
        <f t="shared" si="169"/>
        <v>324</v>
      </c>
      <c r="N77" s="470">
        <f>SUM(O77:R77)</f>
        <v>324</v>
      </c>
      <c r="O77" s="470">
        <f t="shared" ref="O77:R80" si="173">U77+AG77+AM77+AS77+AA77+BA77</f>
        <v>0</v>
      </c>
      <c r="P77" s="470">
        <f t="shared" si="173"/>
        <v>0</v>
      </c>
      <c r="Q77" s="470">
        <f t="shared" si="173"/>
        <v>0</v>
      </c>
      <c r="R77" s="470">
        <f t="shared" si="173"/>
        <v>324</v>
      </c>
      <c r="S77" s="470">
        <f>Y77+AK77+AQ77+AW77+BF77+AE77</f>
        <v>0</v>
      </c>
      <c r="T77" s="471">
        <f>SUM(U77:Y77)</f>
        <v>0</v>
      </c>
      <c r="U77" s="458"/>
      <c r="V77" s="458"/>
      <c r="W77" s="458"/>
      <c r="X77" s="458"/>
      <c r="Y77" s="458"/>
      <c r="Z77" s="471">
        <f>SUM(AA77:AE77)</f>
        <v>324</v>
      </c>
      <c r="AA77" s="458"/>
      <c r="AB77" s="458"/>
      <c r="AC77" s="458"/>
      <c r="AD77" s="458">
        <v>324</v>
      </c>
      <c r="AE77" s="458"/>
      <c r="AF77" s="471">
        <f>SUM(AG77:AK77)</f>
        <v>0</v>
      </c>
      <c r="AG77" s="458"/>
      <c r="AH77" s="458"/>
      <c r="AI77" s="458"/>
      <c r="AJ77" s="458"/>
      <c r="AK77" s="458"/>
      <c r="AL77" s="471">
        <f>SUM(AM77:AQ77)</f>
        <v>0</v>
      </c>
      <c r="AM77" s="458"/>
      <c r="AN77" s="458"/>
      <c r="AO77" s="458"/>
      <c r="AP77" s="458"/>
      <c r="AQ77" s="458"/>
      <c r="AR77" s="471">
        <f>SUM(AS77:AW77)</f>
        <v>0</v>
      </c>
      <c r="AS77" s="458"/>
      <c r="AT77" s="458"/>
      <c r="AU77" s="458"/>
      <c r="AV77" s="458"/>
      <c r="AW77" s="458"/>
      <c r="AX77" s="472">
        <f>LEN(H77)-LEN(SUBSTITUTE(H77,"9",""))</f>
        <v>0</v>
      </c>
      <c r="AY77" s="471">
        <f t="shared" ref="AY77:AY80" si="174">SUM(AZ77:BF77)</f>
        <v>0</v>
      </c>
      <c r="AZ77" s="458"/>
      <c r="BA77" s="458"/>
      <c r="BB77" s="458"/>
      <c r="BC77" s="458"/>
      <c r="BD77" s="458"/>
      <c r="BE77" s="458"/>
      <c r="BF77" s="458"/>
      <c r="BG77" s="473"/>
      <c r="BH77" s="491" t="str">
        <f>'Учебный план'!BZ96</f>
        <v>64-4</v>
      </c>
      <c r="BI77" s="498" t="str">
        <f>'Учебный план'!CA96</f>
        <v>ОК 1-10; ПК 1.1-1.3, 2.1-2.7, 3.1-3.2</v>
      </c>
    </row>
    <row r="78" spans="1:62" s="224" customFormat="1" ht="26.1" hidden="1" customHeight="1" x14ac:dyDescent="0.2">
      <c r="A78" s="395" t="str">
        <f>'Учебный план'!A97</f>
        <v>УП.02</v>
      </c>
      <c r="B78" s="395" t="str">
        <f>'Учебный план'!B97</f>
        <v>Шлюпочно-такелажная практика</v>
      </c>
      <c r="C78" s="201"/>
      <c r="D78" s="363"/>
      <c r="E78" s="363"/>
      <c r="F78" s="363"/>
      <c r="G78" s="363"/>
      <c r="H78" s="363"/>
      <c r="I78" s="468"/>
      <c r="J78" s="469"/>
      <c r="K78" s="546"/>
      <c r="L78" s="546">
        <f>'Учебный план'!L97</f>
        <v>72</v>
      </c>
      <c r="M78" s="492">
        <f t="shared" si="169"/>
        <v>0</v>
      </c>
      <c r="N78" s="470">
        <f>SUM(O78:R78)</f>
        <v>0</v>
      </c>
      <c r="O78" s="470">
        <f t="shared" si="173"/>
        <v>0</v>
      </c>
      <c r="P78" s="470">
        <f t="shared" si="173"/>
        <v>0</v>
      </c>
      <c r="Q78" s="470">
        <f t="shared" si="173"/>
        <v>0</v>
      </c>
      <c r="R78" s="470">
        <f t="shared" si="173"/>
        <v>0</v>
      </c>
      <c r="S78" s="470">
        <f>Y78+AK78+AQ78+AW78+BF78+AE78</f>
        <v>0</v>
      </c>
      <c r="T78" s="471">
        <f>SUM(U78:Y78)</f>
        <v>0</v>
      </c>
      <c r="U78" s="458"/>
      <c r="V78" s="458"/>
      <c r="W78" s="458"/>
      <c r="X78" s="458"/>
      <c r="Y78" s="458"/>
      <c r="Z78" s="471">
        <f>SUM(AA78:AE78)</f>
        <v>0</v>
      </c>
      <c r="AA78" s="458"/>
      <c r="AB78" s="458"/>
      <c r="AC78" s="458"/>
      <c r="AD78" s="458"/>
      <c r="AE78" s="458"/>
      <c r="AF78" s="471">
        <f>SUM(AG78:AK78)</f>
        <v>0</v>
      </c>
      <c r="AG78" s="458"/>
      <c r="AH78" s="458"/>
      <c r="AI78" s="458"/>
      <c r="AJ78" s="458"/>
      <c r="AK78" s="458"/>
      <c r="AL78" s="471">
        <f>SUM(AM78:AQ78)</f>
        <v>0</v>
      </c>
      <c r="AM78" s="458"/>
      <c r="AN78" s="458"/>
      <c r="AO78" s="458"/>
      <c r="AP78" s="458"/>
      <c r="AQ78" s="458"/>
      <c r="AR78" s="471">
        <f>SUM(AS78:AW78)</f>
        <v>0</v>
      </c>
      <c r="AS78" s="458"/>
      <c r="AT78" s="458"/>
      <c r="AU78" s="458"/>
      <c r="AV78" s="458"/>
      <c r="AW78" s="458"/>
      <c r="AX78" s="472"/>
      <c r="AY78" s="471">
        <f t="shared" si="174"/>
        <v>0</v>
      </c>
      <c r="AZ78" s="458"/>
      <c r="BA78" s="458"/>
      <c r="BB78" s="458"/>
      <c r="BC78" s="458"/>
      <c r="BD78" s="458"/>
      <c r="BE78" s="458"/>
      <c r="BF78" s="458"/>
      <c r="BG78" s="473"/>
      <c r="BH78" s="491" t="str">
        <f>'Учебный план'!BZ97</f>
        <v>64-4</v>
      </c>
      <c r="BI78" s="498" t="str">
        <f>'Учебный план'!CA97</f>
        <v>ОК 1-10; ПК 1.1-1.3, 2.1-2.7, 3.1-3.2</v>
      </c>
    </row>
    <row r="79" spans="1:62" s="224" customFormat="1" ht="26.1" hidden="1" customHeight="1" x14ac:dyDescent="0.2">
      <c r="A79" s="395" t="str">
        <f>'Учебный план'!A98</f>
        <v>УП.03</v>
      </c>
      <c r="B79" s="395" t="str">
        <f>'Учебный план'!B98</f>
        <v>Практика по БЖС и ОСПС</v>
      </c>
      <c r="C79" s="201"/>
      <c r="D79" s="363"/>
      <c r="E79" s="363"/>
      <c r="F79" s="363"/>
      <c r="G79" s="363"/>
      <c r="H79" s="363"/>
      <c r="I79" s="468"/>
      <c r="J79" s="469"/>
      <c r="K79" s="546"/>
      <c r="L79" s="546">
        <f>'Учебный план'!L98</f>
        <v>82</v>
      </c>
      <c r="M79" s="492">
        <f t="shared" si="169"/>
        <v>0</v>
      </c>
      <c r="N79" s="470">
        <f>SUM(O79:R79)</f>
        <v>0</v>
      </c>
      <c r="O79" s="470">
        <f t="shared" si="173"/>
        <v>0</v>
      </c>
      <c r="P79" s="470">
        <f t="shared" si="173"/>
        <v>0</v>
      </c>
      <c r="Q79" s="470">
        <f t="shared" si="173"/>
        <v>0</v>
      </c>
      <c r="R79" s="470">
        <f t="shared" si="173"/>
        <v>0</v>
      </c>
      <c r="S79" s="470">
        <f>Y79+AK79+AQ79+AW79+BF79+AE79</f>
        <v>0</v>
      </c>
      <c r="T79" s="471">
        <f>SUM(U79:Y79)</f>
        <v>0</v>
      </c>
      <c r="U79" s="458"/>
      <c r="V79" s="458"/>
      <c r="W79" s="458"/>
      <c r="X79" s="458"/>
      <c r="Y79" s="458"/>
      <c r="Z79" s="471">
        <f>SUM(AA79:AE79)</f>
        <v>0</v>
      </c>
      <c r="AA79" s="458"/>
      <c r="AB79" s="458"/>
      <c r="AC79" s="458"/>
      <c r="AD79" s="458"/>
      <c r="AE79" s="458"/>
      <c r="AF79" s="471">
        <f>SUM(AG79:AK79)</f>
        <v>0</v>
      </c>
      <c r="AG79" s="458"/>
      <c r="AH79" s="458"/>
      <c r="AI79" s="458"/>
      <c r="AJ79" s="458"/>
      <c r="AK79" s="458"/>
      <c r="AL79" s="471">
        <f>SUM(AM79:AQ79)</f>
        <v>0</v>
      </c>
      <c r="AM79" s="458"/>
      <c r="AN79" s="458"/>
      <c r="AO79" s="458"/>
      <c r="AP79" s="458"/>
      <c r="AQ79" s="458"/>
      <c r="AR79" s="471">
        <f>SUM(AS79:AW79)</f>
        <v>0</v>
      </c>
      <c r="AS79" s="458"/>
      <c r="AT79" s="458"/>
      <c r="AU79" s="458"/>
      <c r="AV79" s="458"/>
      <c r="AW79" s="458"/>
      <c r="AX79" s="472"/>
      <c r="AY79" s="471">
        <f t="shared" si="174"/>
        <v>0</v>
      </c>
      <c r="AZ79" s="458"/>
      <c r="BA79" s="458"/>
      <c r="BB79" s="458"/>
      <c r="BC79" s="458"/>
      <c r="BD79" s="458"/>
      <c r="BE79" s="458"/>
      <c r="BF79" s="458"/>
      <c r="BG79" s="473"/>
      <c r="BH79" s="491" t="str">
        <f>'Учебный план'!BZ98</f>
        <v>5</v>
      </c>
      <c r="BI79" s="498" t="str">
        <f>'Учебный план'!CA98</f>
        <v>ОК-1-10</v>
      </c>
    </row>
    <row r="80" spans="1:62" s="224" customFormat="1" ht="26.1" hidden="1" customHeight="1" x14ac:dyDescent="0.2">
      <c r="A80" s="395" t="str">
        <f>'Учебный план'!A99</f>
        <v>УП.04</v>
      </c>
      <c r="B80" s="395" t="str">
        <f>'Учебный план'!B99</f>
        <v>Учебная плавательная (групповая)</v>
      </c>
      <c r="C80" s="201"/>
      <c r="D80" s="363"/>
      <c r="E80" s="363"/>
      <c r="F80" s="363"/>
      <c r="G80" s="363"/>
      <c r="H80" s="363"/>
      <c r="I80" s="468"/>
      <c r="J80" s="469"/>
      <c r="K80" s="546"/>
      <c r="L80" s="546">
        <f>'Учебный план'!L99</f>
        <v>134</v>
      </c>
      <c r="M80" s="492">
        <f t="shared" si="169"/>
        <v>0</v>
      </c>
      <c r="N80" s="470">
        <f>SUM(O80:R80)</f>
        <v>0</v>
      </c>
      <c r="O80" s="470">
        <f t="shared" si="173"/>
        <v>0</v>
      </c>
      <c r="P80" s="470">
        <f t="shared" si="173"/>
        <v>0</v>
      </c>
      <c r="Q80" s="470">
        <f t="shared" si="173"/>
        <v>0</v>
      </c>
      <c r="R80" s="470">
        <f t="shared" si="173"/>
        <v>0</v>
      </c>
      <c r="S80" s="470">
        <f>Y80+AK80+AQ80+AW80+BF80+AE80</f>
        <v>0</v>
      </c>
      <c r="T80" s="471">
        <f>SUM(U80:Y80)</f>
        <v>0</v>
      </c>
      <c r="U80" s="458"/>
      <c r="V80" s="458"/>
      <c r="W80" s="458"/>
      <c r="X80" s="458"/>
      <c r="Y80" s="458"/>
      <c r="Z80" s="471">
        <f>SUM(AA80:AE80)</f>
        <v>0</v>
      </c>
      <c r="AA80" s="458"/>
      <c r="AB80" s="458"/>
      <c r="AC80" s="458"/>
      <c r="AD80" s="458"/>
      <c r="AE80" s="458"/>
      <c r="AF80" s="471">
        <f>SUM(AG80:AK80)</f>
        <v>0</v>
      </c>
      <c r="AG80" s="458"/>
      <c r="AH80" s="458"/>
      <c r="AI80" s="458"/>
      <c r="AJ80" s="458"/>
      <c r="AK80" s="458"/>
      <c r="AL80" s="471">
        <f>SUM(AM80:AQ80)</f>
        <v>0</v>
      </c>
      <c r="AM80" s="458"/>
      <c r="AN80" s="458"/>
      <c r="AO80" s="458"/>
      <c r="AP80" s="458"/>
      <c r="AQ80" s="458"/>
      <c r="AR80" s="471">
        <f>SUM(AS80:AW80)</f>
        <v>0</v>
      </c>
      <c r="AS80" s="458"/>
      <c r="AT80" s="458"/>
      <c r="AU80" s="458"/>
      <c r="AV80" s="458"/>
      <c r="AW80" s="458"/>
      <c r="AX80" s="472"/>
      <c r="AY80" s="471">
        <f t="shared" si="174"/>
        <v>0</v>
      </c>
      <c r="AZ80" s="458"/>
      <c r="BA80" s="458"/>
      <c r="BB80" s="458"/>
      <c r="BC80" s="458"/>
      <c r="BD80" s="458"/>
      <c r="BE80" s="458"/>
      <c r="BF80" s="458"/>
      <c r="BG80" s="473"/>
      <c r="BH80" s="498" t="str">
        <f>'Учебный план'!BZ99</f>
        <v>64-4</v>
      </c>
      <c r="BI80" s="499" t="str">
        <f>'Учебный план'!CA99</f>
        <v>ОК 1-10; ПК 1.1-1.3; 2.1-2.7; 3.2.</v>
      </c>
    </row>
    <row r="81" spans="1:61" s="224" customFormat="1" ht="26.1" customHeight="1" x14ac:dyDescent="0.2">
      <c r="A81" s="500" t="str">
        <f>'Учебный план'!A100</f>
        <v>ПП.00</v>
      </c>
      <c r="B81" s="501" t="str">
        <f>'Учебный план'!B100</f>
        <v>Производственная практика</v>
      </c>
      <c r="C81" s="502"/>
      <c r="D81" s="503"/>
      <c r="E81" s="503"/>
      <c r="F81" s="503"/>
      <c r="G81" s="503"/>
      <c r="H81" s="503"/>
      <c r="I81" s="504"/>
      <c r="J81" s="505"/>
      <c r="K81" s="546"/>
      <c r="L81" s="546">
        <f>'Учебный план'!L100</f>
        <v>1656</v>
      </c>
      <c r="M81" s="492">
        <f t="shared" si="169"/>
        <v>1656</v>
      </c>
      <c r="N81" s="464">
        <f t="shared" ref="N81:S81" si="175">SUM(N82:N83)</f>
        <v>1656</v>
      </c>
      <c r="O81" s="464">
        <f t="shared" si="175"/>
        <v>0</v>
      </c>
      <c r="P81" s="464">
        <f t="shared" si="175"/>
        <v>0</v>
      </c>
      <c r="Q81" s="464">
        <f t="shared" si="175"/>
        <v>0</v>
      </c>
      <c r="R81" s="464">
        <f t="shared" si="175"/>
        <v>1656</v>
      </c>
      <c r="S81" s="464">
        <f t="shared" si="175"/>
        <v>0</v>
      </c>
      <c r="T81" s="464">
        <f>SUM(T82:T83)</f>
        <v>0</v>
      </c>
      <c r="U81" s="464">
        <f t="shared" ref="U81:Y81" si="176">SUM(U82:U83)</f>
        <v>0</v>
      </c>
      <c r="V81" s="464">
        <f>SUM(V82:V83)</f>
        <v>0</v>
      </c>
      <c r="W81" s="464">
        <f t="shared" si="176"/>
        <v>0</v>
      </c>
      <c r="X81" s="464">
        <f t="shared" si="176"/>
        <v>0</v>
      </c>
      <c r="Y81" s="464">
        <f t="shared" si="176"/>
        <v>0</v>
      </c>
      <c r="Z81" s="464">
        <f t="shared" ref="Z81:AE81" si="177">SUM(Z82:Z83)</f>
        <v>0</v>
      </c>
      <c r="AA81" s="464">
        <f t="shared" si="177"/>
        <v>0</v>
      </c>
      <c r="AB81" s="464">
        <f t="shared" si="177"/>
        <v>0</v>
      </c>
      <c r="AC81" s="464">
        <f t="shared" si="177"/>
        <v>0</v>
      </c>
      <c r="AD81" s="464">
        <f t="shared" si="177"/>
        <v>0</v>
      </c>
      <c r="AE81" s="464">
        <f t="shared" si="177"/>
        <v>0</v>
      </c>
      <c r="AF81" s="464">
        <f>SUM(AF82:AF83)</f>
        <v>0</v>
      </c>
      <c r="AG81" s="464">
        <f t="shared" ref="AG81" si="178">SUM(AG82:AG83)</f>
        <v>0</v>
      </c>
      <c r="AH81" s="464">
        <f t="shared" ref="AH81" si="179">SUM(AH82:AH83)</f>
        <v>0</v>
      </c>
      <c r="AI81" s="464">
        <f t="shared" ref="AI81" si="180">SUM(AI82:AI83)</f>
        <v>0</v>
      </c>
      <c r="AJ81" s="464">
        <f t="shared" ref="AJ81" si="181">SUM(AJ82:AJ83)</f>
        <v>396</v>
      </c>
      <c r="AK81" s="464">
        <f t="shared" ref="AK81" si="182">SUM(AK82:AK83)</f>
        <v>0</v>
      </c>
      <c r="AL81" s="464">
        <f>SUM(AL82:AL83)</f>
        <v>0</v>
      </c>
      <c r="AM81" s="464">
        <f t="shared" ref="AM81" si="183">SUM(AM82:AM83)</f>
        <v>0</v>
      </c>
      <c r="AN81" s="464">
        <f t="shared" ref="AN81" si="184">SUM(AN82:AN83)</f>
        <v>0</v>
      </c>
      <c r="AO81" s="464">
        <f t="shared" ref="AO81" si="185">SUM(AO82:AO83)</f>
        <v>0</v>
      </c>
      <c r="AP81" s="464">
        <f t="shared" ref="AP81" si="186">SUM(AP82:AP83)</f>
        <v>828</v>
      </c>
      <c r="AQ81" s="464">
        <f t="shared" ref="AQ81" si="187">SUM(AQ82:AQ83)</f>
        <v>0</v>
      </c>
      <c r="AR81" s="464">
        <f>SUM(AR82:AR83)</f>
        <v>432</v>
      </c>
      <c r="AS81" s="464">
        <f t="shared" ref="AS81" si="188">SUM(AS82:AS83)</f>
        <v>0</v>
      </c>
      <c r="AT81" s="464">
        <f t="shared" ref="AT81" si="189">SUM(AT82:AT83)</f>
        <v>0</v>
      </c>
      <c r="AU81" s="464">
        <f t="shared" ref="AU81" si="190">SUM(AU82:AU83)</f>
        <v>0</v>
      </c>
      <c r="AV81" s="464">
        <f t="shared" ref="AV81" si="191">SUM(AV82:AV83)</f>
        <v>432</v>
      </c>
      <c r="AW81" s="464">
        <f t="shared" ref="AW81" si="192">SUM(AW82:AW83)</f>
        <v>0</v>
      </c>
      <c r="AX81" s="504">
        <f>LEN(H81)-LEN(SUBSTITUTE(H81,"9",""))</f>
        <v>0</v>
      </c>
      <c r="AY81" s="464">
        <f>SUM(AY82:AY83)</f>
        <v>0</v>
      </c>
      <c r="AZ81" s="464">
        <f t="shared" ref="AZ81" si="193">SUM(AZ82:AZ83)</f>
        <v>0</v>
      </c>
      <c r="BA81" s="464">
        <f t="shared" ref="BA81" si="194">SUM(BA82:BA83)</f>
        <v>0</v>
      </c>
      <c r="BB81" s="464">
        <f t="shared" ref="BB81" si="195">SUM(BB82:BB83)</f>
        <v>0</v>
      </c>
      <c r="BC81" s="464">
        <f t="shared" ref="BC81" si="196">SUM(BC82:BC83)</f>
        <v>0</v>
      </c>
      <c r="BD81" s="464">
        <f t="shared" ref="BD81" si="197">SUM(BD82:BD83)</f>
        <v>0</v>
      </c>
      <c r="BE81" s="464">
        <f t="shared" ref="BE81" si="198">SUM(BE82:BE83)</f>
        <v>0</v>
      </c>
      <c r="BF81" s="464">
        <f t="shared" ref="BF81" si="199">SUM(BF82:BF83)</f>
        <v>0</v>
      </c>
      <c r="BG81" s="473"/>
      <c r="BH81" s="474">
        <f>'Учебный план'!BZ100</f>
        <v>0</v>
      </c>
      <c r="BI81" s="506" t="str">
        <f>'Учебный план'!CA100</f>
        <v>ОК 1-10; ПК 1.1-1.3, 2.1-2.7, 3.1-3.2, 4.1-4.3</v>
      </c>
    </row>
    <row r="82" spans="1:61" s="211" customFormat="1" ht="26.1" customHeight="1" x14ac:dyDescent="0.2">
      <c r="A82" s="507" t="str">
        <f>'Учебный план'!A101</f>
        <v>ПП.01</v>
      </c>
      <c r="B82" s="507" t="str">
        <f>'Учебный план'!B101</f>
        <v>Производственная практика (по профилю специальности)</v>
      </c>
      <c r="C82" s="410"/>
      <c r="D82" s="410"/>
      <c r="E82" s="508">
        <v>4.5</v>
      </c>
      <c r="F82" s="410"/>
      <c r="G82" s="410"/>
      <c r="H82" s="410"/>
      <c r="I82" s="509"/>
      <c r="J82" s="387"/>
      <c r="K82" s="177"/>
      <c r="L82" s="177">
        <f>'Учебный план'!L100</f>
        <v>1656</v>
      </c>
      <c r="M82" s="470">
        <f t="shared" si="169"/>
        <v>1512</v>
      </c>
      <c r="N82" s="470">
        <f>SUM(O82:R82)</f>
        <v>1512</v>
      </c>
      <c r="O82" s="470">
        <f t="shared" ref="O82:R83" si="200">U82+AG82+AM82+AS82+AA82+BA82</f>
        <v>0</v>
      </c>
      <c r="P82" s="470">
        <f t="shared" si="200"/>
        <v>0</v>
      </c>
      <c r="Q82" s="470">
        <f t="shared" si="200"/>
        <v>0</v>
      </c>
      <c r="R82" s="470">
        <f t="shared" si="200"/>
        <v>1512</v>
      </c>
      <c r="S82" s="470">
        <f>Y82+AK82+AQ82+AW82+BF82+AE82</f>
        <v>0</v>
      </c>
      <c r="T82" s="471"/>
      <c r="U82" s="387"/>
      <c r="V82" s="387"/>
      <c r="W82" s="387"/>
      <c r="X82" s="387"/>
      <c r="Y82" s="387"/>
      <c r="Z82" s="471"/>
      <c r="AA82" s="387"/>
      <c r="AB82" s="387"/>
      <c r="AC82" s="387"/>
      <c r="AD82" s="387"/>
      <c r="AE82" s="508"/>
      <c r="AF82" s="367"/>
      <c r="AG82" s="508"/>
      <c r="AH82" s="508"/>
      <c r="AI82" s="508"/>
      <c r="AJ82" s="508">
        <v>396</v>
      </c>
      <c r="AK82" s="508"/>
      <c r="AL82" s="367"/>
      <c r="AM82" s="508"/>
      <c r="AN82" s="508"/>
      <c r="AO82" s="508"/>
      <c r="AP82" s="508">
        <v>828</v>
      </c>
      <c r="AQ82" s="508"/>
      <c r="AR82" s="367">
        <f>SUM(AS82:AW82)</f>
        <v>288</v>
      </c>
      <c r="AS82" s="508"/>
      <c r="AT82" s="508"/>
      <c r="AU82" s="508"/>
      <c r="AV82" s="508">
        <f>8*36</f>
        <v>288</v>
      </c>
      <c r="AW82" s="508"/>
      <c r="AX82" s="508"/>
      <c r="AY82" s="367">
        <f t="shared" ref="AY82" si="201">SUM(AZ82:BF82)</f>
        <v>0</v>
      </c>
      <c r="AZ82" s="508"/>
      <c r="BA82" s="508"/>
      <c r="BB82" s="508"/>
      <c r="BC82" s="508"/>
      <c r="BD82" s="508"/>
      <c r="BE82" s="508"/>
      <c r="BF82" s="508"/>
      <c r="BG82" s="510"/>
      <c r="BH82" s="474" t="str">
        <f>'Учебный план'!BZ101</f>
        <v>64-4, 64-5</v>
      </c>
      <c r="BI82" s="475" t="str">
        <f>'Учебный план'!CA101</f>
        <v>ОК 1-10; ПК 1.1-1.3, 2.1-2.7, 3.1-3.2, 4.1-4.3</v>
      </c>
    </row>
    <row r="83" spans="1:61" s="211" customFormat="1" ht="26.1" customHeight="1" x14ac:dyDescent="0.2">
      <c r="A83" s="395" t="str">
        <f>'Учебный план'!A102</f>
        <v>ПП.02</v>
      </c>
      <c r="B83" s="507" t="str">
        <f>'Учебный план'!B102</f>
        <v>Преддипломная практика</v>
      </c>
      <c r="C83" s="410"/>
      <c r="D83" s="410"/>
      <c r="E83" s="508">
        <v>5</v>
      </c>
      <c r="F83" s="410"/>
      <c r="G83" s="410"/>
      <c r="H83" s="410"/>
      <c r="I83" s="509"/>
      <c r="J83" s="387"/>
      <c r="K83" s="177"/>
      <c r="L83" s="177">
        <f>'Учебный план'!L102</f>
        <v>144</v>
      </c>
      <c r="M83" s="470">
        <f t="shared" si="169"/>
        <v>144</v>
      </c>
      <c r="N83" s="470">
        <f>SUM(O83:R83)</f>
        <v>144</v>
      </c>
      <c r="O83" s="470">
        <f t="shared" si="200"/>
        <v>0</v>
      </c>
      <c r="P83" s="470">
        <f t="shared" si="200"/>
        <v>0</v>
      </c>
      <c r="Q83" s="470">
        <f t="shared" si="200"/>
        <v>0</v>
      </c>
      <c r="R83" s="470">
        <f t="shared" si="200"/>
        <v>144</v>
      </c>
      <c r="S83" s="470">
        <f>Y83+AK83+AQ83+AW83+BF83+AE83</f>
        <v>0</v>
      </c>
      <c r="T83" s="471"/>
      <c r="U83" s="387"/>
      <c r="V83" s="387"/>
      <c r="W83" s="387"/>
      <c r="X83" s="387"/>
      <c r="Y83" s="387"/>
      <c r="Z83" s="471"/>
      <c r="AA83" s="387"/>
      <c r="AB83" s="387"/>
      <c r="AC83" s="387"/>
      <c r="AD83" s="387"/>
      <c r="AE83" s="508"/>
      <c r="AF83" s="367"/>
      <c r="AG83" s="508"/>
      <c r="AH83" s="508"/>
      <c r="AI83" s="508"/>
      <c r="AJ83" s="508"/>
      <c r="AK83" s="508"/>
      <c r="AL83" s="367"/>
      <c r="AM83" s="508"/>
      <c r="AN83" s="508"/>
      <c r="AO83" s="508"/>
      <c r="AP83" s="508"/>
      <c r="AQ83" s="508"/>
      <c r="AR83" s="367">
        <f>SUM(AS83:AW83)</f>
        <v>144</v>
      </c>
      <c r="AS83" s="508"/>
      <c r="AT83" s="508"/>
      <c r="AU83" s="508"/>
      <c r="AV83" s="508">
        <v>144</v>
      </c>
      <c r="AW83" s="508"/>
      <c r="AX83" s="508"/>
      <c r="AY83" s="367">
        <f t="shared" ref="AY83" si="202">SUM(AZ83:BF83)</f>
        <v>0</v>
      </c>
      <c r="AZ83" s="508"/>
      <c r="BA83" s="508"/>
      <c r="BB83" s="508"/>
      <c r="BC83" s="508"/>
      <c r="BD83" s="508"/>
      <c r="BE83" s="508"/>
      <c r="BF83" s="508"/>
      <c r="BG83" s="510"/>
      <c r="BH83" s="474" t="str">
        <f>'Учебный план'!BZ102</f>
        <v>64-4, 64-5</v>
      </c>
      <c r="BI83" s="475" t="str">
        <f>'Учебный план'!CA102</f>
        <v>ОК 1-10; ПК 1.1-1.3, 2.1-2.7, 3.1-3.2, 4.1-4.3</v>
      </c>
    </row>
    <row r="84" spans="1:61" s="228" customFormat="1" ht="26.1" customHeight="1" x14ac:dyDescent="0.2">
      <c r="A84" s="350" t="str">
        <f>'Учебный план'!A103</f>
        <v>ГИА.00</v>
      </c>
      <c r="B84" s="688" t="str">
        <f>'Учебный план'!B103</f>
        <v>Государственная итоговая аттестация</v>
      </c>
      <c r="C84" s="689"/>
      <c r="D84" s="689"/>
      <c r="E84" s="689"/>
      <c r="F84" s="689"/>
      <c r="G84" s="689"/>
      <c r="H84" s="690"/>
      <c r="I84" s="464"/>
      <c r="J84" s="465"/>
      <c r="K84" s="546">
        <f>'Учебный план'!K103</f>
        <v>144</v>
      </c>
      <c r="L84" s="546"/>
      <c r="M84" s="464">
        <f t="shared" si="169"/>
        <v>216</v>
      </c>
      <c r="N84" s="464">
        <f>N85</f>
        <v>0</v>
      </c>
      <c r="O84" s="464">
        <f t="shared" ref="O84:S84" si="203">O85</f>
        <v>0</v>
      </c>
      <c r="P84" s="464">
        <f t="shared" si="203"/>
        <v>0</v>
      </c>
      <c r="Q84" s="464">
        <f t="shared" si="203"/>
        <v>0</v>
      </c>
      <c r="R84" s="464">
        <f t="shared" si="203"/>
        <v>0</v>
      </c>
      <c r="S84" s="464">
        <f t="shared" si="203"/>
        <v>216</v>
      </c>
      <c r="T84" s="464">
        <v>0</v>
      </c>
      <c r="U84" s="464">
        <v>0</v>
      </c>
      <c r="V84" s="464">
        <v>0</v>
      </c>
      <c r="W84" s="464">
        <v>0</v>
      </c>
      <c r="X84" s="464">
        <v>0</v>
      </c>
      <c r="Y84" s="464">
        <v>0</v>
      </c>
      <c r="Z84" s="464">
        <v>0</v>
      </c>
      <c r="AA84" s="464">
        <v>0</v>
      </c>
      <c r="AB84" s="464">
        <v>0</v>
      </c>
      <c r="AC84" s="464">
        <v>0</v>
      </c>
      <c r="AD84" s="464">
        <v>0</v>
      </c>
      <c r="AE84" s="464">
        <v>0</v>
      </c>
      <c r="AF84" s="464">
        <v>0</v>
      </c>
      <c r="AG84" s="464">
        <v>0</v>
      </c>
      <c r="AH84" s="464">
        <v>0</v>
      </c>
      <c r="AI84" s="464">
        <v>0</v>
      </c>
      <c r="AJ84" s="464">
        <v>0</v>
      </c>
      <c r="AK84" s="464">
        <v>0</v>
      </c>
      <c r="AL84" s="464">
        <v>0</v>
      </c>
      <c r="AM84" s="464">
        <v>0</v>
      </c>
      <c r="AN84" s="464">
        <v>0</v>
      </c>
      <c r="AO84" s="464">
        <v>0</v>
      </c>
      <c r="AP84" s="464">
        <v>0</v>
      </c>
      <c r="AQ84" s="464">
        <v>0</v>
      </c>
      <c r="AR84" s="464">
        <f>AR85</f>
        <v>216</v>
      </c>
      <c r="AS84" s="464">
        <f t="shared" ref="AS84:AW84" si="204">AS85</f>
        <v>0</v>
      </c>
      <c r="AT84" s="464">
        <f t="shared" si="204"/>
        <v>0</v>
      </c>
      <c r="AU84" s="464">
        <f t="shared" si="204"/>
        <v>0</v>
      </c>
      <c r="AV84" s="464">
        <f t="shared" si="204"/>
        <v>0</v>
      </c>
      <c r="AW84" s="464">
        <f t="shared" si="204"/>
        <v>216</v>
      </c>
      <c r="AX84" s="464" t="e">
        <f>SUM(#REF!)</f>
        <v>#REF!</v>
      </c>
      <c r="AY84" s="464">
        <f>AY85</f>
        <v>0</v>
      </c>
      <c r="AZ84" s="464">
        <f t="shared" ref="AZ84:BF84" si="205">AZ85</f>
        <v>0</v>
      </c>
      <c r="BA84" s="464">
        <f t="shared" si="205"/>
        <v>0</v>
      </c>
      <c r="BB84" s="464">
        <f t="shared" si="205"/>
        <v>0</v>
      </c>
      <c r="BC84" s="464">
        <f t="shared" si="205"/>
        <v>0</v>
      </c>
      <c r="BD84" s="464">
        <f t="shared" si="205"/>
        <v>0</v>
      </c>
      <c r="BE84" s="464">
        <f t="shared" si="205"/>
        <v>0</v>
      </c>
      <c r="BF84" s="464">
        <f t="shared" si="205"/>
        <v>0</v>
      </c>
      <c r="BG84" s="310"/>
      <c r="BH84" s="497" t="str">
        <f>'Учебный план'!BZ103</f>
        <v>64-4, 64-5</v>
      </c>
      <c r="BI84" s="506" t="str">
        <f>'Учебный план'!CA103</f>
        <v>ОК 1-10, ПК 1.1 - 1.4, 2.1 - 2.7, 3.1- 3.2, 4.1 - 4.3</v>
      </c>
    </row>
    <row r="85" spans="1:61" s="228" customFormat="1" ht="25.5" hidden="1" x14ac:dyDescent="0.2">
      <c r="A85" s="282" t="str">
        <f>'Учебный план'!A104</f>
        <v>ГИА.01</v>
      </c>
      <c r="B85" s="283" t="str">
        <f>'Учебный план'!B104</f>
        <v>Государственная итоговая аттестация</v>
      </c>
      <c r="C85" s="284"/>
      <c r="D85" s="285"/>
      <c r="E85" s="285"/>
      <c r="F85" s="285"/>
      <c r="G85" s="285"/>
      <c r="H85" s="285"/>
      <c r="I85" s="315"/>
      <c r="J85" s="286"/>
      <c r="K85" s="463">
        <f>'Учебный план'!K104</f>
        <v>144</v>
      </c>
      <c r="L85" s="463">
        <f>'Учебный план'!L104</f>
        <v>144</v>
      </c>
      <c r="M85" s="308" t="e">
        <f>SUM(N85+#REF!+S85)</f>
        <v>#REF!</v>
      </c>
      <c r="N85" s="223">
        <f>SUM(O85:R85)</f>
        <v>0</v>
      </c>
      <c r="O85" s="223">
        <f>U85+AG85+AM85+AS85+AA85+BA85</f>
        <v>0</v>
      </c>
      <c r="P85" s="223">
        <f>V85+AH85+AN85+AT85+AB85+BB85</f>
        <v>0</v>
      </c>
      <c r="Q85" s="223">
        <f>W85+AI85+AO85+AU85+AC85+BC85</f>
        <v>0</v>
      </c>
      <c r="R85" s="223">
        <f>X85+AJ85+AP85+AV85+AD85+BD85</f>
        <v>0</v>
      </c>
      <c r="S85" s="223">
        <f>Y85+AK85+AQ85+AW85+BF85+AE85</f>
        <v>216</v>
      </c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463"/>
      <c r="AQ85" s="463"/>
      <c r="AR85" s="227">
        <f>SUM(AS85:AW85)</f>
        <v>216</v>
      </c>
      <c r="AS85" s="463"/>
      <c r="AT85" s="463"/>
      <c r="AU85" s="463"/>
      <c r="AV85" s="463"/>
      <c r="AW85" s="463">
        <v>216</v>
      </c>
      <c r="AX85" s="463"/>
      <c r="AY85" s="227">
        <f t="shared" ref="AY85" si="206">SUM(AZ85:BF85)</f>
        <v>0</v>
      </c>
      <c r="AZ85" s="463"/>
      <c r="BA85" s="463"/>
      <c r="BB85" s="463"/>
      <c r="BC85" s="463"/>
      <c r="BD85" s="463"/>
      <c r="BE85" s="463"/>
      <c r="BF85" s="463"/>
      <c r="BG85" s="309"/>
      <c r="BH85" s="457" t="str">
        <f>'Учебный план'!BZ104</f>
        <v>64-4, 64-5</v>
      </c>
      <c r="BI85" s="457" t="str">
        <f>'Учебный план'!CA104</f>
        <v>ОК 1-10, ПК 1.1 - 1.4, 2.1 - 2.7, 3.1- 3.2, 4.1 - 4.3</v>
      </c>
    </row>
    <row r="86" spans="1:61" s="228" customFormat="1" hidden="1" x14ac:dyDescent="0.2">
      <c r="A86" s="230"/>
      <c r="B86" s="231" t="s">
        <v>190</v>
      </c>
      <c r="C86" s="232"/>
      <c r="D86" s="229"/>
      <c r="E86" s="229"/>
      <c r="F86" s="229"/>
      <c r="G86" s="229"/>
      <c r="H86" s="229"/>
      <c r="I86" s="316"/>
      <c r="J86" s="229"/>
      <c r="K86" s="275">
        <v>0</v>
      </c>
      <c r="L86" s="275" t="str">
        <f>[1]Нормы!E21</f>
        <v>-</v>
      </c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/>
      <c r="AK86" s="275"/>
      <c r="AL86" s="275"/>
      <c r="AM86" s="275"/>
      <c r="AN86" s="275"/>
      <c r="AO86" s="275"/>
      <c r="AP86" s="275"/>
      <c r="AQ86" s="275"/>
      <c r="AR86" s="275"/>
      <c r="AS86" s="275"/>
      <c r="AT86" s="275"/>
      <c r="AU86" s="275"/>
      <c r="AV86" s="275"/>
      <c r="AW86" s="275"/>
      <c r="AX86" s="275"/>
      <c r="AY86" s="275"/>
      <c r="AZ86" s="275"/>
      <c r="BA86" s="275"/>
      <c r="BB86" s="275"/>
      <c r="BC86" s="275"/>
      <c r="BD86" s="275"/>
      <c r="BE86" s="275"/>
      <c r="BF86" s="275"/>
      <c r="BG86" s="309"/>
      <c r="BH86" s="233"/>
      <c r="BI86" s="233"/>
    </row>
    <row r="87" spans="1:61" hidden="1" x14ac:dyDescent="0.2">
      <c r="A87" s="234"/>
      <c r="B87" s="235"/>
      <c r="C87" s="235"/>
      <c r="D87" s="236"/>
      <c r="E87" s="236"/>
      <c r="F87" s="236"/>
      <c r="G87" s="236"/>
      <c r="H87" s="236"/>
      <c r="I87" s="237"/>
      <c r="J87" s="236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38"/>
    </row>
    <row r="88" spans="1:61" hidden="1" x14ac:dyDescent="0.2">
      <c r="A88" s="788" t="e">
        <f>#REF!</f>
        <v>#REF!</v>
      </c>
      <c r="B88" s="789"/>
      <c r="C88" s="789"/>
      <c r="D88" s="58"/>
      <c r="E88" s="239"/>
      <c r="F88" s="58"/>
      <c r="G88" s="58"/>
      <c r="H88" s="58"/>
      <c r="I88" s="59"/>
      <c r="J88" s="58"/>
      <c r="K88" s="59"/>
      <c r="L88" s="59"/>
      <c r="M88" s="58"/>
      <c r="N88" s="58"/>
      <c r="O88" s="58"/>
      <c r="P88" s="58"/>
      <c r="Q88" s="58"/>
      <c r="R88" s="58"/>
      <c r="S88" s="58"/>
      <c r="T88" s="59"/>
      <c r="U88" s="240"/>
      <c r="V88" s="240"/>
      <c r="W88" s="240"/>
      <c r="X88" s="240"/>
      <c r="Y88" s="240"/>
      <c r="Z88" s="59"/>
      <c r="AA88" s="240"/>
      <c r="AB88" s="240"/>
      <c r="AC88" s="240"/>
      <c r="AD88" s="240"/>
      <c r="AE88" s="240"/>
      <c r="AF88" s="59"/>
      <c r="AG88" s="240"/>
      <c r="AH88" s="240"/>
      <c r="AI88" s="240"/>
      <c r="AJ88" s="240"/>
      <c r="AK88" s="240"/>
      <c r="AL88" s="59"/>
      <c r="AM88" s="240"/>
      <c r="AN88" s="240"/>
      <c r="AO88" s="240"/>
      <c r="AP88" s="240"/>
      <c r="AQ88" s="240"/>
      <c r="AR88" s="59"/>
      <c r="AS88" s="240"/>
      <c r="AT88" s="240"/>
      <c r="AU88" s="240"/>
      <c r="AV88" s="240"/>
      <c r="AW88" s="240"/>
      <c r="AX88" s="59"/>
      <c r="AY88" s="59"/>
      <c r="AZ88" s="240"/>
      <c r="BA88" s="240"/>
      <c r="BB88" s="240"/>
      <c r="BC88" s="240"/>
      <c r="BD88" s="240"/>
      <c r="BE88" s="240"/>
      <c r="BF88" s="240"/>
      <c r="BG88" s="241"/>
    </row>
    <row r="89" spans="1:61" hidden="1" x14ac:dyDescent="0.2">
      <c r="A89" s="681" t="e">
        <f>#REF!</f>
        <v>#REF!</v>
      </c>
      <c r="B89" s="682"/>
      <c r="C89" s="682"/>
      <c r="D89" s="60"/>
      <c r="E89" s="242"/>
      <c r="F89" s="60"/>
      <c r="G89" s="60"/>
      <c r="H89" s="60"/>
      <c r="I89" s="61"/>
      <c r="J89" s="60"/>
      <c r="K89" s="61"/>
      <c r="L89" s="61"/>
      <c r="M89" s="60"/>
      <c r="N89" s="60"/>
      <c r="O89" s="60"/>
      <c r="P89" s="60"/>
      <c r="Q89" s="60"/>
      <c r="R89" s="60"/>
      <c r="S89" s="60"/>
      <c r="T89" s="61"/>
      <c r="U89" s="243"/>
      <c r="V89" s="243"/>
      <c r="W89" s="243"/>
      <c r="X89" s="243"/>
      <c r="Y89" s="243"/>
      <c r="Z89" s="61"/>
      <c r="AA89" s="243"/>
      <c r="AB89" s="243"/>
      <c r="AC89" s="243"/>
      <c r="AD89" s="243"/>
      <c r="AE89" s="243"/>
      <c r="AF89" s="61"/>
      <c r="AG89" s="243"/>
      <c r="AH89" s="243"/>
      <c r="AI89" s="243"/>
      <c r="AJ89" s="243"/>
      <c r="AK89" s="243"/>
      <c r="AL89" s="61"/>
      <c r="AM89" s="243"/>
      <c r="AN89" s="243"/>
      <c r="AO89" s="243"/>
      <c r="AP89" s="243"/>
      <c r="AQ89" s="243"/>
      <c r="AR89" s="61"/>
      <c r="AS89" s="243"/>
      <c r="AT89" s="243"/>
      <c r="AU89" s="243"/>
      <c r="AV89" s="243"/>
      <c r="AW89" s="243"/>
      <c r="AX89" s="61"/>
      <c r="AY89" s="61"/>
      <c r="AZ89" s="243"/>
      <c r="BA89" s="243"/>
      <c r="BB89" s="243"/>
      <c r="BC89" s="243"/>
      <c r="BD89" s="243"/>
      <c r="BE89" s="243"/>
      <c r="BF89" s="243"/>
      <c r="BG89" s="241"/>
    </row>
    <row r="90" spans="1:61" x14ac:dyDescent="0.2">
      <c r="A90" s="62"/>
      <c r="B90" s="784" t="s">
        <v>605</v>
      </c>
      <c r="C90" s="785"/>
      <c r="D90" s="785"/>
      <c r="E90" s="785"/>
      <c r="F90" s="785"/>
      <c r="G90" s="785"/>
      <c r="H90" s="786"/>
      <c r="I90" s="317"/>
      <c r="J90" s="276"/>
      <c r="K90" s="244">
        <v>4118</v>
      </c>
      <c r="L90" s="244">
        <f>L9+L73</f>
        <v>3744</v>
      </c>
      <c r="M90" s="245">
        <f>M73+M9</f>
        <v>4186</v>
      </c>
      <c r="N90" s="245">
        <f t="shared" ref="N90:S90" si="207">N9+N73</f>
        <v>570</v>
      </c>
      <c r="O90" s="245">
        <f t="shared" si="207"/>
        <v>376</v>
      </c>
      <c r="P90" s="245">
        <f t="shared" si="207"/>
        <v>137</v>
      </c>
      <c r="Q90" s="245">
        <f t="shared" si="207"/>
        <v>57</v>
      </c>
      <c r="R90" s="245">
        <f t="shared" si="207"/>
        <v>0</v>
      </c>
      <c r="S90" s="521">
        <f t="shared" si="207"/>
        <v>3616</v>
      </c>
      <c r="T90" s="250">
        <f>SUM(U90:Y90)</f>
        <v>936</v>
      </c>
      <c r="U90" s="247">
        <f>U9+U73</f>
        <v>122</v>
      </c>
      <c r="V90" s="247">
        <f>V9+V73</f>
        <v>38</v>
      </c>
      <c r="W90" s="247">
        <f>W9+W73</f>
        <v>0</v>
      </c>
      <c r="X90" s="247">
        <f>X9+X73</f>
        <v>0</v>
      </c>
      <c r="Y90" s="247">
        <f>Y9+Y73</f>
        <v>776</v>
      </c>
      <c r="Z90" s="251">
        <f>SUM(AA90:AE90)</f>
        <v>1318</v>
      </c>
      <c r="AA90" s="247">
        <f>AA9+AA73</f>
        <v>142</v>
      </c>
      <c r="AB90" s="247">
        <f>AB9+AB73</f>
        <v>18</v>
      </c>
      <c r="AC90" s="247">
        <f>AC9+AC73</f>
        <v>0</v>
      </c>
      <c r="AD90" s="247">
        <f>AD9+AD73</f>
        <v>0</v>
      </c>
      <c r="AE90" s="262">
        <f>AE9+AE73</f>
        <v>1158</v>
      </c>
      <c r="AF90" s="250">
        <f>SUM(AG90:AK90)</f>
        <v>1144</v>
      </c>
      <c r="AG90" s="247">
        <f>AG9+AG73</f>
        <v>118</v>
      </c>
      <c r="AH90" s="247">
        <f>AH9+AH73</f>
        <v>42</v>
      </c>
      <c r="AI90" s="247">
        <f>AI9+AI73</f>
        <v>0</v>
      </c>
      <c r="AJ90" s="247">
        <f>AJ9+AJ73</f>
        <v>0</v>
      </c>
      <c r="AK90" s="247">
        <f>AK9+AK73</f>
        <v>984</v>
      </c>
      <c r="AL90" s="251">
        <f>SUM(AM90:AQ90)</f>
        <v>1234</v>
      </c>
      <c r="AM90" s="247">
        <f>AM9+AM73</f>
        <v>96</v>
      </c>
      <c r="AN90" s="247">
        <f>AN9+AN73</f>
        <v>42</v>
      </c>
      <c r="AO90" s="247">
        <f>AO9+AO73</f>
        <v>22</v>
      </c>
      <c r="AP90" s="247">
        <f>AP9+AP73</f>
        <v>0</v>
      </c>
      <c r="AQ90" s="262">
        <f>AQ9+AQ73</f>
        <v>1074</v>
      </c>
      <c r="AR90" s="250">
        <f>SUM(AS90:AW90)</f>
        <v>984</v>
      </c>
      <c r="AS90" s="247">
        <f>AS9+AS73</f>
        <v>41</v>
      </c>
      <c r="AT90" s="247">
        <f>AT9+AT73</f>
        <v>51</v>
      </c>
      <c r="AU90" s="247">
        <f>AU9+AU73</f>
        <v>68</v>
      </c>
      <c r="AV90" s="247">
        <f>AV9+AV73</f>
        <v>0</v>
      </c>
      <c r="AW90" s="247">
        <f>AW9+AW73</f>
        <v>824</v>
      </c>
      <c r="AX90" s="279"/>
      <c r="AY90" s="246">
        <f>SUM(AZ90:BF90)</f>
        <v>0</v>
      </c>
      <c r="AZ90" s="247">
        <f>AZ9+AZ73+AZ20</f>
        <v>0</v>
      </c>
      <c r="BA90" s="247">
        <f>BA9+BA73+BA20</f>
        <v>0</v>
      </c>
      <c r="BB90" s="247">
        <f>BB9+BB73</f>
        <v>0</v>
      </c>
      <c r="BC90" s="247">
        <f>BC9+BC73</f>
        <v>0</v>
      </c>
      <c r="BD90" s="247">
        <f>BD9+BD73</f>
        <v>0</v>
      </c>
      <c r="BE90" s="247">
        <f>BE9+BE73</f>
        <v>0</v>
      </c>
      <c r="BF90" s="247">
        <f>BF9+BF73</f>
        <v>0</v>
      </c>
      <c r="BG90" s="248"/>
    </row>
    <row r="91" spans="1:61" x14ac:dyDescent="0.2">
      <c r="A91" s="62"/>
      <c r="B91" s="784" t="s">
        <v>272</v>
      </c>
      <c r="C91" s="785"/>
      <c r="D91" s="785"/>
      <c r="E91" s="785"/>
      <c r="F91" s="785"/>
      <c r="G91" s="785"/>
      <c r="H91" s="786"/>
      <c r="I91" s="317"/>
      <c r="J91" s="276"/>
      <c r="K91" s="244">
        <v>2808</v>
      </c>
      <c r="L91" s="244">
        <v>1872</v>
      </c>
      <c r="M91" s="245">
        <f t="shared" ref="M91:S91" si="208">M81+M76</f>
        <v>1980</v>
      </c>
      <c r="N91" s="245">
        <f t="shared" si="208"/>
        <v>1980</v>
      </c>
      <c r="O91" s="245">
        <f t="shared" si="208"/>
        <v>0</v>
      </c>
      <c r="P91" s="245">
        <f t="shared" si="208"/>
        <v>0</v>
      </c>
      <c r="Q91" s="245">
        <f t="shared" si="208"/>
        <v>0</v>
      </c>
      <c r="R91" s="245">
        <f t="shared" si="208"/>
        <v>1980</v>
      </c>
      <c r="S91" s="521">
        <f t="shared" si="208"/>
        <v>0</v>
      </c>
      <c r="T91" s="524">
        <f>T81+T76</f>
        <v>0</v>
      </c>
      <c r="U91" s="250">
        <f t="shared" ref="U91:X91" si="209">U81+U76</f>
        <v>0</v>
      </c>
      <c r="V91" s="250">
        <f t="shared" si="209"/>
        <v>0</v>
      </c>
      <c r="W91" s="250">
        <f t="shared" si="209"/>
        <v>0</v>
      </c>
      <c r="X91" s="250">
        <f t="shared" si="209"/>
        <v>0</v>
      </c>
      <c r="Y91" s="247">
        <f>Y81+Y76</f>
        <v>0</v>
      </c>
      <c r="Z91" s="251">
        <f>SUM(AA91:AE91)</f>
        <v>324</v>
      </c>
      <c r="AA91" s="250">
        <f t="shared" ref="AA91:AD91" si="210">AA81+AA76</f>
        <v>0</v>
      </c>
      <c r="AB91" s="250">
        <f t="shared" si="210"/>
        <v>0</v>
      </c>
      <c r="AC91" s="250">
        <f t="shared" si="210"/>
        <v>0</v>
      </c>
      <c r="AD91" s="250">
        <f t="shared" si="210"/>
        <v>324</v>
      </c>
      <c r="AE91" s="262">
        <f>AE81+AE76</f>
        <v>0</v>
      </c>
      <c r="AF91" s="250">
        <f>SUM(AG91:AK91)</f>
        <v>396</v>
      </c>
      <c r="AG91" s="250">
        <f t="shared" ref="AG91:AJ91" si="211">AG81+AG76</f>
        <v>0</v>
      </c>
      <c r="AH91" s="250">
        <f t="shared" si="211"/>
        <v>0</v>
      </c>
      <c r="AI91" s="250">
        <f t="shared" si="211"/>
        <v>0</v>
      </c>
      <c r="AJ91" s="250">
        <f t="shared" si="211"/>
        <v>396</v>
      </c>
      <c r="AK91" s="247">
        <f>AK81+AK76</f>
        <v>0</v>
      </c>
      <c r="AL91" s="251">
        <f>SUM(AM91:AQ91)</f>
        <v>828</v>
      </c>
      <c r="AM91" s="250">
        <f t="shared" ref="AM91:AP91" si="212">AM81+AM76</f>
        <v>0</v>
      </c>
      <c r="AN91" s="250">
        <f t="shared" si="212"/>
        <v>0</v>
      </c>
      <c r="AO91" s="250">
        <f t="shared" si="212"/>
        <v>0</v>
      </c>
      <c r="AP91" s="250">
        <f t="shared" si="212"/>
        <v>828</v>
      </c>
      <c r="AQ91" s="262">
        <f>AQ81+AQ76</f>
        <v>0</v>
      </c>
      <c r="AR91" s="524">
        <f>AR81+AR76</f>
        <v>432</v>
      </c>
      <c r="AS91" s="250">
        <f t="shared" ref="AS91:AV91" si="213">AS81+AS76</f>
        <v>0</v>
      </c>
      <c r="AT91" s="250">
        <f t="shared" si="213"/>
        <v>0</v>
      </c>
      <c r="AU91" s="250">
        <f t="shared" si="213"/>
        <v>0</v>
      </c>
      <c r="AV91" s="250">
        <f t="shared" si="213"/>
        <v>432</v>
      </c>
      <c r="AW91" s="247">
        <f>AW81+AW76</f>
        <v>0</v>
      </c>
      <c r="AX91" s="279"/>
      <c r="AY91" s="249">
        <f>AY81+AY76</f>
        <v>0</v>
      </c>
      <c r="AZ91" s="250">
        <f t="shared" ref="AZ91:BE91" si="214">AZ81+AZ76</f>
        <v>0</v>
      </c>
      <c r="BA91" s="250">
        <f t="shared" si="214"/>
        <v>0</v>
      </c>
      <c r="BB91" s="250">
        <f t="shared" si="214"/>
        <v>0</v>
      </c>
      <c r="BC91" s="250">
        <f t="shared" si="214"/>
        <v>0</v>
      </c>
      <c r="BD91" s="250">
        <f t="shared" si="214"/>
        <v>0</v>
      </c>
      <c r="BE91" s="251">
        <f t="shared" si="214"/>
        <v>0</v>
      </c>
      <c r="BF91" s="247">
        <f>BF81+BF76</f>
        <v>0</v>
      </c>
      <c r="BG91" s="248"/>
    </row>
    <row r="92" spans="1:61" x14ac:dyDescent="0.2">
      <c r="A92" s="62"/>
      <c r="B92" s="784" t="s">
        <v>592</v>
      </c>
      <c r="C92" s="785"/>
      <c r="D92" s="785"/>
      <c r="E92" s="785"/>
      <c r="F92" s="785"/>
      <c r="G92" s="785"/>
      <c r="H92" s="786"/>
      <c r="I92" s="317"/>
      <c r="J92" s="276"/>
      <c r="K92" s="244">
        <f>K84</f>
        <v>144</v>
      </c>
      <c r="L92" s="244">
        <f>L84</f>
        <v>0</v>
      </c>
      <c r="M92" s="245">
        <f>M84</f>
        <v>216</v>
      </c>
      <c r="N92" s="245">
        <f t="shared" ref="N92:R92" si="215">N84</f>
        <v>0</v>
      </c>
      <c r="O92" s="245">
        <f t="shared" si="215"/>
        <v>0</v>
      </c>
      <c r="P92" s="245">
        <f t="shared" si="215"/>
        <v>0</v>
      </c>
      <c r="Q92" s="245">
        <f t="shared" si="215"/>
        <v>0</v>
      </c>
      <c r="R92" s="245">
        <f t="shared" si="215"/>
        <v>0</v>
      </c>
      <c r="S92" s="522">
        <f>S84</f>
        <v>216</v>
      </c>
      <c r="T92" s="250">
        <f>T84</f>
        <v>0</v>
      </c>
      <c r="U92" s="247">
        <f>U84</f>
        <v>0</v>
      </c>
      <c r="V92" s="247">
        <f t="shared" ref="V92:X92" si="216">V84</f>
        <v>0</v>
      </c>
      <c r="W92" s="247">
        <f t="shared" si="216"/>
        <v>0</v>
      </c>
      <c r="X92" s="247">
        <f t="shared" si="216"/>
        <v>0</v>
      </c>
      <c r="Y92" s="247">
        <f>Y84</f>
        <v>0</v>
      </c>
      <c r="Z92" s="251">
        <f>SUM(AA92:AE92)</f>
        <v>0</v>
      </c>
      <c r="AA92" s="247">
        <f>AA84</f>
        <v>0</v>
      </c>
      <c r="AB92" s="247">
        <f t="shared" ref="AB92:AD92" si="217">AB84</f>
        <v>0</v>
      </c>
      <c r="AC92" s="247">
        <f t="shared" si="217"/>
        <v>0</v>
      </c>
      <c r="AD92" s="247">
        <f t="shared" si="217"/>
        <v>0</v>
      </c>
      <c r="AE92" s="262">
        <f>AE84</f>
        <v>0</v>
      </c>
      <c r="AF92" s="250">
        <f>SUM(AG92:AK92)</f>
        <v>0</v>
      </c>
      <c r="AG92" s="247">
        <f>AG84</f>
        <v>0</v>
      </c>
      <c r="AH92" s="247">
        <f t="shared" ref="AH92:AJ92" si="218">AH84</f>
        <v>0</v>
      </c>
      <c r="AI92" s="247">
        <f t="shared" si="218"/>
        <v>0</v>
      </c>
      <c r="AJ92" s="247">
        <f t="shared" si="218"/>
        <v>0</v>
      </c>
      <c r="AK92" s="247">
        <f>AK84</f>
        <v>0</v>
      </c>
      <c r="AL92" s="251">
        <f>SUM(AM92:AQ92)</f>
        <v>0</v>
      </c>
      <c r="AM92" s="247">
        <f>AM84</f>
        <v>0</v>
      </c>
      <c r="AN92" s="247">
        <f t="shared" ref="AN92:AP92" si="219">AN84</f>
        <v>0</v>
      </c>
      <c r="AO92" s="247">
        <f t="shared" si="219"/>
        <v>0</v>
      </c>
      <c r="AP92" s="247">
        <f t="shared" si="219"/>
        <v>0</v>
      </c>
      <c r="AQ92" s="262">
        <f>AQ84</f>
        <v>0</v>
      </c>
      <c r="AR92" s="250">
        <f>AR84</f>
        <v>216</v>
      </c>
      <c r="AS92" s="247">
        <f>AS84</f>
        <v>0</v>
      </c>
      <c r="AT92" s="247">
        <f t="shared" ref="AT92:AV92" si="220">AT84</f>
        <v>0</v>
      </c>
      <c r="AU92" s="247">
        <f t="shared" si="220"/>
        <v>0</v>
      </c>
      <c r="AV92" s="247">
        <f t="shared" si="220"/>
        <v>0</v>
      </c>
      <c r="AW92" s="247">
        <f>AW84</f>
        <v>216</v>
      </c>
      <c r="AX92" s="254" t="e">
        <f t="shared" ref="AX92" si="221">AX84</f>
        <v>#REF!</v>
      </c>
      <c r="AY92" s="246">
        <f>AY84</f>
        <v>0</v>
      </c>
      <c r="AZ92" s="247">
        <f>AZ84</f>
        <v>0</v>
      </c>
      <c r="BA92" s="247">
        <f>BA84</f>
        <v>0</v>
      </c>
      <c r="BB92" s="247">
        <f t="shared" ref="BB92:BE92" si="222">BB84</f>
        <v>0</v>
      </c>
      <c r="BC92" s="247">
        <f t="shared" si="222"/>
        <v>0</v>
      </c>
      <c r="BD92" s="247">
        <f t="shared" si="222"/>
        <v>0</v>
      </c>
      <c r="BE92" s="247">
        <f t="shared" si="222"/>
        <v>0</v>
      </c>
      <c r="BF92" s="247">
        <f>BF84</f>
        <v>0</v>
      </c>
      <c r="BG92" s="252"/>
    </row>
    <row r="93" spans="1:61" s="222" customFormat="1" hidden="1" x14ac:dyDescent="0.2">
      <c r="A93" s="63"/>
      <c r="B93" s="763" t="s">
        <v>314</v>
      </c>
      <c r="C93" s="759"/>
      <c r="D93" s="759"/>
      <c r="E93" s="759"/>
      <c r="F93" s="759"/>
      <c r="G93" s="759"/>
      <c r="H93" s="787"/>
      <c r="I93" s="318"/>
      <c r="J93" s="277"/>
      <c r="K93" s="253">
        <f>K86</f>
        <v>0</v>
      </c>
      <c r="L93" s="253" t="str">
        <f>L86</f>
        <v>-</v>
      </c>
      <c r="M93" s="254">
        <f>M86</f>
        <v>0</v>
      </c>
      <c r="N93" s="254">
        <f t="shared" ref="N93:R93" si="223">N86</f>
        <v>0</v>
      </c>
      <c r="O93" s="254">
        <f t="shared" si="223"/>
        <v>0</v>
      </c>
      <c r="P93" s="254">
        <f t="shared" si="223"/>
        <v>0</v>
      </c>
      <c r="Q93" s="254">
        <f t="shared" si="223"/>
        <v>0</v>
      </c>
      <c r="R93" s="254">
        <f t="shared" si="223"/>
        <v>0</v>
      </c>
      <c r="S93" s="255">
        <f>S86</f>
        <v>0</v>
      </c>
      <c r="T93" s="525">
        <f t="shared" ref="T93:X93" si="224">T86</f>
        <v>0</v>
      </c>
      <c r="U93" s="247">
        <f t="shared" si="224"/>
        <v>0</v>
      </c>
      <c r="V93" s="247">
        <f t="shared" si="224"/>
        <v>0</v>
      </c>
      <c r="W93" s="247">
        <f t="shared" si="224"/>
        <v>0</v>
      </c>
      <c r="X93" s="247">
        <f t="shared" si="224"/>
        <v>0</v>
      </c>
      <c r="Y93" s="254">
        <f>Y84</f>
        <v>0</v>
      </c>
      <c r="Z93" s="523">
        <f t="shared" ref="Z93:AD93" si="225">Z86</f>
        <v>0</v>
      </c>
      <c r="AA93" s="247">
        <f t="shared" si="225"/>
        <v>0</v>
      </c>
      <c r="AB93" s="247">
        <f t="shared" si="225"/>
        <v>0</v>
      </c>
      <c r="AC93" s="247">
        <f t="shared" si="225"/>
        <v>0</v>
      </c>
      <c r="AD93" s="247">
        <f t="shared" si="225"/>
        <v>0</v>
      </c>
      <c r="AE93" s="255">
        <f>AE84</f>
        <v>0</v>
      </c>
      <c r="AF93" s="250">
        <f>SUM(AG93:AK93)</f>
        <v>0</v>
      </c>
      <c r="AG93" s="247">
        <f t="shared" ref="AG93:AJ93" si="226">AG86</f>
        <v>0</v>
      </c>
      <c r="AH93" s="247">
        <f t="shared" si="226"/>
        <v>0</v>
      </c>
      <c r="AI93" s="247">
        <f t="shared" si="226"/>
        <v>0</v>
      </c>
      <c r="AJ93" s="247">
        <f t="shared" si="226"/>
        <v>0</v>
      </c>
      <c r="AK93" s="254">
        <f>AK84</f>
        <v>0</v>
      </c>
      <c r="AL93" s="251">
        <f>SUM(AM93:AQ93)</f>
        <v>0</v>
      </c>
      <c r="AM93" s="247">
        <f t="shared" ref="AM93:AP93" si="227">AM86</f>
        <v>0</v>
      </c>
      <c r="AN93" s="247">
        <f t="shared" si="227"/>
        <v>0</v>
      </c>
      <c r="AO93" s="247">
        <f t="shared" si="227"/>
        <v>0</v>
      </c>
      <c r="AP93" s="247">
        <f t="shared" si="227"/>
        <v>0</v>
      </c>
      <c r="AQ93" s="255">
        <f>AQ84</f>
        <v>0</v>
      </c>
      <c r="AR93" s="525">
        <f t="shared" ref="AR93:AV93" si="228">AR86</f>
        <v>0</v>
      </c>
      <c r="AS93" s="247">
        <f t="shared" si="228"/>
        <v>0</v>
      </c>
      <c r="AT93" s="247">
        <f t="shared" si="228"/>
        <v>0</v>
      </c>
      <c r="AU93" s="247">
        <f t="shared" si="228"/>
        <v>0</v>
      </c>
      <c r="AV93" s="247">
        <f t="shared" si="228"/>
        <v>0</v>
      </c>
      <c r="AW93" s="254">
        <f>AW84</f>
        <v>216</v>
      </c>
      <c r="AX93" s="280"/>
      <c r="AY93" s="256">
        <f t="shared" ref="AY93:BE93" si="229">AY86</f>
        <v>0</v>
      </c>
      <c r="AZ93" s="247">
        <f t="shared" si="229"/>
        <v>0</v>
      </c>
      <c r="BA93" s="247">
        <f t="shared" si="229"/>
        <v>0</v>
      </c>
      <c r="BB93" s="247">
        <f t="shared" si="229"/>
        <v>0</v>
      </c>
      <c r="BC93" s="247">
        <f t="shared" si="229"/>
        <v>0</v>
      </c>
      <c r="BD93" s="247">
        <f t="shared" si="229"/>
        <v>0</v>
      </c>
      <c r="BE93" s="247">
        <f t="shared" si="229"/>
        <v>0</v>
      </c>
      <c r="BF93" s="255">
        <f>BF84</f>
        <v>0</v>
      </c>
      <c r="BG93" s="257"/>
      <c r="BH93" s="258"/>
      <c r="BI93" s="258"/>
    </row>
    <row r="94" spans="1:61" x14ac:dyDescent="0.2">
      <c r="A94" s="259"/>
      <c r="B94" s="784" t="s">
        <v>233</v>
      </c>
      <c r="C94" s="785"/>
      <c r="D94" s="785"/>
      <c r="E94" s="785"/>
      <c r="F94" s="785"/>
      <c r="G94" s="785"/>
      <c r="H94" s="785"/>
      <c r="I94" s="319"/>
      <c r="J94" s="278"/>
      <c r="K94" s="260">
        <f>SUM(K90:K92)</f>
        <v>7070</v>
      </c>
      <c r="L94" s="260">
        <f>SUM(L90:L92)</f>
        <v>5616</v>
      </c>
      <c r="M94" s="261">
        <f>SUM(M90:M92)</f>
        <v>6382</v>
      </c>
      <c r="N94" s="261">
        <f t="shared" ref="N94:R94" si="230">SUM(N90:N92)</f>
        <v>2550</v>
      </c>
      <c r="O94" s="261">
        <f t="shared" si="230"/>
        <v>376</v>
      </c>
      <c r="P94" s="261">
        <f t="shared" si="230"/>
        <v>137</v>
      </c>
      <c r="Q94" s="261">
        <f t="shared" si="230"/>
        <v>57</v>
      </c>
      <c r="R94" s="261">
        <f t="shared" si="230"/>
        <v>1980</v>
      </c>
      <c r="S94" s="522">
        <f>SUM(S90:S92)</f>
        <v>3832</v>
      </c>
      <c r="T94" s="250">
        <f t="shared" ref="T94:Y94" si="231">SUM(T90:T92)</f>
        <v>936</v>
      </c>
      <c r="U94" s="247">
        <f t="shared" si="231"/>
        <v>122</v>
      </c>
      <c r="V94" s="247">
        <f t="shared" si="231"/>
        <v>38</v>
      </c>
      <c r="W94" s="247">
        <f t="shared" si="231"/>
        <v>0</v>
      </c>
      <c r="X94" s="247">
        <f t="shared" si="231"/>
        <v>0</v>
      </c>
      <c r="Y94" s="247">
        <f t="shared" si="231"/>
        <v>776</v>
      </c>
      <c r="Z94" s="251">
        <f t="shared" ref="Z94:AE94" si="232">SUM(Z90:Z92)</f>
        <v>1642</v>
      </c>
      <c r="AA94" s="247">
        <f t="shared" si="232"/>
        <v>142</v>
      </c>
      <c r="AB94" s="247">
        <f t="shared" si="232"/>
        <v>18</v>
      </c>
      <c r="AC94" s="247">
        <f t="shared" si="232"/>
        <v>0</v>
      </c>
      <c r="AD94" s="247">
        <f t="shared" si="232"/>
        <v>324</v>
      </c>
      <c r="AE94" s="262">
        <f t="shared" si="232"/>
        <v>1158</v>
      </c>
      <c r="AF94" s="250">
        <f t="shared" ref="AF94:AK94" si="233">SUM(AF90:AF92)</f>
        <v>1540</v>
      </c>
      <c r="AG94" s="247">
        <f t="shared" si="233"/>
        <v>118</v>
      </c>
      <c r="AH94" s="247">
        <f t="shared" si="233"/>
        <v>42</v>
      </c>
      <c r="AI94" s="247">
        <f t="shared" si="233"/>
        <v>0</v>
      </c>
      <c r="AJ94" s="247">
        <f t="shared" si="233"/>
        <v>396</v>
      </c>
      <c r="AK94" s="247">
        <f t="shared" si="233"/>
        <v>984</v>
      </c>
      <c r="AL94" s="251">
        <f t="shared" ref="AL94:AQ94" si="234">SUM(AL90:AL92)</f>
        <v>2062</v>
      </c>
      <c r="AM94" s="247">
        <f t="shared" si="234"/>
        <v>96</v>
      </c>
      <c r="AN94" s="247">
        <f t="shared" si="234"/>
        <v>42</v>
      </c>
      <c r="AO94" s="247">
        <f t="shared" si="234"/>
        <v>22</v>
      </c>
      <c r="AP94" s="247">
        <f t="shared" si="234"/>
        <v>828</v>
      </c>
      <c r="AQ94" s="262">
        <f t="shared" si="234"/>
        <v>1074</v>
      </c>
      <c r="AR94" s="250">
        <f t="shared" ref="AR94:AW94" si="235">SUM(AR90:AR92)</f>
        <v>1632</v>
      </c>
      <c r="AS94" s="247">
        <f t="shared" si="235"/>
        <v>41</v>
      </c>
      <c r="AT94" s="247">
        <f t="shared" si="235"/>
        <v>51</v>
      </c>
      <c r="AU94" s="247">
        <f t="shared" si="235"/>
        <v>68</v>
      </c>
      <c r="AV94" s="247">
        <f t="shared" si="235"/>
        <v>432</v>
      </c>
      <c r="AW94" s="247">
        <f t="shared" si="235"/>
        <v>1040</v>
      </c>
      <c r="AX94" s="279"/>
      <c r="AY94" s="246">
        <f t="shared" ref="AY94:BF94" si="236">SUM(AY90:AY92)</f>
        <v>0</v>
      </c>
      <c r="AZ94" s="247">
        <f t="shared" si="236"/>
        <v>0</v>
      </c>
      <c r="BA94" s="247">
        <f t="shared" si="236"/>
        <v>0</v>
      </c>
      <c r="BB94" s="247">
        <f t="shared" si="236"/>
        <v>0</v>
      </c>
      <c r="BC94" s="247">
        <f t="shared" si="236"/>
        <v>0</v>
      </c>
      <c r="BD94" s="247">
        <f t="shared" si="236"/>
        <v>0</v>
      </c>
      <c r="BE94" s="247">
        <f t="shared" si="236"/>
        <v>0</v>
      </c>
      <c r="BF94" s="262">
        <f t="shared" si="236"/>
        <v>0</v>
      </c>
      <c r="BG94" s="248"/>
    </row>
    <row r="95" spans="1:61" x14ac:dyDescent="0.2">
      <c r="A95" s="259"/>
      <c r="B95" s="763" t="s">
        <v>273</v>
      </c>
      <c r="C95" s="759"/>
      <c r="D95" s="759"/>
      <c r="E95" s="759"/>
      <c r="F95" s="759"/>
      <c r="G95" s="759"/>
      <c r="H95" s="759"/>
      <c r="I95" s="759"/>
      <c r="J95" s="759"/>
      <c r="K95" s="759"/>
      <c r="L95" s="759"/>
      <c r="M95" s="750">
        <f>COUNTIF(M11:M15,"&gt;0")+COUNTIF(M17:M19,"&gt;0")+COUNTIF(M22:M28,"&gt;0")+COUNTIF(M32:M36,"&gt;0")+COUNTIF(M57:M60,"&gt;0")+COUNTIF(M63:M65,"&gt;0")+COUNTIF(M71:M71,"&gt;0")+COUNTIF(M68,"&gt;0")+COUNTIF(M52:M54,"&gt;0")+COUNTIF(M45:M50,"&gt;0")+COUNTIF(M38:M43,"&gt;0")</f>
        <v>42</v>
      </c>
      <c r="N95" s="751"/>
      <c r="O95" s="751"/>
      <c r="P95" s="751"/>
      <c r="Q95" s="751"/>
      <c r="R95" s="751"/>
      <c r="S95" s="751"/>
      <c r="T95" s="764">
        <f>COUNTIF(T11:T15,"&gt;0")+COUNTIF(T17:T19,"&gt;0")+COUNTIF(T22:T28,"&gt;0")+COUNTIF(T32:T36,"&gt;0")+COUNTIF(T64:T65,"&gt;0")+COUNTIF(T38:T43,"&gt;0")+COUNTIF(T58:T59,"&gt;0")+COUNTIF(T71:T71,"&gt;0")+COUNTIF(T45:T50,"&gt;0")+COUNTIF(T52:T54,"&gt;0")+COUNTIF(T68,"&gt;0")</f>
        <v>13</v>
      </c>
      <c r="U95" s="761"/>
      <c r="V95" s="761"/>
      <c r="W95" s="761"/>
      <c r="X95" s="761"/>
      <c r="Y95" s="765"/>
      <c r="Z95" s="761">
        <f>COUNTIF(Z11:Z15,"&gt;0")+COUNTIF(Z17:Z19,"&gt;0")+COUNTIF(Z22:Z28,"&gt;0")+COUNTIF(Z32:Z36,"&gt;0")+COUNTIF(Z64:Z65,"&gt;0")+COUNTIF(Z38:Z43,"&gt;0")+COUNTIF(Z58:Z59,"&gt;0")+COUNTIF(Z71:Z71,"&gt;0")+COUNTIF(Z45:Z50,"&gt;0")+COUNTIF(Z52:Z54,"&gt;0")+COUNTIF(Z68,"&gt;0")</f>
        <v>12</v>
      </c>
      <c r="AA95" s="761"/>
      <c r="AB95" s="761"/>
      <c r="AC95" s="761"/>
      <c r="AD95" s="761"/>
      <c r="AE95" s="761"/>
      <c r="AF95" s="764">
        <f>COUNTIF(AF11:AF15,"&gt;0")+COUNTIF(AF17:AF19,"&gt;0")+COUNTIF(AF22:AF28,"&gt;0")+COUNTIF(AF32:AF36,"&gt;0")+COUNTIF(AF64:AF65,"&gt;0")+COUNTIF(AF38:AF43,"&gt;0")+COUNTIF(AF58:AF59,"&gt;0")+COUNTIF(AF71:AF71,"&gt;0")+COUNTIF(AF45:AF50,"&gt;0")+COUNTIF(AF52:AF54,"&gt;0")+COUNTIF(AF68,"&gt;0")</f>
        <v>16</v>
      </c>
      <c r="AG95" s="761"/>
      <c r="AH95" s="761"/>
      <c r="AI95" s="761"/>
      <c r="AJ95" s="761"/>
      <c r="AK95" s="765"/>
      <c r="AL95" s="761">
        <f>COUNTIF(AL11:AL15,"&gt;0")+COUNTIF(AL17:AL19,"&gt;0")+COUNTIF(AL22:AL28,"&gt;0")+COUNTIF(AL32:AL36,"&gt;0")+COUNTIF(AL64:AL65,"&gt;0")+COUNTIF(AL38:AL43,"&gt;0")+COUNTIF(AL58:AL59,"&gt;0")+COUNTIF(AL71:AL71,"&gt;0")+COUNTIF(AL45:AL50,"&gt;0")+COUNTIF(AL52:AL54,"&gt;0")+COUNTIF(AL68,"&gt;0")</f>
        <v>14</v>
      </c>
      <c r="AM95" s="761"/>
      <c r="AN95" s="761"/>
      <c r="AO95" s="761"/>
      <c r="AP95" s="761"/>
      <c r="AQ95" s="761"/>
      <c r="AR95" s="764">
        <f>COUNTIF(AR11:AR15,"&gt;0")+COUNTIF(AR17:AR19,"&gt;0")+COUNTIF(AR22:AR28,"&gt;0")+COUNTIF(AR32:AR36,"&gt;0")+COUNTIF(AR64:AR65,"&gt;0")+COUNTIF(AR38:AR43,"&gt;0")+COUNTIF(AR58:AR59,"&gt;0")+COUNTIF(AR71:AR71,"&gt;0")+COUNTIF(AR45:AR50,"&gt;0")+COUNTIF(AR52:AR54,"&gt;0")+COUNTIF(AR68,"&gt;0")</f>
        <v>9</v>
      </c>
      <c r="AS95" s="761"/>
      <c r="AT95" s="761"/>
      <c r="AU95" s="761"/>
      <c r="AV95" s="761"/>
      <c r="AW95" s="765"/>
      <c r="AX95" s="526"/>
      <c r="AY95" s="760">
        <f>COUNTIF(AY11:AY15,"&gt;0")+COUNTIF(AY17:AY19,"&gt;0")+COUNTIF(AY22:AY28,"&gt;0")+COUNTIF(AY32:AY36,"&gt;0")+COUNTIF(AY64:AY65,"&gt;0")+COUNTIF(AY38:AY43,"&gt;0")+COUNTIF(AY58:AY59,"&gt;0")+COUNTIF(AY71:AY71,"&gt;0")+COUNTIF(AY45:AY50,"&gt;0")+COUNTIF(AY52:AY54,"&gt;0")+COUNTIF(AY68,"&gt;0")</f>
        <v>0</v>
      </c>
      <c r="AZ95" s="761"/>
      <c r="BA95" s="761"/>
      <c r="BB95" s="761"/>
      <c r="BC95" s="761"/>
      <c r="BD95" s="761"/>
      <c r="BE95" s="761"/>
      <c r="BF95" s="778"/>
      <c r="BG95" s="248"/>
    </row>
    <row r="96" spans="1:61" x14ac:dyDescent="0.2">
      <c r="A96" s="259"/>
      <c r="B96" s="763" t="s">
        <v>88</v>
      </c>
      <c r="C96" s="759"/>
      <c r="D96" s="759"/>
      <c r="E96" s="759"/>
      <c r="F96" s="759"/>
      <c r="G96" s="759"/>
      <c r="H96" s="759"/>
      <c r="I96" s="759"/>
      <c r="J96" s="759"/>
      <c r="K96" s="759"/>
      <c r="L96" s="759"/>
      <c r="M96" s="779">
        <f>COUNTIF(M77:M80,"&gt;0")+COUNTIF(M82:M82,"&gt;0")</f>
        <v>2</v>
      </c>
      <c r="N96" s="780"/>
      <c r="O96" s="780"/>
      <c r="P96" s="780"/>
      <c r="Q96" s="780"/>
      <c r="R96" s="780"/>
      <c r="S96" s="781"/>
      <c r="T96" s="782">
        <f>COUNTIF(T77:T80,"&gt;0")+COUNTIF(T82:T82,"&gt;0")</f>
        <v>0</v>
      </c>
      <c r="U96" s="774"/>
      <c r="V96" s="774"/>
      <c r="W96" s="774"/>
      <c r="X96" s="774"/>
      <c r="Y96" s="783"/>
      <c r="Z96" s="762">
        <f>COUNTIF(Z77:Z80,"&gt;0")+COUNTIF(Z82:Z82,"&gt;0")</f>
        <v>1</v>
      </c>
      <c r="AA96" s="774"/>
      <c r="AB96" s="774"/>
      <c r="AC96" s="774"/>
      <c r="AD96" s="774"/>
      <c r="AE96" s="760"/>
      <c r="AF96" s="782">
        <f>COUNTIF(AF77:AF80,"&gt;0")+COUNTIF(AF82:AF82,"&gt;0")</f>
        <v>0</v>
      </c>
      <c r="AG96" s="774"/>
      <c r="AH96" s="774"/>
      <c r="AI96" s="774"/>
      <c r="AJ96" s="774"/>
      <c r="AK96" s="783"/>
      <c r="AL96" s="762">
        <f>COUNTIF(AL77:AL80,"&gt;0")+COUNTIF(AL82:AL82,"&gt;0")</f>
        <v>0</v>
      </c>
      <c r="AM96" s="774"/>
      <c r="AN96" s="774"/>
      <c r="AO96" s="774"/>
      <c r="AP96" s="774"/>
      <c r="AQ96" s="760"/>
      <c r="AR96" s="782">
        <f>COUNTIF(AR77:AR80,"&gt;0")+COUNTIF(AR82:AR82,"&gt;0")</f>
        <v>1</v>
      </c>
      <c r="AS96" s="774"/>
      <c r="AT96" s="774"/>
      <c r="AU96" s="774"/>
      <c r="AV96" s="774"/>
      <c r="AW96" s="783"/>
      <c r="AX96" s="526"/>
      <c r="AY96" s="774">
        <f>COUNTIF(AY77:AY80,"&gt;0")+COUNTIF(AY82:AY82,"&gt;0")</f>
        <v>0</v>
      </c>
      <c r="AZ96" s="774"/>
      <c r="BA96" s="774"/>
      <c r="BB96" s="774"/>
      <c r="BC96" s="774"/>
      <c r="BD96" s="774"/>
      <c r="BE96" s="774"/>
      <c r="BF96" s="760"/>
      <c r="BG96" s="248"/>
    </row>
    <row r="97" spans="1:59" x14ac:dyDescent="0.2">
      <c r="A97" s="263"/>
      <c r="B97" s="758" t="s">
        <v>617</v>
      </c>
      <c r="C97" s="759"/>
      <c r="D97" s="759"/>
      <c r="E97" s="759"/>
      <c r="F97" s="759"/>
      <c r="G97" s="759"/>
      <c r="H97" s="759"/>
      <c r="I97" s="759"/>
      <c r="J97" s="759"/>
      <c r="K97" s="759"/>
      <c r="L97" s="759"/>
      <c r="M97" s="769">
        <f>M94/(W3+AJ3+AO3+AU3)</f>
        <v>42.5</v>
      </c>
      <c r="N97" s="770"/>
      <c r="O97" s="770"/>
      <c r="P97" s="770"/>
      <c r="Q97" s="770"/>
      <c r="R97" s="770"/>
      <c r="S97" s="771"/>
      <c r="T97" s="775">
        <f>T90/W3</f>
        <v>31.2</v>
      </c>
      <c r="U97" s="776"/>
      <c r="V97" s="776"/>
      <c r="W97" s="776"/>
      <c r="X97" s="776"/>
      <c r="Y97" s="777"/>
      <c r="Z97" s="768">
        <f>Z90/AC3</f>
        <v>43.9</v>
      </c>
      <c r="AA97" s="776"/>
      <c r="AB97" s="776"/>
      <c r="AC97" s="776"/>
      <c r="AD97" s="776"/>
      <c r="AE97" s="766"/>
      <c r="AF97" s="775">
        <f>AF90/AJ3</f>
        <v>28.6</v>
      </c>
      <c r="AG97" s="776"/>
      <c r="AH97" s="776"/>
      <c r="AI97" s="776"/>
      <c r="AJ97" s="776"/>
      <c r="AK97" s="777"/>
      <c r="AL97" s="768">
        <f>AL90/AO3</f>
        <v>30.9</v>
      </c>
      <c r="AM97" s="776"/>
      <c r="AN97" s="776"/>
      <c r="AO97" s="776"/>
      <c r="AP97" s="776"/>
      <c r="AQ97" s="766"/>
      <c r="AR97" s="775">
        <f>AR90/AU3</f>
        <v>24.6</v>
      </c>
      <c r="AS97" s="776"/>
      <c r="AT97" s="776"/>
      <c r="AU97" s="776"/>
      <c r="AV97" s="776"/>
      <c r="AW97" s="777"/>
      <c r="AX97" s="526"/>
      <c r="AY97" s="776">
        <f>AY94/BC3</f>
        <v>0</v>
      </c>
      <c r="AZ97" s="776"/>
      <c r="BA97" s="776"/>
      <c r="BB97" s="776"/>
      <c r="BC97" s="776"/>
      <c r="BD97" s="776"/>
      <c r="BE97" s="776"/>
      <c r="BF97" s="766"/>
      <c r="BG97" s="248"/>
    </row>
    <row r="98" spans="1:59" x14ac:dyDescent="0.2">
      <c r="A98" s="264"/>
      <c r="B98" s="763" t="s">
        <v>271</v>
      </c>
      <c r="C98" s="759"/>
      <c r="D98" s="759"/>
      <c r="E98" s="759"/>
      <c r="F98" s="759"/>
      <c r="G98" s="759"/>
      <c r="H98" s="759"/>
      <c r="I98" s="759"/>
      <c r="J98" s="759"/>
      <c r="K98" s="759"/>
      <c r="L98" s="759"/>
      <c r="M98" s="769">
        <f>IF('Титул заочное обучение'!BD30=0,0,IF(M90=0,0,M90/(W3+AJ3+AO3+AU3)))</f>
        <v>27.9</v>
      </c>
      <c r="N98" s="770"/>
      <c r="O98" s="770"/>
      <c r="P98" s="770"/>
      <c r="Q98" s="770"/>
      <c r="R98" s="770"/>
      <c r="S98" s="771"/>
      <c r="T98" s="772">
        <f>SUM(U90:W90)/W3*6</f>
        <v>32</v>
      </c>
      <c r="U98" s="767"/>
      <c r="V98" s="767"/>
      <c r="W98" s="767"/>
      <c r="X98" s="767"/>
      <c r="Y98" s="773"/>
      <c r="Z98" s="767">
        <f>SUM(AA90:AC90)/AC3*6</f>
        <v>32</v>
      </c>
      <c r="AA98" s="767"/>
      <c r="AB98" s="767"/>
      <c r="AC98" s="767"/>
      <c r="AD98" s="767"/>
      <c r="AE98" s="767"/>
      <c r="AF98" s="772">
        <f>SUM(AG90:AI90)/AJ3*6</f>
        <v>24</v>
      </c>
      <c r="AG98" s="767"/>
      <c r="AH98" s="767"/>
      <c r="AI98" s="767"/>
      <c r="AJ98" s="767"/>
      <c r="AK98" s="773"/>
      <c r="AL98" s="767">
        <f>SUM(AM90:AO90)/AO3*6</f>
        <v>24</v>
      </c>
      <c r="AM98" s="767"/>
      <c r="AN98" s="767"/>
      <c r="AO98" s="767"/>
      <c r="AP98" s="767"/>
      <c r="AQ98" s="767"/>
      <c r="AR98" s="772">
        <f>SUM(AS90:AU90)/AU3*7</f>
        <v>28</v>
      </c>
      <c r="AS98" s="767"/>
      <c r="AT98" s="767"/>
      <c r="AU98" s="767"/>
      <c r="AV98" s="767"/>
      <c r="AW98" s="773"/>
      <c r="AX98" s="526"/>
      <c r="AY98" s="766">
        <f>SUM(BA90:BC90)/BC3*7</f>
        <v>0</v>
      </c>
      <c r="AZ98" s="767"/>
      <c r="BA98" s="767"/>
      <c r="BB98" s="767"/>
      <c r="BC98" s="767"/>
      <c r="BD98" s="767"/>
      <c r="BE98" s="767"/>
      <c r="BF98" s="768"/>
      <c r="BG98" s="248"/>
    </row>
    <row r="99" spans="1:59" x14ac:dyDescent="0.2">
      <c r="A99" s="264"/>
      <c r="B99" s="763" t="s">
        <v>270</v>
      </c>
      <c r="C99" s="759"/>
      <c r="D99" s="759"/>
      <c r="E99" s="759"/>
      <c r="F99" s="759"/>
      <c r="G99" s="759"/>
      <c r="H99" s="759"/>
      <c r="I99" s="759"/>
      <c r="J99" s="759"/>
      <c r="K99" s="759"/>
      <c r="L99" s="759"/>
      <c r="M99" s="750">
        <f>T99+AF99+AL99+AR99</f>
        <v>11</v>
      </c>
      <c r="N99" s="751"/>
      <c r="O99" s="751"/>
      <c r="P99" s="751"/>
      <c r="Q99" s="751"/>
      <c r="R99" s="751"/>
      <c r="S99" s="751"/>
      <c r="T99" s="764">
        <f>COUNTIF($D$9:$D$73,"*1*")</f>
        <v>2</v>
      </c>
      <c r="U99" s="761"/>
      <c r="V99" s="761"/>
      <c r="W99" s="761"/>
      <c r="X99" s="761"/>
      <c r="Y99" s="765"/>
      <c r="Z99" s="761">
        <f>COUNTIF($D$9:$D$73,"*2*")</f>
        <v>3</v>
      </c>
      <c r="AA99" s="761"/>
      <c r="AB99" s="761"/>
      <c r="AC99" s="761"/>
      <c r="AD99" s="761"/>
      <c r="AE99" s="761"/>
      <c r="AF99" s="764">
        <f>COUNTIF($D$9:$D$73,"*3*")</f>
        <v>2</v>
      </c>
      <c r="AG99" s="761"/>
      <c r="AH99" s="761"/>
      <c r="AI99" s="761"/>
      <c r="AJ99" s="761"/>
      <c r="AK99" s="765"/>
      <c r="AL99" s="761">
        <f>COUNTIF($D$9:$D$73,"*4*")</f>
        <v>6</v>
      </c>
      <c r="AM99" s="761"/>
      <c r="AN99" s="761"/>
      <c r="AO99" s="761"/>
      <c r="AP99" s="761"/>
      <c r="AQ99" s="761"/>
      <c r="AR99" s="764">
        <f>COUNTIF($D$9:$D$73,"*5*")</f>
        <v>1</v>
      </c>
      <c r="AS99" s="761"/>
      <c r="AT99" s="761"/>
      <c r="AU99" s="761"/>
      <c r="AV99" s="761"/>
      <c r="AW99" s="765"/>
      <c r="AX99" s="527"/>
      <c r="AY99" s="760">
        <f>COUNTIF($D$9:$D$73,"*6*")</f>
        <v>0</v>
      </c>
      <c r="AZ99" s="761"/>
      <c r="BA99" s="761"/>
      <c r="BB99" s="761"/>
      <c r="BC99" s="761"/>
      <c r="BD99" s="761"/>
      <c r="BE99" s="761"/>
      <c r="BF99" s="762"/>
      <c r="BG99" s="265"/>
    </row>
    <row r="100" spans="1:59" x14ac:dyDescent="0.2">
      <c r="A100" s="259"/>
      <c r="B100" s="763" t="s">
        <v>269</v>
      </c>
      <c r="C100" s="759"/>
      <c r="D100" s="759"/>
      <c r="E100" s="759"/>
      <c r="F100" s="759"/>
      <c r="G100" s="759"/>
      <c r="H100" s="759"/>
      <c r="I100" s="759"/>
      <c r="J100" s="759"/>
      <c r="K100" s="759"/>
      <c r="L100" s="759"/>
      <c r="M100" s="750">
        <f>T100+AF100+AL100+AR100</f>
        <v>28</v>
      </c>
      <c r="N100" s="751"/>
      <c r="O100" s="751"/>
      <c r="P100" s="751"/>
      <c r="Q100" s="751"/>
      <c r="R100" s="751"/>
      <c r="S100" s="751"/>
      <c r="T100" s="764">
        <f>COUNTIF($E$9:$E$73,"*1*")</f>
        <v>7</v>
      </c>
      <c r="U100" s="761"/>
      <c r="V100" s="761"/>
      <c r="W100" s="761"/>
      <c r="X100" s="761"/>
      <c r="Y100" s="765"/>
      <c r="Z100" s="761">
        <f>COUNTIF($E$9:$E$73,"*2*")</f>
        <v>4</v>
      </c>
      <c r="AA100" s="761"/>
      <c r="AB100" s="761"/>
      <c r="AC100" s="761"/>
      <c r="AD100" s="761"/>
      <c r="AE100" s="761"/>
      <c r="AF100" s="764">
        <f>COUNTIF($E$9:$E$73,"*3*")</f>
        <v>8</v>
      </c>
      <c r="AG100" s="761"/>
      <c r="AH100" s="761"/>
      <c r="AI100" s="761"/>
      <c r="AJ100" s="761"/>
      <c r="AK100" s="765"/>
      <c r="AL100" s="761">
        <f>COUNTIF($E$9:$E$73,"*4*")</f>
        <v>7</v>
      </c>
      <c r="AM100" s="761"/>
      <c r="AN100" s="761"/>
      <c r="AO100" s="761"/>
      <c r="AP100" s="761"/>
      <c r="AQ100" s="761"/>
      <c r="AR100" s="764">
        <f>COUNTIF($E$9:$E$73,"*5*")</f>
        <v>6</v>
      </c>
      <c r="AS100" s="761"/>
      <c r="AT100" s="761"/>
      <c r="AU100" s="761"/>
      <c r="AV100" s="761"/>
      <c r="AW100" s="765"/>
      <c r="AX100" s="527"/>
      <c r="AY100" s="760">
        <f>COUNTIF($E$9:$E$73,"*6*")</f>
        <v>0</v>
      </c>
      <c r="AZ100" s="761"/>
      <c r="BA100" s="761"/>
      <c r="BB100" s="761"/>
      <c r="BC100" s="761"/>
      <c r="BD100" s="761"/>
      <c r="BE100" s="761"/>
      <c r="BF100" s="762"/>
      <c r="BG100" s="265"/>
    </row>
    <row r="101" spans="1:59" hidden="1" x14ac:dyDescent="0.2">
      <c r="A101" s="259"/>
      <c r="B101" s="763" t="s">
        <v>268</v>
      </c>
      <c r="C101" s="759"/>
      <c r="D101" s="759"/>
      <c r="E101" s="759"/>
      <c r="F101" s="759"/>
      <c r="G101" s="759"/>
      <c r="H101" s="759"/>
      <c r="I101" s="759"/>
      <c r="J101" s="759"/>
      <c r="K101" s="759"/>
      <c r="L101" s="759"/>
      <c r="M101" s="750">
        <f>T101+AF101+AL101+AR101</f>
        <v>5</v>
      </c>
      <c r="N101" s="751"/>
      <c r="O101" s="751"/>
      <c r="P101" s="751"/>
      <c r="Q101" s="751"/>
      <c r="R101" s="751"/>
      <c r="S101" s="751"/>
      <c r="T101" s="641">
        <f>COUNTIF($G$9:$G$72,"*1*")</f>
        <v>0</v>
      </c>
      <c r="U101" s="639"/>
      <c r="V101" s="639"/>
      <c r="W101" s="639"/>
      <c r="X101" s="639"/>
      <c r="Y101" s="640"/>
      <c r="Z101" s="639">
        <f>COUNTIF($G$9:$G$72,"*2*")</f>
        <v>0</v>
      </c>
      <c r="AA101" s="639"/>
      <c r="AB101" s="639"/>
      <c r="AC101" s="639"/>
      <c r="AD101" s="639"/>
      <c r="AE101" s="639"/>
      <c r="AF101" s="641">
        <f>COUNTIF($F$9:$F$73,"*3*")</f>
        <v>1</v>
      </c>
      <c r="AG101" s="639"/>
      <c r="AH101" s="639"/>
      <c r="AI101" s="639"/>
      <c r="AJ101" s="639"/>
      <c r="AK101" s="640"/>
      <c r="AL101" s="639">
        <f>COUNTIF($F$9:$F$73,"*4*")</f>
        <v>1</v>
      </c>
      <c r="AM101" s="639"/>
      <c r="AN101" s="639"/>
      <c r="AO101" s="639"/>
      <c r="AP101" s="639"/>
      <c r="AQ101" s="639"/>
      <c r="AR101" s="641">
        <f>COUNTIF($F$9:$F$73,"*5*")</f>
        <v>3</v>
      </c>
      <c r="AS101" s="639"/>
      <c r="AT101" s="639"/>
      <c r="AU101" s="639"/>
      <c r="AV101" s="639"/>
      <c r="AW101" s="640"/>
      <c r="AX101" s="527"/>
      <c r="AY101" s="647">
        <f>COUNTIF($F$9:$F$73,"*6*")</f>
        <v>0</v>
      </c>
      <c r="AZ101" s="639"/>
      <c r="BA101" s="639"/>
      <c r="BB101" s="639"/>
      <c r="BC101" s="639"/>
      <c r="BD101" s="639"/>
      <c r="BE101" s="639"/>
      <c r="BF101" s="757"/>
      <c r="BG101" s="265"/>
    </row>
    <row r="102" spans="1:59" x14ac:dyDescent="0.2">
      <c r="A102" s="259"/>
      <c r="B102" s="758" t="s">
        <v>591</v>
      </c>
      <c r="C102" s="759"/>
      <c r="D102" s="759"/>
      <c r="E102" s="759"/>
      <c r="F102" s="759"/>
      <c r="G102" s="759"/>
      <c r="H102" s="759"/>
      <c r="I102" s="759"/>
      <c r="J102" s="759"/>
      <c r="K102" s="759"/>
      <c r="L102" s="759"/>
      <c r="M102" s="750">
        <f>T102+AF102+AL102+AR102</f>
        <v>3</v>
      </c>
      <c r="N102" s="751"/>
      <c r="O102" s="751"/>
      <c r="P102" s="751"/>
      <c r="Q102" s="751"/>
      <c r="R102" s="751"/>
      <c r="S102" s="751"/>
      <c r="T102" s="641">
        <f>COUNTIF($G$9:$G$73,"*1*")</f>
        <v>0</v>
      </c>
      <c r="U102" s="639"/>
      <c r="V102" s="639"/>
      <c r="W102" s="639"/>
      <c r="X102" s="639"/>
      <c r="Y102" s="640"/>
      <c r="Z102" s="639">
        <f>COUNTIF($G$9:$G$73,"*2*")</f>
        <v>0</v>
      </c>
      <c r="AA102" s="639"/>
      <c r="AB102" s="639"/>
      <c r="AC102" s="639"/>
      <c r="AD102" s="639"/>
      <c r="AE102" s="639"/>
      <c r="AF102" s="641">
        <f>COUNTIF($G$9:$G$73,"*3*")</f>
        <v>0</v>
      </c>
      <c r="AG102" s="639"/>
      <c r="AH102" s="639"/>
      <c r="AI102" s="639"/>
      <c r="AJ102" s="639"/>
      <c r="AK102" s="640"/>
      <c r="AL102" s="639">
        <f>COUNTIF($G$9:$G$73,"*4*")</f>
        <v>1</v>
      </c>
      <c r="AM102" s="639"/>
      <c r="AN102" s="639"/>
      <c r="AO102" s="639"/>
      <c r="AP102" s="639"/>
      <c r="AQ102" s="639"/>
      <c r="AR102" s="641">
        <f>COUNTIF($G$9:$G$73,"*5*")</f>
        <v>2</v>
      </c>
      <c r="AS102" s="639"/>
      <c r="AT102" s="639"/>
      <c r="AU102" s="639"/>
      <c r="AV102" s="639"/>
      <c r="AW102" s="640"/>
      <c r="AX102" s="527"/>
      <c r="AY102" s="647">
        <f>COUNTIF($G$9:$G$73,"*6*")</f>
        <v>0</v>
      </c>
      <c r="AZ102" s="639"/>
      <c r="BA102" s="639"/>
      <c r="BB102" s="639"/>
      <c r="BC102" s="639"/>
      <c r="BD102" s="639"/>
      <c r="BE102" s="639"/>
      <c r="BF102" s="757"/>
      <c r="BG102" s="265"/>
    </row>
    <row r="103" spans="1:59" x14ac:dyDescent="0.2">
      <c r="A103" s="266"/>
      <c r="B103" s="758" t="s">
        <v>593</v>
      </c>
      <c r="C103" s="759"/>
      <c r="D103" s="759"/>
      <c r="E103" s="759"/>
      <c r="F103" s="759"/>
      <c r="G103" s="759"/>
      <c r="H103" s="759"/>
      <c r="I103" s="759"/>
      <c r="J103" s="759"/>
      <c r="K103" s="759"/>
      <c r="L103" s="759"/>
      <c r="M103" s="750">
        <f>T103+AF103+AL103+AR103</f>
        <v>22</v>
      </c>
      <c r="N103" s="751"/>
      <c r="O103" s="751"/>
      <c r="P103" s="751"/>
      <c r="Q103" s="751"/>
      <c r="R103" s="751"/>
      <c r="S103" s="751"/>
      <c r="T103" s="641">
        <f>COUNTIF($H$9:$H$72,"*1*")</f>
        <v>1</v>
      </c>
      <c r="U103" s="639"/>
      <c r="V103" s="639"/>
      <c r="W103" s="639"/>
      <c r="X103" s="639"/>
      <c r="Y103" s="640"/>
      <c r="Z103" s="639">
        <f>COUNTIF($H$9:$H$72,"*1*")</f>
        <v>1</v>
      </c>
      <c r="AA103" s="639"/>
      <c r="AB103" s="639"/>
      <c r="AC103" s="639"/>
      <c r="AD103" s="639"/>
      <c r="AE103" s="639"/>
      <c r="AF103" s="641">
        <f>COUNTIF($H$9:$H$73,"*3*")</f>
        <v>9</v>
      </c>
      <c r="AG103" s="639"/>
      <c r="AH103" s="639"/>
      <c r="AI103" s="639"/>
      <c r="AJ103" s="639"/>
      <c r="AK103" s="640"/>
      <c r="AL103" s="639">
        <f>COUNTIF($H$9:$H$73,"*4*")</f>
        <v>8</v>
      </c>
      <c r="AM103" s="639"/>
      <c r="AN103" s="639"/>
      <c r="AO103" s="639"/>
      <c r="AP103" s="639"/>
      <c r="AQ103" s="639"/>
      <c r="AR103" s="641">
        <f>COUNTIF($H$9:$H$73,"*5*")</f>
        <v>4</v>
      </c>
      <c r="AS103" s="639"/>
      <c r="AT103" s="639"/>
      <c r="AU103" s="639"/>
      <c r="AV103" s="639"/>
      <c r="AW103" s="640"/>
      <c r="AX103" s="527"/>
      <c r="AY103" s="647">
        <f>COUNTIF($H$9:$H$73,"*6*")</f>
        <v>0</v>
      </c>
      <c r="AZ103" s="639"/>
      <c r="BA103" s="639"/>
      <c r="BB103" s="639"/>
      <c r="BC103" s="639"/>
      <c r="BD103" s="639"/>
      <c r="BE103" s="639"/>
      <c r="BF103" s="757"/>
      <c r="BG103" s="265"/>
    </row>
    <row r="106" spans="1:59" hidden="1" x14ac:dyDescent="0.2">
      <c r="A106" s="740" t="s">
        <v>296</v>
      </c>
      <c r="B106" s="740"/>
      <c r="C106" s="739" t="s">
        <v>297</v>
      </c>
      <c r="D106" s="739"/>
      <c r="E106" s="739" t="s">
        <v>318</v>
      </c>
      <c r="F106" s="739"/>
    </row>
    <row r="107" spans="1:59" hidden="1" x14ac:dyDescent="0.2">
      <c r="A107" s="66">
        <v>1</v>
      </c>
      <c r="B107" s="66">
        <v>11</v>
      </c>
      <c r="C107" s="67">
        <v>2</v>
      </c>
      <c r="D107" s="68" t="s">
        <v>41</v>
      </c>
      <c r="E107" s="67">
        <v>2</v>
      </c>
      <c r="F107" s="68" t="s">
        <v>40</v>
      </c>
    </row>
    <row r="108" spans="1:59" ht="51" hidden="1" x14ac:dyDescent="0.2">
      <c r="A108" s="66" t="s">
        <v>276</v>
      </c>
      <c r="B108" s="66" t="s">
        <v>156</v>
      </c>
      <c r="C108" s="66" t="s">
        <v>7</v>
      </c>
      <c r="D108" s="69" t="s">
        <v>299</v>
      </c>
      <c r="E108" s="66" t="s">
        <v>7</v>
      </c>
      <c r="F108" s="69" t="s">
        <v>299</v>
      </c>
    </row>
    <row r="109" spans="1:59" hidden="1" x14ac:dyDescent="0.2">
      <c r="A109" s="66">
        <v>1</v>
      </c>
      <c r="B109" s="66">
        <v>21</v>
      </c>
      <c r="C109" s="67">
        <v>2</v>
      </c>
      <c r="D109" s="68" t="s">
        <v>41</v>
      </c>
      <c r="E109" s="67">
        <v>2</v>
      </c>
      <c r="F109" s="68" t="s">
        <v>40</v>
      </c>
    </row>
    <row r="110" spans="1:59" ht="51" hidden="1" x14ac:dyDescent="0.2">
      <c r="A110" s="66" t="s">
        <v>276</v>
      </c>
      <c r="B110" s="66" t="s">
        <v>156</v>
      </c>
      <c r="C110" s="66" t="s">
        <v>7</v>
      </c>
      <c r="D110" s="69" t="s">
        <v>300</v>
      </c>
      <c r="E110" s="66" t="s">
        <v>7</v>
      </c>
      <c r="F110" s="69" t="s">
        <v>300</v>
      </c>
    </row>
    <row r="111" spans="1:59" hidden="1" x14ac:dyDescent="0.2">
      <c r="A111" s="66">
        <v>1</v>
      </c>
      <c r="B111" s="66">
        <v>30</v>
      </c>
      <c r="C111" s="67">
        <v>2</v>
      </c>
      <c r="D111" s="68" t="s">
        <v>41</v>
      </c>
      <c r="E111" s="67">
        <v>2</v>
      </c>
      <c r="F111" s="68" t="s">
        <v>40</v>
      </c>
    </row>
    <row r="112" spans="1:59" ht="51" hidden="1" x14ac:dyDescent="0.2">
      <c r="A112" s="66" t="s">
        <v>276</v>
      </c>
      <c r="B112" s="66" t="s">
        <v>156</v>
      </c>
      <c r="C112" s="66" t="s">
        <v>7</v>
      </c>
      <c r="D112" s="69" t="s">
        <v>301</v>
      </c>
      <c r="E112" s="66" t="s">
        <v>7</v>
      </c>
      <c r="F112" s="69" t="s">
        <v>301</v>
      </c>
    </row>
    <row r="113" spans="1:6" hidden="1" x14ac:dyDescent="0.2">
      <c r="A113" s="66">
        <v>1</v>
      </c>
      <c r="B113" s="66">
        <v>39</v>
      </c>
      <c r="C113" s="67">
        <v>2</v>
      </c>
      <c r="D113" s="68" t="s">
        <v>41</v>
      </c>
      <c r="E113" s="67">
        <v>2</v>
      </c>
      <c r="F113" s="68" t="s">
        <v>40</v>
      </c>
    </row>
    <row r="114" spans="1:6" ht="51" hidden="1" x14ac:dyDescent="0.2">
      <c r="A114" s="66" t="s">
        <v>276</v>
      </c>
      <c r="B114" s="66" t="s">
        <v>156</v>
      </c>
      <c r="C114" s="66" t="s">
        <v>7</v>
      </c>
      <c r="D114" s="69" t="s">
        <v>302</v>
      </c>
      <c r="E114" s="66" t="s">
        <v>7</v>
      </c>
      <c r="F114" s="69" t="s">
        <v>302</v>
      </c>
    </row>
    <row r="115" spans="1:6" hidden="1" x14ac:dyDescent="0.2">
      <c r="A115" s="66">
        <v>1</v>
      </c>
      <c r="B115" s="66">
        <v>48</v>
      </c>
      <c r="C115" s="67">
        <v>2</v>
      </c>
      <c r="D115" s="68" t="s">
        <v>41</v>
      </c>
      <c r="E115" s="67">
        <v>2</v>
      </c>
      <c r="F115" s="68" t="s">
        <v>40</v>
      </c>
    </row>
    <row r="116" spans="1:6" ht="51" hidden="1" x14ac:dyDescent="0.2">
      <c r="A116" s="66" t="s">
        <v>276</v>
      </c>
      <c r="B116" s="66" t="s">
        <v>156</v>
      </c>
      <c r="C116" s="66" t="s">
        <v>7</v>
      </c>
      <c r="D116" s="69" t="s">
        <v>303</v>
      </c>
      <c r="E116" s="66" t="s">
        <v>7</v>
      </c>
      <c r="F116" s="69" t="s">
        <v>303</v>
      </c>
    </row>
    <row r="117" spans="1:6" hidden="1" x14ac:dyDescent="0.2">
      <c r="A117" s="66">
        <v>1</v>
      </c>
      <c r="B117" s="66">
        <v>57</v>
      </c>
      <c r="C117" s="67">
        <v>2</v>
      </c>
      <c r="D117" s="68" t="s">
        <v>41</v>
      </c>
      <c r="E117" s="67">
        <v>2</v>
      </c>
      <c r="F117" s="68" t="s">
        <v>40</v>
      </c>
    </row>
    <row r="118" spans="1:6" ht="51" hidden="1" x14ac:dyDescent="0.2">
      <c r="A118" s="66" t="s">
        <v>276</v>
      </c>
      <c r="B118" s="66" t="s">
        <v>156</v>
      </c>
      <c r="C118" s="66" t="s">
        <v>7</v>
      </c>
      <c r="D118" s="69" t="s">
        <v>304</v>
      </c>
      <c r="E118" s="66" t="s">
        <v>7</v>
      </c>
      <c r="F118" s="69" t="s">
        <v>304</v>
      </c>
    </row>
    <row r="119" spans="1:6" hidden="1" x14ac:dyDescent="0.2">
      <c r="A119" s="66">
        <v>1</v>
      </c>
      <c r="B119" s="66">
        <v>66</v>
      </c>
      <c r="C119" s="67">
        <v>2</v>
      </c>
      <c r="D119" s="68" t="s">
        <v>41</v>
      </c>
      <c r="E119" s="67">
        <v>2</v>
      </c>
      <c r="F119" s="68" t="s">
        <v>40</v>
      </c>
    </row>
    <row r="120" spans="1:6" ht="51" hidden="1" x14ac:dyDescent="0.2">
      <c r="A120" s="66" t="s">
        <v>276</v>
      </c>
      <c r="B120" s="66" t="s">
        <v>156</v>
      </c>
      <c r="C120" s="66" t="s">
        <v>7</v>
      </c>
      <c r="D120" s="69" t="s">
        <v>305</v>
      </c>
      <c r="E120" s="66" t="s">
        <v>7</v>
      </c>
      <c r="F120" s="69" t="s">
        <v>305</v>
      </c>
    </row>
    <row r="121" spans="1:6" hidden="1" x14ac:dyDescent="0.2">
      <c r="A121" s="66">
        <v>1</v>
      </c>
      <c r="B121" s="66">
        <v>75</v>
      </c>
      <c r="C121" s="67">
        <v>2</v>
      </c>
      <c r="D121" s="68" t="s">
        <v>41</v>
      </c>
      <c r="E121" s="67">
        <v>2</v>
      </c>
      <c r="F121" s="68" t="s">
        <v>40</v>
      </c>
    </row>
    <row r="122" spans="1:6" ht="51" hidden="1" x14ac:dyDescent="0.2">
      <c r="A122" s="66" t="s">
        <v>276</v>
      </c>
      <c r="B122" s="66" t="s">
        <v>156</v>
      </c>
      <c r="C122" s="66" t="s">
        <v>7</v>
      </c>
      <c r="D122" s="69" t="s">
        <v>306</v>
      </c>
      <c r="E122" s="66" t="s">
        <v>7</v>
      </c>
      <c r="F122" s="69" t="s">
        <v>306</v>
      </c>
    </row>
    <row r="123" spans="1:6" hidden="1" x14ac:dyDescent="0.2">
      <c r="A123" s="66">
        <v>1</v>
      </c>
      <c r="B123" s="66">
        <v>84</v>
      </c>
      <c r="C123" s="67">
        <v>2</v>
      </c>
      <c r="D123" s="68" t="s">
        <v>41</v>
      </c>
      <c r="E123" s="67">
        <v>2</v>
      </c>
      <c r="F123" s="68" t="s">
        <v>40</v>
      </c>
    </row>
    <row r="124" spans="1:6" ht="51" hidden="1" x14ac:dyDescent="0.2">
      <c r="A124" s="66" t="s">
        <v>276</v>
      </c>
      <c r="B124" s="66" t="s">
        <v>156</v>
      </c>
      <c r="C124" s="66" t="s">
        <v>7</v>
      </c>
      <c r="D124" s="69" t="s">
        <v>307</v>
      </c>
      <c r="E124" s="66" t="s">
        <v>7</v>
      </c>
      <c r="F124" s="69" t="s">
        <v>307</v>
      </c>
    </row>
    <row r="125" spans="1:6" hidden="1" x14ac:dyDescent="0.2">
      <c r="A125" s="66">
        <v>1</v>
      </c>
      <c r="B125" s="66">
        <v>93</v>
      </c>
      <c r="C125" s="67">
        <v>2</v>
      </c>
      <c r="D125" s="68" t="s">
        <v>41</v>
      </c>
      <c r="E125" s="67">
        <v>2</v>
      </c>
      <c r="F125" s="68" t="s">
        <v>40</v>
      </c>
    </row>
    <row r="126" spans="1:6" ht="51" hidden="1" x14ac:dyDescent="0.2">
      <c r="A126" s="66" t="s">
        <v>276</v>
      </c>
      <c r="B126" s="66" t="s">
        <v>156</v>
      </c>
      <c r="C126" s="66" t="s">
        <v>7</v>
      </c>
      <c r="D126" s="69" t="s">
        <v>308</v>
      </c>
      <c r="E126" s="66" t="s">
        <v>7</v>
      </c>
      <c r="F126" s="69" t="s">
        <v>308</v>
      </c>
    </row>
    <row r="127" spans="1:6" hidden="1" x14ac:dyDescent="0.2">
      <c r="A127" s="66">
        <v>1</v>
      </c>
      <c r="B127" s="66">
        <v>102</v>
      </c>
      <c r="C127" s="64"/>
    </row>
    <row r="128" spans="1:6" hidden="1" x14ac:dyDescent="0.2">
      <c r="A128" s="66" t="s">
        <v>276</v>
      </c>
      <c r="B128" s="66" t="s">
        <v>156</v>
      </c>
      <c r="C128" s="64"/>
    </row>
  </sheetData>
  <sheetProtection password="CC6B" sheet="1" objects="1" scenarios="1" selectLockedCells="1" sort="0" autoFilter="0" pivotTables="0" selectUnlockedCells="1"/>
  <autoFilter ref="A8:BL86"/>
  <mergeCells count="166">
    <mergeCell ref="B29:H29"/>
    <mergeCell ref="B20:H20"/>
    <mergeCell ref="B21:H21"/>
    <mergeCell ref="B10:H10"/>
    <mergeCell ref="B9:H9"/>
    <mergeCell ref="T1:AX1"/>
    <mergeCell ref="B16:H16"/>
    <mergeCell ref="AF6:AG6"/>
    <mergeCell ref="Z6:AA6"/>
    <mergeCell ref="T6:U6"/>
    <mergeCell ref="O3:R3"/>
    <mergeCell ref="S3:S7"/>
    <mergeCell ref="T3:U3"/>
    <mergeCell ref="B84:H84"/>
    <mergeCell ref="A72:B72"/>
    <mergeCell ref="A69:B69"/>
    <mergeCell ref="A66:B66"/>
    <mergeCell ref="A61:B61"/>
    <mergeCell ref="B30:H30"/>
    <mergeCell ref="B31:H31"/>
    <mergeCell ref="B37:H37"/>
    <mergeCell ref="B44:H44"/>
    <mergeCell ref="B51:H51"/>
    <mergeCell ref="A55:B55"/>
    <mergeCell ref="B56:H56"/>
    <mergeCell ref="B62:H62"/>
    <mergeCell ref="B67:H67"/>
    <mergeCell ref="B70:H70"/>
    <mergeCell ref="B73:H73"/>
    <mergeCell ref="B63:H63"/>
    <mergeCell ref="B57:H57"/>
    <mergeCell ref="A1:A7"/>
    <mergeCell ref="B1:B7"/>
    <mergeCell ref="C1:C7"/>
    <mergeCell ref="D1:H2"/>
    <mergeCell ref="K1:L6"/>
    <mergeCell ref="M1:S1"/>
    <mergeCell ref="AL3:AM3"/>
    <mergeCell ref="AO3:AP3"/>
    <mergeCell ref="AR3:AS3"/>
    <mergeCell ref="T2:Y2"/>
    <mergeCell ref="Z2:AE2"/>
    <mergeCell ref="AR6:AS6"/>
    <mergeCell ref="AL6:AM6"/>
    <mergeCell ref="BH1:BH7"/>
    <mergeCell ref="BI1:BI7"/>
    <mergeCell ref="G3:G7"/>
    <mergeCell ref="H3:H7"/>
    <mergeCell ref="N3:N7"/>
    <mergeCell ref="M2:M7"/>
    <mergeCell ref="N2:S2"/>
    <mergeCell ref="AF2:AK2"/>
    <mergeCell ref="AL2:AQ2"/>
    <mergeCell ref="AU3:AV3"/>
    <mergeCell ref="AY3:BA3"/>
    <mergeCell ref="BC3:BE3"/>
    <mergeCell ref="O4:O7"/>
    <mergeCell ref="P4:P7"/>
    <mergeCell ref="Q4:Q7"/>
    <mergeCell ref="R4:R7"/>
    <mergeCell ref="T4:U4"/>
    <mergeCell ref="W4:X4"/>
    <mergeCell ref="W3:X3"/>
    <mergeCell ref="AF3:AG3"/>
    <mergeCell ref="AJ3:AK3"/>
    <mergeCell ref="AR2:AW2"/>
    <mergeCell ref="AZ6:BD6"/>
    <mergeCell ref="AY4:BA4"/>
    <mergeCell ref="BC4:BE4"/>
    <mergeCell ref="AZ5:BA5"/>
    <mergeCell ref="AF4:AG4"/>
    <mergeCell ref="AJ4:AK4"/>
    <mergeCell ref="AL4:AM4"/>
    <mergeCell ref="AO4:AP4"/>
    <mergeCell ref="AR4:AS4"/>
    <mergeCell ref="AU4:AV4"/>
    <mergeCell ref="D3:D7"/>
    <mergeCell ref="E3:E7"/>
    <mergeCell ref="B92:H92"/>
    <mergeCell ref="B93:H93"/>
    <mergeCell ref="B94:H94"/>
    <mergeCell ref="B95:L95"/>
    <mergeCell ref="M95:S95"/>
    <mergeCell ref="T95:Y95"/>
    <mergeCell ref="A88:C88"/>
    <mergeCell ref="A89:C89"/>
    <mergeCell ref="B90:H90"/>
    <mergeCell ref="B91:H91"/>
    <mergeCell ref="AY96:BF96"/>
    <mergeCell ref="B97:L97"/>
    <mergeCell ref="M97:S97"/>
    <mergeCell ref="T97:Y97"/>
    <mergeCell ref="AF97:AK97"/>
    <mergeCell ref="AL97:AQ97"/>
    <mergeCell ref="AR97:AW97"/>
    <mergeCell ref="AY97:BF97"/>
    <mergeCell ref="AF95:AK95"/>
    <mergeCell ref="AL95:AQ95"/>
    <mergeCell ref="AR95:AW95"/>
    <mergeCell ref="AY95:BF95"/>
    <mergeCell ref="B96:L96"/>
    <mergeCell ref="M96:S96"/>
    <mergeCell ref="T96:Y96"/>
    <mergeCell ref="AF96:AK96"/>
    <mergeCell ref="AL96:AQ96"/>
    <mergeCell ref="AR96:AW96"/>
    <mergeCell ref="Z95:AE95"/>
    <mergeCell ref="Z96:AE96"/>
    <mergeCell ref="Z97:AE97"/>
    <mergeCell ref="AY98:BF98"/>
    <mergeCell ref="B99:L99"/>
    <mergeCell ref="M99:S99"/>
    <mergeCell ref="T99:Y99"/>
    <mergeCell ref="AF99:AK99"/>
    <mergeCell ref="AL99:AQ99"/>
    <mergeCell ref="AR99:AW99"/>
    <mergeCell ref="AY99:BF99"/>
    <mergeCell ref="B98:L98"/>
    <mergeCell ref="M98:S98"/>
    <mergeCell ref="T98:Y98"/>
    <mergeCell ref="AF98:AK98"/>
    <mergeCell ref="AL98:AQ98"/>
    <mergeCell ref="AR98:AW98"/>
    <mergeCell ref="Z98:AE98"/>
    <mergeCell ref="Z99:AE99"/>
    <mergeCell ref="AF102:AK102"/>
    <mergeCell ref="AL102:AQ102"/>
    <mergeCell ref="AR102:AW102"/>
    <mergeCell ref="AY100:BF100"/>
    <mergeCell ref="B101:L101"/>
    <mergeCell ref="AF101:AK101"/>
    <mergeCell ref="AL101:AQ101"/>
    <mergeCell ref="AR101:AW101"/>
    <mergeCell ref="AY101:BF101"/>
    <mergeCell ref="Z101:AE101"/>
    <mergeCell ref="B100:L100"/>
    <mergeCell ref="M100:S100"/>
    <mergeCell ref="T100:Y100"/>
    <mergeCell ref="AF100:AK100"/>
    <mergeCell ref="AL100:AQ100"/>
    <mergeCell ref="AR100:AW100"/>
    <mergeCell ref="Z100:AE100"/>
    <mergeCell ref="A106:B106"/>
    <mergeCell ref="C106:D106"/>
    <mergeCell ref="E106:F106"/>
    <mergeCell ref="M101:S101"/>
    <mergeCell ref="T101:Y101"/>
    <mergeCell ref="AX2:BG2"/>
    <mergeCell ref="J1:J7"/>
    <mergeCell ref="Z3:AA3"/>
    <mergeCell ref="AC3:AD3"/>
    <mergeCell ref="Z4:AA4"/>
    <mergeCell ref="AC4:AD4"/>
    <mergeCell ref="AY102:BF102"/>
    <mergeCell ref="B103:L103"/>
    <mergeCell ref="M103:S103"/>
    <mergeCell ref="T103:Y103"/>
    <mergeCell ref="AF103:AK103"/>
    <mergeCell ref="AL103:AQ103"/>
    <mergeCell ref="AR103:AW103"/>
    <mergeCell ref="AY103:BF103"/>
    <mergeCell ref="Z102:AE102"/>
    <mergeCell ref="Z103:AE103"/>
    <mergeCell ref="B102:L102"/>
    <mergeCell ref="M102:S102"/>
    <mergeCell ref="T102:Y102"/>
  </mergeCells>
  <conditionalFormatting sqref="BH17:BH19 BH22:BH28 BH32:BH36 BH51:BH55 BH11:BH15 BH62:BH75 BH77:BH84">
    <cfRule type="expression" dxfId="3" priority="1" stopIfTrue="1">
      <formula>AND(M11&gt;0,BH11=0)</formula>
    </cfRule>
    <cfRule type="expression" dxfId="2" priority="2" stopIfTrue="1">
      <formula>AND(M11=0,BH11&lt;&gt;0)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6"/>
  <sheetViews>
    <sheetView showZeros="0" topLeftCell="A2" zoomScale="90" zoomScaleNormal="90" workbookViewId="0">
      <pane xSplit="11" ySplit="8" topLeftCell="L63" activePane="bottomRight" state="frozen"/>
      <selection activeCell="A2" sqref="A2"/>
      <selection pane="topRight" activeCell="L2" sqref="L2"/>
      <selection pane="bottomLeft" activeCell="A10" sqref="A10"/>
      <selection pane="bottomRight" activeCell="K75" sqref="K75"/>
    </sheetView>
  </sheetViews>
  <sheetFormatPr defaultRowHeight="12.75" x14ac:dyDescent="0.2"/>
  <cols>
    <col min="1" max="1" width="16.1640625" customWidth="1"/>
    <col min="2" max="2" width="0" hidden="1" customWidth="1"/>
    <col min="8" max="8" width="9.33203125" style="273"/>
  </cols>
  <sheetData>
    <row r="1" spans="1:13" s="211" customFormat="1" ht="13.5" hidden="1" thickBot="1" x14ac:dyDescent="0.25">
      <c r="H1" s="273"/>
    </row>
    <row r="2" spans="1:13" ht="12.75" customHeight="1" thickBot="1" x14ac:dyDescent="0.25">
      <c r="A2" s="840" t="s">
        <v>74</v>
      </c>
      <c r="B2" s="840" t="s">
        <v>75</v>
      </c>
      <c r="C2" s="839" t="s">
        <v>4</v>
      </c>
      <c r="D2" s="839"/>
      <c r="E2" s="839"/>
      <c r="F2" s="839"/>
      <c r="G2" s="839"/>
      <c r="I2" s="839" t="s">
        <v>4</v>
      </c>
      <c r="J2" s="839"/>
      <c r="K2" s="839"/>
      <c r="L2" s="839"/>
      <c r="M2" s="839"/>
    </row>
    <row r="3" spans="1:13" ht="13.5" thickBot="1" x14ac:dyDescent="0.25">
      <c r="A3" s="840"/>
      <c r="B3" s="840"/>
      <c r="C3" s="839"/>
      <c r="D3" s="839"/>
      <c r="E3" s="839"/>
      <c r="F3" s="839"/>
      <c r="G3" s="839"/>
      <c r="I3" s="839"/>
      <c r="J3" s="839"/>
      <c r="K3" s="839"/>
      <c r="L3" s="839"/>
      <c r="M3" s="839"/>
    </row>
    <row r="4" spans="1:13" ht="12.75" customHeight="1" thickBot="1" x14ac:dyDescent="0.25">
      <c r="A4" s="840"/>
      <c r="B4" s="840"/>
      <c r="C4" s="838" t="s">
        <v>65</v>
      </c>
      <c r="D4" s="838" t="s">
        <v>66</v>
      </c>
      <c r="E4" s="838" t="s">
        <v>67</v>
      </c>
      <c r="F4" s="838" t="s">
        <v>68</v>
      </c>
      <c r="G4" s="838" t="s">
        <v>69</v>
      </c>
      <c r="I4" s="838" t="s">
        <v>65</v>
      </c>
      <c r="J4" s="838" t="s">
        <v>66</v>
      </c>
      <c r="K4" s="838" t="s">
        <v>67</v>
      </c>
      <c r="L4" s="838" t="s">
        <v>68</v>
      </c>
      <c r="M4" s="838" t="s">
        <v>69</v>
      </c>
    </row>
    <row r="5" spans="1:13" ht="12.75" customHeight="1" thickBot="1" x14ac:dyDescent="0.25">
      <c r="A5" s="840"/>
      <c r="B5" s="840"/>
      <c r="C5" s="838"/>
      <c r="D5" s="838"/>
      <c r="E5" s="838"/>
      <c r="F5" s="838"/>
      <c r="G5" s="838"/>
      <c r="I5" s="838"/>
      <c r="J5" s="838"/>
      <c r="K5" s="838"/>
      <c r="L5" s="838"/>
      <c r="M5" s="838"/>
    </row>
    <row r="6" spans="1:13" ht="13.5" thickBot="1" x14ac:dyDescent="0.25">
      <c r="A6" s="840"/>
      <c r="B6" s="840"/>
      <c r="C6" s="838"/>
      <c r="D6" s="838"/>
      <c r="E6" s="838"/>
      <c r="F6" s="838"/>
      <c r="G6" s="838"/>
      <c r="I6" s="838"/>
      <c r="J6" s="838"/>
      <c r="K6" s="838"/>
      <c r="L6" s="838"/>
      <c r="M6" s="838"/>
    </row>
    <row r="7" spans="1:13" ht="13.5" thickBot="1" x14ac:dyDescent="0.25">
      <c r="A7" s="840"/>
      <c r="B7" s="840"/>
      <c r="C7" s="838"/>
      <c r="D7" s="838"/>
      <c r="E7" s="838"/>
      <c r="F7" s="838"/>
      <c r="G7" s="838"/>
      <c r="I7" s="838"/>
      <c r="J7" s="838"/>
      <c r="K7" s="838"/>
      <c r="L7" s="838"/>
      <c r="M7" s="838"/>
    </row>
    <row r="8" spans="1:13" ht="13.5" thickBot="1" x14ac:dyDescent="0.25">
      <c r="A8" s="840"/>
      <c r="B8" s="840"/>
      <c r="C8" s="838"/>
      <c r="D8" s="838"/>
      <c r="E8" s="838"/>
      <c r="F8" s="838"/>
      <c r="G8" s="838"/>
      <c r="I8" s="838"/>
      <c r="J8" s="838"/>
      <c r="K8" s="838"/>
      <c r="L8" s="838"/>
      <c r="M8" s="838"/>
    </row>
    <row r="9" spans="1:13" ht="39" thickBot="1" x14ac:dyDescent="0.25">
      <c r="A9" s="269" t="str">
        <f>'Учебный план'!B28</f>
        <v>Обязательная часть циклов ППССЗ</v>
      </c>
      <c r="B9" s="269">
        <f>'Учебный план'!C28</f>
        <v>0</v>
      </c>
      <c r="C9" s="269">
        <f>'Учебный план'!D28</f>
        <v>0</v>
      </c>
      <c r="D9" s="269">
        <f>'Учебный план'!E28</f>
        <v>0</v>
      </c>
      <c r="E9" s="269">
        <f>'Учебный план'!G28</f>
        <v>0</v>
      </c>
      <c r="F9" s="269" t="e">
        <f>'Учебный план'!#REF!</f>
        <v>#REF!</v>
      </c>
      <c r="G9" s="269">
        <f>'Учебный план'!H28</f>
        <v>0</v>
      </c>
      <c r="H9" s="274"/>
      <c r="I9" s="270">
        <f>'УП заочное обучение'!D9</f>
        <v>0</v>
      </c>
      <c r="J9" s="270">
        <f>'УП заочное обучение'!E9</f>
        <v>0</v>
      </c>
      <c r="K9" s="270">
        <f>'УП заочное обучение'!F9</f>
        <v>0</v>
      </c>
      <c r="L9" s="270">
        <f>'УП заочное обучение'!G9</f>
        <v>0</v>
      </c>
      <c r="M9" s="270">
        <f>'УП заочное обучение'!H9</f>
        <v>0</v>
      </c>
    </row>
    <row r="10" spans="1:13" ht="64.5" thickBot="1" x14ac:dyDescent="0.25">
      <c r="A10" s="269" t="str">
        <f>'Учебный план'!B29</f>
        <v>Общий гумманитарный и социально-экономический цикл</v>
      </c>
      <c r="B10" s="269">
        <f>'Учебный план'!C29</f>
        <v>0</v>
      </c>
      <c r="C10" s="269">
        <f>'Учебный план'!D29</f>
        <v>0</v>
      </c>
      <c r="D10" s="269">
        <f>'Учебный план'!E29</f>
        <v>0</v>
      </c>
      <c r="E10" s="269">
        <f>'Учебный план'!G29</f>
        <v>0</v>
      </c>
      <c r="F10" s="269" t="e">
        <f>'Учебный план'!#REF!</f>
        <v>#REF!</v>
      </c>
      <c r="G10" s="269">
        <f>'Учебный план'!H29</f>
        <v>0</v>
      </c>
      <c r="H10" s="274"/>
      <c r="I10" s="270">
        <f>'УП заочное обучение'!D10</f>
        <v>0</v>
      </c>
      <c r="J10" s="270">
        <f>'УП заочное обучение'!E10</f>
        <v>0</v>
      </c>
      <c r="K10" s="270">
        <f>'УП заочное обучение'!F10</f>
        <v>0</v>
      </c>
      <c r="L10" s="270">
        <f>'УП заочное обучение'!G10</f>
        <v>0</v>
      </c>
      <c r="M10" s="270">
        <f>'УП заочное обучение'!H10</f>
        <v>0</v>
      </c>
    </row>
    <row r="11" spans="1:13" ht="26.25" thickBot="1" x14ac:dyDescent="0.25">
      <c r="A11" s="271" t="str">
        <f>'Учебный план'!B30</f>
        <v>Основы философии</v>
      </c>
      <c r="B11" s="271">
        <f>'Учебный план'!C30</f>
        <v>0</v>
      </c>
      <c r="C11" s="271">
        <f>'Учебный план'!D30</f>
        <v>0</v>
      </c>
      <c r="D11" s="271" t="str">
        <f>'Учебный план'!E30</f>
        <v>3</v>
      </c>
      <c r="E11" s="271">
        <f>'Учебный план'!G30</f>
        <v>0</v>
      </c>
      <c r="F11" s="271" t="e">
        <f>'Учебный план'!#REF!</f>
        <v>#REF!</v>
      </c>
      <c r="G11" s="271">
        <f>'Учебный план'!H30</f>
        <v>0</v>
      </c>
      <c r="I11" s="272">
        <f>'УП заочное обучение'!D11</f>
        <v>0</v>
      </c>
      <c r="J11" s="272" t="str">
        <f>'УП заочное обучение'!E11</f>
        <v>1</v>
      </c>
      <c r="K11" s="272">
        <f>'УП заочное обучение'!F11</f>
        <v>0</v>
      </c>
      <c r="L11" s="272">
        <f>'УП заочное обучение'!G11</f>
        <v>0</v>
      </c>
      <c r="M11" s="272">
        <f>'УП заочное обучение'!H11</f>
        <v>0</v>
      </c>
    </row>
    <row r="12" spans="1:13" ht="13.5" thickBot="1" x14ac:dyDescent="0.25">
      <c r="A12" s="271" t="str">
        <f>'Учебный план'!B31</f>
        <v>История</v>
      </c>
      <c r="B12" s="271">
        <f>'Учебный план'!C31</f>
        <v>0</v>
      </c>
      <c r="C12" s="271">
        <f>'Учебный план'!D31</f>
        <v>0</v>
      </c>
      <c r="D12" s="271" t="str">
        <f>'Учебный план'!E31</f>
        <v>3</v>
      </c>
      <c r="E12" s="271">
        <f>'Учебный план'!G31</f>
        <v>0</v>
      </c>
      <c r="F12" s="271" t="e">
        <f>'Учебный план'!#REF!</f>
        <v>#REF!</v>
      </c>
      <c r="G12" s="271">
        <f>'Учебный план'!H31</f>
        <v>0</v>
      </c>
      <c r="I12" s="272">
        <f>'УП заочное обучение'!D12</f>
        <v>0</v>
      </c>
      <c r="J12" s="272" t="str">
        <f>'УП заочное обучение'!E12</f>
        <v>1</v>
      </c>
      <c r="K12" s="272">
        <f>'УП заочное обучение'!F12</f>
        <v>0</v>
      </c>
      <c r="L12" s="272">
        <f>'УП заочное обучение'!G12</f>
        <v>0</v>
      </c>
      <c r="M12" s="272">
        <f>'УП заочное обучение'!H12</f>
        <v>0</v>
      </c>
    </row>
    <row r="13" spans="1:13" ht="26.25" thickBot="1" x14ac:dyDescent="0.25">
      <c r="A13" s="271" t="str">
        <f>'Учебный план'!B32</f>
        <v>Психология общения</v>
      </c>
      <c r="B13" s="271">
        <f>'Учебный план'!C32</f>
        <v>0</v>
      </c>
      <c r="C13" s="271">
        <f>'Учебный план'!D32</f>
        <v>0</v>
      </c>
      <c r="D13" s="271" t="str">
        <f>'Учебный план'!E32</f>
        <v>5</v>
      </c>
      <c r="E13" s="271">
        <f>'Учебный план'!G32</f>
        <v>0</v>
      </c>
      <c r="F13" s="271" t="e">
        <f>'Учебный план'!#REF!</f>
        <v>#REF!</v>
      </c>
      <c r="G13" s="271">
        <f>'Учебный план'!H32</f>
        <v>0</v>
      </c>
      <c r="I13" s="272">
        <f>'УП заочное обучение'!D13</f>
        <v>0</v>
      </c>
      <c r="J13" s="272" t="str">
        <f>'УП заочное обучение'!E13</f>
        <v>2</v>
      </c>
      <c r="K13" s="272">
        <f>'УП заочное обучение'!F13</f>
        <v>0</v>
      </c>
      <c r="L13" s="272">
        <f>'УП заочное обучение'!G13</f>
        <v>0</v>
      </c>
      <c r="M13" s="272">
        <f>'УП заочное обучение'!H13</f>
        <v>0</v>
      </c>
    </row>
    <row r="14" spans="1:13" ht="26.25" thickBot="1" x14ac:dyDescent="0.25">
      <c r="A14" s="271" t="str">
        <f>'Учебный план'!B33</f>
        <v>Иностранный язык</v>
      </c>
      <c r="B14" s="271">
        <f>'Учебный план'!C33</f>
        <v>0</v>
      </c>
      <c r="C14" s="271" t="str">
        <f>'Учебный план'!D33</f>
        <v>5</v>
      </c>
      <c r="D14" s="271" t="str">
        <f>'Учебный план'!E33</f>
        <v>8,Х</v>
      </c>
      <c r="E14" s="271">
        <f>'Учебный план'!G33</f>
        <v>0</v>
      </c>
      <c r="F14" s="271" t="e">
        <f>'Учебный план'!#REF!</f>
        <v>#REF!</v>
      </c>
      <c r="G14" s="271" t="str">
        <f>'Учебный план'!H33</f>
        <v>3,4,6,7,9</v>
      </c>
      <c r="I14" s="272" t="str">
        <f>'УП заочное обучение'!D14</f>
        <v>3</v>
      </c>
      <c r="J14" s="272" t="str">
        <f>'УП заочное обучение'!E14</f>
        <v>4,5</v>
      </c>
      <c r="K14" s="272">
        <f>'УП заочное обучение'!F14</f>
        <v>0</v>
      </c>
      <c r="L14" s="272">
        <f>'УП заочное обучение'!G14</f>
        <v>0</v>
      </c>
      <c r="M14" s="272">
        <f>'УП заочное обучение'!H14</f>
        <v>0</v>
      </c>
    </row>
    <row r="15" spans="1:13" ht="26.25" thickBot="1" x14ac:dyDescent="0.25">
      <c r="A15" s="271" t="str">
        <f>'Учебный план'!B34</f>
        <v>Физическая культура</v>
      </c>
      <c r="B15" s="271">
        <f>'Учебный план'!C34</f>
        <v>0</v>
      </c>
      <c r="C15" s="271">
        <f>'Учебный план'!D34</f>
        <v>0</v>
      </c>
      <c r="D15" s="271">
        <f>'Учебный план'!E34</f>
        <v>0</v>
      </c>
      <c r="E15" s="271">
        <f>'Учебный план'!G34</f>
        <v>0</v>
      </c>
      <c r="F15" s="271" t="e">
        <f>'Учебный план'!#REF!</f>
        <v>#REF!</v>
      </c>
      <c r="G15" s="271">
        <f>'Учебный план'!H34</f>
        <v>0</v>
      </c>
      <c r="I15" s="272">
        <f>'УП заочное обучение'!D15</f>
        <v>0</v>
      </c>
      <c r="J15" s="272">
        <f>'УП заочное обучение'!E15</f>
        <v>0</v>
      </c>
      <c r="K15" s="272" t="str">
        <f>'УП заочное обучение'!F15</f>
        <v>5</v>
      </c>
      <c r="L15" s="272">
        <f>'УП заочное обучение'!G15</f>
        <v>0</v>
      </c>
      <c r="M15" s="272">
        <f>'УП заочное обучение'!H15</f>
        <v>0</v>
      </c>
    </row>
    <row r="16" spans="1:13" ht="51.75" thickBot="1" x14ac:dyDescent="0.25">
      <c r="A16" s="269" t="str">
        <f>'Учебный план'!B35</f>
        <v>Математический и общий естественнонаучный цикл</v>
      </c>
      <c r="B16" s="269">
        <f>'Учебный план'!C35</f>
        <v>0</v>
      </c>
      <c r="C16" s="269">
        <f>'Учебный план'!D35</f>
        <v>0</v>
      </c>
      <c r="D16" s="269">
        <f>'Учебный план'!E35</f>
        <v>0</v>
      </c>
      <c r="E16" s="269">
        <f>'Учебный план'!G35</f>
        <v>0</v>
      </c>
      <c r="F16" s="269" t="e">
        <f>'Учебный план'!#REF!</f>
        <v>#REF!</v>
      </c>
      <c r="G16" s="269">
        <f>'Учебный план'!H35</f>
        <v>0</v>
      </c>
      <c r="H16" s="274"/>
      <c r="I16" s="270">
        <f>'УП заочное обучение'!D16</f>
        <v>0</v>
      </c>
      <c r="J16" s="270">
        <f>'УП заочное обучение'!E16</f>
        <v>0</v>
      </c>
      <c r="K16" s="270">
        <f>'УП заочное обучение'!F16</f>
        <v>0</v>
      </c>
      <c r="L16" s="270">
        <f>'УП заочное обучение'!G16</f>
        <v>0</v>
      </c>
      <c r="M16" s="270">
        <f>'УП заочное обучение'!H16</f>
        <v>0</v>
      </c>
    </row>
    <row r="17" spans="1:13" ht="13.5" thickBot="1" x14ac:dyDescent="0.25">
      <c r="A17" s="271" t="str">
        <f>'Учебный план'!B36</f>
        <v>Математика</v>
      </c>
      <c r="B17" s="271">
        <f>'Учебный план'!C36</f>
        <v>0</v>
      </c>
      <c r="C17" s="271" t="str">
        <f>'Учебный план'!D36</f>
        <v>3</v>
      </c>
      <c r="D17" s="271">
        <f>'Учебный план'!E36</f>
        <v>0</v>
      </c>
      <c r="E17" s="271">
        <f>'Учебный план'!G36</f>
        <v>0</v>
      </c>
      <c r="F17" s="271" t="e">
        <f>'Учебный план'!#REF!</f>
        <v>#REF!</v>
      </c>
      <c r="G17" s="271">
        <f>'Учебный план'!H36</f>
        <v>0</v>
      </c>
      <c r="I17" s="272" t="str">
        <f>'УП заочное обучение'!D17</f>
        <v>1</v>
      </c>
      <c r="J17" s="272">
        <f>'УП заочное обучение'!E17</f>
        <v>0</v>
      </c>
      <c r="K17" s="272">
        <f>'УП заочное обучение'!F17</f>
        <v>0</v>
      </c>
      <c r="L17" s="272">
        <f>'УП заочное обучение'!G17</f>
        <v>0</v>
      </c>
      <c r="M17" s="272">
        <f>'УП заочное обучение'!H17</f>
        <v>0</v>
      </c>
    </row>
    <row r="18" spans="1:13" ht="13.5" thickBot="1" x14ac:dyDescent="0.25">
      <c r="A18" s="271" t="str">
        <f>'Учебный план'!B37</f>
        <v>Информатика</v>
      </c>
      <c r="B18" s="271">
        <f>'Учебный план'!C37</f>
        <v>0</v>
      </c>
      <c r="C18" s="271">
        <f>'Учебный план'!D37</f>
        <v>0</v>
      </c>
      <c r="D18" s="271" t="str">
        <f>'Учебный план'!E37</f>
        <v>3</v>
      </c>
      <c r="E18" s="271">
        <f>'Учебный план'!G37</f>
        <v>0</v>
      </c>
      <c r="F18" s="271" t="e">
        <f>'Учебный план'!#REF!</f>
        <v>#REF!</v>
      </c>
      <c r="G18" s="271">
        <f>'Учебный план'!H37</f>
        <v>0</v>
      </c>
      <c r="I18" s="272">
        <f>'УП заочное обучение'!D18</f>
        <v>0</v>
      </c>
      <c r="J18" s="272" t="str">
        <f>'УП заочное обучение'!E18</f>
        <v>1</v>
      </c>
      <c r="K18" s="272">
        <f>'УП заочное обучение'!F18</f>
        <v>0</v>
      </c>
      <c r="L18" s="272">
        <f>'УП заочное обучение'!G18</f>
        <v>0</v>
      </c>
      <c r="M18" s="272">
        <f>'УП заочное обучение'!H18</f>
        <v>0</v>
      </c>
    </row>
    <row r="19" spans="1:13" ht="51.75" thickBot="1" x14ac:dyDescent="0.25">
      <c r="A19" s="271" t="str">
        <f>'Учебный план'!B38</f>
        <v>Экологические основы природопользования</v>
      </c>
      <c r="B19" s="271">
        <f>'Учебный план'!C38</f>
        <v>0</v>
      </c>
      <c r="C19" s="271">
        <f>'Учебный план'!D38</f>
        <v>0</v>
      </c>
      <c r="D19" s="271" t="str">
        <f>'Учебный план'!E38</f>
        <v>3</v>
      </c>
      <c r="E19" s="271">
        <f>'Учебный план'!G38</f>
        <v>0</v>
      </c>
      <c r="F19" s="271" t="e">
        <f>'Учебный план'!#REF!</f>
        <v>#REF!</v>
      </c>
      <c r="G19" s="271">
        <f>'Учебный план'!H38</f>
        <v>0</v>
      </c>
      <c r="I19" s="272">
        <f>'УП заочное обучение'!D19</f>
        <v>0</v>
      </c>
      <c r="J19" s="272" t="str">
        <f>'УП заочное обучение'!E19</f>
        <v>1</v>
      </c>
      <c r="K19" s="272">
        <f>'УП заочное обучение'!F19</f>
        <v>0</v>
      </c>
      <c r="L19" s="272">
        <f>'УП заочное обучение'!G19</f>
        <v>0</v>
      </c>
      <c r="M19" s="272">
        <f>'УП заочное обучение'!H19</f>
        <v>0</v>
      </c>
    </row>
    <row r="20" spans="1:13" ht="26.25" thickBot="1" x14ac:dyDescent="0.25">
      <c r="A20" s="271" t="str">
        <f>'Учебный план'!B39</f>
        <v>Профессиональный цикл</v>
      </c>
      <c r="B20" s="271">
        <f>'Учебный план'!C39</f>
        <v>0</v>
      </c>
      <c r="C20" s="271">
        <f>'Учебный план'!D39</f>
        <v>0</v>
      </c>
      <c r="D20" s="271">
        <f>'Учебный план'!E39</f>
        <v>0</v>
      </c>
      <c r="E20" s="271">
        <f>'Учебный план'!G39</f>
        <v>0</v>
      </c>
      <c r="F20" s="271" t="e">
        <f>'Учебный план'!#REF!</f>
        <v>#REF!</v>
      </c>
      <c r="G20" s="271">
        <f>'Учебный план'!H39</f>
        <v>0</v>
      </c>
      <c r="I20" s="272">
        <f>'УП заочное обучение'!D20</f>
        <v>0</v>
      </c>
      <c r="J20" s="272">
        <f>'УП заочное обучение'!E20</f>
        <v>0</v>
      </c>
      <c r="K20" s="272">
        <f>'УП заочное обучение'!F20</f>
        <v>0</v>
      </c>
      <c r="L20" s="272">
        <f>'УП заочное обучение'!G20</f>
        <v>0</v>
      </c>
      <c r="M20" s="272">
        <f>'УП заочное обучение'!H20</f>
        <v>0</v>
      </c>
    </row>
    <row r="21" spans="1:13" ht="39" thickBot="1" x14ac:dyDescent="0.25">
      <c r="A21" s="271" t="str">
        <f>'Учебный план'!B40</f>
        <v>Общепрофессиональные дисциплины</v>
      </c>
      <c r="B21" s="271">
        <f>'Учебный план'!C40</f>
        <v>0</v>
      </c>
      <c r="C21" s="271">
        <f>'Учебный план'!D40</f>
        <v>0</v>
      </c>
      <c r="D21" s="271">
        <f>'Учебный план'!E40</f>
        <v>0</v>
      </c>
      <c r="E21" s="271">
        <f>'Учебный план'!G40</f>
        <v>0</v>
      </c>
      <c r="F21" s="271" t="e">
        <f>'Учебный план'!#REF!</f>
        <v>#REF!</v>
      </c>
      <c r="G21" s="271">
        <f>'Учебный план'!H40</f>
        <v>0</v>
      </c>
      <c r="I21" s="272">
        <f>'УП заочное обучение'!D21</f>
        <v>0</v>
      </c>
      <c r="J21" s="272">
        <f>'УП заочное обучение'!E21</f>
        <v>0</v>
      </c>
      <c r="K21" s="272">
        <f>'УП заочное обучение'!F21</f>
        <v>0</v>
      </c>
      <c r="L21" s="272">
        <f>'УП заочное обучение'!G21</f>
        <v>0</v>
      </c>
      <c r="M21" s="272">
        <f>'УП заочное обучение'!H21</f>
        <v>0</v>
      </c>
    </row>
    <row r="22" spans="1:13" ht="26.25" thickBot="1" x14ac:dyDescent="0.25">
      <c r="A22" s="271" t="str">
        <f>'Учебный план'!B41</f>
        <v>Инженерная графика</v>
      </c>
      <c r="B22" s="271">
        <f>'Учебный план'!C41</f>
        <v>0</v>
      </c>
      <c r="C22" s="271">
        <f>'Учебный план'!D41</f>
        <v>0</v>
      </c>
      <c r="D22" s="271" t="str">
        <f>'Учебный план'!E41</f>
        <v>4</v>
      </c>
      <c r="E22" s="271">
        <f>'Учебный план'!G41</f>
        <v>0</v>
      </c>
      <c r="F22" s="271" t="e">
        <f>'Учебный план'!#REF!</f>
        <v>#REF!</v>
      </c>
      <c r="G22" s="271" t="str">
        <f>'Учебный план'!H41</f>
        <v>3</v>
      </c>
      <c r="I22" s="272">
        <f>'УП заочное обучение'!D22</f>
        <v>0</v>
      </c>
      <c r="J22" s="272" t="str">
        <f>'УП заочное обучение'!E22</f>
        <v>1</v>
      </c>
      <c r="K22" s="272">
        <f>'УП заочное обучение'!F22</f>
        <v>0</v>
      </c>
      <c r="L22" s="272">
        <f>'УП заочное обучение'!G22</f>
        <v>0</v>
      </c>
      <c r="M22" s="272" t="str">
        <f>'УП заочное обучение'!H22</f>
        <v>3</v>
      </c>
    </row>
    <row r="23" spans="1:13" ht="13.5" thickBot="1" x14ac:dyDescent="0.25">
      <c r="A23" s="271" t="str">
        <f>'Учебный план'!B42</f>
        <v>Механика</v>
      </c>
      <c r="B23" s="271">
        <f>'Учебный план'!C42</f>
        <v>0</v>
      </c>
      <c r="C23" s="271">
        <f>'Учебный план'!D42</f>
        <v>0</v>
      </c>
      <c r="D23" s="271" t="str">
        <f>'Учебный план'!E42</f>
        <v>4</v>
      </c>
      <c r="E23" s="271">
        <f>'Учебный план'!G42</f>
        <v>0</v>
      </c>
      <c r="F23" s="271" t="e">
        <f>'Учебный план'!#REF!</f>
        <v>#REF!</v>
      </c>
      <c r="G23" s="271">
        <f>'Учебный план'!H42</f>
        <v>0</v>
      </c>
      <c r="I23" s="272">
        <f>'УП заочное обучение'!D23</f>
        <v>0</v>
      </c>
      <c r="J23" s="272" t="str">
        <f>'УП заочное обучение'!E23</f>
        <v>2</v>
      </c>
      <c r="K23" s="272">
        <f>'УП заочное обучение'!F23</f>
        <v>0</v>
      </c>
      <c r="L23" s="272">
        <f>'УП заочное обучение'!G23</f>
        <v>0</v>
      </c>
      <c r="M23" s="272">
        <f>'УП заочное обучение'!H23</f>
        <v>0</v>
      </c>
    </row>
    <row r="24" spans="1:13" ht="26.25" thickBot="1" x14ac:dyDescent="0.25">
      <c r="A24" s="271" t="str">
        <f>'Учебный план'!B43</f>
        <v>Электроника и электротехника</v>
      </c>
      <c r="B24" s="271" t="str">
        <f>'Учебный план'!C43</f>
        <v>Электроника</v>
      </c>
      <c r="C24" s="271">
        <f>'Учебный план'!D43</f>
        <v>0</v>
      </c>
      <c r="D24" s="271" t="str">
        <f>'Учебный план'!E43</f>
        <v>3</v>
      </c>
      <c r="E24" s="271">
        <f>'Учебный план'!G43</f>
        <v>0</v>
      </c>
      <c r="F24" s="271" t="e">
        <f>'Учебный план'!#REF!</f>
        <v>#REF!</v>
      </c>
      <c r="G24" s="271">
        <f>'Учебный план'!H43</f>
        <v>0</v>
      </c>
      <c r="I24" s="272">
        <f>'УП заочное обучение'!D24</f>
        <v>0</v>
      </c>
      <c r="J24" s="272" t="str">
        <f>'УП заочное обучение'!E24</f>
        <v>1</v>
      </c>
      <c r="K24" s="272">
        <f>'УП заочное обучение'!F24</f>
        <v>0</v>
      </c>
      <c r="L24" s="272">
        <f>'УП заочное обучение'!G24</f>
        <v>0</v>
      </c>
      <c r="M24" s="272">
        <f>'УП заочное обучение'!H24</f>
        <v>0</v>
      </c>
    </row>
    <row r="25" spans="1:13" ht="64.5" thickBot="1" x14ac:dyDescent="0.25">
      <c r="A25" s="271" t="str">
        <f>'Учебный план'!B44</f>
        <v xml:space="preserve">Правовые основы профессиональной деятельности                                               </v>
      </c>
      <c r="B25" s="271" t="str">
        <f>'Учебный план'!C44</f>
        <v>ПОПД</v>
      </c>
      <c r="C25" s="271" t="str">
        <f>'Учебный план'!D44</f>
        <v>8</v>
      </c>
      <c r="D25" s="271">
        <f>'Учебный план'!E44</f>
        <v>0</v>
      </c>
      <c r="E25" s="271">
        <f>'Учебный план'!G44</f>
        <v>0</v>
      </c>
      <c r="F25" s="271" t="e">
        <f>'Учебный план'!#REF!</f>
        <v>#REF!</v>
      </c>
      <c r="G25" s="271" t="str">
        <f>'Учебный план'!H44</f>
        <v>7</v>
      </c>
      <c r="I25" s="272" t="str">
        <f>'УП заочное обучение'!D25</f>
        <v>4</v>
      </c>
      <c r="J25" s="272">
        <f>'УП заочное обучение'!E25</f>
        <v>0</v>
      </c>
      <c r="K25" s="272">
        <f>'УП заочное обучение'!F25</f>
        <v>0</v>
      </c>
      <c r="L25" s="272">
        <f>'УП заочное обучение'!G25</f>
        <v>0</v>
      </c>
      <c r="M25" s="272" t="str">
        <f>'УП заочное обучение'!H25</f>
        <v>4</v>
      </c>
    </row>
    <row r="26" spans="1:13" ht="26.25" thickBot="1" x14ac:dyDescent="0.25">
      <c r="A26" s="271" t="str">
        <f>'Учебный план'!B45</f>
        <v>Метрология и стандартизация</v>
      </c>
      <c r="B26" s="271">
        <f>'Учебный план'!C45</f>
        <v>0</v>
      </c>
      <c r="C26" s="271">
        <f>'Учебный план'!D45</f>
        <v>0</v>
      </c>
      <c r="D26" s="271" t="str">
        <f>'Учебный план'!E45</f>
        <v>3</v>
      </c>
      <c r="E26" s="271">
        <f>'Учебный план'!G45</f>
        <v>0</v>
      </c>
      <c r="F26" s="271" t="e">
        <f>'Учебный план'!#REF!</f>
        <v>#REF!</v>
      </c>
      <c r="G26" s="271">
        <f>'Учебный план'!H45</f>
        <v>0</v>
      </c>
      <c r="I26" s="272">
        <f>'УП заочное обучение'!D26</f>
        <v>0</v>
      </c>
      <c r="J26" s="272" t="str">
        <f>'УП заочное обучение'!E26</f>
        <v>1</v>
      </c>
      <c r="K26" s="272">
        <f>'УП заочное обучение'!F26</f>
        <v>0</v>
      </c>
      <c r="L26" s="272">
        <f>'УП заочное обучение'!G26</f>
        <v>0</v>
      </c>
      <c r="M26" s="272">
        <f>'УП заочное обучение'!H26</f>
        <v>0</v>
      </c>
    </row>
    <row r="27" spans="1:13" ht="39" thickBot="1" x14ac:dyDescent="0.25">
      <c r="A27" s="271" t="str">
        <f>'Учебный план'!B46</f>
        <v>Теория и устройство судна</v>
      </c>
      <c r="B27" s="271" t="str">
        <f>'Учебный план'!C46</f>
        <v>ТУС</v>
      </c>
      <c r="C27" s="271" t="str">
        <f>'Учебный план'!D46</f>
        <v>4</v>
      </c>
      <c r="D27" s="271">
        <f>'Учебный план'!E46</f>
        <v>0</v>
      </c>
      <c r="E27" s="271">
        <f>'Учебный план'!G46</f>
        <v>0</v>
      </c>
      <c r="F27" s="271" t="e">
        <f>'Учебный план'!#REF!</f>
        <v>#REF!</v>
      </c>
      <c r="G27" s="271" t="str">
        <f>'Учебный план'!H46</f>
        <v>3</v>
      </c>
      <c r="I27" s="272" t="str">
        <f>'УП заочное обучение'!D27</f>
        <v>2</v>
      </c>
      <c r="J27" s="272">
        <f>'УП заочное обучение'!E27</f>
        <v>0</v>
      </c>
      <c r="K27" s="272">
        <f>'УП заочное обучение'!F27</f>
        <v>0</v>
      </c>
      <c r="L27" s="272">
        <f>'УП заочное обучение'!G27</f>
        <v>0</v>
      </c>
      <c r="M27" s="272" t="str">
        <f>'УП заочное обучение'!H27</f>
        <v>1</v>
      </c>
    </row>
    <row r="28" spans="1:13" ht="39" thickBot="1" x14ac:dyDescent="0.25">
      <c r="A28" s="271" t="str">
        <f>'Учебный план'!B47</f>
        <v>Безопасность жизнедеятельности</v>
      </c>
      <c r="B28" s="271">
        <f>'Учебный план'!C47</f>
        <v>0</v>
      </c>
      <c r="C28" s="271" t="str">
        <f>'Учебный план'!D47</f>
        <v>3</v>
      </c>
      <c r="D28" s="271">
        <f>'Учебный план'!E47</f>
        <v>0</v>
      </c>
      <c r="E28" s="271">
        <f>'Учебный план'!G47</f>
        <v>0</v>
      </c>
      <c r="F28" s="271" t="e">
        <f>'Учебный план'!#REF!</f>
        <v>#REF!</v>
      </c>
      <c r="G28" s="271">
        <f>'Учебный план'!H47</f>
        <v>0</v>
      </c>
      <c r="I28" s="272" t="str">
        <f>'УП заочное обучение'!D28</f>
        <v>1</v>
      </c>
      <c r="J28" s="272">
        <f>'УП заочное обучение'!E28</f>
        <v>0</v>
      </c>
      <c r="K28" s="272">
        <f>'УП заочное обучение'!F28</f>
        <v>0</v>
      </c>
      <c r="L28" s="272">
        <f>'УП заочное обучение'!G28</f>
        <v>0</v>
      </c>
      <c r="M28" s="272">
        <f>'УП заочное обучение'!H28</f>
        <v>0</v>
      </c>
    </row>
    <row r="29" spans="1:13" ht="26.25" thickBot="1" x14ac:dyDescent="0.25">
      <c r="A29" s="269" t="str">
        <f>'Учебный план'!B48</f>
        <v>Профессиональные модули</v>
      </c>
      <c r="B29" s="269">
        <f>'Учебный план'!C48</f>
        <v>0</v>
      </c>
      <c r="C29" s="269">
        <f>'Учебный план'!D48</f>
        <v>0</v>
      </c>
      <c r="D29" s="269">
        <f>'Учебный план'!E48</f>
        <v>0</v>
      </c>
      <c r="E29" s="269">
        <f>'Учебный план'!G48</f>
        <v>0</v>
      </c>
      <c r="F29" s="269" t="e">
        <f>'Учебный план'!#REF!</f>
        <v>#REF!</v>
      </c>
      <c r="G29" s="269">
        <f>'Учебный план'!H48</f>
        <v>0</v>
      </c>
      <c r="H29" s="274"/>
      <c r="I29" s="270">
        <f>'УП заочное обучение'!D29</f>
        <v>0</v>
      </c>
      <c r="J29" s="270">
        <f>'УП заочное обучение'!E29</f>
        <v>0</v>
      </c>
      <c r="K29" s="270">
        <f>'УП заочное обучение'!F29</f>
        <v>0</v>
      </c>
      <c r="L29" s="270">
        <f>'УП заочное обучение'!G29</f>
        <v>0</v>
      </c>
      <c r="M29" s="270">
        <f>'УП заочное обучение'!H29</f>
        <v>0</v>
      </c>
    </row>
    <row r="30" spans="1:13" ht="90" thickBot="1" x14ac:dyDescent="0.25">
      <c r="A30" s="269" t="str">
        <f>'Учебный план'!B49</f>
        <v>Управление и эксплуатация судна с правом эксплуатации судовых энергетических установок</v>
      </c>
      <c r="B30" s="269">
        <f>'Учебный план'!C49</f>
        <v>0</v>
      </c>
      <c r="C30" s="269">
        <f>'Учебный план'!D49</f>
        <v>0</v>
      </c>
      <c r="D30" s="269">
        <f>'Учебный план'!E49</f>
        <v>0</v>
      </c>
      <c r="E30" s="269">
        <f>'Учебный план'!G49</f>
        <v>0</v>
      </c>
      <c r="F30" s="269" t="e">
        <f>'Учебный план'!#REF!</f>
        <v>#REF!</v>
      </c>
      <c r="G30" s="269">
        <f>'Учебный план'!H49</f>
        <v>0</v>
      </c>
      <c r="H30" s="274"/>
      <c r="I30" s="270">
        <f>'УП заочное обучение'!D30</f>
        <v>0</v>
      </c>
      <c r="J30" s="270">
        <f>'УП заочное обучение'!E30</f>
        <v>0</v>
      </c>
      <c r="K30" s="270">
        <f>'УП заочное обучение'!F30</f>
        <v>0</v>
      </c>
      <c r="L30" s="270">
        <f>'УП заочное обучение'!G30</f>
        <v>0</v>
      </c>
      <c r="M30" s="270">
        <f>'УП заочное обучение'!H30</f>
        <v>0</v>
      </c>
    </row>
    <row r="31" spans="1:13" ht="51.75" thickBot="1" x14ac:dyDescent="0.25">
      <c r="A31" s="269" t="str">
        <f>'Учебный план'!B50</f>
        <v>Навигация, навигационная гидрометеорология и лоция</v>
      </c>
      <c r="B31" s="269">
        <f>'Учебный план'!C50</f>
        <v>0</v>
      </c>
      <c r="C31" s="269">
        <f>'Учебный план'!D50</f>
        <v>0</v>
      </c>
      <c r="D31" s="269">
        <f>'Учебный план'!E50</f>
        <v>0</v>
      </c>
      <c r="E31" s="269">
        <f>'Учебный план'!G50</f>
        <v>0</v>
      </c>
      <c r="F31" s="269" t="e">
        <f>'Учебный план'!#REF!</f>
        <v>#REF!</v>
      </c>
      <c r="G31" s="269">
        <f>'Учебный план'!H50</f>
        <v>0</v>
      </c>
      <c r="H31" s="274"/>
      <c r="I31" s="270">
        <f>'УП заочное обучение'!D31</f>
        <v>0</v>
      </c>
      <c r="J31" s="270">
        <f>'УП заочное обучение'!E31</f>
        <v>0</v>
      </c>
      <c r="K31" s="270">
        <f>'УП заочное обучение'!F31</f>
        <v>0</v>
      </c>
      <c r="L31" s="270">
        <f>'УП заочное обучение'!G31</f>
        <v>0</v>
      </c>
      <c r="M31" s="270">
        <f>'УП заочное обучение'!H31</f>
        <v>0</v>
      </c>
    </row>
    <row r="32" spans="1:13" ht="26.25" thickBot="1" x14ac:dyDescent="0.25">
      <c r="A32" s="271" t="str">
        <f>'Учебный план'!B51</f>
        <v>Навигация и лоция</v>
      </c>
      <c r="B32" s="271">
        <f>'Учебный план'!C51</f>
        <v>0</v>
      </c>
      <c r="C32" s="271">
        <f>'Учебный план'!D51</f>
        <v>0</v>
      </c>
      <c r="D32" s="271" t="str">
        <f>'Учебный план'!E51</f>
        <v>7,Х</v>
      </c>
      <c r="E32" s="271" t="str">
        <f>'Учебный план'!G51</f>
        <v>Х</v>
      </c>
      <c r="F32" s="271" t="e">
        <f>'Учебный план'!#REF!</f>
        <v>#REF!</v>
      </c>
      <c r="G32" s="271" t="str">
        <f>'Учебный план'!H51</f>
        <v>5,6,8,9</v>
      </c>
      <c r="I32" s="272">
        <f>'УП заочное обучение'!D32</f>
        <v>0</v>
      </c>
      <c r="J32" s="272" t="str">
        <f>'УП заочное обучение'!E32</f>
        <v>5</v>
      </c>
      <c r="K32" s="272">
        <f>'УП заочное обучение'!F32</f>
        <v>0</v>
      </c>
      <c r="L32" s="272" t="str">
        <f>'УП заочное обучение'!G32</f>
        <v>5</v>
      </c>
      <c r="M32" s="272" t="str">
        <f>'УП заочное обучение'!H32</f>
        <v>2,3,4</v>
      </c>
    </row>
    <row r="33" spans="1:13" ht="42" customHeight="1" thickBot="1" x14ac:dyDescent="0.25">
      <c r="A33" s="271" t="str">
        <f>'Учебный план'!B52</f>
        <v>Основы картографии и навигационные карты</v>
      </c>
      <c r="B33" s="271">
        <f>'Учебный план'!C52</f>
        <v>0</v>
      </c>
      <c r="C33" s="271">
        <f>'Учебный план'!D52</f>
        <v>0</v>
      </c>
      <c r="D33" s="271" t="str">
        <f>'Учебный план'!E52</f>
        <v>5</v>
      </c>
      <c r="E33" s="271">
        <f>'Учебный план'!G52</f>
        <v>0</v>
      </c>
      <c r="F33" s="271" t="e">
        <f>'Учебный план'!#REF!</f>
        <v>#REF!</v>
      </c>
      <c r="G33" s="271" t="str">
        <f>'Учебный план'!H52</f>
        <v>4</v>
      </c>
      <c r="I33" s="272">
        <f>'УП заочное обучение'!D33</f>
        <v>0</v>
      </c>
      <c r="J33" s="272" t="str">
        <f>'УП заочное обучение'!E33</f>
        <v>3</v>
      </c>
      <c r="K33" s="272">
        <f>'УП заочное обучение'!F33</f>
        <v>0</v>
      </c>
      <c r="L33" s="272">
        <f>'УП заочное обучение'!G33</f>
        <v>0</v>
      </c>
      <c r="M33" s="272" t="str">
        <f>'УП заочное обучение'!H33</f>
        <v>2</v>
      </c>
    </row>
    <row r="34" spans="1:13" ht="38.25" customHeight="1" thickBot="1" x14ac:dyDescent="0.25">
      <c r="A34" s="271" t="str">
        <f>'Учебный план'!B53</f>
        <v>Навигационная гидрометеорология</v>
      </c>
      <c r="B34" s="271">
        <f>'Учебный план'!C53</f>
        <v>0</v>
      </c>
      <c r="C34" s="271">
        <f>'Учебный план'!D53</f>
        <v>0</v>
      </c>
      <c r="D34" s="271" t="str">
        <f>'Учебный план'!E53</f>
        <v>8</v>
      </c>
      <c r="E34" s="271">
        <f>'Учебный план'!G53</f>
        <v>0</v>
      </c>
      <c r="F34" s="271" t="e">
        <f>'Учебный план'!#REF!</f>
        <v>#REF!</v>
      </c>
      <c r="G34" s="271" t="str">
        <f>'Учебный план'!H53</f>
        <v>6,7</v>
      </c>
      <c r="I34" s="272">
        <f>'УП заочное обучение'!D34</f>
        <v>0</v>
      </c>
      <c r="J34" s="272" t="str">
        <f>'УП заочное обучение'!E34</f>
        <v>5</v>
      </c>
      <c r="K34" s="272">
        <f>'УП заочное обучение'!F34</f>
        <v>0</v>
      </c>
      <c r="L34" s="272">
        <f>'УП заочное обучение'!G34</f>
        <v>0</v>
      </c>
      <c r="M34" s="272" t="str">
        <f>'УП заочное обучение'!H34</f>
        <v>5</v>
      </c>
    </row>
    <row r="35" spans="1:13" ht="38.25" customHeight="1" thickBot="1" x14ac:dyDescent="0.25">
      <c r="A35" s="271" t="str">
        <f>'Учебный план'!B54</f>
        <v>Мореходная астрономия</v>
      </c>
      <c r="B35" s="271">
        <f>'Учебный план'!C54</f>
        <v>0</v>
      </c>
      <c r="C35" s="271" t="str">
        <f>'Учебный план'!D54</f>
        <v>8</v>
      </c>
      <c r="D35" s="271">
        <f>'Учебный план'!E54</f>
        <v>0</v>
      </c>
      <c r="E35" s="271">
        <f>'Учебный план'!G54</f>
        <v>0</v>
      </c>
      <c r="F35" s="271" t="e">
        <f>'Учебный план'!#REF!</f>
        <v>#REF!</v>
      </c>
      <c r="G35" s="271" t="str">
        <f>'Учебный план'!H54</f>
        <v>6,7</v>
      </c>
      <c r="I35" s="272" t="str">
        <f>'УП заочное обучение'!D35</f>
        <v>4</v>
      </c>
      <c r="J35" s="272">
        <f>'УП заочное обучение'!E35</f>
        <v>0</v>
      </c>
      <c r="K35" s="272">
        <f>'УП заочное обучение'!F35</f>
        <v>0</v>
      </c>
      <c r="L35" s="272">
        <f>'УП заочное обучение'!G35</f>
        <v>0</v>
      </c>
      <c r="M35" s="272" t="str">
        <f>'УП заочное обучение'!H35</f>
        <v>3</v>
      </c>
    </row>
    <row r="36" spans="1:13" ht="56.25" customHeight="1" thickBot="1" x14ac:dyDescent="0.25">
      <c r="A36" s="271" t="str">
        <f>'Учебный план'!B55</f>
        <v>Тренажерная подготовка. Использование ЭКНИС</v>
      </c>
      <c r="B36" s="271" t="str">
        <f>'Учебный план'!C55</f>
        <v>ЭКНИС</v>
      </c>
      <c r="C36" s="271">
        <f>'Учебный план'!D55</f>
        <v>0</v>
      </c>
      <c r="D36" s="271">
        <f>'Учебный план'!E55</f>
        <v>0</v>
      </c>
      <c r="E36" s="271">
        <f>'Учебный план'!G55</f>
        <v>0</v>
      </c>
      <c r="F36" s="271" t="e">
        <f>'Учебный план'!#REF!</f>
        <v>#REF!</v>
      </c>
      <c r="G36" s="271">
        <f>'Учебный план'!H55</f>
        <v>0</v>
      </c>
      <c r="I36" s="272">
        <f>'УП заочное обучение'!D36</f>
        <v>0</v>
      </c>
      <c r="J36" s="272">
        <f>'УП заочное обучение'!E36</f>
        <v>0</v>
      </c>
      <c r="K36" s="272" t="str">
        <f>'УП заочное обучение'!F36</f>
        <v>3</v>
      </c>
      <c r="L36" s="272">
        <f>'УП заочное обучение'!G36</f>
        <v>0</v>
      </c>
      <c r="M36" s="272">
        <f>'УП заочное обучение'!H36</f>
        <v>0</v>
      </c>
    </row>
    <row r="37" spans="1:13" ht="64.5" thickBot="1" x14ac:dyDescent="0.25">
      <c r="A37" s="269" t="str">
        <f>'Учебный план'!B56</f>
        <v>Управление судном и технические средства судовождения</v>
      </c>
      <c r="B37" s="269">
        <f>'Учебный план'!C56</f>
        <v>0</v>
      </c>
      <c r="C37" s="269">
        <f>'Учебный план'!D56</f>
        <v>0</v>
      </c>
      <c r="D37" s="269">
        <f>'Учебный план'!E56</f>
        <v>0</v>
      </c>
      <c r="E37" s="269">
        <f>'Учебный план'!G56</f>
        <v>0</v>
      </c>
      <c r="F37" s="269" t="e">
        <f>'Учебный план'!#REF!</f>
        <v>#REF!</v>
      </c>
      <c r="G37" s="269">
        <f>'Учебный план'!H56</f>
        <v>0</v>
      </c>
      <c r="H37" s="274"/>
      <c r="I37" s="270">
        <f>'УП заочное обучение'!D37</f>
        <v>0</v>
      </c>
      <c r="J37" s="270">
        <f>'УП заочное обучение'!E37</f>
        <v>0</v>
      </c>
      <c r="K37" s="270">
        <f>'УП заочное обучение'!F37</f>
        <v>0</v>
      </c>
      <c r="L37" s="270">
        <f>'УП заочное обучение'!G37</f>
        <v>0</v>
      </c>
      <c r="M37" s="270">
        <f>'УП заочное обучение'!H37</f>
        <v>0</v>
      </c>
    </row>
    <row r="38" spans="1:13" ht="32.25" customHeight="1" thickBot="1" x14ac:dyDescent="0.25">
      <c r="A38" s="271" t="str">
        <f>'Учебный план'!B57</f>
        <v>Управление судном</v>
      </c>
      <c r="B38" s="271">
        <f>'Учебный план'!C57</f>
        <v>0</v>
      </c>
      <c r="C38" s="271">
        <f>'Учебный план'!D57</f>
        <v>0</v>
      </c>
      <c r="D38" s="271" t="str">
        <f>'Учебный план'!E57</f>
        <v>7</v>
      </c>
      <c r="E38" s="271">
        <f>'Учебный план'!G57</f>
        <v>0</v>
      </c>
      <c r="F38" s="271" t="e">
        <f>'Учебный план'!#REF!</f>
        <v>#REF!</v>
      </c>
      <c r="G38" s="271" t="str">
        <f>'Учебный план'!H57</f>
        <v>6</v>
      </c>
      <c r="I38" s="272">
        <f>'УП заочное обучение'!D38</f>
        <v>0</v>
      </c>
      <c r="J38" s="272" t="str">
        <f>'УП заочное обучение'!E38</f>
        <v>4</v>
      </c>
      <c r="K38" s="272">
        <f>'УП заочное обучение'!F38</f>
        <v>0</v>
      </c>
      <c r="L38" s="272">
        <f>'УП заочное обучение'!G38</f>
        <v>0</v>
      </c>
      <c r="M38" s="272" t="str">
        <f>'УП заочное обучение'!H38</f>
        <v>3</v>
      </c>
    </row>
    <row r="39" spans="1:13" ht="45.75" customHeight="1" thickBot="1" x14ac:dyDescent="0.25">
      <c r="A39" s="271" t="str">
        <f>'Учебный план'!B58</f>
        <v xml:space="preserve">Радионавигационные системы </v>
      </c>
      <c r="B39" s="271" t="str">
        <f>'Учебный план'!C58</f>
        <v>РНС</v>
      </c>
      <c r="C39" s="271">
        <f>'Учебный план'!D58</f>
        <v>0</v>
      </c>
      <c r="D39" s="271" t="str">
        <f>'Учебный план'!E58</f>
        <v>5</v>
      </c>
      <c r="E39" s="271">
        <f>'Учебный план'!G58</f>
        <v>0</v>
      </c>
      <c r="F39" s="271" t="e">
        <f>'Учебный план'!#REF!</f>
        <v>#REF!</v>
      </c>
      <c r="G39" s="271" t="str">
        <f>'Учебный план'!H58</f>
        <v>4</v>
      </c>
      <c r="I39" s="272">
        <f>'УП заочное обучение'!D39</f>
        <v>0</v>
      </c>
      <c r="J39" s="272" t="str">
        <f>'УП заочное обучение'!E39</f>
        <v>3</v>
      </c>
      <c r="K39" s="272">
        <f>'УП заочное обучение'!F39</f>
        <v>0</v>
      </c>
      <c r="L39" s="272">
        <f>'УП заочное обучение'!G39</f>
        <v>0</v>
      </c>
      <c r="M39" s="272" t="str">
        <f>'УП заочное обучение'!H39</f>
        <v>3</v>
      </c>
    </row>
    <row r="40" spans="1:13" ht="53.25" customHeight="1" thickBot="1" x14ac:dyDescent="0.25">
      <c r="A40" s="271" t="str">
        <f>'Учебный план'!B59</f>
        <v>Электронавигационные приборы и системы</v>
      </c>
      <c r="B40" s="271" t="str">
        <f>'Учебный план'!C59</f>
        <v>ЭНПиС</v>
      </c>
      <c r="C40" s="271" t="str">
        <f>'Учебный план'!D59</f>
        <v>6</v>
      </c>
      <c r="D40" s="271">
        <f>'Учебный план'!E59</f>
        <v>0</v>
      </c>
      <c r="E40" s="271">
        <f>'Учебный план'!G59</f>
        <v>0</v>
      </c>
      <c r="F40" s="271" t="e">
        <f>'Учебный план'!#REF!</f>
        <v>#REF!</v>
      </c>
      <c r="G40" s="271" t="str">
        <f>'Учебный план'!H59</f>
        <v>4,5</v>
      </c>
      <c r="I40" s="272" t="str">
        <f>'УП заочное обучение'!D40</f>
        <v>4</v>
      </c>
      <c r="J40" s="272">
        <f>'УП заочное обучение'!E40</f>
        <v>0</v>
      </c>
      <c r="K40" s="272">
        <f>'УП заочное обучение'!F40</f>
        <v>0</v>
      </c>
      <c r="L40" s="272">
        <f>'УП заочное обучение'!G40</f>
        <v>0</v>
      </c>
      <c r="M40" s="272" t="str">
        <f>'УП заочное обучение'!H40</f>
        <v>3</v>
      </c>
    </row>
    <row r="41" spans="1:13" ht="58.5" customHeight="1" thickBot="1" x14ac:dyDescent="0.25">
      <c r="A41" s="271" t="str">
        <f>'Учебный план'!B60</f>
        <v>Тренажерная подготовка. Использование РЛС и САРП</v>
      </c>
      <c r="B41" s="271" t="str">
        <f>'Учебный план'!C60</f>
        <v>РЛС и САРП</v>
      </c>
      <c r="C41" s="271">
        <f>'Учебный план'!D60</f>
        <v>0</v>
      </c>
      <c r="D41" s="271">
        <f>'Учебный план'!E60</f>
        <v>0</v>
      </c>
      <c r="E41" s="271">
        <f>'Учебный план'!G60</f>
        <v>0</v>
      </c>
      <c r="F41" s="271" t="e">
        <f>'Учебный план'!#REF!</f>
        <v>#REF!</v>
      </c>
      <c r="G41" s="271" t="str">
        <f>'Учебный план'!H60</f>
        <v>9</v>
      </c>
      <c r="I41" s="272">
        <f>'УП заочное обучение'!D41</f>
        <v>0</v>
      </c>
      <c r="J41" s="272">
        <f>'УП заочное обучение'!E41</f>
        <v>0</v>
      </c>
      <c r="K41" s="272" t="str">
        <f>'УП заочное обучение'!F41</f>
        <v>5</v>
      </c>
      <c r="L41" s="272">
        <f>'УП заочное обучение'!G41</f>
        <v>0</v>
      </c>
      <c r="M41" s="272" t="str">
        <f>'УП заочное обучение'!H41</f>
        <v>5</v>
      </c>
    </row>
    <row r="42" spans="1:13" ht="69.75" customHeight="1" thickBot="1" x14ac:dyDescent="0.25">
      <c r="A42" s="271" t="str">
        <f>'Учебный план'!B62</f>
        <v>Оператор связи ГМССБ</v>
      </c>
      <c r="B42" s="271" t="str">
        <f>'Учебный план'!C62</f>
        <v>ГМССБ</v>
      </c>
      <c r="C42" s="271">
        <f>'Учебный план'!D62</f>
        <v>0</v>
      </c>
      <c r="D42" s="271">
        <f>'Учебный план'!E62</f>
        <v>0</v>
      </c>
      <c r="E42" s="271">
        <f>'Учебный план'!G62</f>
        <v>0</v>
      </c>
      <c r="F42" s="271" t="e">
        <f>'Учебный план'!#REF!</f>
        <v>#REF!</v>
      </c>
      <c r="G42" s="271" t="str">
        <f>'Учебный план'!H62</f>
        <v>8,9</v>
      </c>
      <c r="I42" s="272">
        <f>'УП заочное обучение'!D43</f>
        <v>0</v>
      </c>
      <c r="J42" s="272">
        <f>'УП заочное обучение'!E43</f>
        <v>0</v>
      </c>
      <c r="K42" s="272" t="str">
        <f>'УП заочное обучение'!F43</f>
        <v>5</v>
      </c>
      <c r="L42" s="272">
        <f>'УП заочное обучение'!G43</f>
        <v>0</v>
      </c>
      <c r="M42" s="272" t="str">
        <f>'УП заочное обучение'!H43</f>
        <v>5</v>
      </c>
    </row>
    <row r="43" spans="1:13" ht="64.5" thickBot="1" x14ac:dyDescent="0.25">
      <c r="A43" s="269" t="str">
        <f>'Учебный план'!B63</f>
        <v>Судовые энергетические установки и электрооборудование судов</v>
      </c>
      <c r="B43" s="269">
        <f>'Учебный план'!C63</f>
        <v>0</v>
      </c>
      <c r="C43" s="269">
        <f>'Учебный план'!D63</f>
        <v>0</v>
      </c>
      <c r="D43" s="269">
        <f>'Учебный план'!E63</f>
        <v>0</v>
      </c>
      <c r="E43" s="269">
        <f>'Учебный план'!G63</f>
        <v>0</v>
      </c>
      <c r="F43" s="269" t="e">
        <f>'Учебный план'!#REF!</f>
        <v>#REF!</v>
      </c>
      <c r="G43" s="269">
        <f>'Учебный план'!H63</f>
        <v>0</v>
      </c>
      <c r="H43" s="274"/>
      <c r="I43" s="270">
        <f>'УП заочное обучение'!D44</f>
        <v>0</v>
      </c>
      <c r="J43" s="270">
        <f>'УП заочное обучение'!E44</f>
        <v>0</v>
      </c>
      <c r="K43" s="270">
        <f>'УП заочное обучение'!F44</f>
        <v>0</v>
      </c>
      <c r="L43" s="270">
        <f>'УП заочное обучение'!G44</f>
        <v>0</v>
      </c>
      <c r="M43" s="270">
        <f>'УП заочное обучение'!H44</f>
        <v>0</v>
      </c>
    </row>
    <row r="44" spans="1:13" ht="51.75" thickBot="1" x14ac:dyDescent="0.25">
      <c r="A44" s="271" t="str">
        <f>'Учебный план'!B64</f>
        <v>Судовые вспомогательные механизмы и системы</v>
      </c>
      <c r="B44" s="271" t="str">
        <f>'Учебный план'!C64</f>
        <v>СВМиС</v>
      </c>
      <c r="C44" s="271">
        <f>'Учебный план'!D64</f>
        <v>0</v>
      </c>
      <c r="D44" s="271" t="str">
        <f>'Учебный план'!E64</f>
        <v>5</v>
      </c>
      <c r="E44" s="271">
        <f>'Учебный план'!G64</f>
        <v>0</v>
      </c>
      <c r="F44" s="271" t="e">
        <f>'Учебный план'!#REF!</f>
        <v>#REF!</v>
      </c>
      <c r="G44" s="271" t="str">
        <f>'Учебный план'!H64</f>
        <v>4</v>
      </c>
      <c r="I44" s="272">
        <f>'УП заочное обучение'!D45</f>
        <v>0</v>
      </c>
      <c r="J44" s="272" t="str">
        <f>'УП заочное обучение'!E45</f>
        <v>3</v>
      </c>
      <c r="K44" s="272">
        <f>'УП заочное обучение'!F45</f>
        <v>0</v>
      </c>
      <c r="L44" s="272">
        <f>'УП заочное обучение'!G45</f>
        <v>0</v>
      </c>
      <c r="M44" s="272" t="str">
        <f>'УП заочное обучение'!H45</f>
        <v>2</v>
      </c>
    </row>
    <row r="45" spans="1:13" ht="90" thickBot="1" x14ac:dyDescent="0.25">
      <c r="A45" s="271" t="str">
        <f>'Учебный план'!B65</f>
        <v>Судовые энергетические установки (включая тренажер вахтенного механика)</v>
      </c>
      <c r="B45" s="271" t="str">
        <f>'Учебный план'!C65</f>
        <v>СЭУ</v>
      </c>
      <c r="C45" s="271">
        <f>'Учебный план'!D65</f>
        <v>0</v>
      </c>
      <c r="D45" s="271" t="str">
        <f>'Учебный план'!E65</f>
        <v>6,8,Х</v>
      </c>
      <c r="E45" s="271">
        <f>'Учебный план'!G65</f>
        <v>0</v>
      </c>
      <c r="F45" s="271" t="e">
        <f>'Учебный план'!#REF!</f>
        <v>#REF!</v>
      </c>
      <c r="G45" s="271" t="str">
        <f>'Учебный план'!H65</f>
        <v>5,7,9</v>
      </c>
      <c r="I45" s="272">
        <f>'УП заочное обучение'!D46</f>
        <v>0</v>
      </c>
      <c r="J45" s="272" t="str">
        <f>'УП заочное обучение'!E46</f>
        <v>3,4,5</v>
      </c>
      <c r="K45" s="272">
        <f>'УП заочное обучение'!F46</f>
        <v>0</v>
      </c>
      <c r="L45" s="272">
        <f>'УП заочное обучение'!G46</f>
        <v>0</v>
      </c>
      <c r="M45" s="272" t="str">
        <f>'УП заочное обучение'!H46</f>
        <v>2,4</v>
      </c>
    </row>
    <row r="46" spans="1:13" ht="64.5" thickBot="1" x14ac:dyDescent="0.25">
      <c r="A46" s="271" t="str">
        <f>'Учебный план'!B66</f>
        <v>Судовая автоматика и контрольно-измерительные приборы</v>
      </c>
      <c r="B46" s="271" t="str">
        <f>'Учебный план'!C66</f>
        <v>САиКИП</v>
      </c>
      <c r="C46" s="271">
        <f>'Учебный план'!D66</f>
        <v>0</v>
      </c>
      <c r="D46" s="271" t="str">
        <f>'Учебный план'!E66</f>
        <v>6</v>
      </c>
      <c r="E46" s="271">
        <f>'Учебный план'!G66</f>
        <v>0</v>
      </c>
      <c r="F46" s="271" t="e">
        <f>'Учебный план'!#REF!</f>
        <v>#REF!</v>
      </c>
      <c r="G46" s="271" t="str">
        <f>'Учебный план'!H66</f>
        <v>5</v>
      </c>
      <c r="I46" s="272">
        <f>'УП заочное обучение'!D47</f>
        <v>0</v>
      </c>
      <c r="J46" s="272" t="str">
        <f>'УП заочное обучение'!E47</f>
        <v>4</v>
      </c>
      <c r="K46" s="272">
        <f>'УП заочное обучение'!F47</f>
        <v>0</v>
      </c>
      <c r="L46" s="272">
        <f>'УП заочное обучение'!G47</f>
        <v>0</v>
      </c>
      <c r="M46" s="272" t="str">
        <f>'УП заочное обучение'!H47</f>
        <v>4</v>
      </c>
    </row>
    <row r="47" spans="1:13" ht="64.5" thickBot="1" x14ac:dyDescent="0.25">
      <c r="A47" s="271" t="str">
        <f>'Учебный план'!B67</f>
        <v>Обслуживание и ремонт судовых энергетических установок</v>
      </c>
      <c r="B47" s="271">
        <f>'Учебный план'!C67</f>
        <v>0</v>
      </c>
      <c r="C47" s="271">
        <f>'Учебный план'!D67</f>
        <v>0</v>
      </c>
      <c r="D47" s="271" t="str">
        <f>'Учебный план'!E67</f>
        <v>Х</v>
      </c>
      <c r="E47" s="271">
        <f>'Учебный план'!G67</f>
        <v>0</v>
      </c>
      <c r="F47" s="271" t="e">
        <f>'Учебный план'!#REF!</f>
        <v>#REF!</v>
      </c>
      <c r="G47" s="271" t="str">
        <f>'Учебный план'!H67</f>
        <v>9</v>
      </c>
      <c r="I47" s="272">
        <f>'УП заочное обучение'!D48</f>
        <v>0</v>
      </c>
      <c r="J47" s="272" t="str">
        <f>'УП заочное обучение'!E48</f>
        <v>5</v>
      </c>
      <c r="K47" s="272">
        <f>'УП заочное обучение'!F48</f>
        <v>0</v>
      </c>
      <c r="L47" s="272">
        <f>'УП заочное обучение'!G48</f>
        <v>0</v>
      </c>
      <c r="M47" s="272" t="str">
        <f>'УП заочное обучение'!H48</f>
        <v>5</v>
      </c>
    </row>
    <row r="48" spans="1:13" ht="26.25" thickBot="1" x14ac:dyDescent="0.25">
      <c r="A48" s="271" t="str">
        <f>'Учебный план'!B68</f>
        <v>Электрооборудование судов</v>
      </c>
      <c r="B48" s="271">
        <f>'Учебный план'!C68</f>
        <v>0</v>
      </c>
      <c r="C48" s="271">
        <f>'Учебный план'!D68</f>
        <v>0</v>
      </c>
      <c r="D48" s="271" t="str">
        <f>'Учебный план'!E68</f>
        <v>6</v>
      </c>
      <c r="E48" s="271">
        <f>'Учебный план'!G68</f>
        <v>0</v>
      </c>
      <c r="F48" s="271" t="e">
        <f>'Учебный план'!#REF!</f>
        <v>#REF!</v>
      </c>
      <c r="G48" s="271">
        <f>'Учебный план'!H68</f>
        <v>0</v>
      </c>
      <c r="I48" s="272">
        <f>'УП заочное обучение'!D49</f>
        <v>0</v>
      </c>
      <c r="J48" s="272" t="str">
        <f>'УП заочное обучение'!E49</f>
        <v>3</v>
      </c>
      <c r="K48" s="272">
        <f>'УП заочное обучение'!F49</f>
        <v>0</v>
      </c>
      <c r="L48" s="272">
        <f>'УП заочное обучение'!G49</f>
        <v>0</v>
      </c>
      <c r="M48" s="272" t="str">
        <f>'УП заочное обучение'!H49</f>
        <v>3</v>
      </c>
    </row>
    <row r="49" spans="1:13" ht="77.25" thickBot="1" x14ac:dyDescent="0.25">
      <c r="A49" s="271" t="str">
        <f>'Учебный план'!B69</f>
        <v>Обслуживание и ремонт судового электрического и электронного оборудования</v>
      </c>
      <c r="B49" s="271">
        <f>'Учебный план'!C69</f>
        <v>0</v>
      </c>
      <c r="C49" s="271">
        <f>'Учебный план'!D69</f>
        <v>0</v>
      </c>
      <c r="D49" s="271" t="str">
        <f>'Учебный план'!E69</f>
        <v>7</v>
      </c>
      <c r="E49" s="271">
        <f>'Учебный план'!G69</f>
        <v>0</v>
      </c>
      <c r="F49" s="271" t="e">
        <f>'Учебный план'!#REF!</f>
        <v>#REF!</v>
      </c>
      <c r="G49" s="271">
        <f>'Учебный план'!H69</f>
        <v>0</v>
      </c>
      <c r="I49" s="272">
        <f>'УП заочное обучение'!D50</f>
        <v>0</v>
      </c>
      <c r="J49" s="272" t="str">
        <f>'УП заочное обучение'!E50</f>
        <v>4</v>
      </c>
      <c r="K49" s="272">
        <f>'УП заочное обучение'!F50</f>
        <v>0</v>
      </c>
      <c r="L49" s="272">
        <f>'УП заочное обучение'!G50</f>
        <v>0</v>
      </c>
      <c r="M49" s="272">
        <f>'УП заочное обучение'!H50</f>
        <v>0</v>
      </c>
    </row>
    <row r="50" spans="1:13" ht="39" thickBot="1" x14ac:dyDescent="0.25">
      <c r="A50" s="269" t="str">
        <f>'Учебный план'!B70</f>
        <v>Судовождение на внутренних водных путях</v>
      </c>
      <c r="B50" s="269">
        <f>'Учебный план'!C70</f>
        <v>0</v>
      </c>
      <c r="C50" s="269">
        <f>'Учебный план'!D70</f>
        <v>0</v>
      </c>
      <c r="D50" s="269">
        <f>'Учебный план'!E70</f>
        <v>0</v>
      </c>
      <c r="E50" s="269">
        <f>'Учебный план'!G70</f>
        <v>0</v>
      </c>
      <c r="F50" s="269" t="e">
        <f>'Учебный план'!#REF!</f>
        <v>#REF!</v>
      </c>
      <c r="G50" s="269">
        <f>'Учебный план'!H70</f>
        <v>0</v>
      </c>
      <c r="H50" s="274"/>
      <c r="I50" s="270">
        <f>'УП заочное обучение'!D51</f>
        <v>0</v>
      </c>
      <c r="J50" s="270">
        <f>'УП заочное обучение'!E51</f>
        <v>0</v>
      </c>
      <c r="K50" s="270">
        <f>'УП заочное обучение'!F51</f>
        <v>0</v>
      </c>
      <c r="L50" s="270">
        <f>'УП заочное обучение'!G51</f>
        <v>0</v>
      </c>
      <c r="M50" s="270">
        <f>'УП заочное обучение'!H51</f>
        <v>0</v>
      </c>
    </row>
    <row r="51" spans="1:13" ht="51.75" thickBot="1" x14ac:dyDescent="0.25">
      <c r="A51" s="271" t="str">
        <f>'Учебный план'!B71</f>
        <v>Правила плавания и управление судами на ВВП</v>
      </c>
      <c r="B51" s="271">
        <f>'Учебный план'!C71</f>
        <v>0</v>
      </c>
      <c r="C51" s="271" t="str">
        <f>'Учебный план'!D71</f>
        <v>6</v>
      </c>
      <c r="D51" s="271" t="str">
        <f>'Учебный план'!E71</f>
        <v>8</v>
      </c>
      <c r="E51" s="271" t="str">
        <f>'Учебный план'!G71</f>
        <v>8</v>
      </c>
      <c r="F51" s="271" t="e">
        <f>'Учебный план'!#REF!</f>
        <v>#REF!</v>
      </c>
      <c r="G51" s="271" t="str">
        <f>'Учебный план'!H71</f>
        <v>4,5,7</v>
      </c>
      <c r="I51" s="272" t="str">
        <f>'УП заочное обучение'!D52</f>
        <v>4</v>
      </c>
      <c r="J51" s="272" t="str">
        <f>'УП заочное обучение'!E52</f>
        <v>5</v>
      </c>
      <c r="K51" s="272">
        <f>'УП заочное обучение'!F52</f>
        <v>0</v>
      </c>
      <c r="L51" s="272" t="str">
        <f>'УП заочное обучение'!G52</f>
        <v>5</v>
      </c>
      <c r="M51" s="272" t="str">
        <f>'УП заочное обучение'!H52</f>
        <v>2,3,4</v>
      </c>
    </row>
    <row r="52" spans="1:13" ht="39" thickBot="1" x14ac:dyDescent="0.25">
      <c r="A52" s="271" t="str">
        <f>'Учебный план'!B72</f>
        <v>Лоция внутренних водных путей</v>
      </c>
      <c r="B52" s="271" t="str">
        <f>'Учебный план'!C72</f>
        <v>Лоция ВВП</v>
      </c>
      <c r="C52" s="271">
        <f>'Учебный план'!D72</f>
        <v>0</v>
      </c>
      <c r="D52" s="271" t="str">
        <f>'Учебный план'!E72</f>
        <v>5</v>
      </c>
      <c r="E52" s="271">
        <f>'Учебный план'!G72</f>
        <v>0</v>
      </c>
      <c r="F52" s="271" t="e">
        <f>'Учебный план'!#REF!</f>
        <v>#REF!</v>
      </c>
      <c r="G52" s="271" t="str">
        <f>'Учебный план'!H72</f>
        <v>4</v>
      </c>
      <c r="I52" s="272">
        <f>'УП заочное обучение'!D53</f>
        <v>0</v>
      </c>
      <c r="J52" s="272" t="str">
        <f>'УП заочное обучение'!E53</f>
        <v>3</v>
      </c>
      <c r="K52" s="272">
        <f>'УП заочное обучение'!F53</f>
        <v>0</v>
      </c>
      <c r="L52" s="272">
        <f>'УП заочное обучение'!G53</f>
        <v>0</v>
      </c>
      <c r="M52" s="272" t="str">
        <f>'УП заочное обучение'!H53</f>
        <v>2</v>
      </c>
    </row>
    <row r="53" spans="1:13" ht="26.25" thickBot="1" x14ac:dyDescent="0.25">
      <c r="A53" s="271" t="str">
        <f>'Учебный план'!B73</f>
        <v>Использование РЛС на ВВП</v>
      </c>
      <c r="B53" s="271" t="str">
        <f>'Учебный план'!C73</f>
        <v>РЛС на ВВП</v>
      </c>
      <c r="C53" s="271">
        <f>'Учебный план'!D73</f>
        <v>0</v>
      </c>
      <c r="D53" s="271">
        <f>'Учебный план'!E73</f>
        <v>0</v>
      </c>
      <c r="E53" s="271">
        <f>'Учебный план'!G73</f>
        <v>0</v>
      </c>
      <c r="F53" s="271" t="e">
        <f>'Учебный план'!#REF!</f>
        <v>#REF!</v>
      </c>
      <c r="G53" s="271" t="str">
        <f>'Учебный план'!H73</f>
        <v>5</v>
      </c>
      <c r="I53" s="272">
        <f>'УП заочное обучение'!D54</f>
        <v>0</v>
      </c>
      <c r="J53" s="272">
        <f>'УП заочное обучение'!E54</f>
        <v>0</v>
      </c>
      <c r="K53" s="272" t="str">
        <f>'УП заочное обучение'!F54</f>
        <v>4</v>
      </c>
      <c r="L53" s="272">
        <f>'УП заочное обучение'!G54</f>
        <v>0</v>
      </c>
      <c r="M53" s="272" t="str">
        <f>'УП заочное обучение'!H54</f>
        <v>4</v>
      </c>
    </row>
    <row r="54" spans="1:13" ht="13.5" thickBot="1" x14ac:dyDescent="0.25">
      <c r="A54" s="271">
        <f>'Учебный план'!B74</f>
        <v>0</v>
      </c>
      <c r="B54" s="271">
        <f>'Учебный план'!C74</f>
        <v>0</v>
      </c>
      <c r="C54" s="271" t="str">
        <f>'Учебный план'!D74</f>
        <v>Х</v>
      </c>
      <c r="D54" s="271">
        <f>'Учебный план'!E74</f>
        <v>0</v>
      </c>
      <c r="E54" s="271">
        <f>'Учебный план'!G74</f>
        <v>0</v>
      </c>
      <c r="F54" s="271" t="e">
        <f>'Учебный план'!#REF!</f>
        <v>#REF!</v>
      </c>
      <c r="G54" s="271">
        <f>'Учебный план'!H74</f>
        <v>0</v>
      </c>
      <c r="I54" s="272" t="str">
        <f>'УП заочное обучение'!D55</f>
        <v>5</v>
      </c>
      <c r="J54" s="272">
        <f>'УП заочное обучение'!E55</f>
        <v>0</v>
      </c>
      <c r="K54" s="272">
        <f>'УП заочное обучение'!F55</f>
        <v>0</v>
      </c>
      <c r="L54" s="272">
        <f>'УП заочное обучение'!G55</f>
        <v>0</v>
      </c>
      <c r="M54" s="272">
        <f>'УП заочное обучение'!H55</f>
        <v>0</v>
      </c>
    </row>
    <row r="55" spans="1:13" ht="39" thickBot="1" x14ac:dyDescent="0.25">
      <c r="A55" s="269" t="str">
        <f>'Учебный план'!B75</f>
        <v>Обеспечение безопасности плавания</v>
      </c>
      <c r="B55" s="269">
        <f>'Учебный план'!C75</f>
        <v>0</v>
      </c>
      <c r="C55" s="269">
        <f>'Учебный план'!D75</f>
        <v>0</v>
      </c>
      <c r="D55" s="269">
        <f>'Учебный план'!E75</f>
        <v>0</v>
      </c>
      <c r="E55" s="269">
        <f>'Учебный план'!G75</f>
        <v>0</v>
      </c>
      <c r="F55" s="269" t="e">
        <f>'Учебный план'!#REF!</f>
        <v>#REF!</v>
      </c>
      <c r="G55" s="269">
        <f>'Учебный план'!H75</f>
        <v>0</v>
      </c>
      <c r="H55" s="274"/>
      <c r="I55" s="270">
        <f>'УП заочное обучение'!D56</f>
        <v>0</v>
      </c>
      <c r="J55" s="270">
        <f>'УП заочное обучение'!E56</f>
        <v>0</v>
      </c>
      <c r="K55" s="270">
        <f>'УП заочное обучение'!F56</f>
        <v>0</v>
      </c>
      <c r="L55" s="270">
        <f>'УП заочное обучение'!G56</f>
        <v>0</v>
      </c>
      <c r="M55" s="270">
        <f>'УП заочное обучение'!H56</f>
        <v>0</v>
      </c>
    </row>
    <row r="56" spans="1:13" ht="64.5" thickBot="1" x14ac:dyDescent="0.25">
      <c r="A56" s="269" t="str">
        <f>'Учебный план'!B76</f>
        <v>Безопасность жизнедеятельности на судне и транспортная безопасность</v>
      </c>
      <c r="B56" s="269">
        <f>'Учебный план'!C76</f>
        <v>0</v>
      </c>
      <c r="C56" s="269">
        <f>'Учебный план'!D76</f>
        <v>0</v>
      </c>
      <c r="D56" s="269">
        <f>'Учебный план'!E76</f>
        <v>0</v>
      </c>
      <c r="E56" s="269">
        <f>'Учебный план'!G76</f>
        <v>0</v>
      </c>
      <c r="F56" s="269" t="e">
        <f>'Учебный план'!#REF!</f>
        <v>#REF!</v>
      </c>
      <c r="G56" s="269">
        <f>'Учебный план'!H76</f>
        <v>0</v>
      </c>
      <c r="H56" s="274"/>
      <c r="I56" s="270">
        <f>'УП заочное обучение'!D57</f>
        <v>0</v>
      </c>
      <c r="J56" s="270">
        <f>'УП заочное обучение'!E57</f>
        <v>0</v>
      </c>
      <c r="K56" s="270">
        <f>'УП заочное обучение'!F57</f>
        <v>0</v>
      </c>
      <c r="L56" s="270">
        <f>'УП заочное обучение'!G57</f>
        <v>0</v>
      </c>
      <c r="M56" s="270">
        <f>'УП заочное обучение'!H57</f>
        <v>0</v>
      </c>
    </row>
    <row r="57" spans="1:13" ht="39" thickBot="1" x14ac:dyDescent="0.25">
      <c r="A57" s="271" t="str">
        <f>'Учебный план'!B77</f>
        <v>Безопасность жизнедеятельности на судне</v>
      </c>
      <c r="B57" s="271" t="str">
        <f>'Учебный план'!C77</f>
        <v>БЖС</v>
      </c>
      <c r="C57" s="271">
        <f>'Учебный план'!D77</f>
        <v>0</v>
      </c>
      <c r="D57" s="271">
        <f>'Учебный план'!E77</f>
        <v>0</v>
      </c>
      <c r="E57" s="271">
        <f>'Учебный план'!G77</f>
        <v>0</v>
      </c>
      <c r="F57" s="271" t="e">
        <f>'Учебный план'!#REF!</f>
        <v>#REF!</v>
      </c>
      <c r="G57" s="271" t="str">
        <f>'Учебный план'!H77</f>
        <v>3</v>
      </c>
      <c r="I57" s="272">
        <f>'УП заочное обучение'!D58</f>
        <v>0</v>
      </c>
      <c r="J57" s="272">
        <f>'УП заочное обучение'!E58</f>
        <v>0</v>
      </c>
      <c r="K57" s="272" t="str">
        <f>'УП заочное обучение'!F58</f>
        <v>2</v>
      </c>
      <c r="L57" s="272">
        <f>'УП заочное обучение'!G58</f>
        <v>0</v>
      </c>
      <c r="M57" s="272" t="str">
        <f>'УП заочное обучение'!H58</f>
        <v>2</v>
      </c>
    </row>
    <row r="58" spans="1:13" ht="26.25" thickBot="1" x14ac:dyDescent="0.25">
      <c r="A58" s="271" t="str">
        <f>'Учебный план'!B78</f>
        <v>Транспортная безопасность</v>
      </c>
      <c r="B58" s="271">
        <f>'Учебный план'!C78</f>
        <v>0</v>
      </c>
      <c r="C58" s="271">
        <f>'Учебный план'!D78</f>
        <v>0</v>
      </c>
      <c r="D58" s="271" t="str">
        <f>'Учебный план'!E78</f>
        <v>8</v>
      </c>
      <c r="E58" s="271">
        <f>'Учебный план'!G78</f>
        <v>0</v>
      </c>
      <c r="F58" s="271" t="e">
        <f>'Учебный план'!#REF!</f>
        <v>#REF!</v>
      </c>
      <c r="G58" s="271">
        <f>'Учебный план'!H78</f>
        <v>0</v>
      </c>
      <c r="I58" s="272">
        <f>'УП заочное обучение'!D59</f>
        <v>0</v>
      </c>
      <c r="J58" s="272" t="str">
        <f>'УП заочное обучение'!E59</f>
        <v>2</v>
      </c>
      <c r="K58" s="272">
        <f>'УП заочное обучение'!F59</f>
        <v>0</v>
      </c>
      <c r="L58" s="272">
        <f>'УП заочное обучение'!G59</f>
        <v>0</v>
      </c>
      <c r="M58" s="272">
        <f>'УП заочное обучение'!H59</f>
        <v>0</v>
      </c>
    </row>
    <row r="59" spans="1:13" ht="39" thickBot="1" x14ac:dyDescent="0.25">
      <c r="A59" s="271" t="str">
        <f>'Учебный план'!B79</f>
        <v>Техника безопасности на судах</v>
      </c>
      <c r="B59" s="271">
        <f>'Учебный план'!C79</f>
        <v>0</v>
      </c>
      <c r="C59" s="271" t="str">
        <f>'Учебный план'!D79</f>
        <v>5</v>
      </c>
      <c r="D59" s="271">
        <f>'Учебный план'!E79</f>
        <v>0</v>
      </c>
      <c r="E59" s="271">
        <f>'Учебный план'!G79</f>
        <v>0</v>
      </c>
      <c r="F59" s="271" t="e">
        <f>'Учебный план'!#REF!</f>
        <v>#REF!</v>
      </c>
      <c r="G59" s="271">
        <f>'Учебный план'!H79</f>
        <v>0</v>
      </c>
      <c r="I59" s="272" t="str">
        <f>'УП заочное обучение'!D60</f>
        <v>2</v>
      </c>
      <c r="J59" s="272">
        <f>'УП заочное обучение'!E60</f>
        <v>0</v>
      </c>
      <c r="K59" s="272">
        <f>'УП заочное обучение'!F60</f>
        <v>0</v>
      </c>
      <c r="L59" s="272">
        <f>'УП заочное обучение'!G60</f>
        <v>0</v>
      </c>
      <c r="M59" s="272">
        <f>'УП заочное обучение'!H60</f>
        <v>0</v>
      </c>
    </row>
    <row r="60" spans="1:13" ht="13.5" thickBot="1" x14ac:dyDescent="0.25">
      <c r="A60" s="271">
        <f>'Учебный план'!B80</f>
        <v>0</v>
      </c>
      <c r="B60" s="271">
        <f>'Учебный план'!C80</f>
        <v>0</v>
      </c>
      <c r="C60" s="271" t="str">
        <f>'Учебный план'!D80</f>
        <v>Х</v>
      </c>
      <c r="D60" s="271">
        <f>'Учебный план'!E80</f>
        <v>0</v>
      </c>
      <c r="E60" s="271">
        <f>'Учебный план'!G80</f>
        <v>0</v>
      </c>
      <c r="F60" s="271" t="e">
        <f>'Учебный план'!#REF!</f>
        <v>#REF!</v>
      </c>
      <c r="G60" s="271">
        <f>'Учебный план'!H80</f>
        <v>0</v>
      </c>
      <c r="I60" s="272" t="str">
        <f>'УП заочное обучение'!D61</f>
        <v>2</v>
      </c>
      <c r="J60" s="272">
        <f>'УП заочное обучение'!E61</f>
        <v>0</v>
      </c>
      <c r="K60" s="272">
        <f>'УП заочное обучение'!F61</f>
        <v>0</v>
      </c>
      <c r="L60" s="272">
        <f>'УП заочное обучение'!G61</f>
        <v>0</v>
      </c>
      <c r="M60" s="272">
        <f>'УП заочное обучение'!H61</f>
        <v>0</v>
      </c>
    </row>
    <row r="61" spans="1:13" ht="39" thickBot="1" x14ac:dyDescent="0.25">
      <c r="A61" s="269" t="str">
        <f>'Учебный план'!B81</f>
        <v>Обработка и размещение груза</v>
      </c>
      <c r="B61" s="269">
        <f>'Учебный план'!C81</f>
        <v>0</v>
      </c>
      <c r="C61" s="269">
        <f>'Учебный план'!D81</f>
        <v>0</v>
      </c>
      <c r="D61" s="269">
        <f>'Учебный план'!E81</f>
        <v>0</v>
      </c>
      <c r="E61" s="269">
        <f>'Учебный план'!G81</f>
        <v>0</v>
      </c>
      <c r="F61" s="269" t="e">
        <f>'Учебный план'!#REF!</f>
        <v>#REF!</v>
      </c>
      <c r="G61" s="269">
        <f>'Учебный план'!H81</f>
        <v>0</v>
      </c>
      <c r="H61" s="274"/>
      <c r="I61" s="270">
        <f>'УП заочное обучение'!D62</f>
        <v>0</v>
      </c>
      <c r="J61" s="270">
        <f>'УП заочное обучение'!E62</f>
        <v>0</v>
      </c>
      <c r="K61" s="270">
        <f>'УП заочное обучение'!F62</f>
        <v>0</v>
      </c>
      <c r="L61" s="270">
        <f>'УП заочное обучение'!G62</f>
        <v>0</v>
      </c>
      <c r="M61" s="270">
        <f>'УП заочное обучение'!H62</f>
        <v>0</v>
      </c>
    </row>
    <row r="62" spans="1:13" ht="39" thickBot="1" x14ac:dyDescent="0.25">
      <c r="A62" s="271" t="str">
        <f>'Учебный план'!B82</f>
        <v>Технология перевозки груза</v>
      </c>
      <c r="B62" s="271">
        <f>'Учебный план'!C82</f>
        <v>0</v>
      </c>
      <c r="C62" s="271">
        <f>'Учебный план'!D82</f>
        <v>0</v>
      </c>
      <c r="D62" s="271">
        <f>'Учебный план'!E82</f>
        <v>0</v>
      </c>
      <c r="E62" s="271">
        <f>'Учебный план'!G82</f>
        <v>0</v>
      </c>
      <c r="F62" s="271" t="e">
        <f>'Учебный план'!#REF!</f>
        <v>#REF!</v>
      </c>
      <c r="G62" s="271">
        <f>'Учебный план'!H82</f>
        <v>0</v>
      </c>
      <c r="I62" s="272">
        <f>'УП заочное обучение'!D63</f>
        <v>0</v>
      </c>
      <c r="J62" s="272">
        <f>'УП заочное обучение'!E63</f>
        <v>0</v>
      </c>
      <c r="K62" s="272">
        <f>'УП заочное обучение'!F63</f>
        <v>0</v>
      </c>
      <c r="L62" s="272">
        <f>'УП заочное обучение'!G63</f>
        <v>0</v>
      </c>
      <c r="M62" s="272">
        <f>'УП заочное обучение'!H63</f>
        <v>0</v>
      </c>
    </row>
    <row r="63" spans="1:13" ht="26.25" thickBot="1" x14ac:dyDescent="0.25">
      <c r="A63" s="271" t="str">
        <f>'Учебный план'!B83</f>
        <v>Коммерческая эксплуатация</v>
      </c>
      <c r="B63" s="271">
        <f>'Учебный план'!C83</f>
        <v>0</v>
      </c>
      <c r="C63" s="271">
        <f>'Учебный план'!D83</f>
        <v>0</v>
      </c>
      <c r="D63" s="271" t="str">
        <f>'Учебный план'!E83</f>
        <v>8</v>
      </c>
      <c r="E63" s="271">
        <f>'Учебный план'!G83</f>
        <v>0</v>
      </c>
      <c r="F63" s="271" t="e">
        <f>'Учебный план'!#REF!</f>
        <v>#REF!</v>
      </c>
      <c r="G63" s="271" t="str">
        <f>'Учебный план'!H83</f>
        <v>7</v>
      </c>
      <c r="I63" s="272">
        <f>'УП заочное обучение'!D64</f>
        <v>0</v>
      </c>
      <c r="J63" s="272" t="str">
        <f>'УП заочное обучение'!E64</f>
        <v>3</v>
      </c>
      <c r="K63" s="272">
        <f>'УП заочное обучение'!F64</f>
        <v>0</v>
      </c>
      <c r="L63" s="272">
        <f>'УП заочное обучение'!G64</f>
        <v>0</v>
      </c>
      <c r="M63" s="272" t="str">
        <f>'УП заочное обучение'!H64</f>
        <v>3</v>
      </c>
    </row>
    <row r="64" spans="1:13" ht="26.25" thickBot="1" x14ac:dyDescent="0.25">
      <c r="A64" s="271" t="str">
        <f>'Учебный план'!B84</f>
        <v>Технология перевозок</v>
      </c>
      <c r="B64" s="271">
        <f>'Учебный план'!C84</f>
        <v>0</v>
      </c>
      <c r="C64" s="271">
        <f>'Учебный план'!D84</f>
        <v>0</v>
      </c>
      <c r="D64" s="271" t="str">
        <f>'Учебный план'!E84</f>
        <v>8</v>
      </c>
      <c r="E64" s="271" t="str">
        <f>'Учебный план'!G84</f>
        <v>8</v>
      </c>
      <c r="F64" s="271" t="e">
        <f>'Учебный план'!#REF!</f>
        <v>#REF!</v>
      </c>
      <c r="G64" s="271" t="str">
        <f>'Учебный план'!H84</f>
        <v>7</v>
      </c>
      <c r="I64" s="272">
        <f>'УП заочное обучение'!D65</f>
        <v>0</v>
      </c>
      <c r="J64" s="272" t="str">
        <f>'УП заочное обучение'!E65</f>
        <v>4</v>
      </c>
      <c r="K64" s="272">
        <f>'УП заочное обучение'!F65</f>
        <v>0</v>
      </c>
      <c r="L64" s="272" t="str">
        <f>'УП заочное обучение'!G65</f>
        <v>4</v>
      </c>
      <c r="M64" s="272" t="str">
        <f>'УП заочное обучение'!H65</f>
        <v>4</v>
      </c>
    </row>
    <row r="65" spans="1:13" ht="13.5" thickBot="1" x14ac:dyDescent="0.25">
      <c r="A65" s="271">
        <f>'Учебный план'!B85</f>
        <v>0</v>
      </c>
      <c r="B65" s="271">
        <f>'Учебный план'!C85</f>
        <v>0</v>
      </c>
      <c r="C65" s="271">
        <f>'Учебный план'!D85</f>
        <v>8</v>
      </c>
      <c r="D65" s="271">
        <f>'Учебный план'!E85</f>
        <v>0</v>
      </c>
      <c r="E65" s="271">
        <f>'Учебный план'!G85</f>
        <v>0</v>
      </c>
      <c r="F65" s="271" t="e">
        <f>'Учебный план'!#REF!</f>
        <v>#REF!</v>
      </c>
      <c r="G65" s="271">
        <f>'Учебный план'!H85</f>
        <v>0</v>
      </c>
      <c r="I65" s="272" t="str">
        <f>'УП заочное обучение'!D66</f>
        <v>4</v>
      </c>
      <c r="J65" s="272">
        <f>'УП заочное обучение'!E66</f>
        <v>0</v>
      </c>
      <c r="K65" s="272">
        <f>'УП заочное обучение'!F66</f>
        <v>0</v>
      </c>
      <c r="L65" s="272">
        <f>'УП заочное обучение'!G66</f>
        <v>0</v>
      </c>
      <c r="M65" s="272">
        <f>'УП заочное обучение'!H66</f>
        <v>0</v>
      </c>
    </row>
    <row r="66" spans="1:13" ht="39" thickBot="1" x14ac:dyDescent="0.25">
      <c r="A66" s="269" t="str">
        <f>'Учебный план'!B86</f>
        <v>Анализ эффективности работы судна</v>
      </c>
      <c r="B66" s="269">
        <f>'Учебный план'!C86</f>
        <v>0</v>
      </c>
      <c r="C66" s="269">
        <f>'Учебный план'!D86</f>
        <v>0</v>
      </c>
      <c r="D66" s="269">
        <f>'Учебный план'!E86</f>
        <v>0</v>
      </c>
      <c r="E66" s="269">
        <f>'Учебный план'!G86</f>
        <v>0</v>
      </c>
      <c r="F66" s="269" t="e">
        <f>'Учебный план'!#REF!</f>
        <v>#REF!</v>
      </c>
      <c r="G66" s="269">
        <f>'Учебный план'!H86</f>
        <v>0</v>
      </c>
      <c r="H66" s="274"/>
      <c r="I66" s="270">
        <f>'УП заочное обучение'!D67</f>
        <v>0</v>
      </c>
      <c r="J66" s="270">
        <f>'УП заочное обучение'!E67</f>
        <v>0</v>
      </c>
      <c r="K66" s="270">
        <f>'УП заочное обучение'!F67</f>
        <v>0</v>
      </c>
      <c r="L66" s="270">
        <f>'УП заочное обучение'!G67</f>
        <v>0</v>
      </c>
      <c r="M66" s="270">
        <f>'УП заочное обучение'!H67</f>
        <v>0</v>
      </c>
    </row>
    <row r="67" spans="1:13" ht="90" thickBot="1" x14ac:dyDescent="0.25">
      <c r="A67" s="271" t="str">
        <f>'Учебный план'!B87</f>
        <v>Основы анализа эффективности работы судна с применением информационных технологий</v>
      </c>
      <c r="B67" s="271">
        <f>'Учебный план'!C87</f>
        <v>0</v>
      </c>
      <c r="C67" s="271">
        <f>'Учебный план'!D87</f>
        <v>0</v>
      </c>
      <c r="D67" s="271">
        <f>'Учебный план'!E87</f>
        <v>9</v>
      </c>
      <c r="E67" s="271">
        <f>'Учебный план'!G87</f>
        <v>0</v>
      </c>
      <c r="F67" s="271" t="e">
        <f>'Учебный план'!#REF!</f>
        <v>#REF!</v>
      </c>
      <c r="G67" s="271" t="str">
        <f>'Учебный план'!H87</f>
        <v>7,8</v>
      </c>
      <c r="I67" s="272">
        <f>'УП заочное обучение'!D68</f>
        <v>0</v>
      </c>
      <c r="J67" s="272" t="str">
        <f>'УП заочное обучение'!E68</f>
        <v>4</v>
      </c>
      <c r="K67" s="272">
        <f>'УП заочное обучение'!F68</f>
        <v>0</v>
      </c>
      <c r="L67" s="272">
        <f>'УП заочное обучение'!G68</f>
        <v>0</v>
      </c>
      <c r="M67" s="272" t="str">
        <f>'УП заочное обучение'!H68</f>
        <v>4</v>
      </c>
    </row>
    <row r="68" spans="1:13" ht="13.5" thickBot="1" x14ac:dyDescent="0.25">
      <c r="A68" s="271">
        <f>'Учебный план'!B88</f>
        <v>0</v>
      </c>
      <c r="B68" s="271">
        <f>'Учебный план'!C88</f>
        <v>0</v>
      </c>
      <c r="C68" s="271">
        <f>'Учебный план'!D88</f>
        <v>8</v>
      </c>
      <c r="D68" s="271">
        <f>'Учебный план'!E88</f>
        <v>0</v>
      </c>
      <c r="E68" s="271">
        <f>'Учебный план'!G88</f>
        <v>0</v>
      </c>
      <c r="F68" s="271" t="e">
        <f>'Учебный план'!#REF!</f>
        <v>#REF!</v>
      </c>
      <c r="G68" s="271">
        <f>'Учебный план'!H88</f>
        <v>0</v>
      </c>
      <c r="I68" s="272" t="str">
        <f>'УП заочное обучение'!D69</f>
        <v>4</v>
      </c>
      <c r="J68" s="272">
        <f>'УП заочное обучение'!E69</f>
        <v>0</v>
      </c>
      <c r="K68" s="272">
        <f>'УП заочное обучение'!F69</f>
        <v>0</v>
      </c>
      <c r="L68" s="272">
        <f>'УП заочное обучение'!G69</f>
        <v>0</v>
      </c>
      <c r="M68" s="272">
        <f>'УП заочное обучение'!H69</f>
        <v>0</v>
      </c>
    </row>
    <row r="69" spans="1:13" ht="90" thickBot="1" x14ac:dyDescent="0.25">
      <c r="A69" s="269" t="str">
        <f>'Учебный план'!B89</f>
        <v>Выполнение работ по одной или нескольким профессиям рабочих, должностям служащих</v>
      </c>
      <c r="B69" s="269">
        <f>'Учебный план'!C89</f>
        <v>0</v>
      </c>
      <c r="C69" s="269">
        <f>'Учебный план'!D89</f>
        <v>0</v>
      </c>
      <c r="D69" s="269">
        <f>'Учебный план'!E89</f>
        <v>0</v>
      </c>
      <c r="E69" s="269">
        <f>'Учебный план'!G89</f>
        <v>0</v>
      </c>
      <c r="F69" s="269" t="e">
        <f>'Учебный план'!#REF!</f>
        <v>#REF!</v>
      </c>
      <c r="G69" s="269">
        <f>'Учебный план'!H89</f>
        <v>0</v>
      </c>
      <c r="H69" s="274"/>
      <c r="I69" s="270">
        <f>'УП заочное обучение'!D70</f>
        <v>0</v>
      </c>
      <c r="J69" s="270">
        <f>'УП заочное обучение'!E70</f>
        <v>0</v>
      </c>
      <c r="K69" s="270">
        <f>'УП заочное обучение'!F70</f>
        <v>0</v>
      </c>
      <c r="L69" s="270">
        <f>'УП заочное обучение'!G70</f>
        <v>0</v>
      </c>
      <c r="M69" s="270">
        <f>'УП заочное обучение'!H70</f>
        <v>0</v>
      </c>
    </row>
    <row r="70" spans="1:13" ht="13.5" thickBot="1" x14ac:dyDescent="0.25">
      <c r="A70" s="271" t="e">
        <f>'Учебный план'!#REF!</f>
        <v>#REF!</v>
      </c>
      <c r="B70" s="271" t="e">
        <f>'Учебный план'!#REF!</f>
        <v>#REF!</v>
      </c>
      <c r="C70" s="271" t="e">
        <f>'Учебный план'!#REF!</f>
        <v>#REF!</v>
      </c>
      <c r="D70" s="271" t="e">
        <f>'Учебный план'!#REF!</f>
        <v>#REF!</v>
      </c>
      <c r="E70" s="271" t="e">
        <f>'Учебный план'!#REF!</f>
        <v>#REF!</v>
      </c>
      <c r="F70" s="271" t="e">
        <f>'Учебный план'!#REF!</f>
        <v>#REF!</v>
      </c>
      <c r="G70" s="271" t="e">
        <f>'Учебный план'!#REF!</f>
        <v>#REF!</v>
      </c>
      <c r="I70" s="272" t="e">
        <f>'УП заочное обучение'!#REF!</f>
        <v>#REF!</v>
      </c>
      <c r="J70" s="272" t="e">
        <f>'УП заочное обучение'!#REF!</f>
        <v>#REF!</v>
      </c>
      <c r="K70" s="272" t="e">
        <f>'УП заочное обучение'!#REF!</f>
        <v>#REF!</v>
      </c>
      <c r="L70" s="272" t="e">
        <f>'УП заочное обучение'!#REF!</f>
        <v>#REF!</v>
      </c>
      <c r="M70" s="272" t="e">
        <f>'УП заочное обучение'!#REF!</f>
        <v>#REF!</v>
      </c>
    </row>
    <row r="71" spans="1:13" ht="13.5" thickBot="1" x14ac:dyDescent="0.25">
      <c r="A71" s="271" t="str">
        <f>'Учебный план'!B90</f>
        <v>Матрос</v>
      </c>
      <c r="B71" s="271" t="str">
        <f>'Учебный план'!C90</f>
        <v>Матрос</v>
      </c>
      <c r="C71" s="271">
        <f>'Учебный план'!D90</f>
        <v>0</v>
      </c>
      <c r="D71" s="271" t="str">
        <f>'Учебный план'!E90</f>
        <v>4</v>
      </c>
      <c r="E71" s="271">
        <f>'Учебный план'!G90</f>
        <v>0</v>
      </c>
      <c r="F71" s="271" t="e">
        <f>'Учебный план'!#REF!</f>
        <v>#REF!</v>
      </c>
      <c r="G71" s="271">
        <f>'Учебный план'!H90</f>
        <v>0</v>
      </c>
      <c r="I71" s="272">
        <f>'УП заочное обучение'!D71</f>
        <v>0</v>
      </c>
      <c r="J71" s="272" t="str">
        <f>'УП заочное обучение'!E71</f>
        <v>2</v>
      </c>
      <c r="K71" s="272">
        <f>'УП заочное обучение'!F71</f>
        <v>0</v>
      </c>
      <c r="L71" s="272">
        <f>'УП заочное обучение'!G71</f>
        <v>0</v>
      </c>
      <c r="M71" s="272">
        <f>'УП заочное обучение'!H71</f>
        <v>0</v>
      </c>
    </row>
    <row r="72" spans="1:13" ht="13.5" thickBot="1" x14ac:dyDescent="0.25">
      <c r="A72" s="271">
        <f>'Учебный план'!B91</f>
        <v>0</v>
      </c>
      <c r="B72" s="271">
        <f>'Учебный план'!C91</f>
        <v>0</v>
      </c>
      <c r="C72" s="271">
        <f>'Учебный план'!D91</f>
        <v>5</v>
      </c>
      <c r="D72" s="271">
        <f>'Учебный план'!E91</f>
        <v>0</v>
      </c>
      <c r="E72" s="271">
        <f>'Учебный план'!G91</f>
        <v>0</v>
      </c>
      <c r="F72" s="271" t="e">
        <f>'Учебный план'!#REF!</f>
        <v>#REF!</v>
      </c>
      <c r="G72" s="271">
        <f>'Учебный план'!H91</f>
        <v>0</v>
      </c>
      <c r="I72" s="272" t="str">
        <f>'УП заочное обучение'!D72</f>
        <v>3</v>
      </c>
      <c r="J72" s="272">
        <f>'УП заочное обучение'!E72</f>
        <v>0</v>
      </c>
      <c r="K72" s="272">
        <f>'УП заочное обучение'!F72</f>
        <v>0</v>
      </c>
      <c r="L72" s="272">
        <f>'УП заочное обучение'!G72</f>
        <v>0</v>
      </c>
      <c r="M72" s="272">
        <f>'УП заочное обучение'!H72</f>
        <v>0</v>
      </c>
    </row>
    <row r="73" spans="1:13" ht="39" thickBot="1" x14ac:dyDescent="0.25">
      <c r="A73" s="269" t="str">
        <f>'Учебный план'!B92</f>
        <v>Вариативная часть циклов ППССЗ</v>
      </c>
      <c r="B73" s="269">
        <f>'Учебный план'!C92</f>
        <v>0</v>
      </c>
      <c r="C73" s="269">
        <f>'Учебный план'!D92</f>
        <v>0</v>
      </c>
      <c r="D73" s="269">
        <f>'Учебный план'!E92</f>
        <v>0</v>
      </c>
      <c r="E73" s="269">
        <f>'Учебный план'!G92</f>
        <v>0</v>
      </c>
      <c r="F73" s="269" t="e">
        <f>'Учебный план'!#REF!</f>
        <v>#REF!</v>
      </c>
      <c r="G73" s="269">
        <f>'Учебный план'!H92</f>
        <v>0</v>
      </c>
      <c r="H73" s="274"/>
      <c r="I73" s="270">
        <f>'УП заочное обучение'!D73</f>
        <v>0</v>
      </c>
      <c r="J73" s="270">
        <f>'УП заочное обучение'!E73</f>
        <v>0</v>
      </c>
      <c r="K73" s="270">
        <f>'УП заочное обучение'!F73</f>
        <v>0</v>
      </c>
      <c r="L73" s="270">
        <f>'УП заочное обучение'!G73</f>
        <v>0</v>
      </c>
      <c r="M73" s="270">
        <f>'УП заочное обучение'!H73</f>
        <v>0</v>
      </c>
    </row>
    <row r="74" spans="1:13" s="307" customFormat="1" ht="77.25" thickBot="1" x14ac:dyDescent="0.25">
      <c r="A74" s="320" t="str">
        <f>'Учебный план'!B93</f>
        <v>Эксплуатация судовых энергетических установок на вспомогательном уровне</v>
      </c>
      <c r="B74" s="320" t="str">
        <f>'Учебный план'!C93</f>
        <v>ЭСЭУ</v>
      </c>
      <c r="C74" s="320" t="str">
        <f>'Учебный план'!D93</f>
        <v>4</v>
      </c>
      <c r="D74" s="320">
        <f>'Учебный план'!E93</f>
        <v>0</v>
      </c>
      <c r="E74" s="320">
        <f>'Учебный план'!G93</f>
        <v>0</v>
      </c>
      <c r="F74" s="320" t="e">
        <f>'Учебный план'!#REF!</f>
        <v>#REF!</v>
      </c>
      <c r="G74" s="320" t="str">
        <f>'Учебный план'!H93</f>
        <v>3</v>
      </c>
      <c r="H74" s="321"/>
      <c r="I74" s="322" t="str">
        <f>'УП заочное обучение'!D74</f>
        <v>2</v>
      </c>
      <c r="J74" s="322">
        <f>'УП заочное обучение'!E74</f>
        <v>0</v>
      </c>
      <c r="K74" s="322">
        <f>'УП заочное обучение'!F74</f>
        <v>0</v>
      </c>
      <c r="L74" s="322">
        <f>'УП заочное обучение'!G74</f>
        <v>0</v>
      </c>
      <c r="M74" s="322" t="str">
        <f>'УП заочное обучение'!H74</f>
        <v>2</v>
      </c>
    </row>
    <row r="75" spans="1:13" s="307" customFormat="1" ht="51.75" thickBot="1" x14ac:dyDescent="0.25">
      <c r="A75" s="320" t="str">
        <f>'Учебный план'!B94</f>
        <v>Профессиональный английский язык</v>
      </c>
      <c r="B75" s="320">
        <f>'Учебный план'!C94</f>
        <v>0</v>
      </c>
      <c r="C75" s="320">
        <f>'Учебный план'!D94</f>
        <v>0</v>
      </c>
      <c r="D75" s="320" t="str">
        <f>'Учебный план'!E94</f>
        <v>Х</v>
      </c>
      <c r="E75" s="320">
        <f>'Учебный план'!G94</f>
        <v>0</v>
      </c>
      <c r="F75" s="320" t="e">
        <f>'Учебный план'!#REF!</f>
        <v>#REF!</v>
      </c>
      <c r="G75" s="320" t="str">
        <f>'Учебный план'!H94</f>
        <v>9</v>
      </c>
      <c r="H75" s="321"/>
      <c r="I75" s="322">
        <f>'УП заочное обучение'!D75</f>
        <v>0</v>
      </c>
      <c r="J75" s="322" t="str">
        <f>'УП заочное обучение'!E75</f>
        <v>4</v>
      </c>
      <c r="K75" s="322">
        <f>'УП заочное обучение'!F75</f>
        <v>0</v>
      </c>
      <c r="L75" s="322">
        <f>'УП заочное обучение'!G75</f>
        <v>0</v>
      </c>
      <c r="M75" s="322">
        <f>'УП заочное обучение'!H75</f>
        <v>0</v>
      </c>
    </row>
    <row r="76" spans="1:13" ht="26.25" thickBot="1" x14ac:dyDescent="0.25">
      <c r="A76" s="269" t="str">
        <f>'Учебный план'!B95</f>
        <v>Учебная практика</v>
      </c>
      <c r="B76" s="269">
        <f>'Учебный план'!C95</f>
        <v>0</v>
      </c>
      <c r="C76" s="269">
        <f>'Учебный план'!D95</f>
        <v>0</v>
      </c>
      <c r="D76" s="269">
        <f>'Учебный план'!E95</f>
        <v>4</v>
      </c>
      <c r="E76" s="269">
        <f>'Учебный план'!G95</f>
        <v>0</v>
      </c>
      <c r="F76" s="269" t="e">
        <f>'Учебный план'!#REF!</f>
        <v>#REF!</v>
      </c>
      <c r="G76" s="269">
        <f>'Учебный план'!H95</f>
        <v>0</v>
      </c>
      <c r="H76" s="274"/>
      <c r="I76" s="270">
        <f>'УП заочное обучение'!D76</f>
        <v>0</v>
      </c>
      <c r="J76" s="270" t="str">
        <f>'УП заочное обучение'!E76</f>
        <v>2</v>
      </c>
      <c r="K76" s="270">
        <f>'УП заочное обучение'!F76</f>
        <v>0</v>
      </c>
      <c r="L76" s="270">
        <f>'УП заочное обучение'!G76</f>
        <v>0</v>
      </c>
      <c r="M76" s="270">
        <f>'УП заочное обучение'!H76</f>
        <v>0</v>
      </c>
    </row>
    <row r="77" spans="1:13" ht="26.25" thickBot="1" x14ac:dyDescent="0.25">
      <c r="A77" s="271" t="str">
        <f>'Учебный план'!B96</f>
        <v>Слесарная практика</v>
      </c>
      <c r="B77" s="271">
        <f>'Учебный план'!C96</f>
        <v>0</v>
      </c>
      <c r="C77" s="271">
        <f>'Учебный план'!D96</f>
        <v>0</v>
      </c>
      <c r="D77" s="271" t="str">
        <f>'Учебный план'!E96</f>
        <v>4</v>
      </c>
      <c r="E77" s="271">
        <f>'Учебный план'!G96</f>
        <v>0</v>
      </c>
      <c r="F77" s="271" t="e">
        <f>'Учебный план'!#REF!</f>
        <v>#REF!</v>
      </c>
      <c r="G77" s="271">
        <f>'Учебный план'!H96</f>
        <v>0</v>
      </c>
      <c r="I77" s="272">
        <f>'УП заочное обучение'!D77</f>
        <v>0</v>
      </c>
      <c r="J77" s="272">
        <f>'УП заочное обучение'!E77</f>
        <v>0</v>
      </c>
      <c r="K77" s="272">
        <f>'УП заочное обучение'!F77</f>
        <v>0</v>
      </c>
      <c r="L77" s="272">
        <f>'УП заочное обучение'!G77</f>
        <v>0</v>
      </c>
      <c r="M77" s="272">
        <f>'УП заочное обучение'!H77</f>
        <v>0</v>
      </c>
    </row>
    <row r="78" spans="1:13" ht="39" thickBot="1" x14ac:dyDescent="0.25">
      <c r="A78" s="271" t="str">
        <f>'Учебный план'!B97</f>
        <v>Шлюпочно-такелажная практика</v>
      </c>
      <c r="B78" s="271">
        <f>'Учебный план'!C97</f>
        <v>0</v>
      </c>
      <c r="C78" s="271">
        <f>'Учебный план'!D97</f>
        <v>0</v>
      </c>
      <c r="D78" s="271" t="str">
        <f>'Учебный план'!E97</f>
        <v>4</v>
      </c>
      <c r="E78" s="271">
        <f>'Учебный план'!G97</f>
        <v>0</v>
      </c>
      <c r="F78" s="271" t="e">
        <f>'Учебный план'!#REF!</f>
        <v>#REF!</v>
      </c>
      <c r="G78" s="271">
        <f>'Учебный план'!H97</f>
        <v>0</v>
      </c>
      <c r="I78" s="272">
        <f>'УП заочное обучение'!D78</f>
        <v>0</v>
      </c>
      <c r="J78" s="272">
        <f>'УП заочное обучение'!E78</f>
        <v>0</v>
      </c>
      <c r="K78" s="272">
        <f>'УП заочное обучение'!F78</f>
        <v>0</v>
      </c>
      <c r="L78" s="272">
        <f>'УП заочное обучение'!G78</f>
        <v>0</v>
      </c>
      <c r="M78" s="272">
        <f>'УП заочное обучение'!H78</f>
        <v>0</v>
      </c>
    </row>
    <row r="79" spans="1:13" ht="26.25" thickBot="1" x14ac:dyDescent="0.25">
      <c r="A79" s="271" t="str">
        <f>'Учебный план'!B98</f>
        <v>Практика по БЖС и ОСПС</v>
      </c>
      <c r="B79" s="271">
        <f>'Учебный план'!C98</f>
        <v>0</v>
      </c>
      <c r="C79" s="271">
        <f>'Учебный план'!D98</f>
        <v>0</v>
      </c>
      <c r="D79" s="271" t="str">
        <f>'Учебный план'!E98</f>
        <v>4</v>
      </c>
      <c r="E79" s="271">
        <f>'Учебный план'!G98</f>
        <v>0</v>
      </c>
      <c r="F79" s="271" t="e">
        <f>'Учебный план'!#REF!</f>
        <v>#REF!</v>
      </c>
      <c r="G79" s="271">
        <f>'Учебный план'!H98</f>
        <v>0</v>
      </c>
      <c r="I79" s="272">
        <f>'УП заочное обучение'!D79</f>
        <v>0</v>
      </c>
      <c r="J79" s="272">
        <f>'УП заочное обучение'!E79</f>
        <v>0</v>
      </c>
      <c r="K79" s="272">
        <f>'УП заочное обучение'!F79</f>
        <v>0</v>
      </c>
      <c r="L79" s="272">
        <f>'УП заочное обучение'!G79</f>
        <v>0</v>
      </c>
      <c r="M79" s="272">
        <f>'УП заочное обучение'!H79</f>
        <v>0</v>
      </c>
    </row>
    <row r="80" spans="1:13" ht="39" thickBot="1" x14ac:dyDescent="0.25">
      <c r="A80" s="271" t="str">
        <f>'Учебный план'!B99</f>
        <v>Учебная плавательная (групповая)</v>
      </c>
      <c r="B80" s="271">
        <f>'Учебный план'!C99</f>
        <v>0</v>
      </c>
      <c r="C80" s="271">
        <f>'Учебный план'!D99</f>
        <v>0</v>
      </c>
      <c r="D80" s="271" t="str">
        <f>'Учебный план'!E99</f>
        <v>4</v>
      </c>
      <c r="E80" s="271">
        <f>'Учебный план'!G99</f>
        <v>0</v>
      </c>
      <c r="F80" s="271" t="e">
        <f>'Учебный план'!#REF!</f>
        <v>#REF!</v>
      </c>
      <c r="G80" s="271">
        <f>'Учебный план'!H99</f>
        <v>0</v>
      </c>
      <c r="I80" s="272">
        <f>'УП заочное обучение'!D80</f>
        <v>0</v>
      </c>
      <c r="J80" s="272">
        <f>'УП заочное обучение'!E80</f>
        <v>0</v>
      </c>
      <c r="K80" s="272">
        <f>'УП заочное обучение'!F80</f>
        <v>0</v>
      </c>
      <c r="L80" s="272">
        <f>'УП заочное обучение'!G80</f>
        <v>0</v>
      </c>
      <c r="M80" s="272">
        <f>'УП заочное обучение'!H80</f>
        <v>0</v>
      </c>
    </row>
    <row r="81" spans="1:13" ht="26.25" thickBot="1" x14ac:dyDescent="0.25">
      <c r="A81" s="269" t="str">
        <f>'Учебный план'!B100</f>
        <v>Производственная практика</v>
      </c>
      <c r="B81" s="269">
        <f>'Учебный план'!C100</f>
        <v>0</v>
      </c>
      <c r="C81" s="269">
        <f>'Учебный план'!D100</f>
        <v>0</v>
      </c>
      <c r="D81" s="269">
        <f>'Учебный план'!E100</f>
        <v>0</v>
      </c>
      <c r="E81" s="269">
        <f>'Учебный план'!G100</f>
        <v>0</v>
      </c>
      <c r="F81" s="269" t="e">
        <f>'Учебный план'!#REF!</f>
        <v>#REF!</v>
      </c>
      <c r="G81" s="269">
        <f>'Учебный план'!H100</f>
        <v>0</v>
      </c>
      <c r="H81" s="274"/>
      <c r="I81" s="270">
        <f>'УП заочное обучение'!D81</f>
        <v>0</v>
      </c>
      <c r="J81" s="270">
        <f>'УП заочное обучение'!E81</f>
        <v>0</v>
      </c>
      <c r="K81" s="270">
        <f>'УП заочное обучение'!F81</f>
        <v>0</v>
      </c>
      <c r="L81" s="270">
        <f>'УП заочное обучение'!G81</f>
        <v>0</v>
      </c>
      <c r="M81" s="270">
        <f>'УП заочное обучение'!H81</f>
        <v>0</v>
      </c>
    </row>
    <row r="82" spans="1:13" ht="51.75" thickBot="1" x14ac:dyDescent="0.25">
      <c r="A82" s="271" t="str">
        <f>'Учебный план'!B101</f>
        <v>Производственная практика (по профилю специальности)</v>
      </c>
      <c r="B82" s="271">
        <f>'Учебный план'!C101</f>
        <v>0</v>
      </c>
      <c r="C82" s="271">
        <f>'Учебный план'!D101</f>
        <v>0</v>
      </c>
      <c r="D82" s="271" t="str">
        <f>'Учебный план'!E101</f>
        <v>7,9</v>
      </c>
      <c r="E82" s="271">
        <f>'Учебный план'!G101</f>
        <v>0</v>
      </c>
      <c r="F82" s="271" t="e">
        <f>'Учебный план'!#REF!</f>
        <v>#REF!</v>
      </c>
      <c r="G82" s="271">
        <f>'Учебный план'!H101</f>
        <v>0</v>
      </c>
      <c r="I82" s="272">
        <f>'УП заочное обучение'!D82</f>
        <v>0</v>
      </c>
      <c r="J82" s="272">
        <f>'УП заочное обучение'!E82</f>
        <v>4.5</v>
      </c>
      <c r="K82" s="272">
        <f>'УП заочное обучение'!F82</f>
        <v>0</v>
      </c>
      <c r="L82" s="272">
        <f>'УП заочное обучение'!G82</f>
        <v>0</v>
      </c>
      <c r="M82" s="272">
        <f>'УП заочное обучение'!H82</f>
        <v>0</v>
      </c>
    </row>
    <row r="83" spans="1:13" ht="26.25" thickBot="1" x14ac:dyDescent="0.25">
      <c r="A83" s="271" t="str">
        <f>'Учебный план'!B102</f>
        <v>Преддипломная практика</v>
      </c>
      <c r="B83" s="271">
        <f>'Учебный план'!C102</f>
        <v>0</v>
      </c>
      <c r="C83" s="271">
        <f>'Учебный план'!D102</f>
        <v>0</v>
      </c>
      <c r="D83" s="271" t="str">
        <f>'Учебный план'!E102</f>
        <v>Х</v>
      </c>
      <c r="E83" s="271">
        <f>'Учебный план'!G102</f>
        <v>0</v>
      </c>
      <c r="F83" s="271" t="e">
        <f>'Учебный план'!#REF!</f>
        <v>#REF!</v>
      </c>
      <c r="G83" s="271">
        <f>'Учебный план'!H102</f>
        <v>0</v>
      </c>
      <c r="I83" s="272">
        <f>'УП заочное обучение'!D83</f>
        <v>0</v>
      </c>
      <c r="J83" s="272">
        <f>'УП заочное обучение'!E83</f>
        <v>5</v>
      </c>
      <c r="K83" s="272">
        <f>'УП заочное обучение'!F83</f>
        <v>0</v>
      </c>
      <c r="L83" s="272">
        <f>'УП заочное обучение'!G83</f>
        <v>0</v>
      </c>
      <c r="M83" s="272">
        <f>'УП заочное обучение'!H83</f>
        <v>0</v>
      </c>
    </row>
    <row r="84" spans="1:13" ht="39" thickBot="1" x14ac:dyDescent="0.25">
      <c r="A84" s="269" t="str">
        <f>'Учебный план'!B103</f>
        <v>Государственная итоговая аттестация</v>
      </c>
      <c r="B84" s="269">
        <f>'Учебный план'!C103</f>
        <v>0</v>
      </c>
      <c r="C84" s="269">
        <f>'Учебный план'!D103</f>
        <v>0</v>
      </c>
      <c r="D84" s="269">
        <f>'Учебный план'!E103</f>
        <v>0</v>
      </c>
      <c r="E84" s="269">
        <f>'Учебный план'!G103</f>
        <v>0</v>
      </c>
      <c r="F84" s="269" t="e">
        <f>'Учебный план'!#REF!</f>
        <v>#REF!</v>
      </c>
      <c r="G84" s="269">
        <f>'Учебный план'!H103</f>
        <v>0</v>
      </c>
      <c r="H84" s="274"/>
      <c r="I84" s="270">
        <f>'УП заочное обучение'!D84</f>
        <v>0</v>
      </c>
      <c r="J84" s="270">
        <f>'УП заочное обучение'!E84</f>
        <v>0</v>
      </c>
      <c r="K84" s="270">
        <f>'УП заочное обучение'!F84</f>
        <v>0</v>
      </c>
      <c r="L84" s="270">
        <f>'УП заочное обучение'!G84</f>
        <v>0</v>
      </c>
      <c r="M84" s="270">
        <f>'УП заочное обучение'!H84</f>
        <v>0</v>
      </c>
    </row>
    <row r="85" spans="1:13" ht="39" thickBot="1" x14ac:dyDescent="0.25">
      <c r="A85" s="271" t="str">
        <f>'Учебный план'!B104</f>
        <v>Государственная итоговая аттестация</v>
      </c>
      <c r="B85" s="271">
        <f>'Учебный план'!C104</f>
        <v>0</v>
      </c>
      <c r="C85" s="271">
        <f>'Учебный план'!D104</f>
        <v>0</v>
      </c>
      <c r="D85" s="271">
        <f>'Учебный план'!E104</f>
        <v>0</v>
      </c>
      <c r="E85" s="271">
        <f>'Учебный план'!G104</f>
        <v>0</v>
      </c>
      <c r="F85" s="271" t="e">
        <f>'Учебный план'!#REF!</f>
        <v>#REF!</v>
      </c>
      <c r="G85" s="271">
        <f>'Учебный план'!H104</f>
        <v>0</v>
      </c>
      <c r="I85" s="272">
        <f>'УП заочное обучение'!D85</f>
        <v>0</v>
      </c>
      <c r="J85" s="272">
        <f>'УП заочное обучение'!E85</f>
        <v>0</v>
      </c>
      <c r="K85" s="272">
        <f>'УП заочное обучение'!F85</f>
        <v>0</v>
      </c>
      <c r="L85" s="272">
        <f>'УП заочное обучение'!G85</f>
        <v>0</v>
      </c>
      <c r="M85" s="272">
        <f>'УП заочное обучение'!H85</f>
        <v>0</v>
      </c>
    </row>
    <row r="86" spans="1:13" ht="13.5" thickBot="1" x14ac:dyDescent="0.25">
      <c r="A86" s="269" t="str">
        <f>'Учебный план'!B105</f>
        <v>Консультации</v>
      </c>
      <c r="B86" s="269">
        <f>'Учебный план'!C105</f>
        <v>0</v>
      </c>
      <c r="C86" s="269">
        <f>'Учебный план'!D105</f>
        <v>0</v>
      </c>
      <c r="D86" s="269">
        <f>'Учебный план'!E105</f>
        <v>0</v>
      </c>
      <c r="E86" s="269">
        <f>'Учебный план'!G105</f>
        <v>0</v>
      </c>
      <c r="F86" s="269" t="e">
        <f>'Учебный план'!#REF!</f>
        <v>#REF!</v>
      </c>
      <c r="G86" s="269">
        <f>'Учебный план'!H105</f>
        <v>0</v>
      </c>
      <c r="H86" s="274"/>
      <c r="I86" s="270">
        <f>'УП заочное обучение'!D86</f>
        <v>0</v>
      </c>
      <c r="J86" s="270">
        <f>'УП заочное обучение'!E86</f>
        <v>0</v>
      </c>
      <c r="K86" s="270">
        <f>'УП заочное обучение'!F86</f>
        <v>0</v>
      </c>
      <c r="L86" s="270">
        <f>'УП заочное обучение'!G86</f>
        <v>0</v>
      </c>
      <c r="M86" s="270">
        <f>'УП заочное обучение'!H86</f>
        <v>0</v>
      </c>
    </row>
  </sheetData>
  <sheetProtection password="8B06" sheet="1" objects="1" scenarios="1" selectLockedCells="1" selectUnlockedCells="1"/>
  <mergeCells count="14">
    <mergeCell ref="E4:E8"/>
    <mergeCell ref="F4:F8"/>
    <mergeCell ref="G4:G8"/>
    <mergeCell ref="A2:A8"/>
    <mergeCell ref="B2:B8"/>
    <mergeCell ref="C2:G3"/>
    <mergeCell ref="C4:C8"/>
    <mergeCell ref="D4:D8"/>
    <mergeCell ref="L4:L8"/>
    <mergeCell ref="M4:M8"/>
    <mergeCell ref="I2:M3"/>
    <mergeCell ref="I4:I8"/>
    <mergeCell ref="J4:J8"/>
    <mergeCell ref="K4:K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J98"/>
  <sheetViews>
    <sheetView showZeros="0" zoomScale="80" zoomScaleNormal="80" workbookViewId="0">
      <selection activeCell="L54" sqref="L54"/>
    </sheetView>
  </sheetViews>
  <sheetFormatPr defaultRowHeight="12.75" x14ac:dyDescent="0.2"/>
  <cols>
    <col min="1" max="1" width="58.1640625" style="162" customWidth="1"/>
    <col min="2" max="2" width="12.6640625" style="162" customWidth="1"/>
    <col min="3" max="3" width="16.5" style="162" customWidth="1"/>
    <col min="4" max="5" width="16.1640625" style="162" customWidth="1"/>
    <col min="6" max="6" width="16.33203125" style="162" customWidth="1"/>
    <col min="7" max="7" width="15.5" style="162" customWidth="1"/>
    <col min="8" max="9" width="28.5" style="162" customWidth="1"/>
    <col min="10" max="16384" width="9.33203125" style="162"/>
  </cols>
  <sheetData>
    <row r="1" spans="1:9" s="123" customFormat="1" x14ac:dyDescent="0.2">
      <c r="A1" s="891" t="s">
        <v>106</v>
      </c>
      <c r="B1" s="891"/>
      <c r="C1" s="891"/>
      <c r="D1" s="891"/>
      <c r="E1" s="891"/>
      <c r="F1" s="891"/>
      <c r="G1" s="891"/>
      <c r="H1" s="891"/>
      <c r="I1" s="891"/>
    </row>
    <row r="2" spans="1:9" s="123" customFormat="1" ht="29.25" customHeight="1" x14ac:dyDescent="0.2">
      <c r="A2" s="847" t="s">
        <v>101</v>
      </c>
      <c r="B2" s="848"/>
      <c r="C2" s="849"/>
      <c r="D2" s="858" t="s">
        <v>105</v>
      </c>
      <c r="E2" s="860"/>
      <c r="F2" s="892" t="s">
        <v>107</v>
      </c>
      <c r="G2" s="892"/>
      <c r="H2" s="845" t="s">
        <v>153</v>
      </c>
      <c r="I2" s="846"/>
    </row>
    <row r="3" spans="1:9" s="123" customFormat="1" ht="63.75" x14ac:dyDescent="0.2">
      <c r="A3" s="850"/>
      <c r="B3" s="851"/>
      <c r="C3" s="852"/>
      <c r="D3" s="124" t="s">
        <v>180</v>
      </c>
      <c r="E3" s="124" t="s">
        <v>275</v>
      </c>
      <c r="F3" s="124" t="s">
        <v>180</v>
      </c>
      <c r="G3" s="124" t="s">
        <v>275</v>
      </c>
      <c r="H3" s="124" t="s">
        <v>180</v>
      </c>
      <c r="I3" s="124" t="s">
        <v>275</v>
      </c>
    </row>
    <row r="4" spans="1:9" s="123" customFormat="1" x14ac:dyDescent="0.2">
      <c r="A4" s="125" t="str">
        <f>'Титульный лист'!A11:N11</f>
        <v>Специфика:</v>
      </c>
      <c r="B4" s="126"/>
      <c r="C4" s="126"/>
      <c r="D4" s="126"/>
      <c r="E4" s="126"/>
      <c r="F4" s="126"/>
      <c r="G4" s="126"/>
      <c r="H4" s="126"/>
      <c r="I4" s="127"/>
    </row>
    <row r="5" spans="1:9" s="123" customFormat="1" hidden="1" x14ac:dyDescent="0.2">
      <c r="A5" s="128">
        <f>'Титульный лист'!O11:O11</f>
        <v>0</v>
      </c>
      <c r="B5" s="129"/>
      <c r="C5" s="129"/>
      <c r="D5" s="129"/>
      <c r="E5" s="129"/>
      <c r="F5" s="129"/>
      <c r="G5" s="129"/>
      <c r="H5" s="130"/>
      <c r="I5" s="131"/>
    </row>
    <row r="6" spans="1:9" s="123" customFormat="1" x14ac:dyDescent="0.2">
      <c r="A6" s="853" t="s">
        <v>543</v>
      </c>
      <c r="B6" s="854"/>
      <c r="C6" s="855"/>
      <c r="D6" s="302">
        <f>G33*G37</f>
        <v>2106</v>
      </c>
      <c r="E6" s="303">
        <v>1404</v>
      </c>
      <c r="F6" s="132">
        <f>'Учебный план'!K11</f>
        <v>2106</v>
      </c>
      <c r="G6" s="132">
        <f>'Учебный план'!L11</f>
        <v>1404</v>
      </c>
      <c r="H6" s="133" t="str">
        <f>IF(OR(D6="",E6=""),"введите данные ФГОС",IF('Учебный план'!K113=0,"заполняйте учебный план",IF(OR(D6="-",D6=F6),"норма",IF(F6&lt;D6,F6-D6,IF(F6&gt;D6,F6-D6,"норма")))))</f>
        <v>норма</v>
      </c>
      <c r="I6" s="133" t="str">
        <f>IF(OR(D6="",E6=""),"введите данные ФГОС",IF('Учебный план'!K113=0,"заполняйте учебный план",IF(OR(E6="-",E6=G6),"норма",IF(G6&lt;E6,G6-E6,IF(G6&gt;E6,G6-E6,"норма")))))</f>
        <v>норма</v>
      </c>
    </row>
    <row r="7" spans="1:9" s="123" customFormat="1" x14ac:dyDescent="0.2">
      <c r="A7" s="853" t="s">
        <v>544</v>
      </c>
      <c r="B7" s="854"/>
      <c r="C7" s="855"/>
      <c r="D7" s="302" t="s">
        <v>22</v>
      </c>
      <c r="E7" s="304" t="s">
        <v>22</v>
      </c>
      <c r="F7" s="132">
        <f>'Учебный план'!K12</f>
        <v>1380</v>
      </c>
      <c r="G7" s="132">
        <f>'Учебный план'!L12</f>
        <v>920</v>
      </c>
      <c r="H7" s="133" t="str">
        <f>IF(OR(D7="",E7=""),"введите данные ФГОС",IF('Учебный план'!K113=0,"заполняйте учебный план",IF(OR(D7="-",D7=F7),"норма",IF(F7&lt;D7,F7-D7,IF(F7&gt;D7,F7-D7,"норма")))))</f>
        <v>норма</v>
      </c>
      <c r="I7" s="133" t="str">
        <f>IF(OR(D7="",E7=""),"введите данные ФГОС",IF('Учебный план'!K113=0,"заполняйте учебный план",IF(OR(E7="-",E7=G7),"норма",IF(G7&lt;E7,G7-E7,IF(G7&gt;E7,G7-E7,"норма")))))</f>
        <v>норма</v>
      </c>
    </row>
    <row r="8" spans="1:9" s="123" customFormat="1" x14ac:dyDescent="0.2">
      <c r="A8" s="853" t="s">
        <v>545</v>
      </c>
      <c r="B8" s="854"/>
      <c r="C8" s="855"/>
      <c r="D8" s="302" t="s">
        <v>22</v>
      </c>
      <c r="E8" s="304" t="s">
        <v>22</v>
      </c>
      <c r="F8" s="132">
        <f>'Учебный план'!K21</f>
        <v>170</v>
      </c>
      <c r="G8" s="132">
        <f>'Учебный план'!L21</f>
        <v>113</v>
      </c>
      <c r="H8" s="133" t="str">
        <f>IF(OR(D8="",E8=""),"введите данные ФГОС",IF('Учебный план'!K113=0,"заполняйте учебный план",IF(OR(D8="-",D8=F8),"норма",IF(F8&lt;D8,F8-D8,IF(F8&gt;D8,F8-D8,"норма")))))</f>
        <v>норма</v>
      </c>
      <c r="I8" s="133" t="str">
        <f>IF(OR(D8="",E8=""),"введите данные ФГОС",IF('Учебный план'!K113=0,"заполняйте учебный план",IF(OR(E8="-",E8=G8),"норма",IF(G8&lt;E8,G8-E8,IF(G8&gt;E8,G8-E8,"норма")))))</f>
        <v>норма</v>
      </c>
    </row>
    <row r="9" spans="1:9" s="123" customFormat="1" x14ac:dyDescent="0.2">
      <c r="A9" s="853" t="s">
        <v>378</v>
      </c>
      <c r="B9" s="854"/>
      <c r="C9" s="855"/>
      <c r="D9" s="303">
        <v>3942</v>
      </c>
      <c r="E9" s="303">
        <v>2628</v>
      </c>
      <c r="F9" s="132">
        <f>'Учебный план'!K28</f>
        <v>5391</v>
      </c>
      <c r="G9" s="132">
        <f>'Учебный план'!L28</f>
        <v>3594</v>
      </c>
      <c r="H9" s="133">
        <f>IF(OR(D9="",E9=""),"введите данные ФГОС",IF('Учебный план'!K113=0,"заполняйте учебный план",IF(OR(D9="-",D9=F9),"норма",IF(F9&lt;D9,F9-D9,IF(F9&gt;D9,F9-D9,"норма")))))</f>
        <v>1449</v>
      </c>
      <c r="I9" s="133">
        <f>IF(OR(D9="",E9=""),"введите данные ФГОС",IF('Учебный план'!K113=0,"заполняйте учебный план",IF(OR(E9="-",E9=G9),"норма",IF(G9&lt;E9,G9-E9,IF(G9&gt;E9,G9-E9,"норма")))))</f>
        <v>966</v>
      </c>
    </row>
    <row r="10" spans="1:9" s="123" customFormat="1" x14ac:dyDescent="0.2">
      <c r="A10" s="856" t="s">
        <v>174</v>
      </c>
      <c r="B10" s="854"/>
      <c r="C10" s="855"/>
      <c r="D10" s="303">
        <v>944</v>
      </c>
      <c r="E10" s="303">
        <v>560</v>
      </c>
      <c r="F10" s="132">
        <f>'Учебный план'!K29</f>
        <v>943</v>
      </c>
      <c r="G10" s="132">
        <f>'Учебный план'!L29</f>
        <v>560</v>
      </c>
      <c r="H10" s="133">
        <f>IF(OR(D10="",E10=""),"введите данные ФГОС",IF('Учебный план'!K113=0,"заполняйте учебный план",IF(OR(D10="-",D10=F10),"норма",IF(F10&lt;D10,F10-D10,IF(F10&gt;D10,F10-D10,"норма")))))</f>
        <v>-1</v>
      </c>
      <c r="I10" s="133" t="str">
        <f>IF(OR(D10="",E10=""),"введите данные ФГОС",IF('Учебный план'!K113=0,"заполняйте учебный план",IF(OR(E10="-",E10=G10),"норма",IF(G10&lt;E10,G10-E10,IF(G10&gt;E10,G10-E10,"норма")))))</f>
        <v>норма</v>
      </c>
    </row>
    <row r="11" spans="1:9" s="123" customFormat="1" x14ac:dyDescent="0.2">
      <c r="A11" s="853" t="s">
        <v>290</v>
      </c>
      <c r="B11" s="854"/>
      <c r="C11" s="855"/>
      <c r="D11" s="303">
        <v>198</v>
      </c>
      <c r="E11" s="303">
        <v>132</v>
      </c>
      <c r="F11" s="132">
        <f>'Учебный план'!K35</f>
        <v>198</v>
      </c>
      <c r="G11" s="132">
        <f>'Учебный план'!L35</f>
        <v>132</v>
      </c>
      <c r="H11" s="133" t="str">
        <f>IF(OR(D11="",E11=""),"введите данные ФГОС",IF('Учебный план'!K113=0,"заполняйте учебный план",IF(OR(D11="-",D11=F11),"норма",IF(F11&lt;D11,F11-D11,IF(F11&gt;D11,F11-D11,"норма")))))</f>
        <v>норма</v>
      </c>
      <c r="I11" s="133" t="str">
        <f>IF(OR(D11="",E11=""),"введите данные ФГОС",IF('Учебный план'!K113=0,"заполняйте учебный план",IF(OR(E11="-",E11=G11),"норма",IF(G11&lt;E11,G11-E11,IF(G11&gt;E11,G11-E11,"норма")))))</f>
        <v>норма</v>
      </c>
    </row>
    <row r="12" spans="1:9" s="123" customFormat="1" x14ac:dyDescent="0.2">
      <c r="A12" s="856" t="s">
        <v>76</v>
      </c>
      <c r="B12" s="854"/>
      <c r="C12" s="855"/>
      <c r="D12" s="303">
        <v>2800</v>
      </c>
      <c r="E12" s="303">
        <v>1936</v>
      </c>
      <c r="F12" s="132">
        <f>'Учебный план'!K39</f>
        <v>4250</v>
      </c>
      <c r="G12" s="132">
        <f>'Учебный план'!L39</f>
        <v>2902</v>
      </c>
      <c r="H12" s="133">
        <f>IF(OR(D12="",E12=""),"введите данные ФГОС",IF('Учебный план'!K113=0,"заполняйте учебный план",IF(OR(D12="-",D12=F12),"норма",IF(F12&lt;D12,F12-D12,IF(F12&gt;D12,F12-D12,"норма")))))</f>
        <v>1450</v>
      </c>
      <c r="I12" s="133">
        <f>IF(OR(D12="",E12=""),"введите данные ФГОС",IF('Учебный план'!K113=0,"заполняйте учебный план",IF(OR(E12="-",E12=G12),"норма",IF(G12&lt;E12,G12-E12,IF(G12&gt;E12,G12-E12,"норма")))))</f>
        <v>966</v>
      </c>
    </row>
    <row r="13" spans="1:9" s="123" customFormat="1" x14ac:dyDescent="0.2">
      <c r="A13" s="853" t="s">
        <v>191</v>
      </c>
      <c r="B13" s="854"/>
      <c r="C13" s="855"/>
      <c r="D13" s="303">
        <v>552</v>
      </c>
      <c r="E13" s="303">
        <v>368</v>
      </c>
      <c r="F13" s="132">
        <f>'Учебный план'!K40</f>
        <v>620</v>
      </c>
      <c r="G13" s="132">
        <f>'Учебный план'!L40</f>
        <v>413</v>
      </c>
      <c r="H13" s="133">
        <f>IF(OR(D13="",E13=""),"введите данные ФГОС",IF('Учебный план'!K113=0,"заполняйте учебный план",IF(OR(D13="-",D13=F13),"норма",IF(F13&lt;D13,F13-D13,IF(F13&gt;D13,F13-D13,"норма")))))</f>
        <v>68</v>
      </c>
      <c r="I13" s="133">
        <f>IF(OR(D13="",E13=""),"введите данные ФГОС",IF('Учебный план'!K113=0,"заполняйте учебный план",IF(OR(E13="-",E13=G13),"норма",IF(G13&lt;E13,G13-E13,IF(G13&gt;E13,G13-E13,"норма")))))</f>
        <v>45</v>
      </c>
    </row>
    <row r="14" spans="1:9" s="123" customFormat="1" x14ac:dyDescent="0.2">
      <c r="A14" s="853" t="s">
        <v>189</v>
      </c>
      <c r="B14" s="854"/>
      <c r="C14" s="855"/>
      <c r="D14" s="303">
        <v>2248</v>
      </c>
      <c r="E14" s="303">
        <v>1568</v>
      </c>
      <c r="F14" s="132">
        <f>'Учебный план'!K48</f>
        <v>3630</v>
      </c>
      <c r="G14" s="132">
        <f>'Учебный план'!L48</f>
        <v>2489</v>
      </c>
      <c r="H14" s="133">
        <f>IF(OR(D14="",E14=""),"введите данные ФГОС",IF('Учебный план'!K113=0,"заполняйте учебный план",IF(OR(D14="-",D14=F14),"норма",IF(F14&lt;D14,F14-D14,IF(F14&gt;D14,F14-D14,"норма")))))</f>
        <v>1382</v>
      </c>
      <c r="I14" s="133">
        <f>IF(OR(D14="",E14=""),"введите данные ФГОС",IF('Учебный план'!K113=0,"заполняйте учебный план",IF(OR(E14="-",E14=G14),"норма",IF(G14&lt;E14,G14-E14,IF(G14&gt;E14,G14-E14,"норма")))))</f>
        <v>921</v>
      </c>
    </row>
    <row r="15" spans="1:9" s="123" customFormat="1" x14ac:dyDescent="0.2">
      <c r="A15" s="853" t="s">
        <v>383</v>
      </c>
      <c r="B15" s="854"/>
      <c r="C15" s="855"/>
      <c r="D15" s="303">
        <v>1674</v>
      </c>
      <c r="E15" s="303">
        <v>1116</v>
      </c>
      <c r="F15" s="132">
        <f>'Учебный план'!K92</f>
        <v>225</v>
      </c>
      <c r="G15" s="132">
        <f>'Учебный план'!L92</f>
        <v>150</v>
      </c>
      <c r="H15" s="133">
        <f>IF(OR(D15="",E15=""),"введите данные ФГОС",IF('Учебный план'!K113=0,"заполняйте учебный план",IF(OR(D15="-",D15=F15),"норма",IF(F15&lt;D15,F15-D15,IF(F15&gt;D15,F15-D15,"норма")))))</f>
        <v>-1449</v>
      </c>
      <c r="I15" s="133">
        <f>IF(OR(D15="",E15=""),"введите данные ФГОС",IF('Учебный план'!K113=0,"заполняйте учебный план",IF(OR(E15="-",E15=G15),"норма",IF(G15&lt;E15,G15-E15,IF(G15&gt;E15,G15-E15,"норма")))))</f>
        <v>-966</v>
      </c>
    </row>
    <row r="16" spans="1:9" s="123" customFormat="1" x14ac:dyDescent="0.2">
      <c r="A16" s="853" t="s">
        <v>384</v>
      </c>
      <c r="B16" s="854"/>
      <c r="C16" s="855"/>
      <c r="D16" s="303">
        <v>5616</v>
      </c>
      <c r="E16" s="303">
        <v>3744</v>
      </c>
      <c r="F16" s="132">
        <f>F9+F15</f>
        <v>5616</v>
      </c>
      <c r="G16" s="132">
        <f>G9+G15</f>
        <v>3744</v>
      </c>
      <c r="H16" s="133" t="str">
        <f>IF(OR(D16="",E16=""),"введите данные ФГОС",IF('Учебный план'!K113=0,"заполняйте учебный план",IF(OR(D16="-",D16=F16),"норма",IF(F16&lt;D16,F16-D16,IF(F16&gt;D16,F16-D16,"норма")))))</f>
        <v>норма</v>
      </c>
      <c r="I16" s="133" t="str">
        <f>IF(OR(D16="",E16=""),"введите данные ФГОС",IF('Учебный план'!K113=0,"заполняйте учебный план",IF(OR(E16="-",E16=G16),"норма",IF(G16&lt;E16,G16-E16,IF(G16&gt;E16,G16-E16,"норма")))))</f>
        <v>норма</v>
      </c>
    </row>
    <row r="17" spans="1:9" s="123" customFormat="1" hidden="1" x14ac:dyDescent="0.2">
      <c r="A17" s="856" t="s">
        <v>289</v>
      </c>
      <c r="B17" s="854"/>
      <c r="C17" s="855"/>
      <c r="D17" s="302">
        <v>2970</v>
      </c>
      <c r="E17" s="303">
        <v>1980</v>
      </c>
      <c r="F17" s="132">
        <f>'Учебный план'!K95+'Учебный план'!K100</f>
        <v>1980</v>
      </c>
      <c r="G17" s="132">
        <f>'Учебный план'!L95+'Учебный план'!L100</f>
        <v>1980</v>
      </c>
      <c r="H17" s="133">
        <f>IF(OR(D17="",E17=""),"введите данные ФГОС",IF('Учебный план'!K113=0,"заполняйте учебный план",IF(OR(D17="-",D17=F17),"норма",IF(F17&lt;D17,F17-D17,IF(F17&gt;D17,F17-D17,"норма")))))</f>
        <v>-990</v>
      </c>
      <c r="I17" s="133" t="str">
        <f>IF(OR(D17="",E17=""),"введите данные ФГОС",IF('Учебный план'!K113=0,"заполняйте учебный план",IF(OR(E17="-",E17=G17),"норма",IF(G17&lt;E17,G17-E17,IF(G17&gt;E17,G17-E17,"норма")))))</f>
        <v>норма</v>
      </c>
    </row>
    <row r="18" spans="1:9" s="123" customFormat="1" hidden="1" x14ac:dyDescent="0.2">
      <c r="A18" s="856" t="s">
        <v>6</v>
      </c>
      <c r="B18" s="854"/>
      <c r="C18" s="855"/>
      <c r="D18" s="302">
        <f>'Титульный лист'!BH25*G37</f>
        <v>486</v>
      </c>
      <c r="E18" s="302">
        <f>'Титульный лист'!BH25*Нормы!G38</f>
        <v>324</v>
      </c>
      <c r="F18" s="132">
        <f>'Учебный план'!K95</f>
        <v>324</v>
      </c>
      <c r="G18" s="132">
        <f>'Учебный план'!L95</f>
        <v>324</v>
      </c>
      <c r="H18" s="133">
        <f>IF(OR(D18="",E18=""),"введите данные ФГОС",IF('Учебный план'!K113=0,"заполняйте учебный план",IF(OR(D18="-",D18=F18),"норма",IF(F18&lt;D18,F18-D18,IF(F18&gt;D18,F18-D18,"норма")))))</f>
        <v>-162</v>
      </c>
      <c r="I18" s="133" t="str">
        <f>IF(OR(D18="",E18=""),"введите данные ФГОС",IF('Учебный план'!K113=0,"заполняйте учебный план",IF(OR(E18="-",E18=G18),"норма",IF(G18&lt;E18,G18-E18,IF(G18&gt;E18,G18-E18,"норма")))))</f>
        <v>норма</v>
      </c>
    </row>
    <row r="19" spans="1:9" s="123" customFormat="1" hidden="1" x14ac:dyDescent="0.2">
      <c r="A19" s="856" t="s">
        <v>146</v>
      </c>
      <c r="B19" s="854"/>
      <c r="C19" s="855"/>
      <c r="D19" s="302">
        <f>D17-D18</f>
        <v>2484</v>
      </c>
      <c r="E19" s="302">
        <v>1656</v>
      </c>
      <c r="F19" s="132">
        <f>'Учебный план'!K100</f>
        <v>1656</v>
      </c>
      <c r="G19" s="132">
        <f>'Учебный план'!L100</f>
        <v>1656</v>
      </c>
      <c r="H19" s="133">
        <f>IF(OR(D19="",E19=""),"введите данные ФГОС",IF('Учебный план'!K113=0,"заполняйте учебный план",IF(OR(D19="-",D19=F19),"норма",IF(F19&lt;D19,F19-D19,IF(F19&gt;D19,F19-D19,"норма")))))</f>
        <v>-828</v>
      </c>
      <c r="I19" s="133" t="str">
        <f>IF(OR(D19="",E19=""),"введите данные ФГОС",IF('Учебный план'!K113=0,"заполняйте учебный план",IF(OR(E19="-",E19=G19),"норма",IF(G19&lt;E19,G19-E19,IF(G19&gt;E19,G19-E19,"норма")))))</f>
        <v>норма</v>
      </c>
    </row>
    <row r="20" spans="1:9" s="123" customFormat="1" hidden="1" x14ac:dyDescent="0.2">
      <c r="A20" s="856" t="s">
        <v>221</v>
      </c>
      <c r="B20" s="854"/>
      <c r="C20" s="855"/>
      <c r="D20" s="302">
        <f>G30*G37</f>
        <v>216</v>
      </c>
      <c r="E20" s="302">
        <v>144</v>
      </c>
      <c r="F20" s="132">
        <f>'Учебный план'!K103</f>
        <v>144</v>
      </c>
      <c r="G20" s="132">
        <f>'Учебный план'!L103</f>
        <v>144</v>
      </c>
      <c r="H20" s="133">
        <f>IF(OR(D20="",E20=""),"введите данные ФГОС",IF('Учебный план'!K113=0,"заполняйте учебный план",IF(OR(D20="-",D20=F20),"норма",IF(F20&lt;D20,F20-D20,IF(F20&gt;D20,F20-D20,"норма")))))</f>
        <v>-72</v>
      </c>
      <c r="I20" s="133" t="str">
        <f>IF(OR(D20="",E20=""),"введите данные ФГОС",IF('Учебный план'!K113=0,"заполняйте учебный план",IF(OR(E20="-",E20=G20),"норма",IF(G20&lt;E20,G20-E20,IF(G20&gt;E20,G20-E20,"норма")))))</f>
        <v>норма</v>
      </c>
    </row>
    <row r="21" spans="1:9" s="123" customFormat="1" hidden="1" x14ac:dyDescent="0.2">
      <c r="A21" s="864" t="s">
        <v>99</v>
      </c>
      <c r="B21" s="865"/>
      <c r="C21" s="866"/>
      <c r="D21" s="302">
        <f>D6+D9+D15+D17+D20</f>
        <v>10908</v>
      </c>
      <c r="E21" s="302">
        <f>E6+E9+E15+SUM(E18:E20)</f>
        <v>7272</v>
      </c>
      <c r="F21" s="305">
        <f>F6+F9+F15+F17+F20</f>
        <v>9846</v>
      </c>
      <c r="G21" s="305">
        <f>G6+G9+G15+G17+G20</f>
        <v>7272</v>
      </c>
      <c r="H21" s="133">
        <f>IF(OR(D21="",E21=""),"введите данные ФГОС",IF('Учебный план'!K113=0,"заполняйте учебный план",IF(OR(D21="-",D21=F21),"норма",IF(F21&lt;D21,F21-D21,IF(F21&gt;D21,F21-D21,"норма")))))</f>
        <v>-1062</v>
      </c>
      <c r="I21" s="133" t="str">
        <f>IF(OR(D21="",E21=""),"введите данные ФГОС",IF('Учебный план'!K113=0,"заполняйте учебный план",IF(OR(E21="-",E21=G21),"норма",IF(G21&lt;E21,G21-E21,IF(G21&gt;E21,G21-E21,"норма")))))</f>
        <v>норма</v>
      </c>
    </row>
    <row r="22" spans="1:9" s="123" customFormat="1" x14ac:dyDescent="0.2">
      <c r="A22" s="134"/>
      <c r="B22" s="134"/>
      <c r="C22" s="134"/>
      <c r="D22" s="134"/>
      <c r="E22" s="134"/>
      <c r="F22" s="134"/>
      <c r="G22" s="134"/>
      <c r="H22" s="134"/>
      <c r="I22" s="134"/>
    </row>
    <row r="23" spans="1:9" s="123" customFormat="1" x14ac:dyDescent="0.2">
      <c r="A23" s="857" t="s">
        <v>100</v>
      </c>
      <c r="B23" s="857"/>
      <c r="C23" s="857"/>
      <c r="D23" s="857"/>
      <c r="E23" s="857"/>
      <c r="F23" s="857"/>
      <c r="G23" s="857"/>
      <c r="H23" s="857"/>
      <c r="I23" s="857"/>
    </row>
    <row r="24" spans="1:9" s="123" customFormat="1" ht="78" customHeight="1" x14ac:dyDescent="0.2">
      <c r="A24" s="858" t="s">
        <v>120</v>
      </c>
      <c r="B24" s="859"/>
      <c r="C24" s="859"/>
      <c r="D24" s="859"/>
      <c r="E24" s="860"/>
      <c r="F24" s="135" t="s">
        <v>387</v>
      </c>
      <c r="G24" s="135" t="s">
        <v>388</v>
      </c>
      <c r="H24" s="124" t="s">
        <v>121</v>
      </c>
      <c r="I24" s="124" t="s">
        <v>122</v>
      </c>
    </row>
    <row r="25" spans="1:9" s="123" customFormat="1" x14ac:dyDescent="0.2">
      <c r="A25" s="861"/>
      <c r="B25" s="862"/>
      <c r="C25" s="862"/>
      <c r="D25" s="862"/>
      <c r="E25" s="863"/>
      <c r="F25" s="136"/>
      <c r="G25" s="137"/>
      <c r="H25" s="138"/>
      <c r="I25" s="139"/>
    </row>
    <row r="26" spans="1:9" s="123" customFormat="1" x14ac:dyDescent="0.2">
      <c r="A26" s="841" t="s">
        <v>399</v>
      </c>
      <c r="B26" s="842"/>
      <c r="C26" s="842"/>
      <c r="D26" s="842"/>
      <c r="E26" s="843"/>
      <c r="F26" s="140">
        <v>199</v>
      </c>
      <c r="G26" s="141">
        <v>199</v>
      </c>
      <c r="H26" s="142">
        <f>IF(G26="","введите данные ФГОС",IF(F26="","введите рекомендации УМУ",IF('Титульный лист'!BN29=0,"заполняйте титульный лист",SUM('Титульный лист'!BN25:BN28))))</f>
        <v>199</v>
      </c>
      <c r="I26" s="143" t="str">
        <f t="shared" ref="I26:I35" si="0">IF(G26="","введите данные ФГОС",IF(F26="","введите рекомендации УМУ",IF(H26="заполняйте титульный лист","заполняйте титульный лист",IF(AND(H26=G26,H26=F26),"норма","отклонение"))))</f>
        <v>норма</v>
      </c>
    </row>
    <row r="27" spans="1:9" s="123" customFormat="1" x14ac:dyDescent="0.2">
      <c r="A27" s="844" t="s">
        <v>277</v>
      </c>
      <c r="B27" s="842"/>
      <c r="C27" s="842"/>
      <c r="D27" s="842"/>
      <c r="E27" s="843"/>
      <c r="F27" s="140">
        <v>104</v>
      </c>
      <c r="G27" s="141">
        <v>104</v>
      </c>
      <c r="H27" s="142">
        <f>IF(G27="","введите данные ФГОС",IF(F27="","введите рекомендации УМУ",IF('Титульный лист'!BN29=0,"заполняйте титульный лист",SUM('Титульный лист'!BD25:BD28))))</f>
        <v>104</v>
      </c>
      <c r="I27" s="143" t="str">
        <f t="shared" si="0"/>
        <v>норма</v>
      </c>
    </row>
    <row r="28" spans="1:9" s="123" customFormat="1" x14ac:dyDescent="0.2">
      <c r="A28" s="844" t="s">
        <v>278</v>
      </c>
      <c r="B28" s="842"/>
      <c r="C28" s="842"/>
      <c r="D28" s="842"/>
      <c r="E28" s="843"/>
      <c r="F28" s="140">
        <v>55</v>
      </c>
      <c r="G28" s="141">
        <v>55</v>
      </c>
      <c r="H28" s="142">
        <f>IF(G28="","введите данные ФГОС",IF(F28="","введите рекомендации УМУ",IF('Титульный лист'!BN29=0,"заполняйте титульный лист",SUM('Титульный лист'!BH24:BI28))))</f>
        <v>55</v>
      </c>
      <c r="I28" s="143" t="str">
        <f t="shared" si="0"/>
        <v>норма</v>
      </c>
    </row>
    <row r="29" spans="1:9" s="123" customFormat="1" x14ac:dyDescent="0.2">
      <c r="A29" s="844" t="s">
        <v>279</v>
      </c>
      <c r="B29" s="842"/>
      <c r="C29" s="842"/>
      <c r="D29" s="842"/>
      <c r="E29" s="843"/>
      <c r="F29" s="140">
        <v>7</v>
      </c>
      <c r="G29" s="141">
        <v>7</v>
      </c>
      <c r="H29" s="142">
        <f>IF(G29="","введите данные ФГОС",IF(F29="","введите рекомендации УМУ",IF('Титульный лист'!BN29=0,"заполняйте титульный лист",SUM('Титульный лист'!BG25:BG28))))</f>
        <v>7</v>
      </c>
      <c r="I29" s="143" t="str">
        <f t="shared" si="0"/>
        <v>норма</v>
      </c>
    </row>
    <row r="30" spans="1:9" s="123" customFormat="1" x14ac:dyDescent="0.2">
      <c r="A30" s="841" t="s">
        <v>618</v>
      </c>
      <c r="B30" s="842"/>
      <c r="C30" s="842"/>
      <c r="D30" s="842"/>
      <c r="E30" s="843"/>
      <c r="F30" s="140">
        <v>4</v>
      </c>
      <c r="G30" s="141">
        <v>4</v>
      </c>
      <c r="H30" s="142">
        <f>IF(G30="","введите данные ФГОС",IF(F30="","введите рекомендации УМУ",IF('Титульный лист'!BN29=0,"заполняйте титульный лист",SUM('Титульный лист'!BJ24:BL28))))</f>
        <v>4</v>
      </c>
      <c r="I30" s="143" t="str">
        <f t="shared" si="0"/>
        <v>норма</v>
      </c>
    </row>
    <row r="31" spans="1:9" s="123" customFormat="1" x14ac:dyDescent="0.2">
      <c r="A31" s="844" t="s">
        <v>280</v>
      </c>
      <c r="B31" s="842"/>
      <c r="C31" s="842"/>
      <c r="D31" s="842"/>
      <c r="E31" s="843"/>
      <c r="F31" s="140">
        <v>29</v>
      </c>
      <c r="G31" s="141">
        <v>29</v>
      </c>
      <c r="H31" s="142">
        <f>IF(G31="","введите данные ФГОС",IF(F31="","введите рекомендации УМУ",IF('Титульный лист'!BN29=0,"заполняйте титульный лист",SUM('Титульный лист'!BM25:BM28))))</f>
        <v>29</v>
      </c>
      <c r="I31" s="143" t="str">
        <f t="shared" si="0"/>
        <v>норма</v>
      </c>
    </row>
    <row r="32" spans="1:9" s="123" customFormat="1" ht="12.75" customHeight="1" x14ac:dyDescent="0.2">
      <c r="A32" s="841" t="s">
        <v>400</v>
      </c>
      <c r="B32" s="842"/>
      <c r="C32" s="842"/>
      <c r="D32" s="842"/>
      <c r="E32" s="843"/>
      <c r="F32" s="140">
        <v>52</v>
      </c>
      <c r="G32" s="141">
        <v>52</v>
      </c>
      <c r="H32" s="142">
        <f>IF(G32="","введите данные ФГОС",IF(F32="","введите рекомендации УМУ",IF('Титульный лист'!BN29=0,"заполняйте титульный лист",'Титульный лист'!BN24)))</f>
        <v>52</v>
      </c>
      <c r="I32" s="143" t="str">
        <f t="shared" si="0"/>
        <v>норма</v>
      </c>
    </row>
    <row r="33" spans="1:9" s="123" customFormat="1" ht="12.75" customHeight="1" x14ac:dyDescent="0.2">
      <c r="A33" s="841" t="s">
        <v>401</v>
      </c>
      <c r="B33" s="842"/>
      <c r="C33" s="842"/>
      <c r="D33" s="842"/>
      <c r="E33" s="843"/>
      <c r="F33" s="140">
        <v>39</v>
      </c>
      <c r="G33" s="141">
        <v>39</v>
      </c>
      <c r="H33" s="142">
        <f>IF(G33="","введите данные ФГОС",IF(F33="","введите рекомендации УМУ",IF('Титульный лист'!BN29=0,"заполняйте титульный лист",'Титульный лист'!BD24)))</f>
        <v>39</v>
      </c>
      <c r="I33" s="143" t="str">
        <f t="shared" si="0"/>
        <v>норма</v>
      </c>
    </row>
    <row r="34" spans="1:9" s="123" customFormat="1" ht="12.75" customHeight="1" x14ac:dyDescent="0.2">
      <c r="A34" s="841" t="s">
        <v>402</v>
      </c>
      <c r="B34" s="842"/>
      <c r="C34" s="842"/>
      <c r="D34" s="842"/>
      <c r="E34" s="843"/>
      <c r="F34" s="140">
        <v>2</v>
      </c>
      <c r="G34" s="141">
        <v>2</v>
      </c>
      <c r="H34" s="142">
        <f>IF(G34="","введите данные ФГОС",IF(F34="","введите рекомендации УМУ",IF('Титульный лист'!BN29=0,"заполняйте титульный лист",'Титульный лист'!BG24)))</f>
        <v>2</v>
      </c>
      <c r="I34" s="143" t="str">
        <f t="shared" si="0"/>
        <v>норма</v>
      </c>
    </row>
    <row r="35" spans="1:9" s="123" customFormat="1" ht="12.75" customHeight="1" x14ac:dyDescent="0.2">
      <c r="A35" s="841" t="s">
        <v>403</v>
      </c>
      <c r="B35" s="842"/>
      <c r="C35" s="842"/>
      <c r="D35" s="842"/>
      <c r="E35" s="843"/>
      <c r="F35" s="140">
        <v>11</v>
      </c>
      <c r="G35" s="141">
        <v>11</v>
      </c>
      <c r="H35" s="142">
        <f>IF(G35="","введите данные ФГОС",IF(F35="","введите рекомендации УМУ",IF('Титульный лист'!BN29=0,"заполняйте титульный лист",'Титульный лист'!BM24)))</f>
        <v>11</v>
      </c>
      <c r="I35" s="143" t="str">
        <f t="shared" si="0"/>
        <v>норма</v>
      </c>
    </row>
    <row r="36" spans="1:9" s="123" customFormat="1" x14ac:dyDescent="0.2">
      <c r="A36" s="861"/>
      <c r="B36" s="862"/>
      <c r="C36" s="862"/>
      <c r="D36" s="862"/>
      <c r="E36" s="863"/>
      <c r="F36" s="136"/>
      <c r="G36" s="137"/>
      <c r="H36" s="138"/>
      <c r="I36" s="139"/>
    </row>
    <row r="37" spans="1:9" s="123" customFormat="1" ht="12.75" customHeight="1" x14ac:dyDescent="0.2">
      <c r="A37" s="844" t="s">
        <v>281</v>
      </c>
      <c r="B37" s="842"/>
      <c r="C37" s="842"/>
      <c r="D37" s="842"/>
      <c r="E37" s="843"/>
      <c r="F37" s="144">
        <v>54</v>
      </c>
      <c r="G37" s="145">
        <v>54</v>
      </c>
      <c r="H37" s="146">
        <f>IF(G37="","введите данные ФГОС",IF(F37="","введите рекомендации УМУ",IF('Учебный план'!K113=0,"заполняйте учебный план",'Учебный план'!K116)))</f>
        <v>54</v>
      </c>
      <c r="I37" s="143" t="str">
        <f>IF(G37="","введите данные ФГОС",IF(F37="","введите рекомендации УМУ",IF(H37="заполняйте учебный план","заполняйте учебный план",IF(AND(H37&lt;=G37,H37&lt;=F37),"норма","отклонение"))))</f>
        <v>норма</v>
      </c>
    </row>
    <row r="38" spans="1:9" s="123" customFormat="1" ht="12.75" customHeight="1" x14ac:dyDescent="0.2">
      <c r="A38" s="844" t="s">
        <v>282</v>
      </c>
      <c r="B38" s="842"/>
      <c r="C38" s="842"/>
      <c r="D38" s="842"/>
      <c r="E38" s="843"/>
      <c r="F38" s="144">
        <v>36</v>
      </c>
      <c r="G38" s="145">
        <v>36</v>
      </c>
      <c r="H38" s="146">
        <f>IF(G38="","введите данные ФГОС",IF(F38="","введите рекомендации УМУ",IF('Учебный план'!K113=0,"заполняйте учебный план",'Учебный план'!K117)))</f>
        <v>36</v>
      </c>
      <c r="I38" s="143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148" customFormat="1" ht="12.75" customHeight="1" x14ac:dyDescent="0.2">
      <c r="A39" s="844" t="s">
        <v>124</v>
      </c>
      <c r="B39" s="842"/>
      <c r="C39" s="842"/>
      <c r="D39" s="842"/>
      <c r="E39" s="843"/>
      <c r="F39" s="140">
        <v>11</v>
      </c>
      <c r="G39" s="141">
        <v>11</v>
      </c>
      <c r="H39" s="142">
        <f>IF(G39="","введите данные ФГОС",IF(F39="","введите рекомендации УМУ",IF('Титульный лист'!BN29=0,"заполняйте титульный лист",DMAX('Титульный лист'!BM20:BN28,1,F60:G61))))</f>
        <v>11</v>
      </c>
      <c r="I39" s="147" t="str">
        <f>IF(G39="","введите данные ФГОС",IF(F39="","введите рекомендации УМУ",IF(H39="заполняйте титульный лист","заполняйте титульный лист",IF(AND(H39&lt;=F39,H39&lt;=G39),"норма","отклонение"))))</f>
        <v>норма</v>
      </c>
    </row>
    <row r="40" spans="1:9" s="148" customFormat="1" ht="12.75" customHeight="1" x14ac:dyDescent="0.2">
      <c r="A40" s="844" t="s">
        <v>123</v>
      </c>
      <c r="B40" s="842"/>
      <c r="C40" s="842"/>
      <c r="D40" s="842"/>
      <c r="E40" s="843"/>
      <c r="F40" s="140">
        <v>5</v>
      </c>
      <c r="G40" s="141">
        <v>5</v>
      </c>
      <c r="H40" s="142">
        <f>IF(G40="","введите данные ФГОС",IF(F40="","введите рекомендации УМУ",IF('Титульный лист'!BN29=0,"заполняйте титульный лист",DMIN('Титульный лист'!BM20:BN28,1,F62:G63))))</f>
        <v>5</v>
      </c>
      <c r="I40" s="147" t="str">
        <f>IF(G40="","введите данные ФГОС",IF(F40="","введите рекомендации УМУ",IF(H40="заполняйте титульный лист","заполняйте титульный лист",IF(AND(H40&gt;=F40,H40&gt;=G40),"норма","отклонение"))))</f>
        <v>норма</v>
      </c>
    </row>
    <row r="41" spans="1:9" s="148" customFormat="1" ht="12.75" customHeight="1" x14ac:dyDescent="0.2">
      <c r="A41" s="844" t="s">
        <v>283</v>
      </c>
      <c r="B41" s="842"/>
      <c r="C41" s="842"/>
      <c r="D41" s="842"/>
      <c r="E41" s="843"/>
      <c r="F41" s="132">
        <v>2</v>
      </c>
      <c r="G41" s="149">
        <v>2</v>
      </c>
      <c r="H41" s="150">
        <v>2</v>
      </c>
      <c r="I41" s="143" t="str">
        <f>IF(G41="","введите данные ФГОС",IF(F41="","введите рекомендации УМУ",IF(H41="заполняйте учебный план","заполняйте учебный план",IF(AND(H41=G41,H41=F41),"норма","отклонение"))))</f>
        <v>норма</v>
      </c>
    </row>
    <row r="42" spans="1:9" s="148" customFormat="1" ht="12.75" customHeight="1" x14ac:dyDescent="0.2">
      <c r="A42" s="844" t="s">
        <v>284</v>
      </c>
      <c r="B42" s="842"/>
      <c r="C42" s="842"/>
      <c r="D42" s="842"/>
      <c r="E42" s="843"/>
      <c r="F42" s="132">
        <v>2</v>
      </c>
      <c r="G42" s="149">
        <v>2</v>
      </c>
      <c r="H42" s="150">
        <f>IF(G42="","введите данные ФГОС",IF(F42="","введите рекомендации УМУ",IF('Учебный план'!K113=0,"заполняйте учебный план",IF(F67&lt;&gt;G42,F67,IF(G67&lt;&gt;G42,G67,G42)))))</f>
        <v>2</v>
      </c>
      <c r="I42" s="143" t="str">
        <f>IF(G42="","введите данные ФГОС",IF(F42="","введите рекомендации УМУ",IF(H42="заполняйте учебный план","заполняйте учебный план",IF(AND(H42=G42,H42=F42),"норма","отклонение"))))</f>
        <v>норма</v>
      </c>
    </row>
    <row r="43" spans="1:9" s="148" customFormat="1" ht="12.75" customHeight="1" x14ac:dyDescent="0.2">
      <c r="A43" s="844" t="s">
        <v>317</v>
      </c>
      <c r="B43" s="842"/>
      <c r="C43" s="842"/>
      <c r="D43" s="842"/>
      <c r="E43" s="843"/>
      <c r="F43" s="132">
        <v>0</v>
      </c>
      <c r="G43" s="149">
        <v>0</v>
      </c>
      <c r="H43" s="150">
        <f>IF(G43="","введите данные ФГОС",IF(F43="","введите рекомендации УМУ",IF('Титульный лист'!BN29=0,"заполняйте титульный лист",IF('Учебный план'!K113=0,"заполняйте учебный план",MAX(IF('Титульный лист'!BN24&gt;0,'Учебный план'!R105+'Учебный план'!X105,0),IF('Титульный лист'!BN25&gt;0,'Учебный план'!AD105+'Учебный план'!AJ105,0),IF('Титульный лист'!BN26&gt;0,'Учебный план'!AP105+'Учебный план'!AV105,0),IF('Титульный лист'!BN27&gt;0,'Учебный план'!BB105+'Учебный план'!BH105,0),IF('Титульный лист'!BN28&gt;0,'Учебный план'!BN105+'Учебный план'!BT105,0))))))</f>
        <v>0</v>
      </c>
      <c r="I43" s="143" t="str">
        <f>IF(G43="","введите данные ФГОС",IF(F43="","введите рекомендации УМУ",IF(H43="заполняйте титульный лист","заполняйте титульный лист",IF(H43="заполняйте учебный план","заполняйте учебный план",IF(AND(H43=G43,H43=F43),"норма","отклонение")))))</f>
        <v>норма</v>
      </c>
    </row>
    <row r="44" spans="1:9" s="148" customFormat="1" ht="12.75" customHeight="1" x14ac:dyDescent="0.2">
      <c r="A44" s="844" t="s">
        <v>309</v>
      </c>
      <c r="B44" s="842"/>
      <c r="C44" s="842"/>
      <c r="D44" s="842"/>
      <c r="E44" s="843"/>
      <c r="F44" s="140">
        <v>8</v>
      </c>
      <c r="G44" s="141">
        <v>8</v>
      </c>
      <c r="H44" s="142">
        <f>IF(G44="","введите данные ФГОС",IF(F44="","введите рекомендации УМУ",IF('Учебный план'!K113=0,"заполняйте учебный план",MAX('Учебный план'!V118+'Учебный план'!AB118,'Учебный план'!AH118+'Учебный план'!AN118,'Учебный план'!AT118+'Учебный план'!AZ118,'Учебный план'!BF118+'Учебный план'!BL118,'Учебный план'!BR118+'Учебный план'!BX118))))</f>
        <v>4</v>
      </c>
      <c r="I44" s="143" t="str">
        <f>IF(G44="","введите данные ФГОС",IF(F44="","введите рекомендации УМУ",IF(H44="заполняйте учебный план","заполняйте учебный план",IF(AND(H44&lt;=G44,H44&lt;=F44),"норма","отклонение"))))</f>
        <v>норма</v>
      </c>
    </row>
    <row r="45" spans="1:9" s="148" customFormat="1" ht="12.75" customHeight="1" x14ac:dyDescent="0.2">
      <c r="A45" s="844" t="s">
        <v>310</v>
      </c>
      <c r="B45" s="842"/>
      <c r="C45" s="842"/>
      <c r="D45" s="842"/>
      <c r="E45" s="843"/>
      <c r="F45" s="140">
        <v>10</v>
      </c>
      <c r="G45" s="141">
        <v>10</v>
      </c>
      <c r="H45" s="142">
        <f>IF(G45="","введите данные ФГОС",IF(F45="","введите рекомендации УМУ",IF('Учебный план'!K113=0,"заполняйте учебный план",MAX('Учебный план'!V119+'Учебный план'!AB119,'Учебный план'!AH119+'Учебный план'!AN119,'Учебный план'!AT119+'Учебный план'!AZ119,'Учебный план'!BF119+'Учебный план'!BL119,'Учебный план'!BR119+'Учебный план'!BX119))))</f>
        <v>11</v>
      </c>
      <c r="I45" s="143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отклонение</v>
      </c>
    </row>
    <row r="46" spans="1:9" s="148" customFormat="1" ht="12.75" customHeight="1" x14ac:dyDescent="0.2">
      <c r="A46" s="844" t="s">
        <v>285</v>
      </c>
      <c r="B46" s="842"/>
      <c r="C46" s="842"/>
      <c r="D46" s="842"/>
      <c r="E46" s="843"/>
      <c r="F46" s="140">
        <v>3</v>
      </c>
      <c r="G46" s="141">
        <v>3</v>
      </c>
      <c r="H46" s="142">
        <f>IF(G46="","введите данные ФГОС",IF(F46="","введите рекомендации УМУ",IF('Учебный план'!K113=0,"заполняйте учебный план",'Учебный план'!K120)))</f>
        <v>3</v>
      </c>
      <c r="I46" s="147" t="str">
        <f>IF(G46="","введите данные ФГОС",IF(F46="","введите рекомендации УМУ",IF(H46="заполняйте учебный план","заполняйте учебный план",IF(AND(H46&lt;=F46,H46&lt;=G46),"норма","отклонение"))))</f>
        <v>норма</v>
      </c>
    </row>
    <row r="47" spans="1:9" s="148" customFormat="1" ht="12.75" customHeight="1" x14ac:dyDescent="0.2">
      <c r="A47" s="844" t="s">
        <v>286</v>
      </c>
      <c r="B47" s="842"/>
      <c r="C47" s="842"/>
      <c r="D47" s="842"/>
      <c r="E47" s="843"/>
      <c r="F47" s="132" t="s">
        <v>157</v>
      </c>
      <c r="G47" s="149" t="s">
        <v>157</v>
      </c>
      <c r="H47" s="142" t="s">
        <v>157</v>
      </c>
      <c r="I47" s="147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148" customFormat="1" ht="12.75" customHeight="1" x14ac:dyDescent="0.2">
      <c r="A48" s="844" t="s">
        <v>147</v>
      </c>
      <c r="B48" s="842"/>
      <c r="C48" s="842"/>
      <c r="D48" s="842"/>
      <c r="E48" s="843"/>
      <c r="F48" s="132" t="s">
        <v>157</v>
      </c>
      <c r="G48" s="149" t="s">
        <v>157</v>
      </c>
      <c r="H48" s="142" t="s">
        <v>157</v>
      </c>
      <c r="I48" s="147" t="str">
        <f>IF(G48="","введите данные ФГОС",IF(F48="","введите рекомендации УМУ",IF(H48="запоняйте учебный план","заполняйте учебный план",IF(H48="да","норма","отклонение"))))</f>
        <v>норма</v>
      </c>
    </row>
    <row r="49" spans="1:9" s="123" customFormat="1" x14ac:dyDescent="0.2">
      <c r="A49" s="134"/>
      <c r="B49" s="134"/>
      <c r="C49" s="134"/>
      <c r="D49" s="134"/>
      <c r="E49" s="134"/>
      <c r="F49" s="134"/>
      <c r="G49" s="134"/>
      <c r="H49" s="134"/>
      <c r="I49" s="134"/>
    </row>
    <row r="50" spans="1:9" s="123" customFormat="1" x14ac:dyDescent="0.2">
      <c r="A50" s="134"/>
      <c r="B50" s="134"/>
      <c r="C50" s="134"/>
      <c r="D50" s="134"/>
      <c r="E50" s="134"/>
      <c r="F50" s="134"/>
      <c r="G50" s="134"/>
      <c r="H50" s="134"/>
      <c r="I50" s="134"/>
    </row>
    <row r="51" spans="1:9" s="123" customFormat="1" x14ac:dyDescent="0.2">
      <c r="A51" s="857" t="s">
        <v>102</v>
      </c>
      <c r="B51" s="857"/>
      <c r="C51" s="857"/>
      <c r="D51" s="857"/>
      <c r="E51" s="857"/>
      <c r="F51" s="857"/>
      <c r="G51" s="857"/>
      <c r="H51" s="857"/>
      <c r="I51" s="857"/>
    </row>
    <row r="52" spans="1:9" s="123" customFormat="1" x14ac:dyDescent="0.2">
      <c r="A52" s="875" t="s">
        <v>287</v>
      </c>
      <c r="B52" s="876"/>
      <c r="C52" s="876"/>
      <c r="D52" s="876"/>
      <c r="E52" s="876"/>
      <c r="F52" s="869" t="s">
        <v>555</v>
      </c>
      <c r="G52" s="870"/>
      <c r="H52" s="870"/>
      <c r="I52" s="871"/>
    </row>
    <row r="53" spans="1:9" s="123" customFormat="1" x14ac:dyDescent="0.2">
      <c r="A53" s="872" t="str">
        <f>A4</f>
        <v>Специфика:</v>
      </c>
      <c r="B53" s="873"/>
      <c r="C53" s="873"/>
      <c r="D53" s="873"/>
      <c r="E53" s="873"/>
      <c r="F53" s="874" t="s">
        <v>288</v>
      </c>
      <c r="G53" s="874"/>
      <c r="H53" s="874"/>
      <c r="I53" s="874"/>
    </row>
    <row r="54" spans="1:9" s="123" customFormat="1" x14ac:dyDescent="0.2">
      <c r="A54" s="882">
        <f>A5</f>
        <v>0</v>
      </c>
      <c r="B54" s="883"/>
      <c r="C54" s="883"/>
      <c r="D54" s="883"/>
      <c r="E54" s="883"/>
      <c r="F54" s="894" t="s">
        <v>524</v>
      </c>
      <c r="G54" s="895"/>
      <c r="H54" s="895"/>
      <c r="I54" s="896"/>
    </row>
    <row r="55" spans="1:9" s="123" customFormat="1" x14ac:dyDescent="0.2">
      <c r="A55" s="134"/>
      <c r="B55" s="134"/>
      <c r="C55" s="134"/>
      <c r="D55" s="134"/>
      <c r="E55" s="134"/>
      <c r="F55" s="134"/>
      <c r="G55" s="134"/>
      <c r="H55" s="134"/>
      <c r="I55" s="134"/>
    </row>
    <row r="56" spans="1:9" s="123" customFormat="1" x14ac:dyDescent="0.2">
      <c r="A56" s="893" t="s">
        <v>103</v>
      </c>
      <c r="B56" s="893"/>
      <c r="C56" s="893"/>
      <c r="D56" s="893"/>
      <c r="E56" s="893"/>
      <c r="F56" s="893"/>
      <c r="G56" s="893"/>
      <c r="H56" s="893"/>
      <c r="I56" s="134"/>
    </row>
    <row r="57" spans="1:9" s="123" customFormat="1" x14ac:dyDescent="0.2">
      <c r="A57" s="880" t="s">
        <v>594</v>
      </c>
      <c r="B57" s="876"/>
      <c r="C57" s="876"/>
      <c r="D57" s="876"/>
      <c r="E57" s="881"/>
      <c r="F57" s="884" t="str">
        <f>'Титульный лист'!BC13</f>
        <v>07.05.2014 № 441</v>
      </c>
      <c r="G57" s="885"/>
      <c r="H57" s="886"/>
      <c r="I57" s="134"/>
    </row>
    <row r="58" spans="1:9" s="123" customFormat="1" x14ac:dyDescent="0.2">
      <c r="A58" s="875" t="s">
        <v>104</v>
      </c>
      <c r="B58" s="876"/>
      <c r="C58" s="876"/>
      <c r="D58" s="876"/>
      <c r="E58" s="881"/>
      <c r="F58" s="877">
        <v>43344</v>
      </c>
      <c r="G58" s="878"/>
      <c r="H58" s="879"/>
      <c r="I58" s="134"/>
    </row>
    <row r="60" spans="1:9" s="152" customFormat="1" ht="12" hidden="1" customHeight="1" x14ac:dyDescent="0.2">
      <c r="A60" s="151"/>
      <c r="B60" s="151"/>
      <c r="C60" s="151"/>
      <c r="D60" s="151"/>
      <c r="F60" s="153" t="s">
        <v>24</v>
      </c>
      <c r="G60" s="153" t="s">
        <v>5</v>
      </c>
    </row>
    <row r="61" spans="1:9" s="152" customFormat="1" ht="11.25" hidden="1" customHeight="1" x14ac:dyDescent="0.2">
      <c r="A61" s="151"/>
      <c r="B61" s="151"/>
      <c r="C61" s="151"/>
      <c r="D61" s="151"/>
      <c r="F61" s="153"/>
      <c r="G61" s="153" t="s">
        <v>156</v>
      </c>
      <c r="I61" s="154"/>
    </row>
    <row r="62" spans="1:9" s="152" customFormat="1" ht="11.25" hidden="1" customHeight="1" x14ac:dyDescent="0.2">
      <c r="A62" s="151"/>
      <c r="B62" s="151"/>
      <c r="C62" s="151"/>
      <c r="D62" s="151"/>
      <c r="F62" s="153" t="s">
        <v>24</v>
      </c>
      <c r="G62" s="153" t="s">
        <v>5</v>
      </c>
    </row>
    <row r="63" spans="1:9" s="152" customFormat="1" ht="11.25" hidden="1" customHeight="1" x14ac:dyDescent="0.2">
      <c r="A63" s="151"/>
      <c r="B63" s="151"/>
      <c r="C63" s="151"/>
      <c r="D63" s="151"/>
      <c r="F63" s="153" t="s">
        <v>294</v>
      </c>
      <c r="G63" s="153" t="s">
        <v>156</v>
      </c>
    </row>
    <row r="64" spans="1:9" s="152" customFormat="1" ht="11.25" hidden="1" customHeight="1" x14ac:dyDescent="0.2">
      <c r="A64" s="151"/>
      <c r="B64" s="151"/>
      <c r="C64" s="151"/>
      <c r="D64" s="151"/>
    </row>
    <row r="65" spans="1:10" s="152" customFormat="1" ht="11.25" hidden="1" customHeight="1" x14ac:dyDescent="0.2">
      <c r="A65" s="151"/>
      <c r="B65" s="151"/>
      <c r="C65" s="151"/>
      <c r="D65" s="889" t="s">
        <v>321</v>
      </c>
      <c r="E65" s="890"/>
      <c r="F65" s="887" t="s">
        <v>322</v>
      </c>
      <c r="G65" s="888"/>
    </row>
    <row r="66" spans="1:10" s="152" customFormat="1" ht="11.25" hidden="1" customHeight="1" x14ac:dyDescent="0.2">
      <c r="A66" s="155" t="s">
        <v>155</v>
      </c>
      <c r="D66" s="156" t="s">
        <v>319</v>
      </c>
      <c r="E66" s="156" t="s">
        <v>320</v>
      </c>
      <c r="F66" s="156" t="s">
        <v>319</v>
      </c>
      <c r="G66" s="156" t="s">
        <v>320</v>
      </c>
    </row>
    <row r="67" spans="1:10" s="152" customFormat="1" ht="11.25" hidden="1" customHeight="1" x14ac:dyDescent="0.2">
      <c r="A67" s="157" t="s">
        <v>555</v>
      </c>
      <c r="D67" s="158" t="e">
        <f>MAX(IF('Титульный лист'!BB24=0,0,DSUM('Учебный план'!A10:BY92,"23",D68:E69)/'Титульный лист'!BB24),IF('Титульный лист'!BC24=0,0,DSUM('Учебный план'!A10:BY92,"32",D70:E71)/'Титульный лист'!BC24),IF('Титульный лист'!BB25=0,0,DSUM('Учебный план'!A10:BY92,"41",D72:E73)/'Титульный лист'!BB25),IF('Титульный лист'!BC25=0,0,DSUM('Учебный план'!A10:BY92,"50",D74:E75)/'Титульный лист'!BC25),IF('Титульный лист'!BB26=0,0,DSUM('Учебный план'!A10:BY92,"59",D76:E77)/'Титульный лист'!BB26),IF('Титульный лист'!BC26=0,0,DSUM('Учебный план'!A10:BY92,"68",D78:E79)/'Титульный лист'!BC26),IF('Титульный лист'!BB27=0,0,DSUM('Учебный план'!A10:BY92,"77",D80:E81)/'Титульный лист'!BB27),IF('Титульный лист'!BC27=0,0,DSUM('Учебный план'!A10:BY92,"86",D82:E83)/'Титульный лист'!BC27),IF('Титульный лист'!BB28=0,0,DSUM('Учебный план'!A10:BY92,"95",D84:E85)/'Титульный лист'!BB28),IF('Титульный лист'!BC28=0,0,DSUM('Учебный план'!A10:BY92,"104",D86:E87)/'Титульный лист'!BC28))</f>
        <v>#VALUE!</v>
      </c>
      <c r="E67" s="158" t="e">
        <f>MIN(IF('Титульный лист'!BB24=0,100,DSUM('Учебный план'!A10:BY92,"23",D68:E69)/'Титульный лист'!BB24),IF('Титульный лист'!BC24=0,100,DSUM('Учебный план'!A10:BY92,"32",D70:E71)/'Титульный лист'!BC24),IF('Титульный лист'!BB25=0,100,DSUM('Учебный план'!A10:BY92,"41",D72:E73)/'Титульный лист'!BB25),IF('Титульный лист'!BC25=0,100,DSUM('Учебный план'!A10:BY92,"50",D74:E75)/'Титульный лист'!BC25),IF('Титульный лист'!BB26=0,100,DSUM('Учебный план'!A10:BY92,"59",D76:E77)/'Титульный лист'!BB26),IF('Титульный лист'!BC26=0,100,DSUM('Учебный план'!A10:BY92,"68",D78:E79)/'Титульный лист'!BC26),IF('Титульный лист'!BB27=0,100,DSUM('Учебный план'!A10:BY92,"77",D80:E81)/'Титульный лист'!BB27),IF('Титульный лист'!BC27=0,100,DSUM('Учебный план'!A10:BY92,"86",D82:E83)/'Титульный лист'!BC27),IF('Титульный лист'!BB28=0,100,DSUM('Учебный план'!A10:BY92,"95",D84:E85)/'Титульный лист'!BB28),IF('Титульный лист'!BC28=0,100,DSUM('Учебный план'!A10:BY92,"104",D86:E87)/'Титульный лист'!BC28))</f>
        <v>#VALUE!</v>
      </c>
      <c r="F67" s="158">
        <v>2</v>
      </c>
      <c r="G67" s="158">
        <v>2</v>
      </c>
      <c r="H67" s="159"/>
    </row>
    <row r="68" spans="1:10" s="152" customFormat="1" ht="11.25" hidden="1" customHeight="1" x14ac:dyDescent="0.2">
      <c r="A68" s="157" t="e">
        <f>#REF!</f>
        <v>#REF!</v>
      </c>
      <c r="D68" s="160">
        <v>2</v>
      </c>
      <c r="E68" s="160">
        <v>23</v>
      </c>
      <c r="F68" s="160">
        <v>2</v>
      </c>
      <c r="G68" s="160">
        <v>28</v>
      </c>
    </row>
    <row r="69" spans="1:10" s="152" customFormat="1" ht="22.5" hidden="1" customHeight="1" x14ac:dyDescent="0.2">
      <c r="A69" s="157" t="e">
        <f>#REF!</f>
        <v>#REF!</v>
      </c>
      <c r="D69" s="160" t="s">
        <v>7</v>
      </c>
      <c r="E69" s="160" t="s">
        <v>156</v>
      </c>
      <c r="F69" s="160" t="s">
        <v>7</v>
      </c>
      <c r="G69" s="160" t="s">
        <v>156</v>
      </c>
    </row>
    <row r="70" spans="1:10" s="152" customFormat="1" ht="11.25" hidden="1" customHeight="1" x14ac:dyDescent="0.2">
      <c r="A70" s="157" t="e">
        <f>#REF!</f>
        <v>#REF!</v>
      </c>
      <c r="D70" s="160">
        <v>2</v>
      </c>
      <c r="E70" s="160">
        <v>32</v>
      </c>
      <c r="F70" s="160">
        <v>2</v>
      </c>
      <c r="G70" s="160">
        <v>37</v>
      </c>
    </row>
    <row r="71" spans="1:10" s="152" customFormat="1" ht="22.5" hidden="1" customHeight="1" x14ac:dyDescent="0.2">
      <c r="A71" s="157" t="e">
        <f>#REF!</f>
        <v>#REF!</v>
      </c>
      <c r="D71" s="160" t="s">
        <v>7</v>
      </c>
      <c r="E71" s="160" t="s">
        <v>156</v>
      </c>
      <c r="F71" s="160" t="s">
        <v>7</v>
      </c>
      <c r="G71" s="160" t="s">
        <v>156</v>
      </c>
      <c r="H71" s="159"/>
      <c r="I71" s="159"/>
      <c r="J71" s="159"/>
    </row>
    <row r="72" spans="1:10" s="152" customFormat="1" ht="11.25" hidden="1" customHeight="1" x14ac:dyDescent="0.2">
      <c r="A72" s="157" t="e">
        <f>#REF!</f>
        <v>#REF!</v>
      </c>
      <c r="D72" s="160">
        <v>2</v>
      </c>
      <c r="E72" s="160">
        <v>41</v>
      </c>
      <c r="F72" s="160">
        <v>2</v>
      </c>
      <c r="G72" s="160">
        <v>46</v>
      </c>
    </row>
    <row r="73" spans="1:10" s="152" customFormat="1" ht="22.5" hidden="1" customHeight="1" x14ac:dyDescent="0.2">
      <c r="A73" s="157" t="e">
        <f>#REF!</f>
        <v>#REF!</v>
      </c>
      <c r="D73" s="160" t="s">
        <v>7</v>
      </c>
      <c r="E73" s="160" t="s">
        <v>156</v>
      </c>
      <c r="F73" s="160" t="s">
        <v>7</v>
      </c>
      <c r="G73" s="160" t="s">
        <v>156</v>
      </c>
    </row>
    <row r="74" spans="1:10" s="152" customFormat="1" ht="11.25" hidden="1" customHeight="1" x14ac:dyDescent="0.2">
      <c r="A74" s="157" t="e">
        <f>#REF!</f>
        <v>#REF!</v>
      </c>
      <c r="D74" s="160">
        <v>2</v>
      </c>
      <c r="E74" s="160">
        <v>50</v>
      </c>
      <c r="F74" s="160">
        <v>2</v>
      </c>
      <c r="G74" s="160">
        <v>55</v>
      </c>
    </row>
    <row r="75" spans="1:10" s="152" customFormat="1" ht="22.5" hidden="1" customHeight="1" x14ac:dyDescent="0.2">
      <c r="A75" s="157" t="e">
        <f>#REF!</f>
        <v>#REF!</v>
      </c>
      <c r="D75" s="160" t="s">
        <v>7</v>
      </c>
      <c r="E75" s="160" t="s">
        <v>156</v>
      </c>
      <c r="F75" s="160" t="s">
        <v>7</v>
      </c>
      <c r="G75" s="160" t="s">
        <v>156</v>
      </c>
    </row>
    <row r="76" spans="1:10" s="152" customFormat="1" ht="11.25" hidden="1" customHeight="1" x14ac:dyDescent="0.2">
      <c r="A76" s="157" t="e">
        <f>#REF!</f>
        <v>#REF!</v>
      </c>
      <c r="D76" s="160">
        <v>2</v>
      </c>
      <c r="E76" s="160">
        <v>59</v>
      </c>
      <c r="F76" s="160">
        <v>2</v>
      </c>
      <c r="G76" s="160">
        <v>64</v>
      </c>
    </row>
    <row r="77" spans="1:10" s="152" customFormat="1" ht="22.5" hidden="1" customHeight="1" x14ac:dyDescent="0.2">
      <c r="D77" s="160" t="s">
        <v>7</v>
      </c>
      <c r="E77" s="160" t="s">
        <v>156</v>
      </c>
      <c r="F77" s="160" t="s">
        <v>7</v>
      </c>
      <c r="G77" s="160" t="s">
        <v>156</v>
      </c>
    </row>
    <row r="78" spans="1:10" s="152" customFormat="1" ht="11.25" hidden="1" customHeight="1" x14ac:dyDescent="0.2">
      <c r="A78" s="867" t="s">
        <v>316</v>
      </c>
      <c r="B78" s="868"/>
      <c r="D78" s="160">
        <v>2</v>
      </c>
      <c r="E78" s="160">
        <v>68</v>
      </c>
      <c r="F78" s="160">
        <v>2</v>
      </c>
      <c r="G78" s="160">
        <v>73</v>
      </c>
    </row>
    <row r="79" spans="1:10" s="152" customFormat="1" ht="22.5" hidden="1" customHeight="1" x14ac:dyDescent="0.2">
      <c r="A79" s="292" t="s">
        <v>518</v>
      </c>
      <c r="B79" s="293" t="s">
        <v>519</v>
      </c>
      <c r="D79" s="160" t="s">
        <v>7</v>
      </c>
      <c r="E79" s="160" t="s">
        <v>156</v>
      </c>
      <c r="F79" s="160" t="s">
        <v>7</v>
      </c>
      <c r="G79" s="160" t="s">
        <v>156</v>
      </c>
    </row>
    <row r="80" spans="1:10" s="152" customFormat="1" ht="11.25" hidden="1" customHeight="1" x14ac:dyDescent="0.2">
      <c r="A80" s="292" t="s">
        <v>520</v>
      </c>
      <c r="B80" s="293" t="s">
        <v>521</v>
      </c>
      <c r="D80" s="160">
        <v>2</v>
      </c>
      <c r="E80" s="160">
        <v>77</v>
      </c>
      <c r="F80" s="160">
        <v>2</v>
      </c>
      <c r="G80" s="160">
        <v>82</v>
      </c>
    </row>
    <row r="81" spans="1:7" s="152" customFormat="1" ht="22.5" hidden="1" customHeight="1" x14ac:dyDescent="0.2">
      <c r="A81" s="292" t="s">
        <v>522</v>
      </c>
      <c r="B81" s="293" t="s">
        <v>523</v>
      </c>
      <c r="D81" s="160" t="s">
        <v>7</v>
      </c>
      <c r="E81" s="160" t="s">
        <v>156</v>
      </c>
      <c r="F81" s="160" t="s">
        <v>7</v>
      </c>
      <c r="G81" s="160" t="s">
        <v>156</v>
      </c>
    </row>
    <row r="82" spans="1:7" s="152" customFormat="1" ht="11.25" hidden="1" customHeight="1" x14ac:dyDescent="0.2">
      <c r="A82" s="292" t="s">
        <v>524</v>
      </c>
      <c r="B82" s="293" t="s">
        <v>525</v>
      </c>
      <c r="D82" s="160">
        <v>2</v>
      </c>
      <c r="E82" s="160">
        <v>86</v>
      </c>
      <c r="F82" s="160">
        <v>2</v>
      </c>
      <c r="G82" s="160">
        <v>91</v>
      </c>
    </row>
    <row r="83" spans="1:7" s="152" customFormat="1" ht="22.5" hidden="1" customHeight="1" x14ac:dyDescent="0.2">
      <c r="A83" s="292" t="s">
        <v>526</v>
      </c>
      <c r="B83" s="293" t="s">
        <v>527</v>
      </c>
      <c r="D83" s="160" t="s">
        <v>7</v>
      </c>
      <c r="E83" s="160" t="s">
        <v>156</v>
      </c>
      <c r="F83" s="160" t="s">
        <v>7</v>
      </c>
      <c r="G83" s="160" t="s">
        <v>156</v>
      </c>
    </row>
    <row r="84" spans="1:7" s="152" customFormat="1" ht="11.25" hidden="1" customHeight="1" x14ac:dyDescent="0.2">
      <c r="A84" s="292" t="s">
        <v>528</v>
      </c>
      <c r="B84" s="293" t="s">
        <v>529</v>
      </c>
      <c r="D84" s="160">
        <v>2</v>
      </c>
      <c r="E84" s="160">
        <v>95</v>
      </c>
      <c r="F84" s="160">
        <v>2</v>
      </c>
      <c r="G84" s="160">
        <v>100</v>
      </c>
    </row>
    <row r="85" spans="1:7" s="152" customFormat="1" ht="22.5" hidden="1" customHeight="1" x14ac:dyDescent="0.2">
      <c r="A85" s="292" t="s">
        <v>530</v>
      </c>
      <c r="B85" s="293" t="s">
        <v>531</v>
      </c>
      <c r="D85" s="160" t="s">
        <v>7</v>
      </c>
      <c r="E85" s="160" t="s">
        <v>156</v>
      </c>
      <c r="F85" s="160" t="s">
        <v>7</v>
      </c>
      <c r="G85" s="160" t="s">
        <v>156</v>
      </c>
    </row>
    <row r="86" spans="1:7" s="152" customFormat="1" ht="11.25" hidden="1" customHeight="1" x14ac:dyDescent="0.2">
      <c r="A86" s="292" t="s">
        <v>532</v>
      </c>
      <c r="B86" s="293" t="s">
        <v>533</v>
      </c>
      <c r="D86" s="160">
        <v>2</v>
      </c>
      <c r="E86" s="160">
        <v>104</v>
      </c>
      <c r="F86" s="160">
        <v>2</v>
      </c>
      <c r="G86" s="160">
        <v>109</v>
      </c>
    </row>
    <row r="87" spans="1:7" s="152" customFormat="1" ht="22.5" hidden="1" customHeight="1" x14ac:dyDescent="0.2">
      <c r="A87" s="292" t="s">
        <v>534</v>
      </c>
      <c r="B87" s="293" t="s">
        <v>535</v>
      </c>
      <c r="D87" s="160" t="s">
        <v>7</v>
      </c>
      <c r="E87" s="160" t="s">
        <v>156</v>
      </c>
      <c r="F87" s="160" t="s">
        <v>7</v>
      </c>
      <c r="G87" s="160" t="s">
        <v>156</v>
      </c>
    </row>
    <row r="88" spans="1:7" s="152" customFormat="1" ht="11.25" hidden="1" customHeight="1" x14ac:dyDescent="0.2">
      <c r="A88" s="294" t="s">
        <v>536</v>
      </c>
      <c r="B88" s="165">
        <v>31</v>
      </c>
    </row>
    <row r="89" spans="1:7" s="152" customFormat="1" ht="11.25" hidden="1" customHeight="1" x14ac:dyDescent="0.2">
      <c r="A89" s="292" t="s">
        <v>537</v>
      </c>
      <c r="B89" s="295">
        <v>33</v>
      </c>
    </row>
    <row r="90" spans="1:7" s="152" customFormat="1" ht="11.25" hidden="1" customHeight="1" x14ac:dyDescent="0.2">
      <c r="A90" s="157" t="e">
        <f>#REF!</f>
        <v>#REF!</v>
      </c>
      <c r="B90" s="161" t="e">
        <f>#REF!</f>
        <v>#REF!</v>
      </c>
    </row>
    <row r="91" spans="1:7" s="152" customFormat="1" ht="11.25" hidden="1" customHeight="1" x14ac:dyDescent="0.2">
      <c r="A91" s="157" t="e">
        <f>#REF!</f>
        <v>#REF!</v>
      </c>
      <c r="B91" s="161" t="e">
        <f>#REF!</f>
        <v>#REF!</v>
      </c>
    </row>
    <row r="92" spans="1:7" s="152" customFormat="1" ht="11.25" hidden="1" customHeight="1" x14ac:dyDescent="0.2">
      <c r="A92" s="157" t="e">
        <f>#REF!</f>
        <v>#REF!</v>
      </c>
      <c r="B92" s="161" t="e">
        <f>#REF!</f>
        <v>#REF!</v>
      </c>
    </row>
    <row r="93" spans="1:7" s="152" customFormat="1" ht="11.25" hidden="1" customHeight="1" x14ac:dyDescent="0.2">
      <c r="A93" s="157" t="e">
        <f>#REF!</f>
        <v>#REF!</v>
      </c>
      <c r="B93" s="161" t="e">
        <f>#REF!</f>
        <v>#REF!</v>
      </c>
    </row>
    <row r="94" spans="1:7" s="152" customFormat="1" ht="11.25" hidden="1" customHeight="1" x14ac:dyDescent="0.2">
      <c r="A94" s="157" t="e">
        <f>#REF!</f>
        <v>#REF!</v>
      </c>
      <c r="B94" s="161" t="e">
        <f>#REF!</f>
        <v>#REF!</v>
      </c>
    </row>
    <row r="95" spans="1:7" s="152" customFormat="1" ht="11.25" hidden="1" customHeight="1" x14ac:dyDescent="0.2">
      <c r="A95" s="157" t="e">
        <f>#REF!</f>
        <v>#REF!</v>
      </c>
      <c r="B95" s="161" t="e">
        <f>#REF!</f>
        <v>#REF!</v>
      </c>
    </row>
    <row r="96" spans="1:7" s="152" customFormat="1" ht="12.75" hidden="1" customHeight="1" x14ac:dyDescent="0.2">
      <c r="A96" s="157" t="e">
        <f>#REF!</f>
        <v>#REF!</v>
      </c>
      <c r="B96" s="161" t="e">
        <f>#REF!</f>
        <v>#REF!</v>
      </c>
      <c r="D96" s="162"/>
      <c r="E96" s="162"/>
      <c r="F96" s="162"/>
      <c r="G96" s="162"/>
    </row>
    <row r="97" spans="1:7" s="152" customFormat="1" ht="12.75" hidden="1" customHeight="1" x14ac:dyDescent="0.2">
      <c r="A97" s="157" t="e">
        <f>#REF!</f>
        <v>#REF!</v>
      </c>
      <c r="B97" s="161" t="e">
        <f>#REF!</f>
        <v>#REF!</v>
      </c>
      <c r="D97" s="162"/>
      <c r="E97" s="162"/>
      <c r="F97" s="162"/>
      <c r="G97" s="162"/>
    </row>
    <row r="98" spans="1:7" s="152" customFormat="1" ht="12.75" hidden="1" customHeight="1" x14ac:dyDescent="0.2">
      <c r="A98" s="157" t="e">
        <f>#REF!</f>
        <v>#REF!</v>
      </c>
      <c r="B98" s="161" t="e">
        <f>#REF!</f>
        <v>#REF!</v>
      </c>
      <c r="D98" s="162"/>
      <c r="E98" s="162"/>
      <c r="F98" s="162"/>
      <c r="G98" s="162"/>
    </row>
  </sheetData>
  <sheetProtection selectLockedCells="1" selectUnlockedCells="1"/>
  <mergeCells count="62">
    <mergeCell ref="A1:I1"/>
    <mergeCell ref="F2:G2"/>
    <mergeCell ref="D2:E2"/>
    <mergeCell ref="A56:H56"/>
    <mergeCell ref="F54:I54"/>
    <mergeCell ref="A26:E26"/>
    <mergeCell ref="A47:E47"/>
    <mergeCell ref="A45:E45"/>
    <mergeCell ref="A32:E32"/>
    <mergeCell ref="A30:E30"/>
    <mergeCell ref="A39:E39"/>
    <mergeCell ref="A10:C10"/>
    <mergeCell ref="A11:C11"/>
    <mergeCell ref="A31:E31"/>
    <mergeCell ref="A36:E36"/>
    <mergeCell ref="A37:E37"/>
    <mergeCell ref="A78:B78"/>
    <mergeCell ref="F52:I52"/>
    <mergeCell ref="A53:E53"/>
    <mergeCell ref="F53:I53"/>
    <mergeCell ref="A51:I51"/>
    <mergeCell ref="A52:E52"/>
    <mergeCell ref="F58:H58"/>
    <mergeCell ref="A57:E57"/>
    <mergeCell ref="A58:E58"/>
    <mergeCell ref="A54:E54"/>
    <mergeCell ref="F57:H57"/>
    <mergeCell ref="F65:G65"/>
    <mergeCell ref="D65:E65"/>
    <mergeCell ref="A23:I23"/>
    <mergeCell ref="A24:E24"/>
    <mergeCell ref="A25:E25"/>
    <mergeCell ref="A17:C17"/>
    <mergeCell ref="A18:C18"/>
    <mergeCell ref="A20:C20"/>
    <mergeCell ref="A21:C21"/>
    <mergeCell ref="A33:E33"/>
    <mergeCell ref="A34:E34"/>
    <mergeCell ref="A27:E27"/>
    <mergeCell ref="A28:E28"/>
    <mergeCell ref="A29:E29"/>
    <mergeCell ref="A9:C9"/>
    <mergeCell ref="A12:C12"/>
    <mergeCell ref="A13:C13"/>
    <mergeCell ref="A14:C14"/>
    <mergeCell ref="A19:C19"/>
    <mergeCell ref="A15:C15"/>
    <mergeCell ref="A16:C16"/>
    <mergeCell ref="H2:I2"/>
    <mergeCell ref="A2:C3"/>
    <mergeCell ref="A6:C6"/>
    <mergeCell ref="A7:C7"/>
    <mergeCell ref="A8:C8"/>
    <mergeCell ref="A35:E35"/>
    <mergeCell ref="A40:E40"/>
    <mergeCell ref="A38:E38"/>
    <mergeCell ref="A48:E48"/>
    <mergeCell ref="A41:E41"/>
    <mergeCell ref="A42:E42"/>
    <mergeCell ref="A43:E43"/>
    <mergeCell ref="A46:E46"/>
    <mergeCell ref="A44:E44"/>
  </mergeCells>
  <phoneticPr fontId="9" type="noConversion"/>
  <conditionalFormatting sqref="I25:I48 H6:I21">
    <cfRule type="cellIs" dxfId="1" priority="2" stopIfTrue="1" operator="equal">
      <formula>"норма"</formula>
    </cfRule>
  </conditionalFormatting>
  <conditionalFormatting sqref="I41">
    <cfRule type="cellIs" dxfId="0" priority="1" stopIfTrue="1" operator="equal">
      <formula>"норма"</formula>
    </cfRule>
  </conditionalFormatting>
  <dataValidations count="2">
    <dataValidation type="list" allowBlank="1" showInputMessage="1" showErrorMessage="1" sqref="F52:I52">
      <formula1>$A$67:$A$72</formula1>
    </dataValidation>
    <dataValidation type="list" allowBlank="1" showInputMessage="1" showErrorMessage="1" sqref="F54:I54">
      <formula1>$A$79:$A$98</formula1>
    </dataValidation>
  </dataValidations>
  <printOptions horizontalCentered="1"/>
  <pageMargins left="0" right="0" top="0.59055118110236227" bottom="0.39370078740157483" header="0.11811023622047245" footer="0.11811023622047245"/>
  <pageSetup paperSize="8" scale="91" orientation="landscape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28"/>
  <sheetViews>
    <sheetView zoomScale="90" zoomScaleNormal="90" workbookViewId="0">
      <selection activeCell="E3" sqref="E3"/>
    </sheetView>
  </sheetViews>
  <sheetFormatPr defaultRowHeight="12.75" x14ac:dyDescent="0.2"/>
  <cols>
    <col min="1" max="1" width="9.33203125" style="72"/>
    <col min="2" max="2" width="100.83203125" style="72" customWidth="1"/>
    <col min="3" max="4" width="9.33203125" style="72"/>
    <col min="5" max="5" width="100.83203125" style="72" customWidth="1"/>
    <col min="6" max="16384" width="9.33203125" style="72"/>
  </cols>
  <sheetData>
    <row r="1" spans="1:5" x14ac:dyDescent="0.2">
      <c r="A1" s="897" t="s">
        <v>158</v>
      </c>
      <c r="B1" s="897"/>
      <c r="D1" s="897" t="s">
        <v>0</v>
      </c>
      <c r="E1" s="897"/>
    </row>
    <row r="2" spans="1:5" ht="25.5" x14ac:dyDescent="0.2">
      <c r="A2" s="74" t="s">
        <v>89</v>
      </c>
      <c r="B2" s="75" t="s">
        <v>419</v>
      </c>
      <c r="D2" s="78" t="s">
        <v>328</v>
      </c>
      <c r="E2" s="75" t="s">
        <v>427</v>
      </c>
    </row>
    <row r="3" spans="1:5" ht="25.5" x14ac:dyDescent="0.2">
      <c r="A3" s="74" t="s">
        <v>90</v>
      </c>
      <c r="B3" s="75" t="s">
        <v>420</v>
      </c>
      <c r="D3" s="78" t="s">
        <v>329</v>
      </c>
      <c r="E3" s="75" t="s">
        <v>428</v>
      </c>
    </row>
    <row r="4" spans="1:5" x14ac:dyDescent="0.2">
      <c r="A4" s="74" t="s">
        <v>91</v>
      </c>
      <c r="B4" s="75" t="s">
        <v>418</v>
      </c>
      <c r="D4" s="78" t="s">
        <v>330</v>
      </c>
      <c r="E4" s="75" t="s">
        <v>429</v>
      </c>
    </row>
    <row r="5" spans="1:5" ht="25.5" x14ac:dyDescent="0.2">
      <c r="A5" s="74" t="s">
        <v>92</v>
      </c>
      <c r="B5" s="75" t="s">
        <v>421</v>
      </c>
      <c r="C5" s="79" t="s">
        <v>26</v>
      </c>
      <c r="D5" s="78" t="s">
        <v>431</v>
      </c>
      <c r="E5" s="75" t="s">
        <v>430</v>
      </c>
    </row>
    <row r="6" spans="1:5" ht="25.5" x14ac:dyDescent="0.2">
      <c r="A6" s="74" t="s">
        <v>93</v>
      </c>
      <c r="B6" s="75" t="s">
        <v>422</v>
      </c>
      <c r="D6" s="78" t="s">
        <v>331</v>
      </c>
      <c r="E6" s="75" t="s">
        <v>432</v>
      </c>
    </row>
    <row r="7" spans="1:5" ht="25.5" x14ac:dyDescent="0.2">
      <c r="A7" s="74" t="s">
        <v>94</v>
      </c>
      <c r="B7" s="75" t="s">
        <v>423</v>
      </c>
      <c r="D7" s="78" t="s">
        <v>332</v>
      </c>
      <c r="E7" s="75" t="s">
        <v>433</v>
      </c>
    </row>
    <row r="8" spans="1:5" ht="25.5" x14ac:dyDescent="0.2">
      <c r="A8" s="74" t="s">
        <v>95</v>
      </c>
      <c r="B8" s="75" t="s">
        <v>424</v>
      </c>
      <c r="D8" s="78" t="s">
        <v>333</v>
      </c>
      <c r="E8" s="75" t="s">
        <v>339</v>
      </c>
    </row>
    <row r="9" spans="1:5" ht="25.5" x14ac:dyDescent="0.2">
      <c r="A9" s="74" t="s">
        <v>96</v>
      </c>
      <c r="B9" s="75" t="s">
        <v>425</v>
      </c>
      <c r="D9" s="78" t="s">
        <v>434</v>
      </c>
      <c r="E9" s="75" t="s">
        <v>435</v>
      </c>
    </row>
    <row r="10" spans="1:5" x14ac:dyDescent="0.2">
      <c r="A10" s="74" t="s">
        <v>97</v>
      </c>
      <c r="B10" s="75" t="s">
        <v>327</v>
      </c>
      <c r="D10" s="78" t="s">
        <v>334</v>
      </c>
      <c r="E10" s="75" t="s">
        <v>436</v>
      </c>
    </row>
    <row r="11" spans="1:5" ht="25.5" x14ac:dyDescent="0.2">
      <c r="A11" s="74" t="s">
        <v>98</v>
      </c>
      <c r="B11" s="75" t="s">
        <v>426</v>
      </c>
      <c r="D11" s="78" t="s">
        <v>335</v>
      </c>
      <c r="E11" s="75" t="s">
        <v>437</v>
      </c>
    </row>
    <row r="12" spans="1:5" ht="25.5" x14ac:dyDescent="0.2">
      <c r="A12" s="73"/>
      <c r="B12" s="70"/>
      <c r="D12" s="78" t="s">
        <v>336</v>
      </c>
      <c r="E12" s="75" t="s">
        <v>340</v>
      </c>
    </row>
    <row r="13" spans="1:5" ht="25.5" x14ac:dyDescent="0.2">
      <c r="A13" s="73"/>
      <c r="B13" s="70"/>
      <c r="D13" s="78" t="s">
        <v>337</v>
      </c>
      <c r="E13" s="75" t="s">
        <v>341</v>
      </c>
    </row>
    <row r="14" spans="1:5" ht="25.5" x14ac:dyDescent="0.2">
      <c r="A14" s="73"/>
      <c r="B14" s="70"/>
      <c r="D14" s="78" t="s">
        <v>338</v>
      </c>
      <c r="E14" s="75" t="s">
        <v>342</v>
      </c>
    </row>
    <row r="15" spans="1:5" ht="13.5" x14ac:dyDescent="0.2">
      <c r="A15" s="71"/>
      <c r="B15" s="71"/>
      <c r="D15" s="78" t="s">
        <v>438</v>
      </c>
      <c r="E15" s="75" t="s">
        <v>439</v>
      </c>
    </row>
    <row r="16" spans="1:5" ht="25.5" x14ac:dyDescent="0.2">
      <c r="A16" s="73"/>
      <c r="B16" s="70"/>
      <c r="D16" s="78" t="s">
        <v>440</v>
      </c>
      <c r="E16" s="75" t="s">
        <v>441</v>
      </c>
    </row>
    <row r="17" spans="1:5" ht="25.5" x14ac:dyDescent="0.2">
      <c r="A17" s="73"/>
      <c r="B17" s="70"/>
      <c r="D17" s="78" t="s">
        <v>442</v>
      </c>
      <c r="E17" s="75" t="s">
        <v>443</v>
      </c>
    </row>
    <row r="18" spans="1:5" x14ac:dyDescent="0.2">
      <c r="A18" s="73"/>
      <c r="B18" s="70"/>
    </row>
    <row r="19" spans="1:5" x14ac:dyDescent="0.2">
      <c r="A19" s="73"/>
      <c r="B19" s="70"/>
    </row>
    <row r="20" spans="1:5" x14ac:dyDescent="0.2">
      <c r="A20" s="73"/>
      <c r="B20" s="70"/>
    </row>
    <row r="21" spans="1:5" ht="13.5" x14ac:dyDescent="0.2">
      <c r="A21" s="71"/>
      <c r="B21" s="71"/>
    </row>
    <row r="22" spans="1:5" x14ac:dyDescent="0.2">
      <c r="A22" s="73"/>
      <c r="B22" s="70"/>
    </row>
    <row r="23" spans="1:5" x14ac:dyDescent="0.2">
      <c r="A23" s="73"/>
      <c r="B23" s="70"/>
    </row>
    <row r="24" spans="1:5" x14ac:dyDescent="0.2">
      <c r="A24" s="73"/>
      <c r="B24" s="70"/>
    </row>
    <row r="25" spans="1:5" x14ac:dyDescent="0.2">
      <c r="A25" s="73"/>
      <c r="B25" s="70"/>
    </row>
    <row r="26" spans="1:5" x14ac:dyDescent="0.2">
      <c r="A26" s="70"/>
      <c r="B26" s="70"/>
    </row>
    <row r="27" spans="1:5" x14ac:dyDescent="0.2">
      <c r="A27" s="73"/>
      <c r="B27" s="70"/>
    </row>
    <row r="28" spans="1:5" x14ac:dyDescent="0.2">
      <c r="A28" s="73"/>
      <c r="B28" s="70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orientation="landscape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opLeftCell="A7" workbookViewId="0">
      <selection activeCell="C6" sqref="C6"/>
    </sheetView>
  </sheetViews>
  <sheetFormatPr defaultColWidth="36" defaultRowHeight="12.75" x14ac:dyDescent="0.2"/>
  <cols>
    <col min="1" max="1" width="4.5" style="72" customWidth="1"/>
    <col min="2" max="2" width="32.1640625" style="72" customWidth="1"/>
    <col min="3" max="3" width="92.33203125" style="72" customWidth="1"/>
    <col min="4" max="16384" width="36" style="72"/>
  </cols>
  <sheetData>
    <row r="1" spans="1:3" x14ac:dyDescent="0.2">
      <c r="A1" s="898" t="s">
        <v>159</v>
      </c>
      <c r="B1" s="898"/>
      <c r="C1" s="898"/>
    </row>
    <row r="2" spans="1:3" x14ac:dyDescent="0.2">
      <c r="A2" s="76" t="s">
        <v>35</v>
      </c>
      <c r="B2" s="76" t="s">
        <v>160</v>
      </c>
      <c r="C2" s="77" t="s">
        <v>9</v>
      </c>
    </row>
    <row r="3" spans="1:3" s="119" customFormat="1" x14ac:dyDescent="0.2">
      <c r="A3" s="330">
        <v>1</v>
      </c>
      <c r="B3" s="331" t="s">
        <v>234</v>
      </c>
      <c r="C3" s="332" t="s">
        <v>561</v>
      </c>
    </row>
    <row r="4" spans="1:3" s="119" customFormat="1" x14ac:dyDescent="0.2">
      <c r="A4" s="173">
        <v>2</v>
      </c>
      <c r="B4" s="174" t="s">
        <v>234</v>
      </c>
      <c r="C4" s="175" t="s">
        <v>235</v>
      </c>
    </row>
    <row r="5" spans="1:3" s="119" customFormat="1" x14ac:dyDescent="0.2">
      <c r="A5" s="330">
        <v>3</v>
      </c>
      <c r="B5" s="174" t="s">
        <v>234</v>
      </c>
      <c r="C5" s="175" t="s">
        <v>562</v>
      </c>
    </row>
    <row r="6" spans="1:3" s="119" customFormat="1" x14ac:dyDescent="0.2">
      <c r="A6" s="173">
        <v>4</v>
      </c>
      <c r="B6" s="174" t="s">
        <v>234</v>
      </c>
      <c r="C6" s="175" t="s">
        <v>236</v>
      </c>
    </row>
    <row r="7" spans="1:3" s="119" customFormat="1" x14ac:dyDescent="0.2">
      <c r="A7" s="330">
        <v>5</v>
      </c>
      <c r="B7" s="174" t="s">
        <v>234</v>
      </c>
      <c r="C7" s="175" t="s">
        <v>237</v>
      </c>
    </row>
    <row r="8" spans="1:3" s="119" customFormat="1" x14ac:dyDescent="0.2">
      <c r="A8" s="173">
        <v>6</v>
      </c>
      <c r="B8" s="174" t="s">
        <v>234</v>
      </c>
      <c r="C8" s="175" t="s">
        <v>238</v>
      </c>
    </row>
    <row r="9" spans="1:3" s="119" customFormat="1" x14ac:dyDescent="0.2">
      <c r="A9" s="330">
        <v>7</v>
      </c>
      <c r="B9" s="174" t="s">
        <v>234</v>
      </c>
      <c r="C9" s="175" t="s">
        <v>239</v>
      </c>
    </row>
    <row r="10" spans="1:3" s="119" customFormat="1" x14ac:dyDescent="0.2">
      <c r="A10" s="173">
        <v>8</v>
      </c>
      <c r="B10" s="174" t="s">
        <v>234</v>
      </c>
      <c r="C10" s="175" t="s">
        <v>240</v>
      </c>
    </row>
    <row r="11" spans="1:3" s="119" customFormat="1" x14ac:dyDescent="0.2">
      <c r="A11" s="330">
        <v>9</v>
      </c>
      <c r="B11" s="174" t="s">
        <v>234</v>
      </c>
      <c r="C11" s="175" t="s">
        <v>241</v>
      </c>
    </row>
    <row r="12" spans="1:3" s="119" customFormat="1" x14ac:dyDescent="0.2">
      <c r="A12" s="173">
        <v>10</v>
      </c>
      <c r="B12" s="174" t="s">
        <v>234</v>
      </c>
      <c r="C12" s="175" t="s">
        <v>242</v>
      </c>
    </row>
    <row r="13" spans="1:3" s="119" customFormat="1" x14ac:dyDescent="0.2">
      <c r="A13" s="330">
        <v>11</v>
      </c>
      <c r="B13" s="174" t="s">
        <v>234</v>
      </c>
      <c r="C13" s="175" t="s">
        <v>243</v>
      </c>
    </row>
    <row r="14" spans="1:3" s="119" customFormat="1" x14ac:dyDescent="0.2">
      <c r="A14" s="173">
        <v>12</v>
      </c>
      <c r="B14" s="174" t="s">
        <v>234</v>
      </c>
      <c r="C14" s="175" t="s">
        <v>244</v>
      </c>
    </row>
    <row r="15" spans="1:3" s="119" customFormat="1" x14ac:dyDescent="0.2">
      <c r="A15" s="330">
        <v>13</v>
      </c>
      <c r="B15" s="174" t="s">
        <v>234</v>
      </c>
      <c r="C15" s="175" t="s">
        <v>245</v>
      </c>
    </row>
    <row r="16" spans="1:3" s="119" customFormat="1" x14ac:dyDescent="0.2">
      <c r="A16" s="173">
        <v>14</v>
      </c>
      <c r="B16" s="174" t="s">
        <v>246</v>
      </c>
      <c r="C16" s="175" t="s">
        <v>247</v>
      </c>
    </row>
    <row r="17" spans="1:3" s="119" customFormat="1" x14ac:dyDescent="0.2">
      <c r="A17" s="330">
        <v>15</v>
      </c>
      <c r="B17" s="174" t="s">
        <v>246</v>
      </c>
      <c r="C17" s="175" t="s">
        <v>248</v>
      </c>
    </row>
    <row r="18" spans="1:3" s="119" customFormat="1" x14ac:dyDescent="0.2">
      <c r="A18" s="173">
        <v>16</v>
      </c>
      <c r="B18" s="174" t="s">
        <v>246</v>
      </c>
      <c r="C18" s="175" t="s">
        <v>249</v>
      </c>
    </row>
    <row r="19" spans="1:3" s="119" customFormat="1" x14ac:dyDescent="0.2">
      <c r="A19" s="330">
        <v>17</v>
      </c>
      <c r="B19" s="174" t="s">
        <v>246</v>
      </c>
      <c r="C19" s="175" t="s">
        <v>250</v>
      </c>
    </row>
    <row r="20" spans="1:3" s="119" customFormat="1" x14ac:dyDescent="0.2">
      <c r="A20" s="173">
        <v>18</v>
      </c>
      <c r="B20" s="174" t="s">
        <v>246</v>
      </c>
      <c r="C20" s="175" t="s">
        <v>251</v>
      </c>
    </row>
    <row r="21" spans="1:3" s="119" customFormat="1" ht="25.5" x14ac:dyDescent="0.2">
      <c r="A21" s="330">
        <v>19</v>
      </c>
      <c r="B21" s="174" t="s">
        <v>246</v>
      </c>
      <c r="C21" s="175" t="s">
        <v>252</v>
      </c>
    </row>
    <row r="22" spans="1:3" s="119" customFormat="1" x14ac:dyDescent="0.2">
      <c r="A22" s="173">
        <v>20</v>
      </c>
      <c r="B22" s="174" t="s">
        <v>246</v>
      </c>
      <c r="C22" s="175" t="s">
        <v>253</v>
      </c>
    </row>
    <row r="23" spans="1:3" s="119" customFormat="1" x14ac:dyDescent="0.2">
      <c r="A23" s="330">
        <v>21</v>
      </c>
      <c r="B23" s="174" t="s">
        <v>254</v>
      </c>
      <c r="C23" s="175" t="s">
        <v>255</v>
      </c>
    </row>
    <row r="24" spans="1:3" s="119" customFormat="1" x14ac:dyDescent="0.2">
      <c r="A24" s="173">
        <v>22</v>
      </c>
      <c r="B24" s="174" t="s">
        <v>254</v>
      </c>
      <c r="C24" s="175" t="s">
        <v>256</v>
      </c>
    </row>
    <row r="25" spans="1:3" s="119" customFormat="1" x14ac:dyDescent="0.2">
      <c r="A25" s="330">
        <v>23</v>
      </c>
      <c r="B25" s="176" t="s">
        <v>257</v>
      </c>
      <c r="C25" s="175" t="s">
        <v>260</v>
      </c>
    </row>
    <row r="26" spans="1:3" s="119" customFormat="1" x14ac:dyDescent="0.2">
      <c r="A26" s="173">
        <v>24</v>
      </c>
      <c r="B26" s="176" t="s">
        <v>257</v>
      </c>
      <c r="C26" s="175" t="s">
        <v>258</v>
      </c>
    </row>
    <row r="27" spans="1:3" s="119" customFormat="1" x14ac:dyDescent="0.2">
      <c r="A27" s="330">
        <v>25</v>
      </c>
      <c r="B27" s="176" t="s">
        <v>257</v>
      </c>
      <c r="C27" s="175" t="s">
        <v>259</v>
      </c>
    </row>
    <row r="28" spans="1:3" s="119" customFormat="1" x14ac:dyDescent="0.2">
      <c r="A28" s="173">
        <v>26</v>
      </c>
      <c r="B28" s="175" t="s">
        <v>261</v>
      </c>
      <c r="C28" s="175" t="s">
        <v>264</v>
      </c>
    </row>
    <row r="29" spans="1:3" s="119" customFormat="1" x14ac:dyDescent="0.2">
      <c r="A29" s="330">
        <v>27</v>
      </c>
      <c r="B29" s="175" t="s">
        <v>261</v>
      </c>
      <c r="C29" s="175" t="s">
        <v>265</v>
      </c>
    </row>
    <row r="30" spans="1:3" s="119" customFormat="1" x14ac:dyDescent="0.2">
      <c r="A30" s="173">
        <v>28</v>
      </c>
      <c r="B30" s="175" t="s">
        <v>261</v>
      </c>
      <c r="C30" s="175" t="s">
        <v>266</v>
      </c>
    </row>
    <row r="31" spans="1:3" s="119" customFormat="1" x14ac:dyDescent="0.2">
      <c r="A31" s="330">
        <v>29</v>
      </c>
      <c r="B31" s="176" t="s">
        <v>262</v>
      </c>
      <c r="C31" s="175" t="s">
        <v>267</v>
      </c>
    </row>
    <row r="32" spans="1:3" s="119" customFormat="1" x14ac:dyDescent="0.2">
      <c r="A32" s="173">
        <v>30</v>
      </c>
      <c r="B32" s="176" t="s">
        <v>262</v>
      </c>
      <c r="C32" s="175" t="s">
        <v>263</v>
      </c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fitToHeight="100" orientation="landscape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topLeftCell="A7" workbookViewId="0">
      <selection activeCell="F48" sqref="F48"/>
    </sheetView>
  </sheetViews>
  <sheetFormatPr defaultRowHeight="12.75" x14ac:dyDescent="0.2"/>
  <cols>
    <col min="1" max="1" width="5.1640625" style="115" customWidth="1"/>
    <col min="2" max="2" width="93.5" style="115" customWidth="1"/>
    <col min="3" max="3" width="50.83203125" style="115" customWidth="1"/>
    <col min="4" max="16384" width="9.33203125" style="115"/>
  </cols>
  <sheetData>
    <row r="1" spans="1:3" x14ac:dyDescent="0.2">
      <c r="A1" s="901" t="s">
        <v>161</v>
      </c>
      <c r="B1" s="901"/>
      <c r="C1" s="901"/>
    </row>
    <row r="2" spans="1:3" x14ac:dyDescent="0.2">
      <c r="A2" s="116" t="s">
        <v>35</v>
      </c>
      <c r="B2" s="116" t="s">
        <v>162</v>
      </c>
      <c r="C2" s="116" t="s">
        <v>36</v>
      </c>
    </row>
    <row r="3" spans="1:3" x14ac:dyDescent="0.2">
      <c r="A3" s="169">
        <v>1</v>
      </c>
      <c r="B3" s="292" t="s">
        <v>518</v>
      </c>
      <c r="C3" s="293" t="s">
        <v>519</v>
      </c>
    </row>
    <row r="4" spans="1:3" x14ac:dyDescent="0.2">
      <c r="A4" s="169">
        <v>2</v>
      </c>
      <c r="B4" s="292" t="s">
        <v>520</v>
      </c>
      <c r="C4" s="293" t="s">
        <v>521</v>
      </c>
    </row>
    <row r="5" spans="1:3" x14ac:dyDescent="0.2">
      <c r="A5" s="169">
        <v>3</v>
      </c>
      <c r="B5" s="292" t="s">
        <v>522</v>
      </c>
      <c r="C5" s="293" t="s">
        <v>523</v>
      </c>
    </row>
    <row r="6" spans="1:3" x14ac:dyDescent="0.2">
      <c r="A6" s="169">
        <v>4</v>
      </c>
      <c r="B6" s="292" t="s">
        <v>524</v>
      </c>
      <c r="C6" s="293" t="s">
        <v>525</v>
      </c>
    </row>
    <row r="7" spans="1:3" x14ac:dyDescent="0.2">
      <c r="A7" s="169">
        <v>5</v>
      </c>
      <c r="B7" s="292" t="s">
        <v>526</v>
      </c>
      <c r="C7" s="293" t="s">
        <v>527</v>
      </c>
    </row>
    <row r="8" spans="1:3" ht="25.5" x14ac:dyDescent="0.2">
      <c r="A8" s="169">
        <v>6</v>
      </c>
      <c r="B8" s="292" t="s">
        <v>528</v>
      </c>
      <c r="C8" s="293" t="s">
        <v>529</v>
      </c>
    </row>
    <row r="9" spans="1:3" x14ac:dyDescent="0.2">
      <c r="A9" s="169">
        <v>7</v>
      </c>
      <c r="B9" s="292" t="s">
        <v>530</v>
      </c>
      <c r="C9" s="293" t="s">
        <v>531</v>
      </c>
    </row>
    <row r="10" spans="1:3" x14ac:dyDescent="0.2">
      <c r="A10" s="169">
        <v>8</v>
      </c>
      <c r="B10" s="292" t="s">
        <v>532</v>
      </c>
      <c r="C10" s="293" t="s">
        <v>533</v>
      </c>
    </row>
    <row r="11" spans="1:3" ht="25.5" x14ac:dyDescent="0.2">
      <c r="A11" s="169">
        <v>9</v>
      </c>
      <c r="B11" s="292" t="s">
        <v>534</v>
      </c>
      <c r="C11" s="293" t="s">
        <v>535</v>
      </c>
    </row>
    <row r="12" spans="1:3" x14ac:dyDescent="0.2">
      <c r="A12" s="169">
        <v>10</v>
      </c>
      <c r="B12" s="294" t="s">
        <v>536</v>
      </c>
      <c r="C12" s="165">
        <v>31</v>
      </c>
    </row>
    <row r="13" spans="1:3" x14ac:dyDescent="0.2">
      <c r="A13" s="169">
        <v>11</v>
      </c>
      <c r="B13" s="292" t="s">
        <v>537</v>
      </c>
      <c r="C13" s="295">
        <v>33</v>
      </c>
    </row>
    <row r="14" spans="1:3" ht="12.75" customHeight="1" x14ac:dyDescent="0.2">
      <c r="A14" s="901" t="s">
        <v>154</v>
      </c>
      <c r="B14" s="901"/>
      <c r="C14" s="901"/>
    </row>
    <row r="15" spans="1:3" x14ac:dyDescent="0.2">
      <c r="A15" s="116" t="s">
        <v>35</v>
      </c>
      <c r="B15" s="116" t="s">
        <v>163</v>
      </c>
      <c r="C15" s="116" t="s">
        <v>36</v>
      </c>
    </row>
    <row r="16" spans="1:3" x14ac:dyDescent="0.2">
      <c r="A16" s="169">
        <v>1</v>
      </c>
      <c r="B16" s="117" t="s">
        <v>538</v>
      </c>
      <c r="C16" s="118">
        <v>64</v>
      </c>
    </row>
    <row r="17" spans="1:3" x14ac:dyDescent="0.2">
      <c r="A17" s="169">
        <v>2</v>
      </c>
      <c r="B17" s="294" t="s">
        <v>539</v>
      </c>
      <c r="C17" s="165">
        <v>5</v>
      </c>
    </row>
    <row r="18" spans="1:3" hidden="1" x14ac:dyDescent="0.2">
      <c r="A18" s="172">
        <v>3</v>
      </c>
      <c r="B18" s="117"/>
      <c r="C18" s="118"/>
    </row>
    <row r="19" spans="1:3" hidden="1" x14ac:dyDescent="0.2">
      <c r="A19" s="172">
        <v>4</v>
      </c>
      <c r="B19" s="117"/>
      <c r="C19" s="118"/>
    </row>
    <row r="20" spans="1:3" hidden="1" x14ac:dyDescent="0.2">
      <c r="A20" s="172">
        <v>5</v>
      </c>
      <c r="B20" s="117"/>
      <c r="C20" s="118"/>
    </row>
    <row r="21" spans="1:3" x14ac:dyDescent="0.2">
      <c r="A21" s="119"/>
      <c r="B21" s="119"/>
      <c r="C21" s="119"/>
    </row>
    <row r="22" spans="1:3" x14ac:dyDescent="0.2">
      <c r="A22" s="901" t="s">
        <v>108</v>
      </c>
      <c r="B22" s="901"/>
      <c r="C22" s="901"/>
    </row>
    <row r="23" spans="1:3" x14ac:dyDescent="0.2">
      <c r="A23" s="116" t="s">
        <v>35</v>
      </c>
      <c r="B23" s="116" t="s">
        <v>9</v>
      </c>
      <c r="C23" s="116" t="s">
        <v>109</v>
      </c>
    </row>
    <row r="24" spans="1:3" x14ac:dyDescent="0.2">
      <c r="A24" s="172">
        <v>1</v>
      </c>
      <c r="B24" s="170" t="s">
        <v>110</v>
      </c>
      <c r="C24" s="169" t="s">
        <v>111</v>
      </c>
    </row>
    <row r="25" spans="1:3" x14ac:dyDescent="0.2">
      <c r="A25" s="172">
        <v>2</v>
      </c>
      <c r="B25" s="170" t="s">
        <v>112</v>
      </c>
      <c r="C25" s="169" t="s">
        <v>114</v>
      </c>
    </row>
    <row r="26" spans="1:3" x14ac:dyDescent="0.2">
      <c r="A26" s="172">
        <v>3</v>
      </c>
      <c r="B26" s="170" t="s">
        <v>113</v>
      </c>
      <c r="C26" s="169" t="s">
        <v>115</v>
      </c>
    </row>
    <row r="27" spans="1:3" x14ac:dyDescent="0.2">
      <c r="A27" s="172">
        <v>4</v>
      </c>
      <c r="B27" s="171" t="s">
        <v>231</v>
      </c>
      <c r="C27" s="169" t="s">
        <v>230</v>
      </c>
    </row>
    <row r="28" spans="1:3" x14ac:dyDescent="0.2">
      <c r="A28" s="119"/>
      <c r="B28" s="119"/>
      <c r="C28" s="119"/>
    </row>
    <row r="29" spans="1:3" hidden="1" x14ac:dyDescent="0.2">
      <c r="A29" s="900" t="s">
        <v>350</v>
      </c>
      <c r="B29" s="900"/>
      <c r="C29" s="900"/>
    </row>
    <row r="30" spans="1:3" hidden="1" x14ac:dyDescent="0.2">
      <c r="A30" s="120" t="s">
        <v>35</v>
      </c>
      <c r="B30" s="120" t="s">
        <v>351</v>
      </c>
      <c r="C30" s="120" t="s">
        <v>352</v>
      </c>
    </row>
    <row r="31" spans="1:3" hidden="1" x14ac:dyDescent="0.2">
      <c r="A31" s="120">
        <v>1</v>
      </c>
      <c r="B31" s="117" t="s">
        <v>386</v>
      </c>
      <c r="C31" s="118" t="s">
        <v>205</v>
      </c>
    </row>
    <row r="32" spans="1:3" hidden="1" x14ac:dyDescent="0.2">
      <c r="A32" s="120">
        <v>2</v>
      </c>
      <c r="B32" s="117" t="s">
        <v>207</v>
      </c>
      <c r="C32" s="118" t="s">
        <v>206</v>
      </c>
    </row>
    <row r="33" spans="1:3" hidden="1" x14ac:dyDescent="0.2">
      <c r="A33" s="120">
        <v>3</v>
      </c>
      <c r="B33" s="117" t="s">
        <v>210</v>
      </c>
      <c r="C33" s="118" t="s">
        <v>209</v>
      </c>
    </row>
    <row r="34" spans="1:3" hidden="1" x14ac:dyDescent="0.2">
      <c r="A34" s="120">
        <v>4</v>
      </c>
      <c r="B34" s="117" t="s">
        <v>212</v>
      </c>
      <c r="C34" s="306" t="s">
        <v>211</v>
      </c>
    </row>
    <row r="35" spans="1:3" hidden="1" x14ac:dyDescent="0.2">
      <c r="A35" s="120">
        <v>5</v>
      </c>
      <c r="B35" s="327"/>
      <c r="C35" s="328"/>
    </row>
    <row r="36" spans="1:3" hidden="1" x14ac:dyDescent="0.2">
      <c r="A36" s="119"/>
      <c r="B36" s="119"/>
      <c r="C36" s="119"/>
    </row>
    <row r="37" spans="1:3" x14ac:dyDescent="0.2">
      <c r="A37" s="900" t="s">
        <v>353</v>
      </c>
      <c r="B37" s="900"/>
      <c r="C37" s="900"/>
    </row>
    <row r="38" spans="1:3" s="325" customFormat="1" x14ac:dyDescent="0.2">
      <c r="A38" s="324" t="s">
        <v>35</v>
      </c>
      <c r="B38" s="324" t="s">
        <v>354</v>
      </c>
      <c r="C38" s="324" t="s">
        <v>352</v>
      </c>
    </row>
    <row r="39" spans="1:3" s="325" customFormat="1" x14ac:dyDescent="0.2">
      <c r="A39" s="324">
        <v>1</v>
      </c>
      <c r="B39" s="117" t="s">
        <v>549</v>
      </c>
      <c r="C39" s="117" t="s">
        <v>550</v>
      </c>
    </row>
    <row r="40" spans="1:3" s="325" customFormat="1" x14ac:dyDescent="0.2">
      <c r="A40" s="324">
        <v>2</v>
      </c>
      <c r="B40" s="117" t="s">
        <v>551</v>
      </c>
      <c r="C40" s="326" t="s">
        <v>356</v>
      </c>
    </row>
    <row r="41" spans="1:3" s="325" customFormat="1" x14ac:dyDescent="0.2">
      <c r="A41" s="324">
        <v>3</v>
      </c>
      <c r="B41" s="117" t="s">
        <v>552</v>
      </c>
      <c r="C41" s="117" t="s">
        <v>553</v>
      </c>
    </row>
    <row r="42" spans="1:3" s="325" customFormat="1" x14ac:dyDescent="0.2">
      <c r="A42" s="324">
        <v>4</v>
      </c>
      <c r="B42" s="117" t="s">
        <v>600</v>
      </c>
      <c r="C42" s="326" t="s">
        <v>355</v>
      </c>
    </row>
    <row r="43" spans="1:3" s="325" customFormat="1" x14ac:dyDescent="0.2">
      <c r="A43" s="324">
        <v>5</v>
      </c>
      <c r="B43" s="117" t="s">
        <v>599</v>
      </c>
      <c r="C43" s="326" t="s">
        <v>417</v>
      </c>
    </row>
    <row r="44" spans="1:3" x14ac:dyDescent="0.2">
      <c r="A44" s="119"/>
      <c r="B44" s="119"/>
      <c r="C44" s="119"/>
    </row>
    <row r="45" spans="1:3" x14ac:dyDescent="0.2">
      <c r="A45" s="900" t="s">
        <v>389</v>
      </c>
      <c r="B45" s="900"/>
      <c r="C45" s="900"/>
    </row>
    <row r="46" spans="1:3" x14ac:dyDescent="0.2">
      <c r="A46" s="120" t="s">
        <v>35</v>
      </c>
      <c r="B46" s="120" t="s">
        <v>351</v>
      </c>
      <c r="C46" s="166" t="s">
        <v>390</v>
      </c>
    </row>
    <row r="47" spans="1:3" x14ac:dyDescent="0.2">
      <c r="A47" s="120">
        <v>1</v>
      </c>
      <c r="B47" s="167" t="s">
        <v>391</v>
      </c>
      <c r="C47" s="168" t="s">
        <v>395</v>
      </c>
    </row>
    <row r="48" spans="1:3" x14ac:dyDescent="0.2">
      <c r="A48" s="120">
        <v>2</v>
      </c>
      <c r="B48" s="91" t="s">
        <v>392</v>
      </c>
      <c r="C48" s="117" t="s">
        <v>396</v>
      </c>
    </row>
    <row r="49" spans="1:3" x14ac:dyDescent="0.2">
      <c r="A49" s="120">
        <v>3</v>
      </c>
      <c r="B49" s="91" t="s">
        <v>393</v>
      </c>
      <c r="C49" s="117" t="s">
        <v>397</v>
      </c>
    </row>
    <row r="50" spans="1:3" x14ac:dyDescent="0.2">
      <c r="A50" s="120">
        <v>4</v>
      </c>
      <c r="B50" s="297" t="s">
        <v>556</v>
      </c>
      <c r="C50" s="117" t="s">
        <v>542</v>
      </c>
    </row>
    <row r="51" spans="1:3" x14ac:dyDescent="0.2">
      <c r="A51" s="120">
        <v>5</v>
      </c>
      <c r="B51" s="297" t="s">
        <v>557</v>
      </c>
      <c r="C51" s="117" t="s">
        <v>601</v>
      </c>
    </row>
    <row r="52" spans="1:3" x14ac:dyDescent="0.2">
      <c r="A52" s="120">
        <v>6</v>
      </c>
      <c r="B52" s="329" t="s">
        <v>558</v>
      </c>
      <c r="C52" s="187" t="s">
        <v>602</v>
      </c>
    </row>
    <row r="54" spans="1:3" ht="51" customHeight="1" x14ac:dyDescent="0.2">
      <c r="B54" s="899" t="s">
        <v>398</v>
      </c>
      <c r="C54" s="899"/>
    </row>
  </sheetData>
  <sheetProtection formatCells="0" formatColumns="0" formatRows="0" insertColumns="0" insertRows="0" insertHyperlinks="0" deleteColumns="0" deleteRows="0" sort="0" autoFilter="0" pivotTables="0"/>
  <mergeCells count="7">
    <mergeCell ref="B54:C54"/>
    <mergeCell ref="A45:C45"/>
    <mergeCell ref="A1:C1"/>
    <mergeCell ref="A14:C14"/>
    <mergeCell ref="A22:C22"/>
    <mergeCell ref="A29:C29"/>
    <mergeCell ref="A37:C37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Титульный лист</vt:lpstr>
      <vt:lpstr>Учебный план</vt:lpstr>
      <vt:lpstr>Титул заочное обучение</vt:lpstr>
      <vt:lpstr>УП заочное обучение</vt:lpstr>
      <vt:lpstr>ПРОВЕРКА</vt:lpstr>
      <vt:lpstr>Нормы</vt:lpstr>
      <vt:lpstr>Компетенции</vt:lpstr>
      <vt:lpstr>Материально-техническая база</vt:lpstr>
      <vt:lpstr>Примечание</vt:lpstr>
      <vt:lpstr>'Учебный план'!Print_Area</vt:lpstr>
      <vt:lpstr>'Учебный план'!Print_Titles</vt:lpstr>
    </vt:vector>
  </TitlesOfParts>
  <Company>ВГАВТ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В. Колыванов</dc:creator>
  <cp:lastModifiedBy>sys-123</cp:lastModifiedBy>
  <cp:lastPrinted>2017-11-15T06:06:04Z</cp:lastPrinted>
  <dcterms:created xsi:type="dcterms:W3CDTF">2001-03-30T05:31:47Z</dcterms:created>
  <dcterms:modified xsi:type="dcterms:W3CDTF">2019-11-25T21:01:37Z</dcterms:modified>
</cp:coreProperties>
</file>