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30" yWindow="-30" windowWidth="19320" windowHeight="7800" tabRatio="593"/>
  </bookViews>
  <sheets>
    <sheet name="Титульный лист" sheetId="13" r:id="rId1"/>
    <sheet name="Учебный план" sheetId="1" r:id="rId2"/>
    <sheet name="Титул заочное обучение" sheetId="27" r:id="rId3"/>
    <sheet name="УП заочное обучение" sheetId="28" r:id="rId4"/>
    <sheet name="ПРОВЕРКА" sheetId="29" state="hidden" r:id="rId5"/>
    <sheet name="Нормы" sheetId="24" r:id="rId6"/>
    <sheet name="Компетенции" sheetId="21" r:id="rId7"/>
    <sheet name="Материально-техническая база" sheetId="25" r:id="rId8"/>
    <sheet name="Примечание" sheetId="26" state="hidden" r:id="rId9"/>
  </sheets>
  <externalReferences>
    <externalReference r:id="rId10"/>
    <externalReference r:id="rId11"/>
    <externalReference r:id="rId12"/>
  </externalReferences>
  <definedNames>
    <definedName name="_FilterDatabase" localSheetId="1" hidden="1">'Учебный план'!$A$10:$CA$119</definedName>
    <definedName name="_xlnm._FilterDatabase" localSheetId="3" hidden="1">'УП заочное обучение'!$A$8:$BL$86</definedName>
    <definedName name="_xlnm._FilterDatabase" localSheetId="1" hidden="1">'Учебный план'!$A$10:$CA$103</definedName>
    <definedName name="Print_Area" localSheetId="1">'Учебный план'!$A$3:$CA$119</definedName>
    <definedName name="Print_Titles" localSheetId="1">'Учебный план'!$3:$9</definedName>
  </definedNames>
  <calcPr calcId="125725" fullPrecision="0"/>
</workbook>
</file>

<file path=xl/calcChain.xml><?xml version="1.0" encoding="utf-8"?>
<calcChain xmlns="http://schemas.openxmlformats.org/spreadsheetml/2006/main">
  <c r="B11" i="28"/>
  <c r="B12"/>
  <c r="B13"/>
  <c r="B14"/>
  <c r="B15"/>
  <c r="B17"/>
  <c r="B18"/>
  <c r="B19"/>
  <c r="B22"/>
  <c r="B23"/>
  <c r="B24"/>
  <c r="B25"/>
  <c r="B26"/>
  <c r="B27"/>
  <c r="B28"/>
  <c r="AR75"/>
  <c r="AL75"/>
  <c r="AF75"/>
  <c r="Z75"/>
  <c r="AR74"/>
  <c r="AL74"/>
  <c r="AF74"/>
  <c r="Z74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AR71"/>
  <c r="AR70" s="1"/>
  <c r="AL71"/>
  <c r="AF71"/>
  <c r="AF70" s="1"/>
  <c r="Z71"/>
  <c r="AW70"/>
  <c r="AV70"/>
  <c r="AU70"/>
  <c r="AT70"/>
  <c r="AS70"/>
  <c r="AQ70"/>
  <c r="AP70"/>
  <c r="AO70"/>
  <c r="AN70"/>
  <c r="AM70"/>
  <c r="AL70"/>
  <c r="AK70"/>
  <c r="AJ70"/>
  <c r="AI70"/>
  <c r="AH70"/>
  <c r="AG70"/>
  <c r="AE70"/>
  <c r="AD70"/>
  <c r="AC70"/>
  <c r="AB70"/>
  <c r="AA70"/>
  <c r="Z70"/>
  <c r="Y70"/>
  <c r="X70"/>
  <c r="W70"/>
  <c r="V70"/>
  <c r="U70"/>
  <c r="AR68"/>
  <c r="AL68"/>
  <c r="AF68"/>
  <c r="Z68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AR65"/>
  <c r="AL65"/>
  <c r="AF65"/>
  <c r="Z65"/>
  <c r="AR64"/>
  <c r="AR62" s="1"/>
  <c r="AL64"/>
  <c r="AF64"/>
  <c r="AF62" s="1"/>
  <c r="Z64"/>
  <c r="AR63"/>
  <c r="AL63"/>
  <c r="AF63"/>
  <c r="Z63"/>
  <c r="AW62"/>
  <c r="AV62"/>
  <c r="AU62"/>
  <c r="AT62"/>
  <c r="AS62"/>
  <c r="AQ62"/>
  <c r="AP62"/>
  <c r="AO62"/>
  <c r="AN62"/>
  <c r="AM62"/>
  <c r="AL62"/>
  <c r="AK62"/>
  <c r="AJ62"/>
  <c r="AI62"/>
  <c r="AH62"/>
  <c r="AG62"/>
  <c r="AE62"/>
  <c r="AD62"/>
  <c r="AC62"/>
  <c r="AB62"/>
  <c r="AA62"/>
  <c r="Z62"/>
  <c r="Y62"/>
  <c r="X62"/>
  <c r="W62"/>
  <c r="V62"/>
  <c r="U62"/>
  <c r="AR60"/>
  <c r="AF60"/>
  <c r="Z60"/>
  <c r="AR59"/>
  <c r="AL59"/>
  <c r="AF59"/>
  <c r="Z59"/>
  <c r="AR58"/>
  <c r="AL58"/>
  <c r="AF58"/>
  <c r="Z58"/>
  <c r="AR57"/>
  <c r="AR56" s="1"/>
  <c r="AL57"/>
  <c r="AF57"/>
  <c r="AF56" s="1"/>
  <c r="Z57"/>
  <c r="AW56"/>
  <c r="AV56"/>
  <c r="AU56"/>
  <c r="AT56"/>
  <c r="AS56"/>
  <c r="AQ56"/>
  <c r="AP56"/>
  <c r="AO56"/>
  <c r="AN56"/>
  <c r="AM56"/>
  <c r="AL56"/>
  <c r="AK56"/>
  <c r="AJ56"/>
  <c r="AI56"/>
  <c r="AH56"/>
  <c r="AG56"/>
  <c r="AE56"/>
  <c r="AD56"/>
  <c r="AC56"/>
  <c r="AB56"/>
  <c r="AA56"/>
  <c r="Z56"/>
  <c r="Y56"/>
  <c r="X56"/>
  <c r="W56"/>
  <c r="V56"/>
  <c r="U56"/>
  <c r="AR54"/>
  <c r="AL54"/>
  <c r="AF54"/>
  <c r="Z54"/>
  <c r="AR53"/>
  <c r="AL53"/>
  <c r="AF53"/>
  <c r="Z53"/>
  <c r="AR52"/>
  <c r="AL52"/>
  <c r="AF52"/>
  <c r="Z52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AR50"/>
  <c r="AL50"/>
  <c r="AF50"/>
  <c r="Z50"/>
  <c r="AR49"/>
  <c r="AL49"/>
  <c r="AF49"/>
  <c r="Z49"/>
  <c r="AR48"/>
  <c r="AL48"/>
  <c r="AF48"/>
  <c r="Z48"/>
  <c r="AR47"/>
  <c r="AL47"/>
  <c r="AF47"/>
  <c r="Z47"/>
  <c r="AR46"/>
  <c r="AL46"/>
  <c r="AF46"/>
  <c r="Z46"/>
  <c r="AR45"/>
  <c r="AR44" s="1"/>
  <c r="AL45"/>
  <c r="AF45"/>
  <c r="AF44" s="1"/>
  <c r="Z45"/>
  <c r="AW44"/>
  <c r="AV44"/>
  <c r="AU44"/>
  <c r="AT44"/>
  <c r="AS44"/>
  <c r="AQ44"/>
  <c r="AP44"/>
  <c r="AO44"/>
  <c r="AN44"/>
  <c r="AM44"/>
  <c r="AL44"/>
  <c r="AK44"/>
  <c r="AJ44"/>
  <c r="AI44"/>
  <c r="AH44"/>
  <c r="AG44"/>
  <c r="AE44"/>
  <c r="AD44"/>
  <c r="AC44"/>
  <c r="AB44"/>
  <c r="AA44"/>
  <c r="Z44"/>
  <c r="Y44"/>
  <c r="X44"/>
  <c r="W44"/>
  <c r="V44"/>
  <c r="U44"/>
  <c r="AR43"/>
  <c r="AL43"/>
  <c r="AF43"/>
  <c r="Z43"/>
  <c r="AR42"/>
  <c r="AL42"/>
  <c r="AF42"/>
  <c r="Z42"/>
  <c r="AR41"/>
  <c r="AL41"/>
  <c r="AF41"/>
  <c r="Z41"/>
  <c r="AR40"/>
  <c r="AL40"/>
  <c r="AF40"/>
  <c r="Z40"/>
  <c r="AR39"/>
  <c r="AL39"/>
  <c r="AF39"/>
  <c r="Z39"/>
  <c r="AR38"/>
  <c r="AL38"/>
  <c r="AF38"/>
  <c r="Z38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AR36"/>
  <c r="AL36"/>
  <c r="AF36"/>
  <c r="Z36"/>
  <c r="AR35"/>
  <c r="AL35"/>
  <c r="AF35"/>
  <c r="Z35"/>
  <c r="AL34"/>
  <c r="AF34"/>
  <c r="Z34"/>
  <c r="AR33"/>
  <c r="AL33"/>
  <c r="AF33"/>
  <c r="Z33"/>
  <c r="AR32"/>
  <c r="AL32"/>
  <c r="AF32"/>
  <c r="Z32"/>
  <c r="AV31"/>
  <c r="AV30" s="1"/>
  <c r="AV29" s="1"/>
  <c r="AU31"/>
  <c r="AT31"/>
  <c r="AT30" s="1"/>
  <c r="AT29" s="1"/>
  <c r="AS31"/>
  <c r="AQ31"/>
  <c r="AP31"/>
  <c r="AP30" s="1"/>
  <c r="AP29" s="1"/>
  <c r="AO31"/>
  <c r="AN31"/>
  <c r="AN30" s="1"/>
  <c r="AN29" s="1"/>
  <c r="AM31"/>
  <c r="AL31"/>
  <c r="AL30" s="1"/>
  <c r="AL29" s="1"/>
  <c r="AK31"/>
  <c r="AJ31"/>
  <c r="AJ30" s="1"/>
  <c r="AJ29" s="1"/>
  <c r="AI31"/>
  <c r="AH31"/>
  <c r="AH30" s="1"/>
  <c r="AH29" s="1"/>
  <c r="AG31"/>
  <c r="AF31"/>
  <c r="AE31"/>
  <c r="AD31"/>
  <c r="AD30" s="1"/>
  <c r="AD29" s="1"/>
  <c r="AC31"/>
  <c r="AB31"/>
  <c r="AB30" s="1"/>
  <c r="AB29" s="1"/>
  <c r="AA31"/>
  <c r="Z31"/>
  <c r="Z30" s="1"/>
  <c r="Z29" s="1"/>
  <c r="Y31"/>
  <c r="X31"/>
  <c r="X30" s="1"/>
  <c r="X29" s="1"/>
  <c r="W31"/>
  <c r="V31"/>
  <c r="V30" s="1"/>
  <c r="V29" s="1"/>
  <c r="U31"/>
  <c r="AU30"/>
  <c r="AU29" s="1"/>
  <c r="AS30"/>
  <c r="AS29" s="1"/>
  <c r="AQ30"/>
  <c r="AQ29" s="1"/>
  <c r="AO30"/>
  <c r="AO29" s="1"/>
  <c r="AM30"/>
  <c r="AM29" s="1"/>
  <c r="AK30"/>
  <c r="AK29" s="1"/>
  <c r="AI30"/>
  <c r="AI29" s="1"/>
  <c r="AG30"/>
  <c r="AG29" s="1"/>
  <c r="AE30"/>
  <c r="AE29" s="1"/>
  <c r="AC30"/>
  <c r="AC29" s="1"/>
  <c r="AA30"/>
  <c r="AA29" s="1"/>
  <c r="Y30"/>
  <c r="Y29" s="1"/>
  <c r="W30"/>
  <c r="W29" s="1"/>
  <c r="U30"/>
  <c r="U29" s="1"/>
  <c r="AR28"/>
  <c r="AL28"/>
  <c r="AF28"/>
  <c r="Z28"/>
  <c r="AR27"/>
  <c r="AL27"/>
  <c r="AF27"/>
  <c r="Z27"/>
  <c r="AR26"/>
  <c r="AL26"/>
  <c r="AF26"/>
  <c r="Z26"/>
  <c r="AR25"/>
  <c r="AL25"/>
  <c r="AF25"/>
  <c r="Z25"/>
  <c r="AR24"/>
  <c r="AL24"/>
  <c r="AF24"/>
  <c r="Z24"/>
  <c r="AR23"/>
  <c r="AL23"/>
  <c r="AF23"/>
  <c r="Z23"/>
  <c r="AR22"/>
  <c r="AR21" s="1"/>
  <c r="AL22"/>
  <c r="AF22"/>
  <c r="AF21" s="1"/>
  <c r="Z22"/>
  <c r="AW21"/>
  <c r="AV21"/>
  <c r="AU21"/>
  <c r="AU20" s="1"/>
  <c r="AT21"/>
  <c r="AS21"/>
  <c r="AQ21"/>
  <c r="AQ20" s="1"/>
  <c r="AP21"/>
  <c r="AO21"/>
  <c r="AO20" s="1"/>
  <c r="AN21"/>
  <c r="AM21"/>
  <c r="AL21" s="1"/>
  <c r="AK21"/>
  <c r="AJ21"/>
  <c r="AI21"/>
  <c r="AI20" s="1"/>
  <c r="AH21"/>
  <c r="AG21"/>
  <c r="AE21"/>
  <c r="AE20" s="1"/>
  <c r="AD21"/>
  <c r="AC21"/>
  <c r="AC20" s="1"/>
  <c r="AB21"/>
  <c r="AA21"/>
  <c r="Z21" s="1"/>
  <c r="Y21"/>
  <c r="X21"/>
  <c r="W21"/>
  <c r="W20" s="1"/>
  <c r="V21"/>
  <c r="U21"/>
  <c r="AL19"/>
  <c r="AF19"/>
  <c r="Z19"/>
  <c r="AR18"/>
  <c r="AL18"/>
  <c r="AF18"/>
  <c r="Z18"/>
  <c r="AR17"/>
  <c r="AR16" s="1"/>
  <c r="AL17"/>
  <c r="AF17"/>
  <c r="AF16" s="1"/>
  <c r="Z17"/>
  <c r="AW16"/>
  <c r="AV16"/>
  <c r="AU16"/>
  <c r="AT16"/>
  <c r="AS16"/>
  <c r="AQ16"/>
  <c r="AP16"/>
  <c r="AO16"/>
  <c r="AN16"/>
  <c r="AM16"/>
  <c r="AL16" s="1"/>
  <c r="AK16"/>
  <c r="AJ16"/>
  <c r="AI16"/>
  <c r="AH16"/>
  <c r="AG16"/>
  <c r="AE16"/>
  <c r="AD16"/>
  <c r="AC16"/>
  <c r="AB16"/>
  <c r="AA16"/>
  <c r="Z16" s="1"/>
  <c r="X16"/>
  <c r="W16"/>
  <c r="V16"/>
  <c r="U16"/>
  <c r="AR15"/>
  <c r="AL15"/>
  <c r="AF15"/>
  <c r="Z15"/>
  <c r="AR14"/>
  <c r="AL14"/>
  <c r="AF14"/>
  <c r="Z14"/>
  <c r="AR13"/>
  <c r="AL13"/>
  <c r="AF13"/>
  <c r="Z13"/>
  <c r="AR12"/>
  <c r="AL12"/>
  <c r="AF12"/>
  <c r="Z12"/>
  <c r="AR11"/>
  <c r="AL11"/>
  <c r="AF11"/>
  <c r="Z11"/>
  <c r="A39"/>
  <c r="B39"/>
  <c r="A40"/>
  <c r="B40"/>
  <c r="A41"/>
  <c r="B41"/>
  <c r="A42"/>
  <c r="B42"/>
  <c r="A43"/>
  <c r="B43"/>
  <c r="V20" l="1"/>
  <c r="X20"/>
  <c r="AB20"/>
  <c r="AD20"/>
  <c r="AH20"/>
  <c r="AJ20"/>
  <c r="AN20"/>
  <c r="AP20"/>
  <c r="AT20"/>
  <c r="AV20"/>
  <c r="U20"/>
  <c r="Y20"/>
  <c r="AG20"/>
  <c r="AK20"/>
  <c r="AS20"/>
  <c r="AF30"/>
  <c r="AF29" s="1"/>
  <c r="AF20" s="1"/>
  <c r="AA20"/>
  <c r="Z20" s="1"/>
  <c r="AM20"/>
  <c r="AL20" s="1"/>
  <c r="BT93" i="1" l="1"/>
  <c r="BN86"/>
  <c r="BH86"/>
  <c r="BB86"/>
  <c r="BH83"/>
  <c r="BB83"/>
  <c r="AV83"/>
  <c r="AP83"/>
  <c r="BT82"/>
  <c r="BN82"/>
  <c r="BH82"/>
  <c r="BB82"/>
  <c r="AV82"/>
  <c r="AP82"/>
  <c r="BT78"/>
  <c r="BN78"/>
  <c r="BH78"/>
  <c r="BB78"/>
  <c r="AV78"/>
  <c r="AP78"/>
  <c r="BT77"/>
  <c r="BN77"/>
  <c r="BH77"/>
  <c r="BB77"/>
  <c r="BT76"/>
  <c r="BN76"/>
  <c r="BH76"/>
  <c r="BB76"/>
  <c r="AV76"/>
  <c r="AP76"/>
  <c r="BT72"/>
  <c r="BN72"/>
  <c r="BH72"/>
  <c r="BB72"/>
  <c r="AV72"/>
  <c r="AP72"/>
  <c r="BT71"/>
  <c r="BN71"/>
  <c r="BH71"/>
  <c r="BB71"/>
  <c r="AV71"/>
  <c r="AP71"/>
  <c r="BT70"/>
  <c r="BN70"/>
  <c r="BH70"/>
  <c r="BB70"/>
  <c r="AV70"/>
  <c r="AP70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BT68"/>
  <c r="BN68"/>
  <c r="BH68"/>
  <c r="BB68"/>
  <c r="AV68"/>
  <c r="AP68"/>
  <c r="BT67"/>
  <c r="BN67"/>
  <c r="BH67"/>
  <c r="BB67"/>
  <c r="AV67"/>
  <c r="AP67"/>
  <c r="BT66"/>
  <c r="BN66"/>
  <c r="BH66"/>
  <c r="BB66"/>
  <c r="AV66"/>
  <c r="AP66"/>
  <c r="BT65"/>
  <c r="BN65"/>
  <c r="BH65"/>
  <c r="BB65"/>
  <c r="AV65"/>
  <c r="AP65"/>
  <c r="BT64"/>
  <c r="BN64"/>
  <c r="BH64"/>
  <c r="BB64"/>
  <c r="AV64"/>
  <c r="AP64"/>
  <c r="BT63"/>
  <c r="BN63"/>
  <c r="BH63"/>
  <c r="BB63"/>
  <c r="AV63"/>
  <c r="AP63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BT61"/>
  <c r="BN61"/>
  <c r="BH61"/>
  <c r="BB61"/>
  <c r="AV61"/>
  <c r="AP61"/>
  <c r="BT60"/>
  <c r="BN60"/>
  <c r="BH60"/>
  <c r="BB60"/>
  <c r="AV60"/>
  <c r="AP60"/>
  <c r="BT59"/>
  <c r="BN59"/>
  <c r="BH59"/>
  <c r="BB59"/>
  <c r="AV59"/>
  <c r="AP59"/>
  <c r="BN58"/>
  <c r="BH58"/>
  <c r="BB58"/>
  <c r="AV58"/>
  <c r="AP58"/>
  <c r="BH57"/>
  <c r="BB57"/>
  <c r="AV57"/>
  <c r="AP57"/>
  <c r="BH56"/>
  <c r="BH55" s="1"/>
  <c r="BB56"/>
  <c r="AV56"/>
  <c r="AV55" s="1"/>
  <c r="AP56"/>
  <c r="BY55"/>
  <c r="BX55"/>
  <c r="BW55"/>
  <c r="BV55"/>
  <c r="BU55"/>
  <c r="BT55"/>
  <c r="BS55"/>
  <c r="BR55"/>
  <c r="BQ55"/>
  <c r="BP55"/>
  <c r="BO55"/>
  <c r="BM55"/>
  <c r="BL55"/>
  <c r="BK55"/>
  <c r="BJ55"/>
  <c r="BI55"/>
  <c r="BG55"/>
  <c r="BF55"/>
  <c r="BE55"/>
  <c r="BD55"/>
  <c r="BC55"/>
  <c r="BA55"/>
  <c r="AZ55"/>
  <c r="AY55"/>
  <c r="AX55"/>
  <c r="AW55"/>
  <c r="AU55"/>
  <c r="AT55"/>
  <c r="AS55"/>
  <c r="AR55"/>
  <c r="AQ55"/>
  <c r="BB54"/>
  <c r="AV54"/>
  <c r="BT53"/>
  <c r="BN53"/>
  <c r="BH53"/>
  <c r="BB53"/>
  <c r="AV53"/>
  <c r="AP53"/>
  <c r="BH52"/>
  <c r="BB52"/>
  <c r="AV52"/>
  <c r="AP52"/>
  <c r="BB51"/>
  <c r="AP51"/>
  <c r="BT50"/>
  <c r="BN50"/>
  <c r="BH50"/>
  <c r="BB50"/>
  <c r="AV50"/>
  <c r="AP50"/>
  <c r="BT33"/>
  <c r="BN33"/>
  <c r="BH33"/>
  <c r="BB33"/>
  <c r="AV33"/>
  <c r="AP33"/>
  <c r="BT32"/>
  <c r="BN32"/>
  <c r="BH32"/>
  <c r="BB32"/>
  <c r="AV32"/>
  <c r="AP32"/>
  <c r="AP31"/>
  <c r="BT30"/>
  <c r="BN30"/>
  <c r="BH30"/>
  <c r="BB30"/>
  <c r="AV30"/>
  <c r="AP30"/>
  <c r="BT29"/>
  <c r="BN29"/>
  <c r="BH29"/>
  <c r="BB29"/>
  <c r="AV29"/>
  <c r="AP29"/>
  <c r="AD29"/>
  <c r="AJ29"/>
  <c r="AD30"/>
  <c r="AJ30"/>
  <c r="AD32"/>
  <c r="AJ32"/>
  <c r="AD33"/>
  <c r="AJ33"/>
  <c r="AE34"/>
  <c r="AF34"/>
  <c r="AG34"/>
  <c r="AH34"/>
  <c r="AI34"/>
  <c r="AK34"/>
  <c r="AL34"/>
  <c r="AM34"/>
  <c r="AN34"/>
  <c r="AO34"/>
  <c r="AQ34"/>
  <c r="AR34"/>
  <c r="AS34"/>
  <c r="AT34"/>
  <c r="AU34"/>
  <c r="AW34"/>
  <c r="AX34"/>
  <c r="AY34"/>
  <c r="AZ34"/>
  <c r="BA34"/>
  <c r="BC34"/>
  <c r="BD34"/>
  <c r="BE34"/>
  <c r="BF34"/>
  <c r="BG34"/>
  <c r="BI34"/>
  <c r="BJ34"/>
  <c r="BK34"/>
  <c r="BL34"/>
  <c r="BM34"/>
  <c r="AD35"/>
  <c r="AJ35"/>
  <c r="AP35"/>
  <c r="AV35"/>
  <c r="BB35"/>
  <c r="BH35"/>
  <c r="AD36"/>
  <c r="AJ36"/>
  <c r="AP36"/>
  <c r="AV36"/>
  <c r="BB36"/>
  <c r="BH36"/>
  <c r="AD37"/>
  <c r="AJ37"/>
  <c r="AP37"/>
  <c r="AV37"/>
  <c r="BB37"/>
  <c r="BH37"/>
  <c r="AE39"/>
  <c r="AF39"/>
  <c r="AG39"/>
  <c r="AH39"/>
  <c r="AI39"/>
  <c r="AK39"/>
  <c r="AL39"/>
  <c r="AM39"/>
  <c r="AN39"/>
  <c r="AO39"/>
  <c r="AQ39"/>
  <c r="AR39"/>
  <c r="AS39"/>
  <c r="AT39"/>
  <c r="AU39"/>
  <c r="AW39"/>
  <c r="AX39"/>
  <c r="AY39"/>
  <c r="AZ39"/>
  <c r="BA39"/>
  <c r="BC39"/>
  <c r="BD39"/>
  <c r="BE39"/>
  <c r="BF39"/>
  <c r="BG39"/>
  <c r="BI39"/>
  <c r="BJ39"/>
  <c r="BK39"/>
  <c r="BL39"/>
  <c r="BM39"/>
  <c r="AD40"/>
  <c r="AJ40"/>
  <c r="AP40"/>
  <c r="AV40"/>
  <c r="BB40"/>
  <c r="BH40"/>
  <c r="AD41"/>
  <c r="AJ41"/>
  <c r="AP41"/>
  <c r="AV41"/>
  <c r="BB41"/>
  <c r="BH41"/>
  <c r="AD42"/>
  <c r="AJ42"/>
  <c r="AP42"/>
  <c r="AV42"/>
  <c r="BB42"/>
  <c r="BH42"/>
  <c r="AD43"/>
  <c r="AJ43"/>
  <c r="AP43"/>
  <c r="AV43"/>
  <c r="BB43"/>
  <c r="BH43"/>
  <c r="AD44"/>
  <c r="AJ44"/>
  <c r="AP44"/>
  <c r="AV44"/>
  <c r="BB44"/>
  <c r="BH44"/>
  <c r="AD45"/>
  <c r="AJ45"/>
  <c r="AP45"/>
  <c r="AV45"/>
  <c r="BB45"/>
  <c r="BH45"/>
  <c r="AD46"/>
  <c r="AJ46"/>
  <c r="AP46"/>
  <c r="AV46"/>
  <c r="BB46"/>
  <c r="BH46"/>
  <c r="AE49"/>
  <c r="AF49"/>
  <c r="AG49"/>
  <c r="AH49"/>
  <c r="AI49"/>
  <c r="AK49"/>
  <c r="AL49"/>
  <c r="AM49"/>
  <c r="AN49"/>
  <c r="AO49"/>
  <c r="AQ49"/>
  <c r="AQ48" s="1"/>
  <c r="AR49"/>
  <c r="AR48" s="1"/>
  <c r="AS49"/>
  <c r="AS48" s="1"/>
  <c r="AT49"/>
  <c r="AT48" s="1"/>
  <c r="AU49"/>
  <c r="AU48" s="1"/>
  <c r="AW49"/>
  <c r="AW48" s="1"/>
  <c r="AX49"/>
  <c r="AX48" s="1"/>
  <c r="AY49"/>
  <c r="AY48" s="1"/>
  <c r="AZ49"/>
  <c r="AZ48" s="1"/>
  <c r="BA49"/>
  <c r="BA48" s="1"/>
  <c r="BC49"/>
  <c r="BC48" s="1"/>
  <c r="BD49"/>
  <c r="BD48" s="1"/>
  <c r="BE49"/>
  <c r="BE48" s="1"/>
  <c r="BF49"/>
  <c r="BF48" s="1"/>
  <c r="BG49"/>
  <c r="BG48" s="1"/>
  <c r="BI49"/>
  <c r="BI48" s="1"/>
  <c r="BJ49"/>
  <c r="BJ48" s="1"/>
  <c r="BK49"/>
  <c r="BK48" s="1"/>
  <c r="BL49"/>
  <c r="BL48" s="1"/>
  <c r="BM49"/>
  <c r="BM48" s="1"/>
  <c r="AD50"/>
  <c r="AJ50"/>
  <c r="AP49"/>
  <c r="AV49"/>
  <c r="BB49"/>
  <c r="BH49"/>
  <c r="AJ51"/>
  <c r="AD52"/>
  <c r="AJ52"/>
  <c r="AD53"/>
  <c r="AJ53"/>
  <c r="AE55"/>
  <c r="AF55"/>
  <c r="AG55"/>
  <c r="AH55"/>
  <c r="AI55"/>
  <c r="AK55"/>
  <c r="AL55"/>
  <c r="AM55"/>
  <c r="AN55"/>
  <c r="AO55"/>
  <c r="AD56"/>
  <c r="AJ56"/>
  <c r="AD57"/>
  <c r="AJ57"/>
  <c r="AD58"/>
  <c r="AJ58"/>
  <c r="AD59"/>
  <c r="AJ59"/>
  <c r="AD60"/>
  <c r="AJ60"/>
  <c r="AD61"/>
  <c r="AJ61"/>
  <c r="AE62"/>
  <c r="AF62"/>
  <c r="AG62"/>
  <c r="AH62"/>
  <c r="AI62"/>
  <c r="AK62"/>
  <c r="AL62"/>
  <c r="AM62"/>
  <c r="AN62"/>
  <c r="AO62"/>
  <c r="AD63"/>
  <c r="AJ63"/>
  <c r="AD64"/>
  <c r="AJ64"/>
  <c r="AD65"/>
  <c r="AJ65"/>
  <c r="AJ66"/>
  <c r="AD67"/>
  <c r="AJ67"/>
  <c r="AD68"/>
  <c r="AJ68"/>
  <c r="AE69"/>
  <c r="AF69"/>
  <c r="AG69"/>
  <c r="AH69"/>
  <c r="AI69"/>
  <c r="AK69"/>
  <c r="AL69"/>
  <c r="AM69"/>
  <c r="AN69"/>
  <c r="AO69"/>
  <c r="AD70"/>
  <c r="AJ70"/>
  <c r="AD71"/>
  <c r="AJ71"/>
  <c r="AD72"/>
  <c r="AJ72"/>
  <c r="AE75"/>
  <c r="AE74" s="1"/>
  <c r="AF75"/>
  <c r="AF74" s="1"/>
  <c r="AG75"/>
  <c r="AG74" s="1"/>
  <c r="AH75"/>
  <c r="AH74" s="1"/>
  <c r="AI75"/>
  <c r="AI74" s="1"/>
  <c r="AK75"/>
  <c r="AK74" s="1"/>
  <c r="AL75"/>
  <c r="AL74" s="1"/>
  <c r="AM75"/>
  <c r="AM74" s="1"/>
  <c r="AN75"/>
  <c r="AN74" s="1"/>
  <c r="AO75"/>
  <c r="AO74" s="1"/>
  <c r="AQ75"/>
  <c r="AQ74" s="1"/>
  <c r="AR75"/>
  <c r="AR74" s="1"/>
  <c r="AS75"/>
  <c r="AS74" s="1"/>
  <c r="AT75"/>
  <c r="AT74" s="1"/>
  <c r="AU75"/>
  <c r="AU74" s="1"/>
  <c r="AW75"/>
  <c r="AW74" s="1"/>
  <c r="AX75"/>
  <c r="AX74" s="1"/>
  <c r="AY75"/>
  <c r="AY74" s="1"/>
  <c r="AZ75"/>
  <c r="AZ74" s="1"/>
  <c r="BA75"/>
  <c r="BA74" s="1"/>
  <c r="BC75"/>
  <c r="BC74" s="1"/>
  <c r="BD75"/>
  <c r="BD74" s="1"/>
  <c r="BE75"/>
  <c r="BE74" s="1"/>
  <c r="BF75"/>
  <c r="BF74" s="1"/>
  <c r="BG75"/>
  <c r="BG74" s="1"/>
  <c r="BI75"/>
  <c r="BI74" s="1"/>
  <c r="BJ75"/>
  <c r="BJ74" s="1"/>
  <c r="BK75"/>
  <c r="BK74" s="1"/>
  <c r="BL75"/>
  <c r="BL74" s="1"/>
  <c r="BM75"/>
  <c r="BM74" s="1"/>
  <c r="AP75"/>
  <c r="AP74" s="1"/>
  <c r="AV75"/>
  <c r="AV74" s="1"/>
  <c r="BB75"/>
  <c r="BB74" s="1"/>
  <c r="BH75"/>
  <c r="BH74" s="1"/>
  <c r="AD76"/>
  <c r="AJ76"/>
  <c r="AD78"/>
  <c r="AJ78"/>
  <c r="AE81"/>
  <c r="AE80" s="1"/>
  <c r="AF81"/>
  <c r="AF80" s="1"/>
  <c r="AG81"/>
  <c r="AG80" s="1"/>
  <c r="AH81"/>
  <c r="AH80" s="1"/>
  <c r="AI81"/>
  <c r="AI80" s="1"/>
  <c r="AK81"/>
  <c r="AK80" s="1"/>
  <c r="AL81"/>
  <c r="AL80" s="1"/>
  <c r="AM81"/>
  <c r="AM80" s="1"/>
  <c r="AN81"/>
  <c r="AN80" s="1"/>
  <c r="AO81"/>
  <c r="AO80" s="1"/>
  <c r="AQ81"/>
  <c r="AQ80" s="1"/>
  <c r="AR81"/>
  <c r="AR80" s="1"/>
  <c r="AS81"/>
  <c r="AS80" s="1"/>
  <c r="AT81"/>
  <c r="AT80" s="1"/>
  <c r="AU81"/>
  <c r="AU80" s="1"/>
  <c r="AW81"/>
  <c r="AW80" s="1"/>
  <c r="AX81"/>
  <c r="AX80" s="1"/>
  <c r="AY81"/>
  <c r="AY80" s="1"/>
  <c r="AZ81"/>
  <c r="AZ80" s="1"/>
  <c r="BA81"/>
  <c r="BA80" s="1"/>
  <c r="BC81"/>
  <c r="BC80" s="1"/>
  <c r="BD81"/>
  <c r="BD80" s="1"/>
  <c r="BE81"/>
  <c r="BE80" s="1"/>
  <c r="BF81"/>
  <c r="BF80" s="1"/>
  <c r="BG81"/>
  <c r="BG80" s="1"/>
  <c r="BI81"/>
  <c r="BI80" s="1"/>
  <c r="BJ81"/>
  <c r="BJ80" s="1"/>
  <c r="BK81"/>
  <c r="BK80" s="1"/>
  <c r="BL81"/>
  <c r="BL80" s="1"/>
  <c r="BM81"/>
  <c r="BM80" s="1"/>
  <c r="AD82"/>
  <c r="AJ82"/>
  <c r="AP81"/>
  <c r="AP80" s="1"/>
  <c r="AV81"/>
  <c r="AV80" s="1"/>
  <c r="BB81"/>
  <c r="BB80" s="1"/>
  <c r="BH81"/>
  <c r="BH80" s="1"/>
  <c r="AD83"/>
  <c r="AJ83"/>
  <c r="AQ85"/>
  <c r="AR85"/>
  <c r="AS85"/>
  <c r="AT85"/>
  <c r="AU85"/>
  <c r="AW85"/>
  <c r="AX85"/>
  <c r="AY85"/>
  <c r="AZ85"/>
  <c r="BA85"/>
  <c r="BC85"/>
  <c r="BD85"/>
  <c r="BE85"/>
  <c r="BF85"/>
  <c r="BG85"/>
  <c r="BI85"/>
  <c r="BJ85"/>
  <c r="BK85"/>
  <c r="BL85"/>
  <c r="BM85"/>
  <c r="AD86"/>
  <c r="AJ86"/>
  <c r="AP86"/>
  <c r="AP85" s="1"/>
  <c r="AV86"/>
  <c r="AV85" s="1"/>
  <c r="BB85"/>
  <c r="BH85"/>
  <c r="AE88"/>
  <c r="AF88"/>
  <c r="AG88"/>
  <c r="AH88"/>
  <c r="AI88"/>
  <c r="AK88"/>
  <c r="AL88"/>
  <c r="AM88"/>
  <c r="AN88"/>
  <c r="AO88"/>
  <c r="AD89"/>
  <c r="AD88" s="1"/>
  <c r="AJ89"/>
  <c r="AJ88" s="1"/>
  <c r="AP89"/>
  <c r="AP88" s="1"/>
  <c r="AV89"/>
  <c r="BB89"/>
  <c r="BH89"/>
  <c r="AE91"/>
  <c r="AF91"/>
  <c r="AG91"/>
  <c r="AH91"/>
  <c r="AI91"/>
  <c r="AK91"/>
  <c r="AL91"/>
  <c r="AM91"/>
  <c r="AN91"/>
  <c r="AO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BJ91"/>
  <c r="BK91"/>
  <c r="BL91"/>
  <c r="BM91"/>
  <c r="AD92"/>
  <c r="AD91" s="1"/>
  <c r="AJ92"/>
  <c r="AJ91" s="1"/>
  <c r="AP92"/>
  <c r="AP91" s="1"/>
  <c r="AE94"/>
  <c r="AF94"/>
  <c r="AG94"/>
  <c r="AH94"/>
  <c r="AI94"/>
  <c r="AK94"/>
  <c r="AL94"/>
  <c r="AM94"/>
  <c r="AN94"/>
  <c r="AO94"/>
  <c r="AQ94"/>
  <c r="AR94"/>
  <c r="AS94"/>
  <c r="AT94"/>
  <c r="AU94"/>
  <c r="AW94"/>
  <c r="AX94"/>
  <c r="AY94"/>
  <c r="AZ94"/>
  <c r="BA94"/>
  <c r="BC94"/>
  <c r="BD94"/>
  <c r="BE94"/>
  <c r="BF94"/>
  <c r="BG94"/>
  <c r="BI94"/>
  <c r="BJ94"/>
  <c r="BK94"/>
  <c r="BL94"/>
  <c r="BM94"/>
  <c r="A58" i="28"/>
  <c r="A59"/>
  <c r="A60"/>
  <c r="A64"/>
  <c r="A65"/>
  <c r="AJ81" i="1" l="1"/>
  <c r="AJ80" s="1"/>
  <c r="AJ69"/>
  <c r="AD62"/>
  <c r="AD55"/>
  <c r="AJ49"/>
  <c r="AO48"/>
  <c r="AO47" s="1"/>
  <c r="AO38" s="1"/>
  <c r="AM48"/>
  <c r="AK48"/>
  <c r="AK47" s="1"/>
  <c r="AK38" s="1"/>
  <c r="AH48"/>
  <c r="AF48"/>
  <c r="AF47" s="1"/>
  <c r="AF38" s="1"/>
  <c r="BH39"/>
  <c r="AV39"/>
  <c r="AJ39"/>
  <c r="BH34"/>
  <c r="AV34"/>
  <c r="AJ34"/>
  <c r="AD81"/>
  <c r="AD80" s="1"/>
  <c r="AD69"/>
  <c r="AJ62"/>
  <c r="AJ55"/>
  <c r="AD49"/>
  <c r="AN48"/>
  <c r="AN47" s="1"/>
  <c r="AN38" s="1"/>
  <c r="AL48"/>
  <c r="AI48"/>
  <c r="AI47" s="1"/>
  <c r="AI38" s="1"/>
  <c r="AG48"/>
  <c r="AE48"/>
  <c r="AE47" s="1"/>
  <c r="AE38" s="1"/>
  <c r="BB39"/>
  <c r="AP39"/>
  <c r="AD39"/>
  <c r="BB34"/>
  <c r="AP34"/>
  <c r="AD34"/>
  <c r="AP55"/>
  <c r="BB55"/>
  <c r="BN55"/>
  <c r="AJ75"/>
  <c r="AJ74" s="1"/>
  <c r="AD75"/>
  <c r="AD74" s="1"/>
  <c r="BH48"/>
  <c r="BH47" s="1"/>
  <c r="AV48"/>
  <c r="AV47" s="1"/>
  <c r="AJ48"/>
  <c r="AJ47" s="1"/>
  <c r="BM47"/>
  <c r="BK47"/>
  <c r="BI47"/>
  <c r="BF47"/>
  <c r="BD47"/>
  <c r="BA47"/>
  <c r="AY47"/>
  <c r="AW47"/>
  <c r="AT47"/>
  <c r="AR47"/>
  <c r="AM47"/>
  <c r="AH47"/>
  <c r="BH38"/>
  <c r="AJ38"/>
  <c r="BM38"/>
  <c r="BK38"/>
  <c r="BI38"/>
  <c r="BF38"/>
  <c r="BD38"/>
  <c r="BA38"/>
  <c r="AY38"/>
  <c r="AW38"/>
  <c r="AT38"/>
  <c r="AR38"/>
  <c r="AM38"/>
  <c r="AH38"/>
  <c r="BB48"/>
  <c r="BB47" s="1"/>
  <c r="AP48"/>
  <c r="AP47" s="1"/>
  <c r="AD48"/>
  <c r="AD47" s="1"/>
  <c r="BL47"/>
  <c r="BJ47"/>
  <c r="BG47"/>
  <c r="BE47"/>
  <c r="BC47"/>
  <c r="AZ47"/>
  <c r="AX47"/>
  <c r="AU47"/>
  <c r="AS47"/>
  <c r="AQ47"/>
  <c r="AL47"/>
  <c r="AG47"/>
  <c r="BB38"/>
  <c r="AD38"/>
  <c r="BL38"/>
  <c r="BJ38"/>
  <c r="BG38"/>
  <c r="BE38"/>
  <c r="BC38"/>
  <c r="AZ38"/>
  <c r="AX38"/>
  <c r="AU38"/>
  <c r="AS38"/>
  <c r="AQ38"/>
  <c r="AL38"/>
  <c r="AG38"/>
  <c r="AP38" l="1"/>
  <c r="AV38"/>
  <c r="S88"/>
  <c r="T88"/>
  <c r="U88"/>
  <c r="V88"/>
  <c r="W88"/>
  <c r="Y88"/>
  <c r="Z88"/>
  <c r="AA88"/>
  <c r="AB88"/>
  <c r="AC88"/>
  <c r="X6" i="28"/>
  <c r="AD6"/>
  <c r="AJ6"/>
  <c r="AP6"/>
  <c r="BT86" i="1"/>
  <c r="B82" i="28" l="1"/>
  <c r="A82"/>
  <c r="A55"/>
  <c r="A61"/>
  <c r="A66"/>
  <c r="A69"/>
  <c r="AX29"/>
  <c r="AD117" i="1"/>
  <c r="AH117"/>
  <c r="AJ117"/>
  <c r="AN117"/>
  <c r="AP117"/>
  <c r="AT117"/>
  <c r="AV117"/>
  <c r="AZ117"/>
  <c r="BB117"/>
  <c r="BL117"/>
  <c r="BF117"/>
  <c r="BH117"/>
  <c r="BN117"/>
  <c r="BR117"/>
  <c r="BT117"/>
  <c r="BX117"/>
  <c r="R60" l="1"/>
  <c r="Q60"/>
  <c r="P60"/>
  <c r="O60"/>
  <c r="N60"/>
  <c r="M60"/>
  <c r="X26"/>
  <c r="R26"/>
  <c r="Q26"/>
  <c r="P26"/>
  <c r="O26"/>
  <c r="N26"/>
  <c r="M26"/>
  <c r="X25"/>
  <c r="R25"/>
  <c r="Q25"/>
  <c r="P25"/>
  <c r="O25"/>
  <c r="N25"/>
  <c r="M25"/>
  <c r="BT24"/>
  <c r="BN24"/>
  <c r="BH24"/>
  <c r="BB24"/>
  <c r="AV24"/>
  <c r="AP24"/>
  <c r="AJ24"/>
  <c r="AD24"/>
  <c r="X24"/>
  <c r="R24"/>
  <c r="Q24"/>
  <c r="P24"/>
  <c r="O24"/>
  <c r="N24"/>
  <c r="M24"/>
  <c r="BT23"/>
  <c r="BN23"/>
  <c r="BH23"/>
  <c r="BB23"/>
  <c r="AV23"/>
  <c r="AP23"/>
  <c r="AJ23"/>
  <c r="AD23"/>
  <c r="X23"/>
  <c r="R23"/>
  <c r="Q23"/>
  <c r="P23"/>
  <c r="O23"/>
  <c r="N23"/>
  <c r="M23"/>
  <c r="BT22"/>
  <c r="BN22"/>
  <c r="BH22"/>
  <c r="BB22"/>
  <c r="AV22"/>
  <c r="AP22"/>
  <c r="AJ22"/>
  <c r="AD22"/>
  <c r="X22"/>
  <c r="R22"/>
  <c r="Q22"/>
  <c r="P22"/>
  <c r="O22"/>
  <c r="N22"/>
  <c r="M22"/>
  <c r="BT21"/>
  <c r="BN21"/>
  <c r="BH21"/>
  <c r="BB21"/>
  <c r="AV21"/>
  <c r="AP21"/>
  <c r="AJ21"/>
  <c r="AD21"/>
  <c r="X21"/>
  <c r="R21"/>
  <c r="Q21"/>
  <c r="P21"/>
  <c r="O21"/>
  <c r="N21"/>
  <c r="M21"/>
  <c r="L21" s="1"/>
  <c r="K21" s="1"/>
  <c r="BT20"/>
  <c r="BN20"/>
  <c r="BH20"/>
  <c r="BB20"/>
  <c r="AV20"/>
  <c r="AP20"/>
  <c r="AJ20"/>
  <c r="AD20"/>
  <c r="X20"/>
  <c r="R20"/>
  <c r="Q20"/>
  <c r="P20"/>
  <c r="O20"/>
  <c r="N20"/>
  <c r="M20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O19"/>
  <c r="N19"/>
  <c r="M19"/>
  <c r="J19"/>
  <c r="BT18"/>
  <c r="BN18"/>
  <c r="BH18"/>
  <c r="BB18"/>
  <c r="AV18"/>
  <c r="AP18"/>
  <c r="AJ18"/>
  <c r="AD18"/>
  <c r="X18"/>
  <c r="R18"/>
  <c r="Q18"/>
  <c r="P18"/>
  <c r="O18"/>
  <c r="N18"/>
  <c r="M18"/>
  <c r="L18" s="1"/>
  <c r="K18" s="1"/>
  <c r="BT17"/>
  <c r="BN17"/>
  <c r="BH17"/>
  <c r="BB17"/>
  <c r="AV17"/>
  <c r="AP17"/>
  <c r="AJ17"/>
  <c r="AD17"/>
  <c r="X17"/>
  <c r="R17"/>
  <c r="Q17"/>
  <c r="P17"/>
  <c r="O17"/>
  <c r="N17"/>
  <c r="M17"/>
  <c r="BT16"/>
  <c r="BN16"/>
  <c r="BH16"/>
  <c r="BB16"/>
  <c r="AV16"/>
  <c r="AP16"/>
  <c r="AJ16"/>
  <c r="AD16"/>
  <c r="X16"/>
  <c r="R16"/>
  <c r="Q16"/>
  <c r="P16"/>
  <c r="O16"/>
  <c r="N16"/>
  <c r="M16"/>
  <c r="L16" s="1"/>
  <c r="K16" s="1"/>
  <c r="BT15"/>
  <c r="BN15"/>
  <c r="BH15"/>
  <c r="BB15"/>
  <c r="AV15"/>
  <c r="AP15"/>
  <c r="AJ15"/>
  <c r="AD15"/>
  <c r="X15"/>
  <c r="R15"/>
  <c r="Q15"/>
  <c r="P15"/>
  <c r="O15"/>
  <c r="N15"/>
  <c r="M15"/>
  <c r="BT14"/>
  <c r="BN14"/>
  <c r="BH14"/>
  <c r="BB14"/>
  <c r="AV14"/>
  <c r="AP14"/>
  <c r="AJ14"/>
  <c r="AD14"/>
  <c r="X14"/>
  <c r="R14"/>
  <c r="Q14"/>
  <c r="P14"/>
  <c r="O14"/>
  <c r="N14"/>
  <c r="M14"/>
  <c r="BT13"/>
  <c r="BN13"/>
  <c r="BH13"/>
  <c r="BB13"/>
  <c r="AV13"/>
  <c r="AP13"/>
  <c r="AJ13"/>
  <c r="AD13"/>
  <c r="X13"/>
  <c r="R13"/>
  <c r="Q13"/>
  <c r="P13"/>
  <c r="O13"/>
  <c r="N13"/>
  <c r="M13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J12"/>
  <c r="I12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J11"/>
  <c r="I11"/>
  <c r="L24" l="1"/>
  <c r="K24" s="1"/>
  <c r="L26"/>
  <c r="K26" s="1"/>
  <c r="L17"/>
  <c r="K17" s="1"/>
  <c r="L23"/>
  <c r="K23" s="1"/>
  <c r="L25"/>
  <c r="L20"/>
  <c r="K20" s="1"/>
  <c r="L22"/>
  <c r="K22" s="1"/>
  <c r="L13"/>
  <c r="L14"/>
  <c r="K14" s="1"/>
  <c r="L15"/>
  <c r="K15" s="1"/>
  <c r="L60"/>
  <c r="K60" s="1"/>
  <c r="K13"/>
  <c r="K12" s="1"/>
  <c r="K25"/>
  <c r="L19"/>
  <c r="K19" l="1"/>
  <c r="L12"/>
  <c r="K11"/>
  <c r="L11"/>
  <c r="BF99" l="1"/>
  <c r="R119" l="1"/>
  <c r="X119"/>
  <c r="AD119"/>
  <c r="AJ119"/>
  <c r="AP119"/>
  <c r="AV119"/>
  <c r="BB119"/>
  <c r="BH119"/>
  <c r="BN119"/>
  <c r="BT119"/>
  <c r="AN116" l="1"/>
  <c r="X117"/>
  <c r="AB117"/>
  <c r="V117"/>
  <c r="V116"/>
  <c r="BX116" l="1"/>
  <c r="BT116"/>
  <c r="BN116"/>
  <c r="BR116"/>
  <c r="BH118"/>
  <c r="BL116"/>
  <c r="BH116"/>
  <c r="BF116"/>
  <c r="BB118"/>
  <c r="BB116"/>
  <c r="AZ116"/>
  <c r="AV116"/>
  <c r="AT116"/>
  <c r="AP116"/>
  <c r="AD116"/>
  <c r="AJ116"/>
  <c r="AH116"/>
  <c r="V81" i="28"/>
  <c r="A74" i="29" l="1"/>
  <c r="B74"/>
  <c r="C74"/>
  <c r="D74"/>
  <c r="E74"/>
  <c r="F74"/>
  <c r="G74"/>
  <c r="I74"/>
  <c r="J74"/>
  <c r="K74"/>
  <c r="L74"/>
  <c r="M74"/>
  <c r="A75"/>
  <c r="B75"/>
  <c r="C75"/>
  <c r="D75"/>
  <c r="E75"/>
  <c r="F75"/>
  <c r="G75"/>
  <c r="I75"/>
  <c r="J75"/>
  <c r="K75"/>
  <c r="L75"/>
  <c r="M75"/>
  <c r="A58"/>
  <c r="B58"/>
  <c r="C58"/>
  <c r="D58"/>
  <c r="E58"/>
  <c r="F58"/>
  <c r="G58"/>
  <c r="I58"/>
  <c r="J58"/>
  <c r="K58"/>
  <c r="L58"/>
  <c r="M58"/>
  <c r="A59"/>
  <c r="B59"/>
  <c r="C59"/>
  <c r="D59"/>
  <c r="E59"/>
  <c r="F59"/>
  <c r="G59"/>
  <c r="I59"/>
  <c r="J59"/>
  <c r="K59"/>
  <c r="L59"/>
  <c r="M59"/>
  <c r="A60"/>
  <c r="B60"/>
  <c r="C60"/>
  <c r="D60"/>
  <c r="E60"/>
  <c r="F60"/>
  <c r="G60"/>
  <c r="I60"/>
  <c r="J60"/>
  <c r="K60"/>
  <c r="L60"/>
  <c r="M60"/>
  <c r="A52"/>
  <c r="B52"/>
  <c r="C52"/>
  <c r="D52"/>
  <c r="E52"/>
  <c r="F52"/>
  <c r="G52"/>
  <c r="I52"/>
  <c r="J52"/>
  <c r="K52"/>
  <c r="L52"/>
  <c r="M52"/>
  <c r="A53"/>
  <c r="B53"/>
  <c r="C53"/>
  <c r="D53"/>
  <c r="E53"/>
  <c r="F53"/>
  <c r="G53"/>
  <c r="I53"/>
  <c r="J53"/>
  <c r="K53"/>
  <c r="L53"/>
  <c r="M53"/>
  <c r="A46"/>
  <c r="B46"/>
  <c r="C46"/>
  <c r="D46"/>
  <c r="E46"/>
  <c r="F46"/>
  <c r="G46"/>
  <c r="I46"/>
  <c r="J46"/>
  <c r="K46"/>
  <c r="L46"/>
  <c r="M46"/>
  <c r="A47"/>
  <c r="B47"/>
  <c r="C47"/>
  <c r="D47"/>
  <c r="E47"/>
  <c r="F47"/>
  <c r="G47"/>
  <c r="I47"/>
  <c r="J47"/>
  <c r="K47"/>
  <c r="L47"/>
  <c r="M47"/>
  <c r="A48"/>
  <c r="B48"/>
  <c r="C48"/>
  <c r="D48"/>
  <c r="E48"/>
  <c r="F48"/>
  <c r="G48"/>
  <c r="I48"/>
  <c r="J48"/>
  <c r="K48"/>
  <c r="L48"/>
  <c r="M48"/>
  <c r="A49"/>
  <c r="B49"/>
  <c r="C49"/>
  <c r="D49"/>
  <c r="E49"/>
  <c r="F49"/>
  <c r="G49"/>
  <c r="I49"/>
  <c r="J49"/>
  <c r="K49"/>
  <c r="L49"/>
  <c r="M49"/>
  <c r="A45"/>
  <c r="B45"/>
  <c r="C45"/>
  <c r="D45"/>
  <c r="E45"/>
  <c r="F45"/>
  <c r="G45"/>
  <c r="I45"/>
  <c r="J45"/>
  <c r="K45"/>
  <c r="L45"/>
  <c r="M45"/>
  <c r="A39"/>
  <c r="B39"/>
  <c r="C39"/>
  <c r="D39"/>
  <c r="E39"/>
  <c r="F39"/>
  <c r="G39"/>
  <c r="I39"/>
  <c r="J39"/>
  <c r="K39"/>
  <c r="L39"/>
  <c r="M39"/>
  <c r="A40"/>
  <c r="B40"/>
  <c r="C40"/>
  <c r="D40"/>
  <c r="E40"/>
  <c r="F40"/>
  <c r="G40"/>
  <c r="I40"/>
  <c r="J40"/>
  <c r="K40"/>
  <c r="L40"/>
  <c r="M40"/>
  <c r="A41"/>
  <c r="B41"/>
  <c r="C41"/>
  <c r="D41"/>
  <c r="E41"/>
  <c r="F41"/>
  <c r="G41"/>
  <c r="I41"/>
  <c r="J41"/>
  <c r="K41"/>
  <c r="L41"/>
  <c r="M41"/>
  <c r="A42"/>
  <c r="B42"/>
  <c r="C42"/>
  <c r="D42"/>
  <c r="E42"/>
  <c r="F42"/>
  <c r="G42"/>
  <c r="I42"/>
  <c r="J42"/>
  <c r="K42"/>
  <c r="L42"/>
  <c r="M42"/>
  <c r="A33"/>
  <c r="B33"/>
  <c r="C33"/>
  <c r="D33"/>
  <c r="E33"/>
  <c r="F33"/>
  <c r="G33"/>
  <c r="I33"/>
  <c r="J33"/>
  <c r="K33"/>
  <c r="L33"/>
  <c r="M33"/>
  <c r="A34"/>
  <c r="B34"/>
  <c r="C34"/>
  <c r="D34"/>
  <c r="E34"/>
  <c r="F34"/>
  <c r="G34"/>
  <c r="I34"/>
  <c r="J34"/>
  <c r="K34"/>
  <c r="L34"/>
  <c r="M34"/>
  <c r="A35"/>
  <c r="B35"/>
  <c r="C35"/>
  <c r="D35"/>
  <c r="E35"/>
  <c r="F35"/>
  <c r="G35"/>
  <c r="I35"/>
  <c r="J35"/>
  <c r="K35"/>
  <c r="L35"/>
  <c r="M35"/>
  <c r="A36"/>
  <c r="B36"/>
  <c r="C36"/>
  <c r="D36"/>
  <c r="E36"/>
  <c r="F36"/>
  <c r="G36"/>
  <c r="I36"/>
  <c r="J36"/>
  <c r="K36"/>
  <c r="L36"/>
  <c r="M36"/>
  <c r="A18"/>
  <c r="B18"/>
  <c r="C18"/>
  <c r="D18"/>
  <c r="E18"/>
  <c r="F18"/>
  <c r="G18"/>
  <c r="I18"/>
  <c r="J18"/>
  <c r="K18"/>
  <c r="L18"/>
  <c r="M18"/>
  <c r="A19"/>
  <c r="B19"/>
  <c r="C19"/>
  <c r="D19"/>
  <c r="E19"/>
  <c r="F19"/>
  <c r="G19"/>
  <c r="I19"/>
  <c r="J19"/>
  <c r="K19"/>
  <c r="L19"/>
  <c r="M19"/>
  <c r="A20"/>
  <c r="B20"/>
  <c r="C20"/>
  <c r="D20"/>
  <c r="E20"/>
  <c r="F20"/>
  <c r="G20"/>
  <c r="I20"/>
  <c r="J20"/>
  <c r="K20"/>
  <c r="L20"/>
  <c r="M20"/>
  <c r="A21"/>
  <c r="B21"/>
  <c r="C21"/>
  <c r="D21"/>
  <c r="E21"/>
  <c r="F21"/>
  <c r="G21"/>
  <c r="I21"/>
  <c r="J21"/>
  <c r="K21"/>
  <c r="L21"/>
  <c r="M21"/>
  <c r="A22"/>
  <c r="B22"/>
  <c r="C22"/>
  <c r="D22"/>
  <c r="E22"/>
  <c r="F22"/>
  <c r="G22"/>
  <c r="I22"/>
  <c r="J22"/>
  <c r="K22"/>
  <c r="L22"/>
  <c r="M22"/>
  <c r="A23"/>
  <c r="B23"/>
  <c r="C23"/>
  <c r="D23"/>
  <c r="E23"/>
  <c r="F23"/>
  <c r="G23"/>
  <c r="I23"/>
  <c r="J23"/>
  <c r="K23"/>
  <c r="L23"/>
  <c r="M23"/>
  <c r="A24"/>
  <c r="B24"/>
  <c r="C24"/>
  <c r="D24"/>
  <c r="E24"/>
  <c r="F24"/>
  <c r="G24"/>
  <c r="I24"/>
  <c r="J24"/>
  <c r="K24"/>
  <c r="L24"/>
  <c r="M24"/>
  <c r="A25"/>
  <c r="B25"/>
  <c r="C25"/>
  <c r="D25"/>
  <c r="E25"/>
  <c r="F25"/>
  <c r="G25"/>
  <c r="I25"/>
  <c r="J25"/>
  <c r="K25"/>
  <c r="L25"/>
  <c r="M25"/>
  <c r="A26"/>
  <c r="B26"/>
  <c r="C26"/>
  <c r="D26"/>
  <c r="E26"/>
  <c r="F26"/>
  <c r="G26"/>
  <c r="I26"/>
  <c r="J26"/>
  <c r="K26"/>
  <c r="L26"/>
  <c r="M26"/>
  <c r="A27"/>
  <c r="B27"/>
  <c r="C27"/>
  <c r="D27"/>
  <c r="E27"/>
  <c r="F27"/>
  <c r="G27"/>
  <c r="I27"/>
  <c r="J27"/>
  <c r="K27"/>
  <c r="L27"/>
  <c r="M27"/>
  <c r="A28"/>
  <c r="B28"/>
  <c r="C28"/>
  <c r="D28"/>
  <c r="E28"/>
  <c r="F28"/>
  <c r="G28"/>
  <c r="I28"/>
  <c r="J28"/>
  <c r="K28"/>
  <c r="L28"/>
  <c r="M28"/>
  <c r="A12"/>
  <c r="B12"/>
  <c r="C12"/>
  <c r="D12"/>
  <c r="E12"/>
  <c r="F12"/>
  <c r="G12"/>
  <c r="I12"/>
  <c r="J12"/>
  <c r="K12"/>
  <c r="L12"/>
  <c r="M12"/>
  <c r="A13"/>
  <c r="B13"/>
  <c r="C13"/>
  <c r="D13"/>
  <c r="E13"/>
  <c r="F13"/>
  <c r="G13"/>
  <c r="I13"/>
  <c r="J13"/>
  <c r="K13"/>
  <c r="L13"/>
  <c r="M13"/>
  <c r="A14"/>
  <c r="B14"/>
  <c r="C14"/>
  <c r="D14"/>
  <c r="E14"/>
  <c r="F14"/>
  <c r="G14"/>
  <c r="I14"/>
  <c r="J14"/>
  <c r="K14"/>
  <c r="L14"/>
  <c r="M14"/>
  <c r="A15"/>
  <c r="B15"/>
  <c r="C15"/>
  <c r="D15"/>
  <c r="E15"/>
  <c r="F15"/>
  <c r="G15"/>
  <c r="I15"/>
  <c r="J15"/>
  <c r="K15"/>
  <c r="L15"/>
  <c r="M15"/>
  <c r="T75" i="28"/>
  <c r="O75"/>
  <c r="P75"/>
  <c r="Q75"/>
  <c r="R75"/>
  <c r="S75"/>
  <c r="BH75"/>
  <c r="BI75"/>
  <c r="B75"/>
  <c r="A75"/>
  <c r="A74"/>
  <c r="BI74"/>
  <c r="BH74"/>
  <c r="AY74"/>
  <c r="T74"/>
  <c r="T73" s="1"/>
  <c r="S74"/>
  <c r="R74"/>
  <c r="Q74"/>
  <c r="P74"/>
  <c r="O74"/>
  <c r="B74"/>
  <c r="A12"/>
  <c r="A13"/>
  <c r="A14"/>
  <c r="A15"/>
  <c r="N74" l="1"/>
  <c r="M74" s="1"/>
  <c r="R73"/>
  <c r="P73"/>
  <c r="Q73"/>
  <c r="S73"/>
  <c r="O73"/>
  <c r="N75"/>
  <c r="M75" s="1"/>
  <c r="N73" l="1"/>
  <c r="M73"/>
  <c r="R64" i="1"/>
  <c r="R52"/>
  <c r="BT91"/>
  <c r="BT99"/>
  <c r="BB29" i="27"/>
  <c r="BC29"/>
  <c r="BE29"/>
  <c r="BF29"/>
  <c r="BH29"/>
  <c r="BI29"/>
  <c r="BJ29"/>
  <c r="BK29"/>
  <c r="BL29"/>
  <c r="BM29"/>
  <c r="Q93" i="1"/>
  <c r="P93"/>
  <c r="O93"/>
  <c r="N93"/>
  <c r="M93"/>
  <c r="BY91"/>
  <c r="BX91"/>
  <c r="BW91"/>
  <c r="BV91"/>
  <c r="BU91"/>
  <c r="BS91"/>
  <c r="BR91"/>
  <c r="BQ91"/>
  <c r="BP91"/>
  <c r="BO91"/>
  <c r="BN91"/>
  <c r="Q92"/>
  <c r="P92"/>
  <c r="O92"/>
  <c r="N92"/>
  <c r="M92"/>
  <c r="M91" l="1"/>
  <c r="O91"/>
  <c r="BG29" i="27"/>
  <c r="BD29"/>
  <c r="BN29" s="1"/>
  <c r="L93" i="1"/>
  <c r="L75" i="28" s="1"/>
  <c r="J75" s="1"/>
  <c r="N91" i="1"/>
  <c r="P91"/>
  <c r="Q91"/>
  <c r="L92"/>
  <c r="K93" l="1"/>
  <c r="K75" i="28" s="1"/>
  <c r="I75" s="1"/>
  <c r="K92" i="1"/>
  <c r="K74" i="28" s="1"/>
  <c r="I74" s="1"/>
  <c r="L74"/>
  <c r="J74" s="1"/>
  <c r="L91" i="1"/>
  <c r="A71" i="28"/>
  <c r="Z81"/>
  <c r="AA81"/>
  <c r="AB81"/>
  <c r="AC81"/>
  <c r="AD81"/>
  <c r="AE81"/>
  <c r="BJ26" i="13"/>
  <c r="B44" i="27"/>
  <c r="K91" i="1" l="1"/>
  <c r="B68" i="28"/>
  <c r="BH24" i="27" l="1"/>
  <c r="AY103" i="28"/>
  <c r="AY102"/>
  <c r="AY101"/>
  <c r="AY100"/>
  <c r="AY99"/>
  <c r="T103"/>
  <c r="Z99"/>
  <c r="Z100"/>
  <c r="T102"/>
  <c r="T101"/>
  <c r="T100"/>
  <c r="T99"/>
  <c r="BI82" l="1"/>
  <c r="BH82"/>
  <c r="BF81"/>
  <c r="BE81"/>
  <c r="BD81"/>
  <c r="BC81"/>
  <c r="BB81"/>
  <c r="BA81"/>
  <c r="AZ81"/>
  <c r="AW81"/>
  <c r="AV81"/>
  <c r="AU81"/>
  <c r="AT81"/>
  <c r="AS81"/>
  <c r="AQ81"/>
  <c r="AP81"/>
  <c r="AO81"/>
  <c r="AN81"/>
  <c r="AM81"/>
  <c r="AL81"/>
  <c r="AK81"/>
  <c r="AJ81"/>
  <c r="AI81"/>
  <c r="AH81"/>
  <c r="AG81"/>
  <c r="AF81"/>
  <c r="U81"/>
  <c r="W81"/>
  <c r="X81"/>
  <c r="Y81"/>
  <c r="T81"/>
  <c r="AY82"/>
  <c r="AR82"/>
  <c r="S82"/>
  <c r="R82"/>
  <c r="Q82"/>
  <c r="P82"/>
  <c r="O82"/>
  <c r="O60"/>
  <c r="P60"/>
  <c r="Q60"/>
  <c r="R60"/>
  <c r="S60"/>
  <c r="S85"/>
  <c r="R85"/>
  <c r="R84" s="1"/>
  <c r="R92" s="1"/>
  <c r="Q85"/>
  <c r="Q84" s="1"/>
  <c r="Q92" s="1"/>
  <c r="P85"/>
  <c r="P84" s="1"/>
  <c r="P92" s="1"/>
  <c r="O85"/>
  <c r="O84" s="1"/>
  <c r="O92" s="1"/>
  <c r="S83"/>
  <c r="R83"/>
  <c r="Q83"/>
  <c r="P83"/>
  <c r="O83"/>
  <c r="S80"/>
  <c r="R80"/>
  <c r="Q80"/>
  <c r="P80"/>
  <c r="O80"/>
  <c r="S79"/>
  <c r="R79"/>
  <c r="Q79"/>
  <c r="P79"/>
  <c r="O79"/>
  <c r="S78"/>
  <c r="R78"/>
  <c r="Q78"/>
  <c r="P78"/>
  <c r="O78"/>
  <c r="S77"/>
  <c r="R77"/>
  <c r="Q77"/>
  <c r="P77"/>
  <c r="O77"/>
  <c r="S71"/>
  <c r="S70" s="1"/>
  <c r="R71"/>
  <c r="R70" s="1"/>
  <c r="Q71"/>
  <c r="P71"/>
  <c r="P70" s="1"/>
  <c r="O71"/>
  <c r="O70" s="1"/>
  <c r="S68"/>
  <c r="S67" s="1"/>
  <c r="R68"/>
  <c r="R67" s="1"/>
  <c r="Q68"/>
  <c r="P68"/>
  <c r="P67" s="1"/>
  <c r="O68"/>
  <c r="S65"/>
  <c r="R65"/>
  <c r="Q65"/>
  <c r="P65"/>
  <c r="O65"/>
  <c r="S64"/>
  <c r="R64"/>
  <c r="Q64"/>
  <c r="P64"/>
  <c r="O64"/>
  <c r="S59"/>
  <c r="R59"/>
  <c r="Q59"/>
  <c r="P59"/>
  <c r="O59"/>
  <c r="S58"/>
  <c r="R58"/>
  <c r="Q58"/>
  <c r="P58"/>
  <c r="O58"/>
  <c r="S54"/>
  <c r="R54"/>
  <c r="Q54"/>
  <c r="P54"/>
  <c r="O54"/>
  <c r="S53"/>
  <c r="R53"/>
  <c r="Q53"/>
  <c r="P53"/>
  <c r="O53"/>
  <c r="S52"/>
  <c r="R52"/>
  <c r="Q52"/>
  <c r="P52"/>
  <c r="O52"/>
  <c r="S50"/>
  <c r="R50"/>
  <c r="Q50"/>
  <c r="P50"/>
  <c r="O50"/>
  <c r="S49"/>
  <c r="R49"/>
  <c r="Q49"/>
  <c r="P49"/>
  <c r="O49"/>
  <c r="S48"/>
  <c r="R48"/>
  <c r="Q48"/>
  <c r="P48"/>
  <c r="O48"/>
  <c r="S47"/>
  <c r="R47"/>
  <c r="Q47"/>
  <c r="P47"/>
  <c r="O47"/>
  <c r="S46"/>
  <c r="R46"/>
  <c r="Q46"/>
  <c r="P46"/>
  <c r="O46"/>
  <c r="S45"/>
  <c r="R45"/>
  <c r="Q45"/>
  <c r="P45"/>
  <c r="O45"/>
  <c r="S43"/>
  <c r="R43"/>
  <c r="Q43"/>
  <c r="P43"/>
  <c r="O43"/>
  <c r="S42"/>
  <c r="R42"/>
  <c r="Q42"/>
  <c r="P42"/>
  <c r="O42"/>
  <c r="S40"/>
  <c r="R40"/>
  <c r="Q40"/>
  <c r="P40"/>
  <c r="O40"/>
  <c r="S39"/>
  <c r="R39"/>
  <c r="Q39"/>
  <c r="P39"/>
  <c r="O39"/>
  <c r="S38"/>
  <c r="R38"/>
  <c r="Q38"/>
  <c r="P38"/>
  <c r="O38"/>
  <c r="S36"/>
  <c r="R36"/>
  <c r="Q36"/>
  <c r="P36"/>
  <c r="O36"/>
  <c r="S35"/>
  <c r="R35"/>
  <c r="Q35"/>
  <c r="P35"/>
  <c r="O35"/>
  <c r="R34"/>
  <c r="Q34"/>
  <c r="P34"/>
  <c r="O34"/>
  <c r="S33"/>
  <c r="R33"/>
  <c r="Q33"/>
  <c r="P33"/>
  <c r="O33"/>
  <c r="S32"/>
  <c r="R32"/>
  <c r="Q32"/>
  <c r="P32"/>
  <c r="O32"/>
  <c r="S28"/>
  <c r="R28"/>
  <c r="Q28"/>
  <c r="P28"/>
  <c r="O28"/>
  <c r="S27"/>
  <c r="R27"/>
  <c r="Q27"/>
  <c r="P27"/>
  <c r="O27"/>
  <c r="R26"/>
  <c r="Q26"/>
  <c r="P26"/>
  <c r="O26"/>
  <c r="R25"/>
  <c r="Q25"/>
  <c r="P25"/>
  <c r="O25"/>
  <c r="R24"/>
  <c r="Q24"/>
  <c r="P24"/>
  <c r="O24"/>
  <c r="S23"/>
  <c r="R23"/>
  <c r="Q23"/>
  <c r="P23"/>
  <c r="O23"/>
  <c r="S22"/>
  <c r="R22"/>
  <c r="Q22"/>
  <c r="P22"/>
  <c r="O22"/>
  <c r="R19"/>
  <c r="Q19"/>
  <c r="P19"/>
  <c r="O19"/>
  <c r="R18"/>
  <c r="Q18"/>
  <c r="P18"/>
  <c r="O18"/>
  <c r="R17"/>
  <c r="Q17"/>
  <c r="P17"/>
  <c r="O17"/>
  <c r="O16" s="1"/>
  <c r="O12"/>
  <c r="P12"/>
  <c r="Q12"/>
  <c r="R12"/>
  <c r="O13"/>
  <c r="P13"/>
  <c r="Q13"/>
  <c r="R13"/>
  <c r="S13"/>
  <c r="O14"/>
  <c r="P14"/>
  <c r="Q14"/>
  <c r="R14"/>
  <c r="S14"/>
  <c r="O15"/>
  <c r="P15"/>
  <c r="Q15"/>
  <c r="R15"/>
  <c r="S15"/>
  <c r="O11"/>
  <c r="P11"/>
  <c r="Q11"/>
  <c r="R11"/>
  <c r="BL25" i="27"/>
  <c r="BL26"/>
  <c r="BL27"/>
  <c r="BL28"/>
  <c r="BK25"/>
  <c r="BK26"/>
  <c r="BK27"/>
  <c r="BK28"/>
  <c r="BK30"/>
  <c r="BM27"/>
  <c r="BM28"/>
  <c r="Z103" i="28"/>
  <c r="Z102"/>
  <c r="Z101"/>
  <c r="AE93"/>
  <c r="AD93"/>
  <c r="AC93"/>
  <c r="AB93"/>
  <c r="AA93"/>
  <c r="Z93"/>
  <c r="AE92"/>
  <c r="AD92"/>
  <c r="AC92"/>
  <c r="AB92"/>
  <c r="AA92"/>
  <c r="Z80"/>
  <c r="Z79"/>
  <c r="Z78"/>
  <c r="Z77"/>
  <c r="AE76"/>
  <c r="AD76"/>
  <c r="AC76"/>
  <c r="AC91" s="1"/>
  <c r="AB76"/>
  <c r="AA76"/>
  <c r="AD5" s="1"/>
  <c r="AD10"/>
  <c r="AC10"/>
  <c r="AB10"/>
  <c r="AA10"/>
  <c r="AY14"/>
  <c r="BH10"/>
  <c r="BI10"/>
  <c r="BH11"/>
  <c r="BI11"/>
  <c r="BH12"/>
  <c r="BI12"/>
  <c r="BH13"/>
  <c r="BI13"/>
  <c r="BH14"/>
  <c r="BI14"/>
  <c r="BH15"/>
  <c r="BI15"/>
  <c r="BH16"/>
  <c r="BI16"/>
  <c r="BH17"/>
  <c r="BI17"/>
  <c r="BH18"/>
  <c r="BI18"/>
  <c r="BH19"/>
  <c r="BI19"/>
  <c r="BH20"/>
  <c r="BI20"/>
  <c r="BH21"/>
  <c r="BI21"/>
  <c r="BH22"/>
  <c r="BI22"/>
  <c r="BH23"/>
  <c r="BI23"/>
  <c r="BH24"/>
  <c r="BI24"/>
  <c r="BH25"/>
  <c r="BI25"/>
  <c r="BH26"/>
  <c r="BI26"/>
  <c r="BH27"/>
  <c r="BI27"/>
  <c r="BH28"/>
  <c r="BI28"/>
  <c r="BH29"/>
  <c r="BI29"/>
  <c r="BH30"/>
  <c r="BI30"/>
  <c r="BH31"/>
  <c r="BI31"/>
  <c r="BH32"/>
  <c r="BI32"/>
  <c r="BH33"/>
  <c r="BI33"/>
  <c r="BH34"/>
  <c r="BI34"/>
  <c r="BH35"/>
  <c r="BI35"/>
  <c r="BH36"/>
  <c r="BI36"/>
  <c r="BH37"/>
  <c r="BI37"/>
  <c r="BH38"/>
  <c r="BI38"/>
  <c r="BH39"/>
  <c r="BI39"/>
  <c r="BH40"/>
  <c r="BI40"/>
  <c r="BH42"/>
  <c r="BI42"/>
  <c r="BH43"/>
  <c r="BI43"/>
  <c r="BH44"/>
  <c r="BI44"/>
  <c r="BH45"/>
  <c r="BI45"/>
  <c r="BH46"/>
  <c r="BI46"/>
  <c r="BH47"/>
  <c r="BI47"/>
  <c r="BH48"/>
  <c r="BI48"/>
  <c r="BH49"/>
  <c r="BI49"/>
  <c r="BH50"/>
  <c r="BI50"/>
  <c r="BH51"/>
  <c r="BI51"/>
  <c r="BH52"/>
  <c r="BI52"/>
  <c r="BH53"/>
  <c r="BI53"/>
  <c r="BH54"/>
  <c r="BI54"/>
  <c r="BH55"/>
  <c r="BI55"/>
  <c r="BH56"/>
  <c r="BI56"/>
  <c r="BH57"/>
  <c r="BI57"/>
  <c r="BH58"/>
  <c r="BI58"/>
  <c r="BH59"/>
  <c r="BI59"/>
  <c r="BH60"/>
  <c r="BI60"/>
  <c r="BH61"/>
  <c r="BI61"/>
  <c r="BH62"/>
  <c r="BI62"/>
  <c r="BH63"/>
  <c r="BI63"/>
  <c r="BH64"/>
  <c r="BI64"/>
  <c r="BH65"/>
  <c r="BI65"/>
  <c r="BH66"/>
  <c r="BI66"/>
  <c r="BH67"/>
  <c r="BI67"/>
  <c r="BH68"/>
  <c r="BI68"/>
  <c r="BH69"/>
  <c r="BI69"/>
  <c r="BH70"/>
  <c r="BI70"/>
  <c r="BH71"/>
  <c r="BI71"/>
  <c r="BH72"/>
  <c r="BI72"/>
  <c r="BH73"/>
  <c r="BI73"/>
  <c r="BH76"/>
  <c r="BI76"/>
  <c r="BH77"/>
  <c r="BI77"/>
  <c r="BH78"/>
  <c r="BI78"/>
  <c r="BH79"/>
  <c r="BI79"/>
  <c r="BH80"/>
  <c r="BI80"/>
  <c r="BH81"/>
  <c r="BI81"/>
  <c r="BH83"/>
  <c r="BI83"/>
  <c r="BH84"/>
  <c r="BI84"/>
  <c r="BH85"/>
  <c r="BI85"/>
  <c r="BI9"/>
  <c r="BH9"/>
  <c r="I10" i="29"/>
  <c r="J10"/>
  <c r="K10"/>
  <c r="L10"/>
  <c r="M10"/>
  <c r="I11"/>
  <c r="J11"/>
  <c r="K11"/>
  <c r="L11"/>
  <c r="M11"/>
  <c r="I16"/>
  <c r="J16"/>
  <c r="K16"/>
  <c r="L16"/>
  <c r="M16"/>
  <c r="I17"/>
  <c r="J17"/>
  <c r="K17"/>
  <c r="L17"/>
  <c r="M17"/>
  <c r="I29"/>
  <c r="J29"/>
  <c r="K29"/>
  <c r="L29"/>
  <c r="M29"/>
  <c r="I30"/>
  <c r="J30"/>
  <c r="K30"/>
  <c r="L30"/>
  <c r="M30"/>
  <c r="I31"/>
  <c r="J31"/>
  <c r="K31"/>
  <c r="L31"/>
  <c r="M31"/>
  <c r="I32"/>
  <c r="J32"/>
  <c r="K32"/>
  <c r="L32"/>
  <c r="M32"/>
  <c r="I37"/>
  <c r="J37"/>
  <c r="K37"/>
  <c r="L37"/>
  <c r="M37"/>
  <c r="I38"/>
  <c r="J38"/>
  <c r="K38"/>
  <c r="L38"/>
  <c r="M38"/>
  <c r="I43"/>
  <c r="J43"/>
  <c r="K43"/>
  <c r="L43"/>
  <c r="M43"/>
  <c r="I44"/>
  <c r="J44"/>
  <c r="K44"/>
  <c r="L44"/>
  <c r="M44"/>
  <c r="I50"/>
  <c r="J50"/>
  <c r="K50"/>
  <c r="L50"/>
  <c r="M50"/>
  <c r="I51"/>
  <c r="J51"/>
  <c r="K51"/>
  <c r="L51"/>
  <c r="M51"/>
  <c r="I54"/>
  <c r="J54"/>
  <c r="K54"/>
  <c r="L54"/>
  <c r="M54"/>
  <c r="I55"/>
  <c r="J55"/>
  <c r="K55"/>
  <c r="L55"/>
  <c r="M55"/>
  <c r="I56"/>
  <c r="J56"/>
  <c r="K56"/>
  <c r="L56"/>
  <c r="M56"/>
  <c r="I57"/>
  <c r="J57"/>
  <c r="K57"/>
  <c r="L57"/>
  <c r="M57"/>
  <c r="I61"/>
  <c r="J61"/>
  <c r="K61"/>
  <c r="L61"/>
  <c r="M61"/>
  <c r="I62"/>
  <c r="J62"/>
  <c r="K62"/>
  <c r="L62"/>
  <c r="M62"/>
  <c r="I63"/>
  <c r="J63"/>
  <c r="K63"/>
  <c r="L63"/>
  <c r="M63"/>
  <c r="I64"/>
  <c r="J64"/>
  <c r="K64"/>
  <c r="L64"/>
  <c r="M64"/>
  <c r="I65"/>
  <c r="J65"/>
  <c r="K65"/>
  <c r="L65"/>
  <c r="M65"/>
  <c r="I66"/>
  <c r="J66"/>
  <c r="K66"/>
  <c r="L66"/>
  <c r="M66"/>
  <c r="I67"/>
  <c r="J67"/>
  <c r="K67"/>
  <c r="L67"/>
  <c r="M67"/>
  <c r="I68"/>
  <c r="J68"/>
  <c r="K68"/>
  <c r="L68"/>
  <c r="M68"/>
  <c r="I69"/>
  <c r="J69"/>
  <c r="K69"/>
  <c r="L69"/>
  <c r="M69"/>
  <c r="I70"/>
  <c r="J70"/>
  <c r="K70"/>
  <c r="L70"/>
  <c r="M70"/>
  <c r="I71"/>
  <c r="J71"/>
  <c r="K71"/>
  <c r="L71"/>
  <c r="M71"/>
  <c r="I72"/>
  <c r="J72"/>
  <c r="K72"/>
  <c r="L72"/>
  <c r="M72"/>
  <c r="I73"/>
  <c r="J73"/>
  <c r="K73"/>
  <c r="L73"/>
  <c r="M73"/>
  <c r="I76"/>
  <c r="J76"/>
  <c r="K76"/>
  <c r="L76"/>
  <c r="M76"/>
  <c r="I77"/>
  <c r="J77"/>
  <c r="K77"/>
  <c r="L77"/>
  <c r="M77"/>
  <c r="I78"/>
  <c r="J78"/>
  <c r="K78"/>
  <c r="L78"/>
  <c r="M78"/>
  <c r="I79"/>
  <c r="J79"/>
  <c r="K79"/>
  <c r="L79"/>
  <c r="M79"/>
  <c r="I80"/>
  <c r="J80"/>
  <c r="K80"/>
  <c r="L80"/>
  <c r="M80"/>
  <c r="I81"/>
  <c r="J81"/>
  <c r="K81"/>
  <c r="L81"/>
  <c r="M81"/>
  <c r="I82"/>
  <c r="J82"/>
  <c r="K82"/>
  <c r="L82"/>
  <c r="M82"/>
  <c r="I83"/>
  <c r="J83"/>
  <c r="K83"/>
  <c r="L83"/>
  <c r="M83"/>
  <c r="I84"/>
  <c r="J84"/>
  <c r="K84"/>
  <c r="L84"/>
  <c r="M84"/>
  <c r="I85"/>
  <c r="J85"/>
  <c r="K85"/>
  <c r="L85"/>
  <c r="M85"/>
  <c r="I86"/>
  <c r="J86"/>
  <c r="K86"/>
  <c r="L86"/>
  <c r="M86"/>
  <c r="J9"/>
  <c r="K9"/>
  <c r="L9"/>
  <c r="M9"/>
  <c r="I9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57"/>
  <c r="B57"/>
  <c r="C57"/>
  <c r="D57"/>
  <c r="E57"/>
  <c r="F57"/>
  <c r="G57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A10"/>
  <c r="B10"/>
  <c r="C10"/>
  <c r="D10"/>
  <c r="E10"/>
  <c r="F10"/>
  <c r="G10"/>
  <c r="A11"/>
  <c r="B11"/>
  <c r="C11"/>
  <c r="D11"/>
  <c r="E11"/>
  <c r="F11"/>
  <c r="G11"/>
  <c r="A16"/>
  <c r="B16"/>
  <c r="C16"/>
  <c r="D16"/>
  <c r="E16"/>
  <c r="F16"/>
  <c r="G16"/>
  <c r="A17"/>
  <c r="B17"/>
  <c r="C17"/>
  <c r="D17"/>
  <c r="E17"/>
  <c r="F17"/>
  <c r="G17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7"/>
  <c r="B37"/>
  <c r="C37"/>
  <c r="D37"/>
  <c r="E37"/>
  <c r="F37"/>
  <c r="G37"/>
  <c r="A38"/>
  <c r="B38"/>
  <c r="C38"/>
  <c r="D38"/>
  <c r="E38"/>
  <c r="F38"/>
  <c r="G38"/>
  <c r="A43"/>
  <c r="B43"/>
  <c r="C43"/>
  <c r="D43"/>
  <c r="E43"/>
  <c r="F43"/>
  <c r="G43"/>
  <c r="A44"/>
  <c r="B44"/>
  <c r="C44"/>
  <c r="D44"/>
  <c r="E44"/>
  <c r="F44"/>
  <c r="G44"/>
  <c r="A50"/>
  <c r="B50"/>
  <c r="C50"/>
  <c r="D50"/>
  <c r="E50"/>
  <c r="F50"/>
  <c r="G50"/>
  <c r="A51"/>
  <c r="B51"/>
  <c r="C51"/>
  <c r="D51"/>
  <c r="E51"/>
  <c r="F51"/>
  <c r="G51"/>
  <c r="B9"/>
  <c r="C9"/>
  <c r="D9"/>
  <c r="E9"/>
  <c r="F9"/>
  <c r="G9"/>
  <c r="A9"/>
  <c r="K55" i="28"/>
  <c r="L55"/>
  <c r="K61"/>
  <c r="L61"/>
  <c r="K66"/>
  <c r="L66"/>
  <c r="K69"/>
  <c r="L69"/>
  <c r="K72"/>
  <c r="L72"/>
  <c r="K73"/>
  <c r="L73"/>
  <c r="A73"/>
  <c r="B73"/>
  <c r="A76"/>
  <c r="B76"/>
  <c r="A77"/>
  <c r="B77"/>
  <c r="A78"/>
  <c r="B78"/>
  <c r="A79"/>
  <c r="B79"/>
  <c r="A80"/>
  <c r="B80"/>
  <c r="A81"/>
  <c r="B81"/>
  <c r="A83"/>
  <c r="B83"/>
  <c r="A84"/>
  <c r="B84"/>
  <c r="A85"/>
  <c r="B85"/>
  <c r="A67"/>
  <c r="B67"/>
  <c r="A68"/>
  <c r="A70"/>
  <c r="B70"/>
  <c r="B71"/>
  <c r="A72"/>
  <c r="A62"/>
  <c r="B62"/>
  <c r="A63"/>
  <c r="B63"/>
  <c r="B64"/>
  <c r="B65"/>
  <c r="B58"/>
  <c r="B59"/>
  <c r="B60"/>
  <c r="A56"/>
  <c r="B56"/>
  <c r="A57"/>
  <c r="B57"/>
  <c r="A51"/>
  <c r="B51"/>
  <c r="A52"/>
  <c r="B52"/>
  <c r="A53"/>
  <c r="B53"/>
  <c r="A54"/>
  <c r="B54"/>
  <c r="A45"/>
  <c r="B45"/>
  <c r="A46"/>
  <c r="B46"/>
  <c r="A47"/>
  <c r="B47"/>
  <c r="A48"/>
  <c r="B48"/>
  <c r="A49"/>
  <c r="B49"/>
  <c r="A50"/>
  <c r="B50"/>
  <c r="A44"/>
  <c r="B44"/>
  <c r="A38"/>
  <c r="B38"/>
  <c r="AY40"/>
  <c r="AX40"/>
  <c r="T40"/>
  <c r="B37"/>
  <c r="A37"/>
  <c r="B32"/>
  <c r="B33"/>
  <c r="B34"/>
  <c r="B35"/>
  <c r="B36"/>
  <c r="A32"/>
  <c r="A33"/>
  <c r="A34"/>
  <c r="A35"/>
  <c r="A36"/>
  <c r="B29"/>
  <c r="B30"/>
  <c r="B31"/>
  <c r="A29"/>
  <c r="A30"/>
  <c r="A31"/>
  <c r="A22"/>
  <c r="A23"/>
  <c r="A24"/>
  <c r="A25"/>
  <c r="A26"/>
  <c r="A27"/>
  <c r="A28"/>
  <c r="B20"/>
  <c r="B21"/>
  <c r="A21"/>
  <c r="A20"/>
  <c r="A17"/>
  <c r="A18"/>
  <c r="A19"/>
  <c r="B16"/>
  <c r="A16"/>
  <c r="A11"/>
  <c r="BJ28" i="27"/>
  <c r="BI28"/>
  <c r="BH28"/>
  <c r="BF28"/>
  <c r="BE28"/>
  <c r="BC28"/>
  <c r="BB28"/>
  <c r="AR103" i="28"/>
  <c r="AL103"/>
  <c r="AF103"/>
  <c r="AR102"/>
  <c r="AL102"/>
  <c r="AF102"/>
  <c r="AR101"/>
  <c r="AL101"/>
  <c r="AF101"/>
  <c r="AR100"/>
  <c r="AL100"/>
  <c r="AF100"/>
  <c r="AR99"/>
  <c r="AL99"/>
  <c r="AF99"/>
  <c r="BE93"/>
  <c r="BD93"/>
  <c r="BC93"/>
  <c r="BB93"/>
  <c r="BA93"/>
  <c r="AZ93"/>
  <c r="AY93"/>
  <c r="AV93"/>
  <c r="AU93"/>
  <c r="AT93"/>
  <c r="AS93"/>
  <c r="AR93"/>
  <c r="AQ93"/>
  <c r="AP93"/>
  <c r="AO93"/>
  <c r="AN93"/>
  <c r="AM93"/>
  <c r="AK93"/>
  <c r="AJ93"/>
  <c r="AI93"/>
  <c r="AH93"/>
  <c r="AG93"/>
  <c r="Y93"/>
  <c r="X93"/>
  <c r="W93"/>
  <c r="V93"/>
  <c r="U93"/>
  <c r="T93"/>
  <c r="S93"/>
  <c r="R93"/>
  <c r="Q93"/>
  <c r="P93"/>
  <c r="O93"/>
  <c r="N93"/>
  <c r="M93"/>
  <c r="K93"/>
  <c r="AQ92"/>
  <c r="AP92"/>
  <c r="AO92"/>
  <c r="AN92"/>
  <c r="AM92"/>
  <c r="AK92"/>
  <c r="AJ92"/>
  <c r="AI92"/>
  <c r="AH92"/>
  <c r="AG92"/>
  <c r="Y92"/>
  <c r="X92"/>
  <c r="W92"/>
  <c r="V92"/>
  <c r="U92"/>
  <c r="T92"/>
  <c r="A89"/>
  <c r="A88"/>
  <c r="L86"/>
  <c r="L93" s="1"/>
  <c r="AY85"/>
  <c r="AY84" s="1"/>
  <c r="AY92" s="1"/>
  <c r="AR85"/>
  <c r="AR84" s="1"/>
  <c r="AR92" s="1"/>
  <c r="BF84"/>
  <c r="BF93" s="1"/>
  <c r="BE84"/>
  <c r="BE92" s="1"/>
  <c r="BD84"/>
  <c r="BD92" s="1"/>
  <c r="BC84"/>
  <c r="BC92" s="1"/>
  <c r="BB84"/>
  <c r="BB92" s="1"/>
  <c r="BA84"/>
  <c r="BA92" s="1"/>
  <c r="AZ84"/>
  <c r="AZ92" s="1"/>
  <c r="AX84"/>
  <c r="AX92" s="1"/>
  <c r="AW84"/>
  <c r="AW93" s="1"/>
  <c r="AV84"/>
  <c r="AV92" s="1"/>
  <c r="AU84"/>
  <c r="AU92" s="1"/>
  <c r="AT84"/>
  <c r="AT92" s="1"/>
  <c r="AS84"/>
  <c r="AS92" s="1"/>
  <c r="S84"/>
  <c r="S92" s="1"/>
  <c r="AY83"/>
  <c r="AR83"/>
  <c r="AX81"/>
  <c r="S81"/>
  <c r="P81"/>
  <c r="AY80"/>
  <c r="AR80"/>
  <c r="AL80"/>
  <c r="AF80"/>
  <c r="T80"/>
  <c r="AY79"/>
  <c r="AR79"/>
  <c r="AL79"/>
  <c r="AF79"/>
  <c r="T79"/>
  <c r="AY78"/>
  <c r="AR78"/>
  <c r="AL78"/>
  <c r="AF78"/>
  <c r="T78"/>
  <c r="AY77"/>
  <c r="AX77"/>
  <c r="AR77"/>
  <c r="AL77"/>
  <c r="AF77"/>
  <c r="T77"/>
  <c r="BF76"/>
  <c r="BE76"/>
  <c r="BD76"/>
  <c r="BC76"/>
  <c r="BB76"/>
  <c r="BA76"/>
  <c r="AZ76"/>
  <c r="AW76"/>
  <c r="AV76"/>
  <c r="AU76"/>
  <c r="AT76"/>
  <c r="AS76"/>
  <c r="AQ76"/>
  <c r="AP76"/>
  <c r="AO76"/>
  <c r="AN76"/>
  <c r="AM76"/>
  <c r="AK76"/>
  <c r="AK91" s="1"/>
  <c r="AJ76"/>
  <c r="AJ91" s="1"/>
  <c r="AI76"/>
  <c r="AH76"/>
  <c r="AH91" s="1"/>
  <c r="AG76"/>
  <c r="Y76"/>
  <c r="Y91" s="1"/>
  <c r="X76"/>
  <c r="X91" s="1"/>
  <c r="W76"/>
  <c r="W91" s="1"/>
  <c r="V76"/>
  <c r="V91" s="1"/>
  <c r="U76"/>
  <c r="AX73"/>
  <c r="AY71"/>
  <c r="T71"/>
  <c r="T70" s="1"/>
  <c r="BF70"/>
  <c r="BE70"/>
  <c r="BD70"/>
  <c r="BC70"/>
  <c r="BB70"/>
  <c r="BA70"/>
  <c r="AZ70"/>
  <c r="AY70"/>
  <c r="Q70"/>
  <c r="AY68"/>
  <c r="AY67" s="1"/>
  <c r="T68"/>
  <c r="T67" s="1"/>
  <c r="BF67"/>
  <c r="BE67"/>
  <c r="BD67"/>
  <c r="BC67"/>
  <c r="BB67"/>
  <c r="BA67"/>
  <c r="AZ67"/>
  <c r="Q67"/>
  <c r="O67"/>
  <c r="AY65"/>
  <c r="T65"/>
  <c r="AY64"/>
  <c r="T64"/>
  <c r="AY63"/>
  <c r="T63"/>
  <c r="S63"/>
  <c r="R63"/>
  <c r="Q63"/>
  <c r="P63"/>
  <c r="O63"/>
  <c r="BF62"/>
  <c r="BE62"/>
  <c r="BD62"/>
  <c r="BC62"/>
  <c r="BB62"/>
  <c r="BA62"/>
  <c r="AZ62"/>
  <c r="Q62"/>
  <c r="AY59"/>
  <c r="T59"/>
  <c r="AY58"/>
  <c r="AX58"/>
  <c r="T58"/>
  <c r="AY57"/>
  <c r="AX57"/>
  <c r="T57"/>
  <c r="S57"/>
  <c r="R57"/>
  <c r="Q57"/>
  <c r="P57"/>
  <c r="O57"/>
  <c r="BF56"/>
  <c r="BE56"/>
  <c r="BD56"/>
  <c r="BC56"/>
  <c r="BB56"/>
  <c r="BA56"/>
  <c r="AZ56"/>
  <c r="AY54"/>
  <c r="T54"/>
  <c r="AY53"/>
  <c r="T53"/>
  <c r="AY52"/>
  <c r="T52"/>
  <c r="BF51"/>
  <c r="BE51"/>
  <c r="BD51"/>
  <c r="BC51"/>
  <c r="BB51"/>
  <c r="BA51"/>
  <c r="AZ51"/>
  <c r="O51"/>
  <c r="AY50"/>
  <c r="T50"/>
  <c r="AY49"/>
  <c r="T49"/>
  <c r="AY48"/>
  <c r="AX48"/>
  <c r="T48"/>
  <c r="AY47"/>
  <c r="T47"/>
  <c r="AY46"/>
  <c r="T46"/>
  <c r="AY45"/>
  <c r="T45"/>
  <c r="BF44"/>
  <c r="BE44"/>
  <c r="BD44"/>
  <c r="BC44"/>
  <c r="BB44"/>
  <c r="BA44"/>
  <c r="AZ44"/>
  <c r="AY43"/>
  <c r="T43"/>
  <c r="AY42"/>
  <c r="AX42"/>
  <c r="T42"/>
  <c r="AY39"/>
  <c r="T39"/>
  <c r="AY38"/>
  <c r="T38"/>
  <c r="BF37"/>
  <c r="BE37"/>
  <c r="BD37"/>
  <c r="BC37"/>
  <c r="BB37"/>
  <c r="BA37"/>
  <c r="AZ37"/>
  <c r="AY36"/>
  <c r="T36"/>
  <c r="AY35"/>
  <c r="T35"/>
  <c r="AY34"/>
  <c r="T34"/>
  <c r="AY33"/>
  <c r="AX33"/>
  <c r="T33"/>
  <c r="AY32"/>
  <c r="AX32"/>
  <c r="T32"/>
  <c r="P31"/>
  <c r="BF31"/>
  <c r="BE31"/>
  <c r="BD31"/>
  <c r="BC31"/>
  <c r="BB31"/>
  <c r="BA31"/>
  <c r="AZ31"/>
  <c r="O31"/>
  <c r="AY28"/>
  <c r="AX28"/>
  <c r="T28"/>
  <c r="AY27"/>
  <c r="AX27"/>
  <c r="T27"/>
  <c r="AY26"/>
  <c r="AX26"/>
  <c r="T26"/>
  <c r="AX25"/>
  <c r="T25"/>
  <c r="AY24"/>
  <c r="AX24"/>
  <c r="T24"/>
  <c r="AY23"/>
  <c r="AX23"/>
  <c r="T23"/>
  <c r="AY22"/>
  <c r="AX22"/>
  <c r="T22"/>
  <c r="P21"/>
  <c r="BE21"/>
  <c r="BD21"/>
  <c r="BC21"/>
  <c r="BB21"/>
  <c r="BA21"/>
  <c r="AZ21"/>
  <c r="T19"/>
  <c r="AY18"/>
  <c r="AX18"/>
  <c r="AY17"/>
  <c r="AX17"/>
  <c r="BF16"/>
  <c r="BE16"/>
  <c r="BD16"/>
  <c r="BC16"/>
  <c r="BB16"/>
  <c r="BA16"/>
  <c r="AZ16"/>
  <c r="AY15"/>
  <c r="AX15"/>
  <c r="T15"/>
  <c r="T14"/>
  <c r="AY13"/>
  <c r="AX13"/>
  <c r="T13"/>
  <c r="AY12"/>
  <c r="AX12"/>
  <c r="T12"/>
  <c r="AY11"/>
  <c r="AX11"/>
  <c r="BF10"/>
  <c r="BE10"/>
  <c r="BD10"/>
  <c r="BC10"/>
  <c r="BB10"/>
  <c r="BA10"/>
  <c r="AZ10"/>
  <c r="AW10"/>
  <c r="AV10"/>
  <c r="AU10"/>
  <c r="AT10"/>
  <c r="AS10"/>
  <c r="AQ10"/>
  <c r="AP10"/>
  <c r="AO10"/>
  <c r="AN10"/>
  <c r="AM10"/>
  <c r="AK10"/>
  <c r="AJ10"/>
  <c r="AI10"/>
  <c r="AH10"/>
  <c r="AG10"/>
  <c r="X10"/>
  <c r="W10"/>
  <c r="V10"/>
  <c r="U10"/>
  <c r="B46" i="27"/>
  <c r="B45"/>
  <c r="B43"/>
  <c r="B42"/>
  <c r="B41"/>
  <c r="B40"/>
  <c r="B39"/>
  <c r="B38"/>
  <c r="B37"/>
  <c r="B36"/>
  <c r="BJ27"/>
  <c r="BI27"/>
  <c r="BH27"/>
  <c r="BF27"/>
  <c r="BE27"/>
  <c r="BC27"/>
  <c r="BB27"/>
  <c r="BM26"/>
  <c r="BJ26"/>
  <c r="BI26"/>
  <c r="BH26"/>
  <c r="BF26"/>
  <c r="BE26"/>
  <c r="BC26"/>
  <c r="BB26"/>
  <c r="BM25"/>
  <c r="BJ25"/>
  <c r="BI25"/>
  <c r="BH25"/>
  <c r="BF25"/>
  <c r="BE25"/>
  <c r="BC25"/>
  <c r="BB25"/>
  <c r="BM24"/>
  <c r="BL24"/>
  <c r="BK24"/>
  <c r="BJ24"/>
  <c r="BI24"/>
  <c r="BF24"/>
  <c r="BE24"/>
  <c r="BC24"/>
  <c r="BB24"/>
  <c r="D159" i="1"/>
  <c r="X5" i="28" l="1"/>
  <c r="AJ5"/>
  <c r="AP5"/>
  <c r="AX31"/>
  <c r="AX44"/>
  <c r="AV5"/>
  <c r="AZ30"/>
  <c r="AZ29" s="1"/>
  <c r="AA91"/>
  <c r="T37"/>
  <c r="BA30"/>
  <c r="BA29" s="1"/>
  <c r="BC30"/>
  <c r="BC29" s="1"/>
  <c r="BE30"/>
  <c r="BE29" s="1"/>
  <c r="T31"/>
  <c r="R37"/>
  <c r="O62"/>
  <c r="T51"/>
  <c r="Z92"/>
  <c r="O37"/>
  <c r="Q51"/>
  <c r="O76"/>
  <c r="Q76"/>
  <c r="BD30"/>
  <c r="BD29" s="1"/>
  <c r="AF96"/>
  <c r="AF92"/>
  <c r="AF93"/>
  <c r="Q10"/>
  <c r="R81"/>
  <c r="AX37"/>
  <c r="BD26" i="27"/>
  <c r="BG26"/>
  <c r="BD27"/>
  <c r="BG27"/>
  <c r="U91" i="28"/>
  <c r="AG91"/>
  <c r="AI91"/>
  <c r="AY81"/>
  <c r="AL92"/>
  <c r="AL93"/>
  <c r="R21"/>
  <c r="Q31"/>
  <c r="N34"/>
  <c r="Q37"/>
  <c r="P51"/>
  <c r="R51"/>
  <c r="P76"/>
  <c r="O81"/>
  <c r="Q81"/>
  <c r="S51"/>
  <c r="AQ9"/>
  <c r="AQ90" s="1"/>
  <c r="AT9"/>
  <c r="AT90" s="1"/>
  <c r="AH9"/>
  <c r="AH90" s="1"/>
  <c r="AH94" s="1"/>
  <c r="AA9"/>
  <c r="AA90" s="1"/>
  <c r="AG9"/>
  <c r="AG90" s="1"/>
  <c r="AM9"/>
  <c r="AM90" s="1"/>
  <c r="AS9"/>
  <c r="AS90" s="1"/>
  <c r="O10"/>
  <c r="AR96"/>
  <c r="AN9"/>
  <c r="AN90" s="1"/>
  <c r="R76"/>
  <c r="O30"/>
  <c r="P62"/>
  <c r="R62"/>
  <c r="S62"/>
  <c r="AB9"/>
  <c r="AB90" s="1"/>
  <c r="AD9"/>
  <c r="AD90" s="1"/>
  <c r="P37"/>
  <c r="P30" s="1"/>
  <c r="S37"/>
  <c r="AF10"/>
  <c r="BB30"/>
  <c r="BB29" s="1"/>
  <c r="BF30"/>
  <c r="BF29" s="1"/>
  <c r="R31"/>
  <c r="R10"/>
  <c r="P10"/>
  <c r="AX76"/>
  <c r="S76"/>
  <c r="S91" s="1"/>
  <c r="AX10"/>
  <c r="Q16"/>
  <c r="AV9"/>
  <c r="AV90" s="1"/>
  <c r="BC20"/>
  <c r="U9"/>
  <c r="W9"/>
  <c r="W90" s="1"/>
  <c r="W94" s="1"/>
  <c r="AI9"/>
  <c r="AI90" s="1"/>
  <c r="AI94" s="1"/>
  <c r="AO9"/>
  <c r="AO90" s="1"/>
  <c r="Q44"/>
  <c r="T44"/>
  <c r="S44"/>
  <c r="AM91"/>
  <c r="AO91"/>
  <c r="N82"/>
  <c r="M82" s="1"/>
  <c r="BN27" i="27"/>
  <c r="BN26"/>
  <c r="AY96" i="28"/>
  <c r="N17"/>
  <c r="N18"/>
  <c r="N19"/>
  <c r="N22"/>
  <c r="M22" s="1"/>
  <c r="N26"/>
  <c r="N32"/>
  <c r="M32" s="1"/>
  <c r="N40"/>
  <c r="M40" s="1"/>
  <c r="N50"/>
  <c r="M50" s="1"/>
  <c r="P56"/>
  <c r="R56"/>
  <c r="N68"/>
  <c r="M68" s="1"/>
  <c r="AR10"/>
  <c r="N78"/>
  <c r="M78" s="1"/>
  <c r="N80"/>
  <c r="M80" s="1"/>
  <c r="N85"/>
  <c r="BE5"/>
  <c r="AL76"/>
  <c r="N28"/>
  <c r="M28" s="1"/>
  <c r="O56"/>
  <c r="Q56"/>
  <c r="AR81"/>
  <c r="BE6"/>
  <c r="AV6"/>
  <c r="AN91"/>
  <c r="AP91"/>
  <c r="AQ91"/>
  <c r="AB91"/>
  <c r="AD91"/>
  <c r="AE91"/>
  <c r="T76"/>
  <c r="T91" s="1"/>
  <c r="N35"/>
  <c r="M35" s="1"/>
  <c r="N54"/>
  <c r="M54" s="1"/>
  <c r="N59"/>
  <c r="M59" s="1"/>
  <c r="N65"/>
  <c r="M65" s="1"/>
  <c r="N57"/>
  <c r="M57" s="1"/>
  <c r="T62"/>
  <c r="AY62"/>
  <c r="BC9"/>
  <c r="BC90" s="1"/>
  <c r="AP9"/>
  <c r="AP90" s="1"/>
  <c r="BE20"/>
  <c r="BE9" s="1"/>
  <c r="BE90" s="1"/>
  <c r="S56"/>
  <c r="N83"/>
  <c r="M83" s="1"/>
  <c r="AX16"/>
  <c r="BD20"/>
  <c r="BD9" s="1"/>
  <c r="BD90" s="1"/>
  <c r="R44"/>
  <c r="AY51"/>
  <c r="T56"/>
  <c r="N63"/>
  <c r="M63" s="1"/>
  <c r="AR76"/>
  <c r="N11"/>
  <c r="N39"/>
  <c r="M39" s="1"/>
  <c r="Z76"/>
  <c r="Z96"/>
  <c r="N84"/>
  <c r="N92" s="1"/>
  <c r="AL95"/>
  <c r="AY16"/>
  <c r="X9"/>
  <c r="X90" s="1"/>
  <c r="X94" s="1"/>
  <c r="T30"/>
  <c r="AY31"/>
  <c r="AY56"/>
  <c r="AF76"/>
  <c r="AY76"/>
  <c r="AY91" s="1"/>
  <c r="T96"/>
  <c r="AL96"/>
  <c r="N12"/>
  <c r="N43"/>
  <c r="M43" s="1"/>
  <c r="N48"/>
  <c r="M48" s="1"/>
  <c r="N52"/>
  <c r="M52" s="1"/>
  <c r="AZ20"/>
  <c r="AZ9" s="1"/>
  <c r="AZ90" s="1"/>
  <c r="AU9"/>
  <c r="AU90" s="1"/>
  <c r="BB20"/>
  <c r="BB9" s="1"/>
  <c r="BB90" s="1"/>
  <c r="N15"/>
  <c r="M15" s="1"/>
  <c r="N14"/>
  <c r="M14" s="1"/>
  <c r="N13"/>
  <c r="M13" s="1"/>
  <c r="N25"/>
  <c r="N36"/>
  <c r="M36" s="1"/>
  <c r="N38"/>
  <c r="M38" s="1"/>
  <c r="N47"/>
  <c r="M47" s="1"/>
  <c r="N60"/>
  <c r="M60" s="1"/>
  <c r="N77"/>
  <c r="M77" s="1"/>
  <c r="AS91"/>
  <c r="AU91"/>
  <c r="AZ91"/>
  <c r="BB91"/>
  <c r="BD91"/>
  <c r="BF91"/>
  <c r="N79"/>
  <c r="M79" s="1"/>
  <c r="AT91"/>
  <c r="AV91"/>
  <c r="AW91"/>
  <c r="BA91"/>
  <c r="BC91"/>
  <c r="BE91"/>
  <c r="BE94" s="1"/>
  <c r="N64"/>
  <c r="M64" s="1"/>
  <c r="N53"/>
  <c r="M53" s="1"/>
  <c r="N49"/>
  <c r="M49" s="1"/>
  <c r="AY44"/>
  <c r="O44"/>
  <c r="N46"/>
  <c r="M46" s="1"/>
  <c r="P44"/>
  <c r="N45"/>
  <c r="M45" s="1"/>
  <c r="AY37"/>
  <c r="N42"/>
  <c r="M42" s="1"/>
  <c r="N33"/>
  <c r="M33" s="1"/>
  <c r="BA20"/>
  <c r="BA9" s="1"/>
  <c r="BA90" s="1"/>
  <c r="M101"/>
  <c r="M103"/>
  <c r="N71"/>
  <c r="M71" s="1"/>
  <c r="N58"/>
  <c r="M58" s="1"/>
  <c r="N27"/>
  <c r="M27" s="1"/>
  <c r="AJ9"/>
  <c r="AJ90" s="1"/>
  <c r="AJ94" s="1"/>
  <c r="N24"/>
  <c r="T21"/>
  <c r="N23"/>
  <c r="M23" s="1"/>
  <c r="V9"/>
  <c r="V90" s="1"/>
  <c r="AX21"/>
  <c r="AX20" s="1"/>
  <c r="M100"/>
  <c r="AY10"/>
  <c r="AL10"/>
  <c r="BC30" i="27"/>
  <c r="BF30"/>
  <c r="BI30"/>
  <c r="BM30"/>
  <c r="BB30"/>
  <c r="BE30"/>
  <c r="BH30"/>
  <c r="BJ30"/>
  <c r="BL30"/>
  <c r="BD28"/>
  <c r="BG28"/>
  <c r="AC9" i="28"/>
  <c r="AC90" s="1"/>
  <c r="AC94" s="1"/>
  <c r="N67"/>
  <c r="P16"/>
  <c r="R16"/>
  <c r="O21"/>
  <c r="Q21"/>
  <c r="P91"/>
  <c r="R91"/>
  <c r="O91"/>
  <c r="Q91"/>
  <c r="BD25" i="27"/>
  <c r="BG25"/>
  <c r="M102" i="28"/>
  <c r="M99"/>
  <c r="BF92"/>
  <c r="AW92"/>
  <c r="BD24" i="27"/>
  <c r="BG24"/>
  <c r="AL98" i="28" l="1"/>
  <c r="R30"/>
  <c r="R29" s="1"/>
  <c r="R20" s="1"/>
  <c r="R9" s="1"/>
  <c r="R90" s="1"/>
  <c r="R94" s="1"/>
  <c r="O29"/>
  <c r="M85"/>
  <c r="M84" s="1"/>
  <c r="M92" s="1"/>
  <c r="AF91"/>
  <c r="Z91"/>
  <c r="AL91"/>
  <c r="N76"/>
  <c r="AX9"/>
  <c r="AQ94"/>
  <c r="Q30"/>
  <c r="Q29" s="1"/>
  <c r="Q20" s="1"/>
  <c r="Q9" s="1"/>
  <c r="Q90" s="1"/>
  <c r="Q94" s="1"/>
  <c r="AF98"/>
  <c r="Z98"/>
  <c r="M62"/>
  <c r="N62"/>
  <c r="N31"/>
  <c r="P29"/>
  <c r="P20" s="1"/>
  <c r="P9" s="1"/>
  <c r="P90" s="1"/>
  <c r="P94" s="1"/>
  <c r="N81"/>
  <c r="AD94"/>
  <c r="U90"/>
  <c r="M67"/>
  <c r="AS94"/>
  <c r="AT94"/>
  <c r="M70"/>
  <c r="M51"/>
  <c r="M37"/>
  <c r="AV94"/>
  <c r="AY30"/>
  <c r="AY29" s="1"/>
  <c r="BC94"/>
  <c r="AM94"/>
  <c r="AO94"/>
  <c r="AG94"/>
  <c r="BA94"/>
  <c r="AR91"/>
  <c r="BB94"/>
  <c r="AN94"/>
  <c r="AL9"/>
  <c r="BD94"/>
  <c r="AR98"/>
  <c r="BN28" i="27"/>
  <c r="T29" i="28"/>
  <c r="M81"/>
  <c r="AP94"/>
  <c r="AB94"/>
  <c r="M96"/>
  <c r="AU94"/>
  <c r="AZ94"/>
  <c r="N56"/>
  <c r="N21"/>
  <c r="N70"/>
  <c r="N51"/>
  <c r="N44"/>
  <c r="M44" s="1"/>
  <c r="N37"/>
  <c r="AL90"/>
  <c r="AY98"/>
  <c r="O20"/>
  <c r="O9" s="1"/>
  <c r="O90" s="1"/>
  <c r="O94" s="1"/>
  <c r="T20"/>
  <c r="V94"/>
  <c r="BD30" i="27"/>
  <c r="BG30"/>
  <c r="AA94" i="28"/>
  <c r="M76"/>
  <c r="N10"/>
  <c r="BN25" i="27"/>
  <c r="N16" i="28"/>
  <c r="BN24" i="27"/>
  <c r="N91" i="28" l="1"/>
  <c r="U94"/>
  <c r="T98"/>
  <c r="AL94"/>
  <c r="AL97"/>
  <c r="N30"/>
  <c r="N29" s="1"/>
  <c r="N20" s="1"/>
  <c r="M56"/>
  <c r="M91"/>
  <c r="BN30" i="27"/>
  <c r="N9" i="28" l="1"/>
  <c r="N90" s="1"/>
  <c r="N94" s="1"/>
  <c r="F15" i="24"/>
  <c r="BB96" i="1"/>
  <c r="BB97"/>
  <c r="AV96"/>
  <c r="AV97"/>
  <c r="AP96"/>
  <c r="AP97"/>
  <c r="I155"/>
  <c r="BU49" l="1"/>
  <c r="BU85"/>
  <c r="BO49"/>
  <c r="M102"/>
  <c r="N102"/>
  <c r="Q102"/>
  <c r="BY75"/>
  <c r="BY74" s="1"/>
  <c r="BX75"/>
  <c r="BX74" s="1"/>
  <c r="BW75"/>
  <c r="BW74" s="1"/>
  <c r="BV75"/>
  <c r="BV74" s="1"/>
  <c r="BU75"/>
  <c r="BU74" s="1"/>
  <c r="BT75"/>
  <c r="BT74" s="1"/>
  <c r="BS75"/>
  <c r="BS74" s="1"/>
  <c r="BR75"/>
  <c r="BR74" s="1"/>
  <c r="BQ75"/>
  <c r="BQ74" s="1"/>
  <c r="BP75"/>
  <c r="BP74" s="1"/>
  <c r="BO75"/>
  <c r="BO74" s="1"/>
  <c r="Y75"/>
  <c r="S75"/>
  <c r="BY49"/>
  <c r="BX49"/>
  <c r="BW49"/>
  <c r="BV49"/>
  <c r="BS49"/>
  <c r="BR49"/>
  <c r="BQ49"/>
  <c r="BP49"/>
  <c r="AC49"/>
  <c r="AB49"/>
  <c r="AA49"/>
  <c r="Z49"/>
  <c r="Y49"/>
  <c r="W49"/>
  <c r="V49"/>
  <c r="U49"/>
  <c r="T49"/>
  <c r="S49"/>
  <c r="BN75" l="1"/>
  <c r="BN74" s="1"/>
  <c r="BU48"/>
  <c r="BO48"/>
  <c r="BY85"/>
  <c r="BX85"/>
  <c r="BW85"/>
  <c r="BV85"/>
  <c r="BS85"/>
  <c r="BR85"/>
  <c r="BQ85"/>
  <c r="BP85"/>
  <c r="BO85"/>
  <c r="R51"/>
  <c r="Q51"/>
  <c r="P51"/>
  <c r="O51"/>
  <c r="N51"/>
  <c r="M51"/>
  <c r="AJ97"/>
  <c r="M97"/>
  <c r="N97"/>
  <c r="O97"/>
  <c r="P97"/>
  <c r="Q97"/>
  <c r="R76"/>
  <c r="Q76"/>
  <c r="P76"/>
  <c r="O76"/>
  <c r="N76"/>
  <c r="M76"/>
  <c r="R72"/>
  <c r="R71"/>
  <c r="R70"/>
  <c r="X72"/>
  <c r="X71"/>
  <c r="X70"/>
  <c r="Q72"/>
  <c r="P72"/>
  <c r="O72"/>
  <c r="N72"/>
  <c r="M72"/>
  <c r="Q71"/>
  <c r="P71"/>
  <c r="O71"/>
  <c r="N71"/>
  <c r="M71"/>
  <c r="Q70"/>
  <c r="P70"/>
  <c r="O70"/>
  <c r="N70"/>
  <c r="M70"/>
  <c r="S69"/>
  <c r="T69"/>
  <c r="U69"/>
  <c r="V69"/>
  <c r="W69"/>
  <c r="Y69"/>
  <c r="Z69"/>
  <c r="AA69"/>
  <c r="AB69"/>
  <c r="AC69"/>
  <c r="R59"/>
  <c r="Q59"/>
  <c r="P59"/>
  <c r="O59"/>
  <c r="N59"/>
  <c r="M59"/>
  <c r="R58"/>
  <c r="Q58"/>
  <c r="P58"/>
  <c r="O58"/>
  <c r="N58"/>
  <c r="M58"/>
  <c r="R56"/>
  <c r="Q56"/>
  <c r="P56"/>
  <c r="O56"/>
  <c r="N56"/>
  <c r="M56"/>
  <c r="M54"/>
  <c r="N54"/>
  <c r="O54"/>
  <c r="P54"/>
  <c r="Q54"/>
  <c r="P69" l="1"/>
  <c r="R69"/>
  <c r="L72"/>
  <c r="L51"/>
  <c r="K51" s="1"/>
  <c r="L97"/>
  <c r="Q69"/>
  <c r="N69"/>
  <c r="L70"/>
  <c r="L76"/>
  <c r="M69"/>
  <c r="O69"/>
  <c r="L71"/>
  <c r="X69"/>
  <c r="L58"/>
  <c r="L59"/>
  <c r="L56"/>
  <c r="L54"/>
  <c r="Q64"/>
  <c r="P64"/>
  <c r="O64"/>
  <c r="N64"/>
  <c r="M64"/>
  <c r="R61"/>
  <c r="Q61"/>
  <c r="P61"/>
  <c r="O61"/>
  <c r="N61"/>
  <c r="M61"/>
  <c r="K58" l="1"/>
  <c r="K40" i="28" s="1"/>
  <c r="I40" s="1"/>
  <c r="L40"/>
  <c r="J40" s="1"/>
  <c r="K72" i="1"/>
  <c r="K54" i="28" s="1"/>
  <c r="I54" s="1"/>
  <c r="L54"/>
  <c r="J54" s="1"/>
  <c r="K54" i="1"/>
  <c r="K36" i="28" s="1"/>
  <c r="I36" s="1"/>
  <c r="L36"/>
  <c r="J36" s="1"/>
  <c r="K59" i="1"/>
  <c r="K42" i="28" s="1"/>
  <c r="I42" s="1"/>
  <c r="L42"/>
  <c r="J42" s="1"/>
  <c r="K71" i="1"/>
  <c r="K53" i="28" s="1"/>
  <c r="I53" s="1"/>
  <c r="L53"/>
  <c r="J53" s="1"/>
  <c r="K76" i="1"/>
  <c r="K58" i="28" s="1"/>
  <c r="I58" s="1"/>
  <c r="L58"/>
  <c r="J58" s="1"/>
  <c r="K70" i="1"/>
  <c r="K52" i="28" s="1"/>
  <c r="I52" s="1"/>
  <c r="L52"/>
  <c r="J52" s="1"/>
  <c r="K33"/>
  <c r="I33" s="1"/>
  <c r="L33"/>
  <c r="J33" s="1"/>
  <c r="K56" i="1"/>
  <c r="L38" i="28"/>
  <c r="J38" s="1"/>
  <c r="K97" i="1"/>
  <c r="K80" i="28" s="1"/>
  <c r="L80"/>
  <c r="L69" i="1"/>
  <c r="L51" i="28" s="1"/>
  <c r="L64" i="1"/>
  <c r="L61"/>
  <c r="K38" i="28" l="1"/>
  <c r="I38" s="1"/>
  <c r="K69" i="1"/>
  <c r="K51" i="28" s="1"/>
  <c r="K61" i="1"/>
  <c r="K43" i="28" s="1"/>
  <c r="I43" s="1"/>
  <c r="L43"/>
  <c r="J43" s="1"/>
  <c r="K64" i="1"/>
  <c r="K46" i="28" s="1"/>
  <c r="I46" s="1"/>
  <c r="L46"/>
  <c r="J46" s="1"/>
  <c r="P99" i="1"/>
  <c r="R117"/>
  <c r="AB116"/>
  <c r="BU39"/>
  <c r="BV39"/>
  <c r="BW39"/>
  <c r="BX39"/>
  <c r="BY39"/>
  <c r="BY48"/>
  <c r="BX48"/>
  <c r="BW48"/>
  <c r="BV48"/>
  <c r="BS48"/>
  <c r="BR48"/>
  <c r="BQ48"/>
  <c r="BP48"/>
  <c r="BU101"/>
  <c r="BV101"/>
  <c r="BW101"/>
  <c r="BX101"/>
  <c r="BY101"/>
  <c r="BU98"/>
  <c r="BV98"/>
  <c r="BW98"/>
  <c r="BX98"/>
  <c r="BY98"/>
  <c r="BU94"/>
  <c r="BV94"/>
  <c r="BW94"/>
  <c r="BX94"/>
  <c r="BY94"/>
  <c r="BU80"/>
  <c r="BV80"/>
  <c r="BW80"/>
  <c r="BX80"/>
  <c r="BY80"/>
  <c r="BW47" l="1"/>
  <c r="BX7"/>
  <c r="BX8"/>
  <c r="M96"/>
  <c r="N96"/>
  <c r="O96"/>
  <c r="P96"/>
  <c r="Q96"/>
  <c r="M31"/>
  <c r="N31"/>
  <c r="O31"/>
  <c r="P31"/>
  <c r="Q31"/>
  <c r="L31" l="1"/>
  <c r="L96"/>
  <c r="K31" l="1"/>
  <c r="K13" i="28" s="1"/>
  <c r="I13" s="1"/>
  <c r="L13"/>
  <c r="J13" s="1"/>
  <c r="K96" i="1"/>
  <c r="K78" i="28" s="1"/>
  <c r="L78"/>
  <c r="K79"/>
  <c r="L79"/>
  <c r="BU34" i="1"/>
  <c r="BV34"/>
  <c r="BW34"/>
  <c r="BX34"/>
  <c r="BY34"/>
  <c r="M66" l="1"/>
  <c r="N66"/>
  <c r="O66"/>
  <c r="P66"/>
  <c r="Q66"/>
  <c r="M68"/>
  <c r="N68"/>
  <c r="O68"/>
  <c r="P68"/>
  <c r="Q68"/>
  <c r="R68"/>
  <c r="X68"/>
  <c r="L66" l="1"/>
  <c r="L68"/>
  <c r="K66" l="1"/>
  <c r="K48" i="28" s="1"/>
  <c r="I48" s="1"/>
  <c r="L48"/>
  <c r="J48" s="1"/>
  <c r="K68" i="1"/>
  <c r="K50" i="28" s="1"/>
  <c r="I50" s="1"/>
  <c r="L50"/>
  <c r="J50" s="1"/>
  <c r="D20" i="24" l="1"/>
  <c r="D6"/>
  <c r="D21" l="1"/>
  <c r="BT85" i="1"/>
  <c r="BN85"/>
  <c r="X86"/>
  <c r="R86"/>
  <c r="Q86"/>
  <c r="Q85" s="1"/>
  <c r="P86"/>
  <c r="P85" s="1"/>
  <c r="O86"/>
  <c r="O85" s="1"/>
  <c r="N86"/>
  <c r="N85" s="1"/>
  <c r="M86"/>
  <c r="M85" s="1"/>
  <c r="Q67"/>
  <c r="P67"/>
  <c r="O67"/>
  <c r="N67"/>
  <c r="M67"/>
  <c r="Q65"/>
  <c r="P65"/>
  <c r="O65"/>
  <c r="N65"/>
  <c r="M65"/>
  <c r="Q63"/>
  <c r="P63"/>
  <c r="O63"/>
  <c r="N63"/>
  <c r="M63"/>
  <c r="X67"/>
  <c r="X65"/>
  <c r="X63"/>
  <c r="R67"/>
  <c r="R65"/>
  <c r="R63"/>
  <c r="AC62"/>
  <c r="AB62"/>
  <c r="AA62"/>
  <c r="Z62"/>
  <c r="Y62"/>
  <c r="W62"/>
  <c r="V62"/>
  <c r="U62"/>
  <c r="T62"/>
  <c r="S62"/>
  <c r="BY28"/>
  <c r="BX28"/>
  <c r="BW28"/>
  <c r="BV28"/>
  <c r="BU28"/>
  <c r="BS28"/>
  <c r="BR28"/>
  <c r="BQ28"/>
  <c r="BP28"/>
  <c r="BO28"/>
  <c r="M44"/>
  <c r="N44"/>
  <c r="O44"/>
  <c r="P44"/>
  <c r="M45"/>
  <c r="N45"/>
  <c r="O45"/>
  <c r="P45"/>
  <c r="Q44"/>
  <c r="Q45"/>
  <c r="Q62" l="1"/>
  <c r="M62"/>
  <c r="X62"/>
  <c r="N62"/>
  <c r="P62"/>
  <c r="L86"/>
  <c r="L68" i="28" s="1"/>
  <c r="J68" s="1"/>
  <c r="L65" i="1"/>
  <c r="R62"/>
  <c r="O62"/>
  <c r="L63"/>
  <c r="L67"/>
  <c r="K67" l="1"/>
  <c r="K49" i="28" s="1"/>
  <c r="I49" s="1"/>
  <c r="L49"/>
  <c r="J49" s="1"/>
  <c r="K65" i="1"/>
  <c r="K47" i="28" s="1"/>
  <c r="I47" s="1"/>
  <c r="L47"/>
  <c r="J47" s="1"/>
  <c r="K63" i="1"/>
  <c r="K45" i="28" s="1"/>
  <c r="I45" s="1"/>
  <c r="L45"/>
  <c r="J45" s="1"/>
  <c r="K86" i="1"/>
  <c r="L85"/>
  <c r="L67" i="28" s="1"/>
  <c r="L62" i="1"/>
  <c r="L44" i="28" s="1"/>
  <c r="BI101" i="1"/>
  <c r="K62" l="1"/>
  <c r="K44" i="28" s="1"/>
  <c r="K85" i="1"/>
  <c r="K67" i="28" s="1"/>
  <c r="K68"/>
  <c r="I68" s="1"/>
  <c r="I41" i="24" l="1"/>
  <c r="X89" i="1"/>
  <c r="X88" s="1"/>
  <c r="R89"/>
  <c r="R88" s="1"/>
  <c r="Q89"/>
  <c r="Q88" s="1"/>
  <c r="P89"/>
  <c r="P88" s="1"/>
  <c r="O89"/>
  <c r="O88" s="1"/>
  <c r="N89"/>
  <c r="N88" s="1"/>
  <c r="M89"/>
  <c r="M88" s="1"/>
  <c r="Q77"/>
  <c r="P77"/>
  <c r="O77"/>
  <c r="N77"/>
  <c r="M77"/>
  <c r="W75"/>
  <c r="V75"/>
  <c r="U75"/>
  <c r="T75"/>
  <c r="AC75"/>
  <c r="AB75"/>
  <c r="AA75"/>
  <c r="Z75"/>
  <c r="X75"/>
  <c r="M75" l="1"/>
  <c r="L89"/>
  <c r="L77"/>
  <c r="AC81"/>
  <c r="AC80" s="1"/>
  <c r="AB81"/>
  <c r="AB80" s="1"/>
  <c r="AA81"/>
  <c r="AA80" s="1"/>
  <c r="Z81"/>
  <c r="Z80" s="1"/>
  <c r="Y81"/>
  <c r="Y80" s="1"/>
  <c r="W81"/>
  <c r="W80" s="1"/>
  <c r="V81"/>
  <c r="V80" s="1"/>
  <c r="U81"/>
  <c r="U80" s="1"/>
  <c r="T81"/>
  <c r="T80" s="1"/>
  <c r="S81"/>
  <c r="S80" s="1"/>
  <c r="AC74"/>
  <c r="AB74"/>
  <c r="AA74"/>
  <c r="Z74"/>
  <c r="Y74"/>
  <c r="X74"/>
  <c r="W74"/>
  <c r="V74"/>
  <c r="U74"/>
  <c r="T74"/>
  <c r="S74"/>
  <c r="R96"/>
  <c r="R95"/>
  <c r="R83"/>
  <c r="R82"/>
  <c r="R78"/>
  <c r="R77"/>
  <c r="R57"/>
  <c r="K77" l="1"/>
  <c r="K59" i="28" s="1"/>
  <c r="I59" s="1"/>
  <c r="L59"/>
  <c r="J59" s="1"/>
  <c r="L88" i="1"/>
  <c r="L70" i="28" s="1"/>
  <c r="L71"/>
  <c r="J71" s="1"/>
  <c r="K89" i="1"/>
  <c r="R81"/>
  <c r="R80" s="1"/>
  <c r="R75"/>
  <c r="R74" s="1"/>
  <c r="K88" l="1"/>
  <c r="K70" i="28" s="1"/>
  <c r="K71"/>
  <c r="I71" s="1"/>
  <c r="R116" i="1"/>
  <c r="X116"/>
  <c r="Q83" l="1"/>
  <c r="P83"/>
  <c r="O83"/>
  <c r="N83"/>
  <c r="M83"/>
  <c r="W28"/>
  <c r="V28"/>
  <c r="U28"/>
  <c r="S28"/>
  <c r="AC28"/>
  <c r="AB28"/>
  <c r="AA28"/>
  <c r="Z28"/>
  <c r="Y28"/>
  <c r="W34"/>
  <c r="V34"/>
  <c r="U34"/>
  <c r="T34"/>
  <c r="S34"/>
  <c r="AC34"/>
  <c r="AB34"/>
  <c r="AA34"/>
  <c r="Z34"/>
  <c r="Y34"/>
  <c r="W39"/>
  <c r="V39"/>
  <c r="U39"/>
  <c r="T39"/>
  <c r="S39"/>
  <c r="AC39"/>
  <c r="AB39"/>
  <c r="AA39"/>
  <c r="Z39"/>
  <c r="Y39"/>
  <c r="W55"/>
  <c r="W48" s="1"/>
  <c r="V55"/>
  <c r="V48" s="1"/>
  <c r="U55"/>
  <c r="U48" s="1"/>
  <c r="T55"/>
  <c r="T48" s="1"/>
  <c r="S55"/>
  <c r="S48" s="1"/>
  <c r="AC55"/>
  <c r="AC48" s="1"/>
  <c r="AB55"/>
  <c r="AB48" s="1"/>
  <c r="AA55"/>
  <c r="AA48" s="1"/>
  <c r="Z55"/>
  <c r="Z48" s="1"/>
  <c r="Y55"/>
  <c r="Y48" s="1"/>
  <c r="BM28"/>
  <c r="BL28"/>
  <c r="BK28"/>
  <c r="BJ28"/>
  <c r="BI28"/>
  <c r="BG28"/>
  <c r="BF28"/>
  <c r="BE28"/>
  <c r="BD28"/>
  <c r="BC28"/>
  <c r="BA28"/>
  <c r="AZ28"/>
  <c r="AY28"/>
  <c r="AX28"/>
  <c r="AW28"/>
  <c r="AU28"/>
  <c r="AT28"/>
  <c r="AS28"/>
  <c r="AR28"/>
  <c r="AQ28"/>
  <c r="X83"/>
  <c r="AJ96"/>
  <c r="BE27" l="1"/>
  <c r="AQ27"/>
  <c r="BC27"/>
  <c r="BK27"/>
  <c r="BJ27"/>
  <c r="BL27"/>
  <c r="BM27"/>
  <c r="L83"/>
  <c r="Y47"/>
  <c r="Y38" s="1"/>
  <c r="Y27" s="1"/>
  <c r="AA47"/>
  <c r="AA38" s="1"/>
  <c r="AA27" s="1"/>
  <c r="T47"/>
  <c r="T38" s="1"/>
  <c r="V47"/>
  <c r="V38" s="1"/>
  <c r="W47"/>
  <c r="W38" s="1"/>
  <c r="Z47"/>
  <c r="Z38" s="1"/>
  <c r="Z27" s="1"/>
  <c r="AB47"/>
  <c r="AB38" s="1"/>
  <c r="AB27" s="1"/>
  <c r="AC47"/>
  <c r="AC38" s="1"/>
  <c r="AC27" s="1"/>
  <c r="S47"/>
  <c r="S38" s="1"/>
  <c r="U47"/>
  <c r="U38" s="1"/>
  <c r="K83" l="1"/>
  <c r="K65" i="28" s="1"/>
  <c r="I65" s="1"/>
  <c r="L65"/>
  <c r="J65" s="1"/>
  <c r="AW27" i="1"/>
  <c r="BA27"/>
  <c r="AU27"/>
  <c r="AR27"/>
  <c r="BF27"/>
  <c r="BG27"/>
  <c r="BD27"/>
  <c r="BI27"/>
  <c r="AS27"/>
  <c r="AT27"/>
  <c r="BG98"/>
  <c r="BC98"/>
  <c r="BD98"/>
  <c r="BE98"/>
  <c r="BF98"/>
  <c r="Q53"/>
  <c r="Q52"/>
  <c r="AV99"/>
  <c r="J27"/>
  <c r="Q42"/>
  <c r="Q57"/>
  <c r="Q75"/>
  <c r="Q74" s="1"/>
  <c r="Q30"/>
  <c r="Q29"/>
  <c r="P53"/>
  <c r="P57"/>
  <c r="O53"/>
  <c r="O57"/>
  <c r="O75"/>
  <c r="O74" s="1"/>
  <c r="N53"/>
  <c r="N57"/>
  <c r="N75"/>
  <c r="N74" s="1"/>
  <c r="M57"/>
  <c r="M55" s="1"/>
  <c r="M74"/>
  <c r="BK27" i="13"/>
  <c r="Q78" i="1"/>
  <c r="P75"/>
  <c r="P74" s="1"/>
  <c r="P78"/>
  <c r="O78"/>
  <c r="N78"/>
  <c r="M78"/>
  <c r="P50"/>
  <c r="P52"/>
  <c r="O50"/>
  <c r="O52"/>
  <c r="N50"/>
  <c r="N52"/>
  <c r="M52"/>
  <c r="M53"/>
  <c r="BB24" i="13"/>
  <c r="BC24"/>
  <c r="BE24"/>
  <c r="W5" i="1" s="1"/>
  <c r="BF24" i="13"/>
  <c r="BH24"/>
  <c r="BI24"/>
  <c r="BJ24"/>
  <c r="BK24"/>
  <c r="BL24"/>
  <c r="BM24"/>
  <c r="BB25"/>
  <c r="AH5" i="1" s="1"/>
  <c r="BC25" i="13"/>
  <c r="BE25"/>
  <c r="AI5" i="1" s="1"/>
  <c r="BF25" i="13"/>
  <c r="AO5" i="1" s="1"/>
  <c r="BH25" i="13"/>
  <c r="BI25"/>
  <c r="BJ25"/>
  <c r="BK25"/>
  <c r="BL25"/>
  <c r="BM25"/>
  <c r="BB26"/>
  <c r="AT5" i="1" s="1"/>
  <c r="BC26" i="13"/>
  <c r="AZ5" i="1" s="1"/>
  <c r="BE26" i="13"/>
  <c r="AU5" i="1" s="1"/>
  <c r="BF26" i="13"/>
  <c r="BA5" i="1" s="1"/>
  <c r="BH26" i="13"/>
  <c r="BI26"/>
  <c r="BK26"/>
  <c r="BL26"/>
  <c r="BM26"/>
  <c r="BB27"/>
  <c r="BF5" i="1" s="1"/>
  <c r="BC27" i="13"/>
  <c r="BE27"/>
  <c r="BG5" i="1" s="1"/>
  <c r="BF27" i="13"/>
  <c r="BH27"/>
  <c r="BI27"/>
  <c r="BJ27"/>
  <c r="BM27"/>
  <c r="BB28"/>
  <c r="BC28"/>
  <c r="BX5" i="1" s="1"/>
  <c r="BE28" i="13"/>
  <c r="BS5" i="1" s="1"/>
  <c r="BF28" i="13"/>
  <c r="BY5" i="1" s="1"/>
  <c r="BH28" i="13"/>
  <c r="BI28"/>
  <c r="BJ28"/>
  <c r="BK28"/>
  <c r="BL28"/>
  <c r="BM28"/>
  <c r="BR5" i="1"/>
  <c r="M29"/>
  <c r="N29"/>
  <c r="O29"/>
  <c r="P29"/>
  <c r="M30"/>
  <c r="N30"/>
  <c r="O30"/>
  <c r="P30"/>
  <c r="M32"/>
  <c r="N32"/>
  <c r="O32"/>
  <c r="P32"/>
  <c r="M33"/>
  <c r="N33"/>
  <c r="O33"/>
  <c r="P33"/>
  <c r="M35"/>
  <c r="N35"/>
  <c r="O35"/>
  <c r="P35"/>
  <c r="M36"/>
  <c r="N36"/>
  <c r="O36"/>
  <c r="P36"/>
  <c r="M37"/>
  <c r="N37"/>
  <c r="O37"/>
  <c r="P37"/>
  <c r="M40"/>
  <c r="N40"/>
  <c r="O40"/>
  <c r="P40"/>
  <c r="M41"/>
  <c r="N41"/>
  <c r="O41"/>
  <c r="P41"/>
  <c r="M42"/>
  <c r="N42"/>
  <c r="O42"/>
  <c r="P42"/>
  <c r="M43"/>
  <c r="N43"/>
  <c r="O43"/>
  <c r="P43"/>
  <c r="M46"/>
  <c r="N46"/>
  <c r="O46"/>
  <c r="P46"/>
  <c r="M50"/>
  <c r="BT80"/>
  <c r="BO80"/>
  <c r="BP80"/>
  <c r="BQ80"/>
  <c r="BR80"/>
  <c r="M82"/>
  <c r="M80" s="1"/>
  <c r="N82"/>
  <c r="N80" s="1"/>
  <c r="O82"/>
  <c r="O80" s="1"/>
  <c r="P82"/>
  <c r="P80" s="1"/>
  <c r="S94"/>
  <c r="T94"/>
  <c r="U94"/>
  <c r="V94"/>
  <c r="W94"/>
  <c r="S98"/>
  <c r="T98"/>
  <c r="U98"/>
  <c r="V98"/>
  <c r="W98"/>
  <c r="S101"/>
  <c r="T101"/>
  <c r="T109" s="1"/>
  <c r="U101"/>
  <c r="U109" s="1"/>
  <c r="V101"/>
  <c r="V109" s="1"/>
  <c r="W101"/>
  <c r="W109" s="1"/>
  <c r="Y94"/>
  <c r="Z94"/>
  <c r="AA94"/>
  <c r="AB94"/>
  <c r="AC94"/>
  <c r="Y98"/>
  <c r="Z98"/>
  <c r="AA98"/>
  <c r="AB98"/>
  <c r="AC98"/>
  <c r="Y101"/>
  <c r="Z101"/>
  <c r="Z109" s="1"/>
  <c r="AA101"/>
  <c r="AA109" s="1"/>
  <c r="AB101"/>
  <c r="AB109" s="1"/>
  <c r="AC101"/>
  <c r="AC109" s="1"/>
  <c r="AE98"/>
  <c r="AF98"/>
  <c r="AG98"/>
  <c r="AH98"/>
  <c r="AI98"/>
  <c r="AE101"/>
  <c r="AF101"/>
  <c r="AF109" s="1"/>
  <c r="AG101"/>
  <c r="AG109" s="1"/>
  <c r="AH101"/>
  <c r="AH109" s="1"/>
  <c r="AI101"/>
  <c r="AI109" s="1"/>
  <c r="AK98"/>
  <c r="AL98"/>
  <c r="AM98"/>
  <c r="AN98"/>
  <c r="AN108" s="1"/>
  <c r="AO98"/>
  <c r="AK101"/>
  <c r="AL101"/>
  <c r="AM101"/>
  <c r="AM109" s="1"/>
  <c r="AN101"/>
  <c r="AN109" s="1"/>
  <c r="AO101"/>
  <c r="AQ98"/>
  <c r="AR98"/>
  <c r="AS98"/>
  <c r="AT98"/>
  <c r="AU98"/>
  <c r="AQ101"/>
  <c r="AR101"/>
  <c r="AR109" s="1"/>
  <c r="AS101"/>
  <c r="AS109" s="1"/>
  <c r="AT101"/>
  <c r="AT109" s="1"/>
  <c r="AU101"/>
  <c r="AU109" s="1"/>
  <c r="AW98"/>
  <c r="AX98"/>
  <c r="AY98"/>
  <c r="AZ98"/>
  <c r="BA98"/>
  <c r="AW101"/>
  <c r="AX101"/>
  <c r="AY101"/>
  <c r="AY109" s="1"/>
  <c r="AZ101"/>
  <c r="AZ109" s="1"/>
  <c r="BA101"/>
  <c r="BD108"/>
  <c r="BF108"/>
  <c r="BG108"/>
  <c r="BC101"/>
  <c r="BD101"/>
  <c r="BD109" s="1"/>
  <c r="BE101"/>
  <c r="BE109" s="1"/>
  <c r="BF101"/>
  <c r="BF109" s="1"/>
  <c r="BG101"/>
  <c r="BG109" s="1"/>
  <c r="BI98"/>
  <c r="BJ98"/>
  <c r="BK98"/>
  <c r="BL98"/>
  <c r="BM98"/>
  <c r="BI109"/>
  <c r="BJ101"/>
  <c r="BK101"/>
  <c r="BK109" s="1"/>
  <c r="BL101"/>
  <c r="BL109" s="1"/>
  <c r="BM101"/>
  <c r="BO94"/>
  <c r="BP94"/>
  <c r="BQ94"/>
  <c r="BR94"/>
  <c r="BS94"/>
  <c r="BO98"/>
  <c r="BP98"/>
  <c r="BQ98"/>
  <c r="BR98"/>
  <c r="BS98"/>
  <c r="BO101"/>
  <c r="BP101"/>
  <c r="BP109" s="1"/>
  <c r="BQ101"/>
  <c r="BQ109" s="1"/>
  <c r="BR101"/>
  <c r="BR109" s="1"/>
  <c r="BS101"/>
  <c r="BS109" s="1"/>
  <c r="BU109"/>
  <c r="BV109"/>
  <c r="BX109"/>
  <c r="BY109"/>
  <c r="Q32"/>
  <c r="Q33"/>
  <c r="Q35"/>
  <c r="Q36"/>
  <c r="Q37"/>
  <c r="Q40"/>
  <c r="Q41"/>
  <c r="Q43"/>
  <c r="Q46"/>
  <c r="Q50"/>
  <c r="BS80"/>
  <c r="Q82"/>
  <c r="Q80" s="1"/>
  <c r="M95"/>
  <c r="M94" s="1"/>
  <c r="N95"/>
  <c r="N94" s="1"/>
  <c r="O95"/>
  <c r="O94" s="1"/>
  <c r="P95"/>
  <c r="P94" s="1"/>
  <c r="Q95"/>
  <c r="Q94" s="1"/>
  <c r="M99"/>
  <c r="N99"/>
  <c r="O99"/>
  <c r="Q99"/>
  <c r="M100"/>
  <c r="N100"/>
  <c r="O100"/>
  <c r="P100"/>
  <c r="Q100"/>
  <c r="O102"/>
  <c r="P102"/>
  <c r="BH102"/>
  <c r="BH101" s="1"/>
  <c r="BH109" s="1"/>
  <c r="AV102"/>
  <c r="AV101" s="1"/>
  <c r="AV109" s="1"/>
  <c r="AK28"/>
  <c r="AL28"/>
  <c r="AM28"/>
  <c r="AN28"/>
  <c r="AO28"/>
  <c r="AJ102"/>
  <c r="AJ101" s="1"/>
  <c r="AJ109" s="1"/>
  <c r="AE28"/>
  <c r="AF28"/>
  <c r="AG28"/>
  <c r="AH28"/>
  <c r="AI28"/>
  <c r="AD102"/>
  <c r="X102"/>
  <c r="BT102"/>
  <c r="BT101" s="1"/>
  <c r="BT109" s="1"/>
  <c r="BO34"/>
  <c r="BO39"/>
  <c r="BP34"/>
  <c r="BP39"/>
  <c r="BQ34"/>
  <c r="BQ39"/>
  <c r="BR34"/>
  <c r="BR39"/>
  <c r="BS34"/>
  <c r="BS39"/>
  <c r="BN102"/>
  <c r="BN101" s="1"/>
  <c r="BN109" s="1"/>
  <c r="BB102"/>
  <c r="AP102"/>
  <c r="R33"/>
  <c r="R35"/>
  <c r="R40"/>
  <c r="R50"/>
  <c r="R32"/>
  <c r="R30"/>
  <c r="R37"/>
  <c r="R36"/>
  <c r="R46"/>
  <c r="R45"/>
  <c r="R44"/>
  <c r="R43"/>
  <c r="R42"/>
  <c r="R41"/>
  <c r="R53"/>
  <c r="X33"/>
  <c r="X32"/>
  <c r="X30"/>
  <c r="X29"/>
  <c r="X37"/>
  <c r="X36"/>
  <c r="X35"/>
  <c r="X46"/>
  <c r="X45"/>
  <c r="X44"/>
  <c r="X43"/>
  <c r="X42"/>
  <c r="X41"/>
  <c r="X40"/>
  <c r="X50"/>
  <c r="X53"/>
  <c r="X82"/>
  <c r="X81" s="1"/>
  <c r="X80" s="1"/>
  <c r="BN37"/>
  <c r="BN36"/>
  <c r="BN35"/>
  <c r="BN46"/>
  <c r="BN45"/>
  <c r="BN44"/>
  <c r="BN43"/>
  <c r="BN42"/>
  <c r="BN41"/>
  <c r="BN40"/>
  <c r="BT37"/>
  <c r="BT36"/>
  <c r="BT35"/>
  <c r="BT46"/>
  <c r="BT45"/>
  <c r="BT44"/>
  <c r="BT43"/>
  <c r="BT42"/>
  <c r="BT41"/>
  <c r="BT40"/>
  <c r="R118"/>
  <c r="I27"/>
  <c r="R55"/>
  <c r="X55"/>
  <c r="A90" i="24"/>
  <c r="B90"/>
  <c r="A91"/>
  <c r="B91"/>
  <c r="A92"/>
  <c r="B92"/>
  <c r="A93"/>
  <c r="B93"/>
  <c r="A94"/>
  <c r="B94"/>
  <c r="A95"/>
  <c r="B95"/>
  <c r="A96"/>
  <c r="B96"/>
  <c r="A97"/>
  <c r="B97"/>
  <c r="A98"/>
  <c r="B98"/>
  <c r="A68"/>
  <c r="A69"/>
  <c r="A70"/>
  <c r="A71"/>
  <c r="A72"/>
  <c r="A73"/>
  <c r="A74"/>
  <c r="A75"/>
  <c r="A76"/>
  <c r="BY110" i="1"/>
  <c r="BX110"/>
  <c r="BW110"/>
  <c r="BV110"/>
  <c r="BU110"/>
  <c r="BS110"/>
  <c r="BR110"/>
  <c r="BQ110"/>
  <c r="BP110"/>
  <c r="BO110"/>
  <c r="BM110"/>
  <c r="BL110"/>
  <c r="BK110"/>
  <c r="BJ110"/>
  <c r="BI110"/>
  <c r="BG110"/>
  <c r="BF110"/>
  <c r="BE110"/>
  <c r="BD110"/>
  <c r="BC110"/>
  <c r="BA110"/>
  <c r="AZ110"/>
  <c r="AY110"/>
  <c r="AX110"/>
  <c r="AW110"/>
  <c r="AU110"/>
  <c r="AT110"/>
  <c r="AS110"/>
  <c r="AR110"/>
  <c r="AQ110"/>
  <c r="AO110"/>
  <c r="AN110"/>
  <c r="AM110"/>
  <c r="AL110"/>
  <c r="AK110"/>
  <c r="AI110"/>
  <c r="AH110"/>
  <c r="AG110"/>
  <c r="AF110"/>
  <c r="AE110"/>
  <c r="AC110"/>
  <c r="AB110"/>
  <c r="AA110"/>
  <c r="Z110"/>
  <c r="Y110"/>
  <c r="W110"/>
  <c r="S110"/>
  <c r="T110"/>
  <c r="U110"/>
  <c r="V110"/>
  <c r="Q110"/>
  <c r="L110"/>
  <c r="M110"/>
  <c r="N110"/>
  <c r="O110"/>
  <c r="P110"/>
  <c r="BW109"/>
  <c r="BM109"/>
  <c r="BJ109"/>
  <c r="BA109"/>
  <c r="AX109"/>
  <c r="AO109"/>
  <c r="AL109"/>
  <c r="M101"/>
  <c r="M109" s="1"/>
  <c r="N101"/>
  <c r="N109" s="1"/>
  <c r="J109"/>
  <c r="J110"/>
  <c r="I110"/>
  <c r="X118"/>
  <c r="AD118"/>
  <c r="AJ118"/>
  <c r="AP118"/>
  <c r="AV118"/>
  <c r="BN118"/>
  <c r="BT118"/>
  <c r="J38"/>
  <c r="I38"/>
  <c r="J28"/>
  <c r="I28"/>
  <c r="R100"/>
  <c r="R99"/>
  <c r="A5" i="24"/>
  <c r="A54" s="1"/>
  <c r="A4"/>
  <c r="BT95" i="1"/>
  <c r="BT100"/>
  <c r="BN95"/>
  <c r="BN94" s="1"/>
  <c r="BN100"/>
  <c r="BN99"/>
  <c r="BH95"/>
  <c r="BH94" s="1"/>
  <c r="BH100"/>
  <c r="BH99"/>
  <c r="BB95"/>
  <c r="BB94" s="1"/>
  <c r="BB100"/>
  <c r="BB99"/>
  <c r="AV95"/>
  <c r="AV94" s="1"/>
  <c r="AV100"/>
  <c r="AP95"/>
  <c r="AP94" s="1"/>
  <c r="AP100"/>
  <c r="AP99"/>
  <c r="AJ95"/>
  <c r="AJ94" s="1"/>
  <c r="AJ100"/>
  <c r="AJ99"/>
  <c r="AD95"/>
  <c r="AD94" s="1"/>
  <c r="AD100"/>
  <c r="AD99"/>
  <c r="X95"/>
  <c r="X100"/>
  <c r="X99"/>
  <c r="R101"/>
  <c r="A106"/>
  <c r="A105"/>
  <c r="B36" i="13"/>
  <c r="B35"/>
  <c r="B37"/>
  <c r="B38"/>
  <c r="F57" i="24"/>
  <c r="B44" i="13"/>
  <c r="B43"/>
  <c r="B42"/>
  <c r="B41"/>
  <c r="B40"/>
  <c r="B39"/>
  <c r="I101" i="1"/>
  <c r="I109" s="1"/>
  <c r="BU108"/>
  <c r="V5"/>
  <c r="AN5"/>
  <c r="P101"/>
  <c r="P109" s="1"/>
  <c r="V27"/>
  <c r="U27"/>
  <c r="S27"/>
  <c r="AY27"/>
  <c r="L99" l="1"/>
  <c r="BR7"/>
  <c r="AZ7"/>
  <c r="N98"/>
  <c r="AN7"/>
  <c r="BL7"/>
  <c r="AH7"/>
  <c r="V7"/>
  <c r="BF7"/>
  <c r="AT7"/>
  <c r="AB7"/>
  <c r="BO109"/>
  <c r="BR8"/>
  <c r="BC109"/>
  <c r="BF8"/>
  <c r="AW109"/>
  <c r="AZ8"/>
  <c r="AK109"/>
  <c r="AN8"/>
  <c r="AE109"/>
  <c r="AH8"/>
  <c r="S109"/>
  <c r="V8"/>
  <c r="BL8"/>
  <c r="AQ109"/>
  <c r="AT8"/>
  <c r="Y109"/>
  <c r="AB8"/>
  <c r="Q49"/>
  <c r="AJ113"/>
  <c r="BL108"/>
  <c r="BI108"/>
  <c r="AZ108"/>
  <c r="AH108"/>
  <c r="BD24" i="13"/>
  <c r="BN49" i="1"/>
  <c r="BN48" s="1"/>
  <c r="X49"/>
  <c r="X48" s="1"/>
  <c r="X47" s="1"/>
  <c r="R49"/>
  <c r="R48" s="1"/>
  <c r="R47" s="1"/>
  <c r="M49"/>
  <c r="M48" s="1"/>
  <c r="E18" i="24"/>
  <c r="D18"/>
  <c r="D19" s="1"/>
  <c r="BK108" i="1"/>
  <c r="Y108"/>
  <c r="N49"/>
  <c r="O49"/>
  <c r="P49"/>
  <c r="BT49"/>
  <c r="BT48" s="1"/>
  <c r="BT47" s="1"/>
  <c r="L75"/>
  <c r="AJ112"/>
  <c r="BT112"/>
  <c r="BN112"/>
  <c r="BH112"/>
  <c r="BB112"/>
  <c r="AV112"/>
  <c r="AP112"/>
  <c r="AD112"/>
  <c r="X112"/>
  <c r="AY108"/>
  <c r="AF108"/>
  <c r="AG108"/>
  <c r="Z108"/>
  <c r="BK107"/>
  <c r="BP108"/>
  <c r="BM108"/>
  <c r="BJ108"/>
  <c r="AW108"/>
  <c r="AQ108"/>
  <c r="AR108"/>
  <c r="S108"/>
  <c r="V107"/>
  <c r="L102"/>
  <c r="K102" s="1"/>
  <c r="L37"/>
  <c r="BS47"/>
  <c r="BS38" s="1"/>
  <c r="BS27" s="1"/>
  <c r="BR47"/>
  <c r="BR38" s="1"/>
  <c r="BR27" s="1"/>
  <c r="BQ47"/>
  <c r="BQ38" s="1"/>
  <c r="BQ27" s="1"/>
  <c r="BP47"/>
  <c r="BP38" s="1"/>
  <c r="BP27" s="1"/>
  <c r="BO47"/>
  <c r="BO38" s="1"/>
  <c r="BO27" s="1"/>
  <c r="BY47"/>
  <c r="BX47"/>
  <c r="BX38" s="1"/>
  <c r="BV47"/>
  <c r="BV38" s="1"/>
  <c r="BU47"/>
  <c r="BU38" s="1"/>
  <c r="BG107"/>
  <c r="BG111" s="1"/>
  <c r="BD25" i="13"/>
  <c r="BD28"/>
  <c r="BG25"/>
  <c r="BT28" i="1"/>
  <c r="BN28"/>
  <c r="BG28" i="13"/>
  <c r="BJ29"/>
  <c r="BH29"/>
  <c r="BB29"/>
  <c r="BK29"/>
  <c r="BL29"/>
  <c r="AB5" i="1"/>
  <c r="BE29" i="13"/>
  <c r="BG24"/>
  <c r="BC29"/>
  <c r="BE107" i="1"/>
  <c r="BL107"/>
  <c r="BL111" s="1"/>
  <c r="O98"/>
  <c r="O108" s="1"/>
  <c r="M98"/>
  <c r="M108" s="1"/>
  <c r="Q98"/>
  <c r="Q108" s="1"/>
  <c r="BX108"/>
  <c r="BW108"/>
  <c r="BQ108"/>
  <c r="BO108"/>
  <c r="BS108"/>
  <c r="BA108"/>
  <c r="AS108"/>
  <c r="AU108"/>
  <c r="AL108"/>
  <c r="AM108"/>
  <c r="AE108"/>
  <c r="AC108"/>
  <c r="U108"/>
  <c r="AA108"/>
  <c r="L95"/>
  <c r="V108"/>
  <c r="BN80"/>
  <c r="BE108"/>
  <c r="L100"/>
  <c r="AP101"/>
  <c r="AP109" s="1"/>
  <c r="AU107"/>
  <c r="O101"/>
  <c r="O109" s="1"/>
  <c r="AA107"/>
  <c r="Y107"/>
  <c r="O81"/>
  <c r="M81"/>
  <c r="BT34"/>
  <c r="AJ28"/>
  <c r="BC108"/>
  <c r="Q81"/>
  <c r="P81"/>
  <c r="N81"/>
  <c r="BG27" i="13"/>
  <c r="D67" i="24"/>
  <c r="AV98" i="1"/>
  <c r="AT107"/>
  <c r="AS107"/>
  <c r="AS111" s="1"/>
  <c r="BB101"/>
  <c r="BB109" s="1"/>
  <c r="BD107"/>
  <c r="BD111" s="1"/>
  <c r="BC107"/>
  <c r="X101"/>
  <c r="X109" s="1"/>
  <c r="AD101"/>
  <c r="AD109" s="1"/>
  <c r="T108"/>
  <c r="AP98"/>
  <c r="BN98"/>
  <c r="BT113"/>
  <c r="AC107"/>
  <c r="Z107"/>
  <c r="AO27"/>
  <c r="Q28"/>
  <c r="X98"/>
  <c r="AJ98"/>
  <c r="BH98"/>
  <c r="U107"/>
  <c r="AV113"/>
  <c r="L42"/>
  <c r="L52"/>
  <c r="L34" i="28" s="1"/>
  <c r="J34" s="1"/>
  <c r="L43" i="1"/>
  <c r="AP113"/>
  <c r="BB98"/>
  <c r="BT98"/>
  <c r="R113"/>
  <c r="BB28"/>
  <c r="X28"/>
  <c r="AH27"/>
  <c r="N108"/>
  <c r="R94"/>
  <c r="AG27"/>
  <c r="S107"/>
  <c r="L44"/>
  <c r="L32"/>
  <c r="X39"/>
  <c r="AI27"/>
  <c r="AF27"/>
  <c r="K117"/>
  <c r="BL5"/>
  <c r="BI29" i="13"/>
  <c r="BM5" i="1"/>
  <c r="BD27" i="13"/>
  <c r="BD26"/>
  <c r="BM29"/>
  <c r="BF29"/>
  <c r="BG26"/>
  <c r="E67" i="24"/>
  <c r="AC5" i="1"/>
  <c r="BN25" i="13"/>
  <c r="R39" i="1"/>
  <c r="AN27"/>
  <c r="AL27"/>
  <c r="AL107" s="1"/>
  <c r="Q34"/>
  <c r="P39"/>
  <c r="N39"/>
  <c r="O34"/>
  <c r="M34"/>
  <c r="O28"/>
  <c r="M28"/>
  <c r="P55"/>
  <c r="Q55"/>
  <c r="X34"/>
  <c r="R34"/>
  <c r="AM27"/>
  <c r="AM107" s="1"/>
  <c r="AK27"/>
  <c r="AK107" s="1"/>
  <c r="O39"/>
  <c r="M39"/>
  <c r="P34"/>
  <c r="N34"/>
  <c r="P28"/>
  <c r="N28"/>
  <c r="N55"/>
  <c r="O55"/>
  <c r="Q39"/>
  <c r="BH28"/>
  <c r="BM107"/>
  <c r="AP28"/>
  <c r="R109"/>
  <c r="X113"/>
  <c r="BT39"/>
  <c r="AV28"/>
  <c r="P98"/>
  <c r="P108" s="1"/>
  <c r="BY108"/>
  <c r="AX108"/>
  <c r="AI108"/>
  <c r="AB108"/>
  <c r="W108"/>
  <c r="BX27"/>
  <c r="AZ27"/>
  <c r="BF107"/>
  <c r="BF111" s="1"/>
  <c r="W27"/>
  <c r="AY107"/>
  <c r="BI107"/>
  <c r="AR107"/>
  <c r="BA107"/>
  <c r="BA111" s="1"/>
  <c r="AQ107"/>
  <c r="L78"/>
  <c r="L50"/>
  <c r="L32" i="28" s="1"/>
  <c r="J32" s="1"/>
  <c r="AO108" i="1"/>
  <c r="AK108"/>
  <c r="L57"/>
  <c r="L40"/>
  <c r="L22" i="28" s="1"/>
  <c r="J22" s="1"/>
  <c r="L35" i="1"/>
  <c r="L53"/>
  <c r="L35" i="28" s="1"/>
  <c r="J35" s="1"/>
  <c r="J107" i="1"/>
  <c r="L29"/>
  <c r="X94"/>
  <c r="AD98"/>
  <c r="BB113"/>
  <c r="BH113"/>
  <c r="BN113"/>
  <c r="BT94"/>
  <c r="R98"/>
  <c r="BN34"/>
  <c r="Q101"/>
  <c r="Q109" s="1"/>
  <c r="BV108"/>
  <c r="BR108"/>
  <c r="AT108"/>
  <c r="BJ107"/>
  <c r="AW107"/>
  <c r="K99"/>
  <c r="AB107"/>
  <c r="AD113"/>
  <c r="BN39"/>
  <c r="I107"/>
  <c r="K118"/>
  <c r="L82"/>
  <c r="L64" i="28" s="1"/>
  <c r="J64" s="1"/>
  <c r="L46" i="1"/>
  <c r="L45"/>
  <c r="L41"/>
  <c r="L36"/>
  <c r="L33"/>
  <c r="P117"/>
  <c r="AD28"/>
  <c r="K116"/>
  <c r="AE27"/>
  <c r="AE107" s="1"/>
  <c r="P116"/>
  <c r="L30"/>
  <c r="L12" i="28" s="1"/>
  <c r="J12" s="1"/>
  <c r="BV27" i="1" l="1"/>
  <c r="BV107" s="1"/>
  <c r="BV111" s="1"/>
  <c r="AW111"/>
  <c r="AR111"/>
  <c r="AY111"/>
  <c r="BM111"/>
  <c r="N48"/>
  <c r="AM111"/>
  <c r="P48"/>
  <c r="BN47"/>
  <c r="Y111"/>
  <c r="Q48"/>
  <c r="Q47" s="1"/>
  <c r="AE111"/>
  <c r="BJ111"/>
  <c r="O48"/>
  <c r="AH107"/>
  <c r="AH111" s="1"/>
  <c r="Z111"/>
  <c r="BH108"/>
  <c r="L11" i="28"/>
  <c r="J11" s="1"/>
  <c r="K29" i="1"/>
  <c r="L28"/>
  <c r="L10" i="28" s="1"/>
  <c r="BK111" i="1"/>
  <c r="BN24" i="13"/>
  <c r="K41" i="1"/>
  <c r="K23" i="28" s="1"/>
  <c r="I23" s="1"/>
  <c r="L23"/>
  <c r="J23" s="1"/>
  <c r="K57" i="1"/>
  <c r="L39" i="28"/>
  <c r="J39" s="1"/>
  <c r="K32" i="1"/>
  <c r="L14" i="28"/>
  <c r="J14" s="1"/>
  <c r="K42" i="1"/>
  <c r="K24" i="28" s="1"/>
  <c r="L24"/>
  <c r="J24" s="1"/>
  <c r="K100" i="1"/>
  <c r="K83" i="28" s="1"/>
  <c r="L83"/>
  <c r="K37" i="1"/>
  <c r="K19" i="28" s="1"/>
  <c r="L19"/>
  <c r="J19" s="1"/>
  <c r="L74" i="1"/>
  <c r="L56" i="28" s="1"/>
  <c r="L57"/>
  <c r="K33" i="1"/>
  <c r="K15" i="28" s="1"/>
  <c r="I15" s="1"/>
  <c r="L15"/>
  <c r="K46" i="1"/>
  <c r="K28" i="28" s="1"/>
  <c r="I28" s="1"/>
  <c r="L28"/>
  <c r="J28" s="1"/>
  <c r="K36" i="1"/>
  <c r="K18" i="28" s="1"/>
  <c r="Y18" s="1"/>
  <c r="Y16" s="1"/>
  <c r="L18"/>
  <c r="J18" s="1"/>
  <c r="K45" i="1"/>
  <c r="K27" i="28" s="1"/>
  <c r="I27" s="1"/>
  <c r="L27"/>
  <c r="J27" s="1"/>
  <c r="K35" i="1"/>
  <c r="L17" i="28"/>
  <c r="J17" s="1"/>
  <c r="K78" i="1"/>
  <c r="K60" i="28" s="1"/>
  <c r="I60" s="1"/>
  <c r="L60"/>
  <c r="J60" s="1"/>
  <c r="K44" i="1"/>
  <c r="K26" i="28" s="1"/>
  <c r="L26"/>
  <c r="J26" s="1"/>
  <c r="K43" i="1"/>
  <c r="K25" i="28" s="1"/>
  <c r="L25"/>
  <c r="J25" s="1"/>
  <c r="K101" i="1"/>
  <c r="K109" s="1"/>
  <c r="K85" i="28"/>
  <c r="L101" i="1"/>
  <c r="G20" i="24" s="1"/>
  <c r="L85" i="28"/>
  <c r="L94" i="1"/>
  <c r="L76" i="28" s="1"/>
  <c r="L77"/>
  <c r="E21" i="24"/>
  <c r="AZ107" i="1"/>
  <c r="AZ111" s="1"/>
  <c r="AN107"/>
  <c r="AN111" s="1"/>
  <c r="AI107"/>
  <c r="AI111" s="1"/>
  <c r="S111"/>
  <c r="AD27"/>
  <c r="L49"/>
  <c r="L31" i="28" s="1"/>
  <c r="BI111" i="1"/>
  <c r="K149"/>
  <c r="K53"/>
  <c r="K35" i="28" s="1"/>
  <c r="I35" s="1"/>
  <c r="BN38" i="1"/>
  <c r="BN27" s="1"/>
  <c r="AQ111"/>
  <c r="AD108"/>
  <c r="AV108"/>
  <c r="AF107"/>
  <c r="AF111" s="1"/>
  <c r="AO107"/>
  <c r="AO111" s="1"/>
  <c r="AU111"/>
  <c r="BP107"/>
  <c r="BP111" s="1"/>
  <c r="N47"/>
  <c r="P47"/>
  <c r="M47"/>
  <c r="O47"/>
  <c r="BY38"/>
  <c r="BY27" s="1"/>
  <c r="BY107" s="1"/>
  <c r="BY111" s="1"/>
  <c r="BW38"/>
  <c r="BW27" s="1"/>
  <c r="BW107" s="1"/>
  <c r="BW111" s="1"/>
  <c r="BR107"/>
  <c r="BR111" s="1"/>
  <c r="BN28" i="13"/>
  <c r="AJ27" i="1"/>
  <c r="BG29" i="13"/>
  <c r="I108" i="1"/>
  <c r="I111" s="1"/>
  <c r="L81"/>
  <c r="L63" i="28" s="1"/>
  <c r="L80" i="1"/>
  <c r="L62" i="28" s="1"/>
  <c r="AB111" i="1"/>
  <c r="AA111"/>
  <c r="K95"/>
  <c r="BX107"/>
  <c r="BX111" s="1"/>
  <c r="BU27"/>
  <c r="BU107" s="1"/>
  <c r="BC111"/>
  <c r="U111"/>
  <c r="AC111"/>
  <c r="AL111"/>
  <c r="AG107"/>
  <c r="AG111" s="1"/>
  <c r="BB108"/>
  <c r="BT103"/>
  <c r="BT110" s="1"/>
  <c r="W107"/>
  <c r="W111" s="1"/>
  <c r="X108"/>
  <c r="BE111"/>
  <c r="L98"/>
  <c r="BO107"/>
  <c r="BS107"/>
  <c r="BS111" s="1"/>
  <c r="R108"/>
  <c r="X38"/>
  <c r="X27" s="1"/>
  <c r="BQ107"/>
  <c r="BQ111" s="1"/>
  <c r="BT108"/>
  <c r="BN27" i="13"/>
  <c r="BD29"/>
  <c r="K52" i="1"/>
  <c r="K34" i="28" s="1"/>
  <c r="AW34" s="1"/>
  <c r="AJ108" i="1"/>
  <c r="BT38"/>
  <c r="BT27" s="1"/>
  <c r="AP108"/>
  <c r="AK111"/>
  <c r="BB115"/>
  <c r="BB27"/>
  <c r="BN26" i="13"/>
  <c r="L55" i="1"/>
  <c r="L37" i="28" s="1"/>
  <c r="K40" i="1"/>
  <c r="L39"/>
  <c r="K50"/>
  <c r="K82"/>
  <c r="K64" i="28" s="1"/>
  <c r="I64" s="1"/>
  <c r="K75" i="1"/>
  <c r="L34"/>
  <c r="R38"/>
  <c r="BB107"/>
  <c r="BB114" s="1"/>
  <c r="AT111"/>
  <c r="AX27"/>
  <c r="AX107" s="1"/>
  <c r="AX111" s="1"/>
  <c r="AP115"/>
  <c r="AP107"/>
  <c r="AP114" s="1"/>
  <c r="V111"/>
  <c r="X115"/>
  <c r="X107"/>
  <c r="X114" s="1"/>
  <c r="BH107"/>
  <c r="BH115"/>
  <c r="F8" i="24"/>
  <c r="G8"/>
  <c r="G7"/>
  <c r="BN108" i="1"/>
  <c r="BB103"/>
  <c r="BB110" s="1"/>
  <c r="BH103"/>
  <c r="BH110" s="1"/>
  <c r="R103"/>
  <c r="R110" s="1"/>
  <c r="AP103"/>
  <c r="AP110" s="1"/>
  <c r="F7" i="24"/>
  <c r="K30" i="1"/>
  <c r="K12" i="28" s="1"/>
  <c r="AR34" l="1"/>
  <c r="AR31" s="1"/>
  <c r="AR30" s="1"/>
  <c r="AR29" s="1"/>
  <c r="AR20" s="1"/>
  <c r="AW31"/>
  <c r="AW30" s="1"/>
  <c r="AW29" s="1"/>
  <c r="AW20" s="1"/>
  <c r="BH111" i="1"/>
  <c r="BH114"/>
  <c r="K32" i="28"/>
  <c r="I32" s="1"/>
  <c r="K112" i="1"/>
  <c r="G18" i="24"/>
  <c r="X103" i="1"/>
  <c r="X110" s="1"/>
  <c r="K17" i="28"/>
  <c r="K11"/>
  <c r="Y11" s="1"/>
  <c r="K98" i="1"/>
  <c r="K81" i="28" s="1"/>
  <c r="K34" i="1"/>
  <c r="F11" i="24" s="1"/>
  <c r="T16" i="28"/>
  <c r="K14"/>
  <c r="I14" s="1"/>
  <c r="K28" i="1"/>
  <c r="K10" i="28" s="1"/>
  <c r="X111" i="1"/>
  <c r="AJ115"/>
  <c r="AE10" i="28"/>
  <c r="S12"/>
  <c r="Z10"/>
  <c r="K74" i="1"/>
  <c r="K56" i="28" s="1"/>
  <c r="K57"/>
  <c r="I57" s="1"/>
  <c r="K39" i="1"/>
  <c r="K21" i="28" s="1"/>
  <c r="K22"/>
  <c r="I22" s="1"/>
  <c r="S34"/>
  <c r="M34" s="1"/>
  <c r="AW9"/>
  <c r="AW90" s="1"/>
  <c r="S25"/>
  <c r="AY25"/>
  <c r="BF21"/>
  <c r="BF20" s="1"/>
  <c r="BF9" s="1"/>
  <c r="BF90" s="1"/>
  <c r="S26"/>
  <c r="S17"/>
  <c r="M17" s="1"/>
  <c r="T17"/>
  <c r="S19"/>
  <c r="K55" i="1"/>
  <c r="K37" i="28" s="1"/>
  <c r="K39"/>
  <c r="I39" s="1"/>
  <c r="G11" i="24"/>
  <c r="L16" i="28"/>
  <c r="G13" i="24"/>
  <c r="L21" i="28"/>
  <c r="G19" i="24"/>
  <c r="L82" i="28"/>
  <c r="L81"/>
  <c r="L109" i="1"/>
  <c r="L84" i="28"/>
  <c r="L92" s="1"/>
  <c r="F20" i="24"/>
  <c r="K84" i="28"/>
  <c r="K92" s="1"/>
  <c r="K94" s="1"/>
  <c r="K113" i="1"/>
  <c r="K77" i="28"/>
  <c r="K49" i="1"/>
  <c r="L48"/>
  <c r="K150"/>
  <c r="K148"/>
  <c r="K147"/>
  <c r="BU111"/>
  <c r="BT115"/>
  <c r="BO111"/>
  <c r="BN115"/>
  <c r="BB111"/>
  <c r="AD115"/>
  <c r="AD107"/>
  <c r="BH27"/>
  <c r="AV27"/>
  <c r="AP27"/>
  <c r="K94"/>
  <c r="O38"/>
  <c r="O27" s="1"/>
  <c r="O107" s="1"/>
  <c r="O111" s="1"/>
  <c r="N38"/>
  <c r="N27" s="1"/>
  <c r="N107" s="1"/>
  <c r="N111" s="1"/>
  <c r="G17" i="24"/>
  <c r="BN103" i="1"/>
  <c r="BN110" s="1"/>
  <c r="BN29" i="13"/>
  <c r="H27" i="24" s="1"/>
  <c r="I27" s="1"/>
  <c r="BN107" i="1"/>
  <c r="BN114" s="1"/>
  <c r="BT107"/>
  <c r="L108"/>
  <c r="K80"/>
  <c r="K62" i="28" s="1"/>
  <c r="K81" i="1"/>
  <c r="K63" i="28" s="1"/>
  <c r="P38" i="1"/>
  <c r="P27" s="1"/>
  <c r="P107" s="1"/>
  <c r="P111" s="1"/>
  <c r="AP111"/>
  <c r="Q38"/>
  <c r="Q27" s="1"/>
  <c r="Q107" s="1"/>
  <c r="Q111" s="1"/>
  <c r="M38"/>
  <c r="M27" s="1"/>
  <c r="M107" s="1"/>
  <c r="M111" s="1"/>
  <c r="G15" i="24"/>
  <c r="AJ107" i="1"/>
  <c r="AD103"/>
  <c r="AD110" s="1"/>
  <c r="G6" i="24"/>
  <c r="J98" i="1"/>
  <c r="J108" s="1"/>
  <c r="J111" s="1"/>
  <c r="AV115"/>
  <c r="AV107"/>
  <c r="AV103"/>
  <c r="AV110" s="1"/>
  <c r="F13" i="24"/>
  <c r="F6"/>
  <c r="G10"/>
  <c r="Y10" i="28" l="1"/>
  <c r="Y9" s="1"/>
  <c r="Y90" s="1"/>
  <c r="M26"/>
  <c r="I26" s="1"/>
  <c r="M12"/>
  <c r="I12" s="1"/>
  <c r="M19"/>
  <c r="I19" s="1"/>
  <c r="M25"/>
  <c r="I25" s="1"/>
  <c r="AJ111" i="1"/>
  <c r="AJ114"/>
  <c r="BN111"/>
  <c r="AD111"/>
  <c r="AD114"/>
  <c r="AV111"/>
  <c r="AV114"/>
  <c r="BT111"/>
  <c r="BT114"/>
  <c r="T11" i="28"/>
  <c r="T10" s="1"/>
  <c r="T9" s="1"/>
  <c r="K82"/>
  <c r="T18"/>
  <c r="K16"/>
  <c r="F19" i="24"/>
  <c r="S18" i="28"/>
  <c r="AF9"/>
  <c r="AF95"/>
  <c r="AY21"/>
  <c r="AY20" s="1"/>
  <c r="AY9" s="1"/>
  <c r="AY95"/>
  <c r="AR90"/>
  <c r="AW94"/>
  <c r="AR95"/>
  <c r="AR9"/>
  <c r="K48" i="1"/>
  <c r="K30" i="28" s="1"/>
  <c r="K31"/>
  <c r="I17"/>
  <c r="AY90"/>
  <c r="AY94" s="1"/>
  <c r="AY97" s="1"/>
  <c r="BF94"/>
  <c r="S31"/>
  <c r="S30" s="1"/>
  <c r="S29" s="1"/>
  <c r="AK9"/>
  <c r="AK90" s="1"/>
  <c r="L47" i="1"/>
  <c r="L29" i="28" s="1"/>
  <c r="L30"/>
  <c r="F18" i="24"/>
  <c r="K76" i="28"/>
  <c r="K119" i="1"/>
  <c r="F17" i="24"/>
  <c r="H39"/>
  <c r="I39" s="1"/>
  <c r="H26"/>
  <c r="I26" s="1"/>
  <c r="H28"/>
  <c r="I28" s="1"/>
  <c r="H30"/>
  <c r="I30" s="1"/>
  <c r="H29"/>
  <c r="I29" s="1"/>
  <c r="H35"/>
  <c r="I35" s="1"/>
  <c r="K108" i="1"/>
  <c r="H40" i="24"/>
  <c r="I40" s="1"/>
  <c r="H31"/>
  <c r="I31" s="1"/>
  <c r="H32"/>
  <c r="I32" s="1"/>
  <c r="H34"/>
  <c r="I34" s="1"/>
  <c r="H33"/>
  <c r="I33" s="1"/>
  <c r="AJ103" i="1"/>
  <c r="F10" i="24"/>
  <c r="S11" i="28" l="1"/>
  <c r="M11" s="1"/>
  <c r="M10" s="1"/>
  <c r="M18"/>
  <c r="I18" s="1"/>
  <c r="S10"/>
  <c r="T95"/>
  <c r="G14" i="24"/>
  <c r="L38" i="1"/>
  <c r="L20" i="28" s="1"/>
  <c r="S16"/>
  <c r="M16" s="1"/>
  <c r="AR94"/>
  <c r="AR97"/>
  <c r="M31"/>
  <c r="M30" s="1"/>
  <c r="M29" s="1"/>
  <c r="I34"/>
  <c r="AK94"/>
  <c r="AF90"/>
  <c r="Y94"/>
  <c r="T90"/>
  <c r="K47" i="1"/>
  <c r="AJ110"/>
  <c r="K103"/>
  <c r="I11" i="28" l="1"/>
  <c r="L27" i="1"/>
  <c r="L9" i="28" s="1"/>
  <c r="L90" s="1"/>
  <c r="L94" s="1"/>
  <c r="G12" i="24"/>
  <c r="T94" i="28"/>
  <c r="T97"/>
  <c r="AF94"/>
  <c r="AF97"/>
  <c r="K38" i="1"/>
  <c r="F12" i="24" s="1"/>
  <c r="K29" i="28"/>
  <c r="F14" i="24"/>
  <c r="K110" i="1"/>
  <c r="R29"/>
  <c r="R112" s="1"/>
  <c r="T28"/>
  <c r="T27" s="1"/>
  <c r="T107" s="1"/>
  <c r="L107" l="1"/>
  <c r="G9" i="24"/>
  <c r="G16" s="1"/>
  <c r="K27" i="1"/>
  <c r="K20" i="28"/>
  <c r="K146" i="1"/>
  <c r="K152" s="1"/>
  <c r="K154" s="1"/>
  <c r="I157" s="1"/>
  <c r="I47" i="24"/>
  <c r="T111" i="1"/>
  <c r="R115"/>
  <c r="R107"/>
  <c r="R28"/>
  <c r="R27" s="1"/>
  <c r="I48" i="24"/>
  <c r="L111" i="1" l="1"/>
  <c r="K115"/>
  <c r="R111"/>
  <c r="R114"/>
  <c r="G21" i="24"/>
  <c r="F9"/>
  <c r="K9" i="28"/>
  <c r="K107" i="1"/>
  <c r="K111" s="1"/>
  <c r="H46" i="24" s="1"/>
  <c r="D170" i="1"/>
  <c r="D171" s="1"/>
  <c r="D173" s="1"/>
  <c r="I20" i="24" l="1"/>
  <c r="H9"/>
  <c r="H20"/>
  <c r="I11"/>
  <c r="I17"/>
  <c r="I15"/>
  <c r="H15"/>
  <c r="I18"/>
  <c r="H37"/>
  <c r="I37" s="1"/>
  <c r="I16"/>
  <c r="I8"/>
  <c r="H44"/>
  <c r="I44" s="1"/>
  <c r="H45"/>
  <c r="I45" s="1"/>
  <c r="H18"/>
  <c r="H8"/>
  <c r="I12"/>
  <c r="H7"/>
  <c r="H11"/>
  <c r="H17"/>
  <c r="I6"/>
  <c r="I9"/>
  <c r="I13"/>
  <c r="H42"/>
  <c r="I42" s="1"/>
  <c r="H43"/>
  <c r="I43" s="1"/>
  <c r="I21"/>
  <c r="H13"/>
  <c r="I10"/>
  <c r="H14"/>
  <c r="H10"/>
  <c r="I7"/>
  <c r="H19"/>
  <c r="H12"/>
  <c r="I19"/>
  <c r="H6"/>
  <c r="H38"/>
  <c r="I38" s="1"/>
  <c r="I14"/>
  <c r="I46"/>
  <c r="F16"/>
  <c r="H16" s="1"/>
  <c r="F21"/>
  <c r="H21" s="1"/>
  <c r="E171" i="1"/>
  <c r="E173" s="1"/>
  <c r="Z95" i="28" l="1"/>
  <c r="S24"/>
  <c r="M24" s="1"/>
  <c r="M95" l="1"/>
  <c r="I24"/>
  <c r="S21"/>
  <c r="M21" s="1"/>
  <c r="AE9"/>
  <c r="AE90" s="1"/>
  <c r="AE94" s="1"/>
  <c r="S20" l="1"/>
  <c r="Z90"/>
  <c r="Z9"/>
  <c r="M20" l="1"/>
  <c r="M9" s="1"/>
  <c r="M90" s="1"/>
  <c r="Z94"/>
  <c r="Z97"/>
  <c r="S9"/>
  <c r="S90" s="1"/>
  <c r="S94" s="1"/>
  <c r="M98" l="1"/>
  <c r="M94"/>
  <c r="M97" s="1"/>
</calcChain>
</file>

<file path=xl/sharedStrings.xml><?xml version="1.0" encoding="utf-8"?>
<sst xmlns="http://schemas.openxmlformats.org/spreadsheetml/2006/main" count="2154" uniqueCount="645">
  <si>
    <t>Выпускник должен обладать следующими профессиональными компетенциями (ПК):</t>
  </si>
  <si>
    <t>Всего</t>
  </si>
  <si>
    <t>Объем часов</t>
  </si>
  <si>
    <t>из них</t>
  </si>
  <si>
    <t>Распределение по семестрам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</si>
  <si>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</si>
  <si>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</si>
  <si>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</si>
  <si>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</si>
  <si>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</si>
  <si>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</si>
  <si>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</si>
  <si>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</si>
  <si>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</si>
  <si>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</si>
  <si>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</si>
  <si>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</si>
  <si>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</si>
  <si>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</si>
  <si>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</si>
  <si>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</si>
  <si>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</si>
  <si>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</si>
  <si>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</si>
  <si>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</si>
  <si>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</si>
  <si>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</si>
  <si>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1</t>
  </si>
  <si>
    <t>к</t>
  </si>
  <si>
    <t>д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</si>
  <si>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</si>
  <si>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</si>
  <si>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</si>
  <si>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</si>
  <si>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</si>
  <si>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</si>
  <si>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</si>
  <si>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Учебный план (ГОС)</t>
  </si>
  <si>
    <t>8</t>
  </si>
  <si>
    <t>9</t>
  </si>
  <si>
    <t>4</t>
  </si>
  <si>
    <t>5</t>
  </si>
  <si>
    <t>6</t>
  </si>
  <si>
    <t>7</t>
  </si>
  <si>
    <t>неделя отсутствует</t>
  </si>
  <si>
    <t>Выпускная работа</t>
  </si>
  <si>
    <t>Каникулы</t>
  </si>
  <si>
    <t>Утверждаю</t>
  </si>
  <si>
    <t>Образовательная программа:</t>
  </si>
  <si>
    <t>Форма обучения:</t>
  </si>
  <si>
    <t>График учебного процесса</t>
  </si>
  <si>
    <t>Федеральный государственный образовательный стандарт утвержден приказом Министерством образования и науки Российской Федерации</t>
  </si>
  <si>
    <t>у</t>
  </si>
  <si>
    <t>п</t>
  </si>
  <si>
    <t>выпускная работа</t>
  </si>
  <si>
    <t>Итоговая аттестация</t>
  </si>
  <si>
    <t>ИТОГО</t>
  </si>
  <si>
    <t>недель</t>
  </si>
  <si>
    <t>Гос. экзамены</t>
  </si>
  <si>
    <t>Защита вып.работы</t>
  </si>
  <si>
    <t>итог</t>
  </si>
  <si>
    <r>
      <t>27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IV</t>
    </r>
  </si>
  <si>
    <r>
      <t>30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III</t>
    </r>
  </si>
  <si>
    <r>
      <t>26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</t>
    </r>
  </si>
  <si>
    <r>
      <t>29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IX</t>
    </r>
  </si>
  <si>
    <t>экзамены</t>
  </si>
  <si>
    <t>зачеты</t>
  </si>
  <si>
    <t>курсовые проекты</t>
  </si>
  <si>
    <t>курсовые работы</t>
  </si>
  <si>
    <t>контрольные работы</t>
  </si>
  <si>
    <t>лабораторных</t>
  </si>
  <si>
    <t>самостоятельной работы</t>
  </si>
  <si>
    <t>семестр</t>
  </si>
  <si>
    <t>Компетенции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</si>
  <si>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</si>
  <si>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</si>
  <si>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</si>
  <si>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</si>
  <si>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</si>
  <si>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</si>
  <si>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 курс</t>
  </si>
  <si>
    <t>2 курс</t>
  </si>
  <si>
    <t>3 курс</t>
  </si>
  <si>
    <t>4 курс</t>
  </si>
  <si>
    <t>5 курс</t>
  </si>
  <si>
    <t>10</t>
  </si>
  <si>
    <t>всего аудиторных</t>
  </si>
  <si>
    <t>всего самостоятельной работы</t>
  </si>
  <si>
    <t>Количество практик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</si>
  <si>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</si>
  <si>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</si>
  <si>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</si>
  <si>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</si>
  <si>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</si>
  <si>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</si>
  <si>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</si>
  <si>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</si>
  <si>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</si>
  <si>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</si>
  <si>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</si>
  <si>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</si>
  <si>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</si>
  <si>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</si>
  <si>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</si>
  <si>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</si>
  <si>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</si>
  <si>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</si>
  <si>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</si>
  <si>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</si>
  <si>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</si>
  <si>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10 семестр</t>
  </si>
  <si>
    <t>Х (русский алфавит, заглавная буква)</t>
  </si>
  <si>
    <t>11 семестр</t>
  </si>
  <si>
    <t>12 семестр</t>
  </si>
  <si>
    <t>О (русский алфавит, заглавная буква)</t>
  </si>
  <si>
    <t>Д (русский алфавит, заглавная буква)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</si>
  <si>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</si>
  <si>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</si>
  <si>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</si>
  <si>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</si>
  <si>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</si>
  <si>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</si>
  <si>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</si>
  <si>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</si>
  <si>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</si>
  <si>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r>
      <t xml:space="preserve"> 5  </t>
    </r>
    <r>
      <rPr>
        <sz val="6"/>
        <rFont val="Times New Roman"/>
        <family val="1"/>
        <charset val="204"/>
      </rPr>
      <t>X</t>
    </r>
  </si>
  <si>
    <r>
      <t xml:space="preserve"> 2 </t>
    </r>
    <r>
      <rPr>
        <sz val="6"/>
        <rFont val="Times New Roman"/>
        <family val="1"/>
        <charset val="204"/>
      </rPr>
      <t>XI</t>
    </r>
  </si>
  <si>
    <r>
      <t xml:space="preserve"> 4  </t>
    </r>
    <r>
      <rPr>
        <sz val="6"/>
        <rFont val="Times New Roman"/>
        <family val="1"/>
        <charset val="204"/>
      </rPr>
      <t>I</t>
    </r>
  </si>
  <si>
    <r>
      <t xml:space="preserve"> 1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</si>
  <si>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5"/>
        <rFont val="Times New Roman"/>
        <family val="1"/>
        <charset val="204"/>
      </rPr>
      <t>VIII</t>
    </r>
  </si>
  <si>
    <r>
      <t xml:space="preserve"> 5 </t>
    </r>
    <r>
      <rPr>
        <sz val="6"/>
        <rFont val="Times New Roman"/>
        <family val="1"/>
        <charset val="204"/>
      </rPr>
      <t>IV</t>
    </r>
  </si>
  <si>
    <r>
      <t xml:space="preserve"> 3 </t>
    </r>
    <r>
      <rPr>
        <sz val="6"/>
        <rFont val="Times New Roman"/>
        <family val="1"/>
        <charset val="204"/>
      </rPr>
      <t>V</t>
    </r>
  </si>
  <si>
    <r>
      <t>27</t>
    </r>
    <r>
      <rPr>
        <sz val="6"/>
        <rFont val="Times New Roman"/>
        <family val="1"/>
        <charset val="204"/>
      </rPr>
      <t>VII</t>
    </r>
  </si>
  <si>
    <r>
      <t xml:space="preserve"> 3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</si>
  <si>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6"/>
        <rFont val="Times New Roman"/>
        <family val="1"/>
        <charset val="204"/>
      </rPr>
      <t>III</t>
    </r>
  </si>
  <si>
    <r>
      <t xml:space="preserve"> 5 </t>
    </r>
    <r>
      <rPr>
        <sz val="6"/>
        <rFont val="Times New Roman"/>
        <family val="1"/>
        <charset val="204"/>
      </rPr>
      <t>VII</t>
    </r>
  </si>
  <si>
    <r>
      <t>29</t>
    </r>
    <r>
      <rPr>
        <sz val="6"/>
        <rFont val="Times New Roman"/>
        <family val="1"/>
        <charset val="204"/>
      </rPr>
      <t>VI</t>
    </r>
  </si>
  <si>
    <r>
      <t>29</t>
    </r>
    <r>
      <rPr>
        <sz val="6"/>
        <rFont val="Times New Roman"/>
        <family val="1"/>
        <charset val="204"/>
      </rPr>
      <t>XII</t>
    </r>
  </si>
  <si>
    <r>
      <t>27</t>
    </r>
    <r>
      <rPr>
        <sz val="6"/>
        <rFont val="Times New Roman"/>
        <family val="1"/>
        <charset val="204"/>
      </rPr>
      <t>X</t>
    </r>
  </si>
  <si>
    <t>всего часов</t>
  </si>
  <si>
    <t>количество контролных работ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</si>
  <si>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</si>
  <si>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</si>
  <si>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</si>
  <si>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</si>
  <si>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</si>
  <si>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</si>
  <si>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</si>
  <si>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</si>
  <si>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</si>
  <si>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</si>
  <si>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</si>
  <si>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</si>
  <si>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</si>
  <si>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</si>
  <si>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</si>
  <si>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</si>
  <si>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</si>
  <si>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</si>
  <si>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</si>
  <si>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Перечень цикловых комиссий (или кафедр)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</si>
  <si>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</si>
  <si>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</si>
  <si>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</si>
  <si>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</si>
  <si>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</si>
  <si>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</si>
  <si>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</si>
  <si>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</si>
  <si>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</si>
  <si>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Индекс</t>
  </si>
  <si>
    <t>Код цикловой комиссии (кафедры)</t>
  </si>
  <si>
    <t>ОГСЭ.00</t>
  </si>
  <si>
    <t>Общий гумманитарный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</si>
  <si>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</si>
  <si>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</si>
  <si>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</si>
  <si>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</si>
  <si>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</si>
  <si>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Всего максимальной учебной нагрузки обучающегося</t>
  </si>
  <si>
    <t>ЕН.00</t>
  </si>
  <si>
    <t>ЕН.01</t>
  </si>
  <si>
    <t>ЕН.02</t>
  </si>
  <si>
    <t>ЕН.03</t>
  </si>
  <si>
    <t>ПМ.00</t>
  </si>
  <si>
    <t>Обществознание (включая экономику и право)</t>
  </si>
  <si>
    <t>Химия</t>
  </si>
  <si>
    <t>Биология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</si>
  <si>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</si>
  <si>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</si>
  <si>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</si>
  <si>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</si>
  <si>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ОП.01</t>
  </si>
  <si>
    <t>Инженерная графика</t>
  </si>
  <si>
    <t>ОП.02</t>
  </si>
  <si>
    <t>Механика</t>
  </si>
  <si>
    <t>ОП.03</t>
  </si>
  <si>
    <t>Электроника и электротехника</t>
  </si>
  <si>
    <t>ОП.04</t>
  </si>
  <si>
    <t>ОП.05</t>
  </si>
  <si>
    <t>Метрология и стандартизация</t>
  </si>
  <si>
    <t>ОП.06</t>
  </si>
  <si>
    <t>Теория и устройство судна</t>
  </si>
  <si>
    <t>ОП.07</t>
  </si>
  <si>
    <t>П.00</t>
  </si>
  <si>
    <t>ПМ.01</t>
  </si>
  <si>
    <t>ПМ.02</t>
  </si>
  <si>
    <t>Обеспечение безопасности плавания</t>
  </si>
  <si>
    <t>МДК.02.01</t>
  </si>
  <si>
    <t>ПМ.03</t>
  </si>
  <si>
    <t>Обработка и размещение груза</t>
  </si>
  <si>
    <t>ПМ.04</t>
  </si>
  <si>
    <t>Выполнение работ по одной или нескольким профессиям рабочих, должностям служащих</t>
  </si>
  <si>
    <t>Специфика:</t>
  </si>
  <si>
    <t>УП.00</t>
  </si>
  <si>
    <t>УП.01</t>
  </si>
  <si>
    <t>УП.02</t>
  </si>
  <si>
    <t>ПП.00</t>
  </si>
  <si>
    <t>ПП.01</t>
  </si>
  <si>
    <t>ПП.02</t>
  </si>
  <si>
    <t>ГИА.00</t>
  </si>
  <si>
    <t>Государственная (итоговая) аттестация</t>
  </si>
  <si>
    <t>ГИА.01</t>
  </si>
  <si>
    <t>каникулярное время</t>
  </si>
  <si>
    <t>производственная практика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</si>
  <si>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</si>
  <si>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</si>
  <si>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</si>
  <si>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</si>
  <si>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</si>
  <si>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</si>
  <si>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</si>
  <si>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</si>
  <si>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</si>
  <si>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</si>
  <si>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</si>
  <si>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</si>
  <si>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Экологических основ природопользования</t>
  </si>
  <si>
    <t>Инженерной графики</t>
  </si>
  <si>
    <t>Механики</t>
  </si>
  <si>
    <t>Метрологии и стандартизации</t>
  </si>
  <si>
    <t>Теории и устройства судна</t>
  </si>
  <si>
    <t>Безопасности жизнедеятельности на судне</t>
  </si>
  <si>
    <t>Управления судном</t>
  </si>
  <si>
    <t>Технологии перевозки грузов</t>
  </si>
  <si>
    <t>Навигации и лоции</t>
  </si>
  <si>
    <t>Лаборатория</t>
  </si>
  <si>
    <t>Электроники и электротехники</t>
  </si>
  <si>
    <t>Информатики</t>
  </si>
  <si>
    <t>Материаловедения</t>
  </si>
  <si>
    <t>Электрооборудования судов</t>
  </si>
  <si>
    <t>Судового радиооборудования</t>
  </si>
  <si>
    <t>Радионавигационных и электрорадионавигационных приборов и систем технических средств судовождения</t>
  </si>
  <si>
    <t>Судовых энергетических установок</t>
  </si>
  <si>
    <t>Мастерская</t>
  </si>
  <si>
    <t>Слесарная</t>
  </si>
  <si>
    <t>Такелажная</t>
  </si>
  <si>
    <t>Тренажер (комплекс (модуль))</t>
  </si>
  <si>
    <t>Глобальной морской системы связи при бедствии</t>
  </si>
  <si>
    <t>Судовой энергетической установки</t>
  </si>
  <si>
    <t>Навигационный</t>
  </si>
  <si>
    <t>Спортивный комплекс</t>
  </si>
  <si>
    <t>Зал</t>
  </si>
  <si>
    <t>Актовый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</si>
  <si>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</si>
  <si>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</si>
  <si>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</si>
  <si>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</si>
  <si>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курсовых проектов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</si>
  <si>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</si>
  <si>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</si>
  <si>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</si>
  <si>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</si>
  <si>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</si>
  <si>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</si>
  <si>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</si>
  <si>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</si>
  <si>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</si>
  <si>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</si>
  <si>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</si>
  <si>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</si>
  <si>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</si>
  <si>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</si>
  <si>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</si>
  <si>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</si>
  <si>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</si>
  <si>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</si>
  <si>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</si>
  <si>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</si>
  <si>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</si>
  <si>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</si>
  <si>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Нормативный срок обучения:</t>
  </si>
  <si>
    <t>года</t>
  </si>
  <si>
    <t>месяцев</t>
  </si>
  <si>
    <t>&gt;2</t>
  </si>
  <si>
    <t>1,2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</si>
  <si>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</si>
  <si>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</si>
  <si>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</si>
  <si>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</si>
  <si>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</si>
  <si>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</si>
  <si>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</si>
  <si>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</si>
  <si>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</si>
  <si>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</si>
  <si>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</si>
  <si>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</si>
  <si>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</si>
  <si>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</si>
  <si>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</si>
  <si>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</si>
  <si>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</si>
  <si>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другие виды работ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</si>
  <si>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</si>
  <si>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</si>
  <si>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</si>
  <si>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</si>
  <si>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</si>
  <si>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</si>
  <si>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</si>
  <si>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</si>
  <si>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</si>
  <si>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Навигационная гидрометеорология</t>
  </si>
  <si>
    <t>Мореходная астрономия</t>
  </si>
  <si>
    <t>Техника безопасности на судах</t>
  </si>
  <si>
    <t>Преддипломная практика</t>
  </si>
  <si>
    <t>Ориентироваться в условиях частой смены технологий в профессиональной деятельности.</t>
  </si>
  <si>
    <t>ПК-1.1.</t>
  </si>
  <si>
    <t>ПК-1.2.</t>
  </si>
  <si>
    <t>ПК-1.3.</t>
  </si>
  <si>
    <t>ПК-2.1.</t>
  </si>
  <si>
    <t>ПК-2.2.</t>
  </si>
  <si>
    <t>ПК-2.3.</t>
  </si>
  <si>
    <t>ПК-2.5.</t>
  </si>
  <si>
    <t>ПК-2.6.</t>
  </si>
  <si>
    <t>ПК-2.7.</t>
  </si>
  <si>
    <t>ПК-3.1.</t>
  </si>
  <si>
    <t>ПК-3.2.</t>
  </si>
  <si>
    <t>Организовывать и обеспечивать действия подчиненных членов экипажа судна при организации учебных пожарных тревог, предупреждения возникновения пожара и при тушении пожара.</t>
  </si>
  <si>
    <t>Организовывать и обеспечивать действия подчиненных членов экипажа судна по предупреждению и предотвращению загрязнения водной среды.</t>
  </si>
  <si>
    <t>Планировать и обеспечивать безопасную погрузку, размещение, крепление груза и уход за ним в течение рейса и выгрузки.</t>
  </si>
  <si>
    <t>Соблюдать меры предосторожности во время погрузки и выгрузки и обращения с опасными и вредными грузами во время рейса.</t>
  </si>
  <si>
    <t>ОК 1-10; ПК 1.1-1.3; 2.1-2.7; 3.2.</t>
  </si>
  <si>
    <t>Навигация, навигационная гидрометеорология и лоция</t>
  </si>
  <si>
    <t>Навигация и лоция</t>
  </si>
  <si>
    <t>Управление судном и технические средства судовождения</t>
  </si>
  <si>
    <t>ВЧ.00</t>
  </si>
  <si>
    <t>Подготовка по данному учебному плану</t>
  </si>
  <si>
    <t>Коммерческая эксплуатация</t>
  </si>
  <si>
    <t>Квалификационные экзамены</t>
  </si>
  <si>
    <t>Дисциплина</t>
  </si>
  <si>
    <t>Наименование ПМ</t>
  </si>
  <si>
    <t>Распределение недель практик по ПМ</t>
  </si>
  <si>
    <t>Наименование практики и сроки</t>
  </si>
  <si>
    <t>ПМ.01, ПМ.04</t>
  </si>
  <si>
    <t>ПМ.01, ПМ.02</t>
  </si>
  <si>
    <t>Федеральное государственное бюджетное образовательное учреждение высшего образования</t>
  </si>
  <si>
    <t>"Волжский государственный университет водного транспорта"</t>
  </si>
  <si>
    <t>26.02.03 Судовождение</t>
  </si>
  <si>
    <t>2016-17 год</t>
  </si>
  <si>
    <t>2017-18 год</t>
  </si>
  <si>
    <t>2018-19 год</t>
  </si>
  <si>
    <t>2019-20 год</t>
  </si>
  <si>
    <t>Ректор</t>
  </si>
  <si>
    <t>07.05.2014 № 441</t>
  </si>
  <si>
    <t>География</t>
  </si>
  <si>
    <t>Экология</t>
  </si>
  <si>
    <t>Безопасность жизнедеятельности на судне и транспортная безопасность</t>
  </si>
  <si>
    <t>МДК 03.01</t>
  </si>
  <si>
    <t>Технология перевозки груза</t>
  </si>
  <si>
    <t>Технология перевозок</t>
  </si>
  <si>
    <t>Использование РЛС на ВВП</t>
  </si>
  <si>
    <t>УП.03</t>
  </si>
  <si>
    <t>Государственная итоговая аттестация</t>
  </si>
  <si>
    <t>Экологические основы природопользования</t>
  </si>
  <si>
    <t>УЧЕБНЫЙ  ПЛАН СРЕДНЕГО ПРОФЕССИОНАЛЬНОГО ОБРАЗОВАНИЯ</t>
  </si>
  <si>
    <t>по программе подготовки специалистов среднего звена</t>
  </si>
  <si>
    <t>Обязательная часть циклов ППССЗ</t>
  </si>
  <si>
    <t>МДК.01.01</t>
  </si>
  <si>
    <t>МДК.01.02</t>
  </si>
  <si>
    <t>ОК 1-10; ПК 2.1-2.7</t>
  </si>
  <si>
    <t>ОК 1-10; ПК 3.1 - 3.2</t>
  </si>
  <si>
    <t>Вариативная часть циклов ППССЗ</t>
  </si>
  <si>
    <t>Всего часов обучения по циклам ППССЗ</t>
  </si>
  <si>
    <t xml:space="preserve"> Экзамен квалификационный</t>
  </si>
  <si>
    <t>Управление и эксплуатация судов</t>
  </si>
  <si>
    <t>Норматив рекомендуемый учебно-методическим управлением университета</t>
  </si>
  <si>
    <t>Норматив (ФГОС, нормативные акты РФ или университета</t>
  </si>
  <si>
    <t>Перенос часов по блокам</t>
  </si>
  <si>
    <t>Добавлено часов</t>
  </si>
  <si>
    <t>ОУД.01 Русский язык и литература</t>
  </si>
  <si>
    <t>ОУД.11 Математика: алгебра и начала анализа; геометрия</t>
  </si>
  <si>
    <t>ОУД.12 Физика</t>
  </si>
  <si>
    <t>ОК 1-10; ПК 1.1-1.3, 2.1-2.7, 3.1-3.2</t>
  </si>
  <si>
    <t>5 часов занятий*</t>
  </si>
  <si>
    <t>21 час занятий*</t>
  </si>
  <si>
    <t>13 часов занятий*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</si>
  <si>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</si>
  <si>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Нормативный срок освоения  ППССЗ, недель</t>
  </si>
  <si>
    <t>Дополнительный срок освоения  ППССЗ на базе основного общего образования, недель</t>
  </si>
  <si>
    <t>Теоретическое обучение при дополнительном сроке освоения  ППССЗ на базе основного общего образования, недель</t>
  </si>
  <si>
    <t>Промежуточная аттестация при дополнительном сроке освоения 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</si>
  <si>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</si>
  <si>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Старший техник-судоводитель</t>
  </si>
  <si>
    <t>Психология общения</t>
  </si>
  <si>
    <t>Управление и эксплуатация судна с правом эксплуатации
судовых энергетических установок</t>
  </si>
  <si>
    <t>Основы картографии и навигационные карты</t>
  </si>
  <si>
    <t>Электронавигационные приборы и системы</t>
  </si>
  <si>
    <t>МДК.01.03</t>
  </si>
  <si>
    <t>Судовые вспомогательные механизмы и системы</t>
  </si>
  <si>
    <t>Электрооборудование судов</t>
  </si>
  <si>
    <t>Анализ эффективности работы судна</t>
  </si>
  <si>
    <t>МДК.04.01</t>
  </si>
  <si>
    <t>Основы анализа эффективности работы судна с применением информационных технологий</t>
  </si>
  <si>
    <t>ПМ 05</t>
  </si>
  <si>
    <t>Судовые энергетические установки и электрооборудование судов</t>
  </si>
  <si>
    <t>Х</t>
  </si>
  <si>
    <t>ПМ.01, ПМ.02, ПМ.04</t>
  </si>
  <si>
    <t>Протокол №7</t>
  </si>
  <si>
    <t>Решать проблемы, оценивать риски и принимать решения в нестандартных ситуациях</t>
  </si>
  <si>
    <t>Понимать сущность и социальную значимость своей будущей профессии, проявлять к ней устойчивый интерес.</t>
  </si>
  <si>
    <t>Организовывать собственную деятельность, определять методы и способы выполнения профессиональных задач, оценивать их эффективность и качество.</t>
  </si>
  <si>
    <t>Осуществлять поиск, анализ и оценку информации, необходимой для постановки и решения профессиональных задач, профессионального и личностного развития.</t>
  </si>
  <si>
    <t>Использовать информационнокоммуникационные технологии для совершенствования профессиональной деятельности.</t>
  </si>
  <si>
    <t>Работать в команде, обеспечивать её сплочение, эффективно общаться с коллегами, руководством, потребителями.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</si>
  <si>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</si>
  <si>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</si>
  <si>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Владеть письменной и устной коммуникацией на государственном и (или)
иностранном (английском) языке.</t>
  </si>
  <si>
    <t>Планировать и осуществлять переход в точку назначения, определять местоположение судна.</t>
  </si>
  <si>
    <t>Маневрировать и управлять судном.</t>
  </si>
  <si>
    <t>Эксплуатировать судовые энергетические установки.</t>
  </si>
  <si>
    <t>Обеспечивать использование и техническую эксплуатацию технических средств судовождения и судовых систем связи.</t>
  </si>
  <si>
    <t>ПК-1.4.</t>
  </si>
  <si>
    <t>Организовывать мероприятия по обеспечению транспортной безопасности.</t>
  </si>
  <si>
    <t>Применять средства по борьбе за живучесть судна.</t>
  </si>
  <si>
    <t>ПК-2.4.</t>
  </si>
  <si>
    <t>Организовывать и обеспечивать действия подчиненных членов экипажа судна при авариях.</t>
  </si>
  <si>
    <t>Оказывать первую медицинскую помощь пострадавшим.</t>
  </si>
  <si>
    <t>Организовывать и обеспечивать действия подчиненных членов экипажа судна при оставлении судна, использовать спасательные шлюпки, спасательные плоты и иные спасательные средства.</t>
  </si>
  <si>
    <t>ПК-4.1.</t>
  </si>
  <si>
    <t>Оценивать эффективность и качество работы судна.</t>
  </si>
  <si>
    <t>ПК-4.2.</t>
  </si>
  <si>
    <t>Находить оптимальные варианты планирования рейса судна, техникоэкономических характеристик эксплуатации судна.</t>
  </si>
  <si>
    <t>ПК-4.3.</t>
  </si>
  <si>
    <t>Использовать современное прикладное программное обеспечение для сбора, обработки и хранения информации и эффективного решения различных задач, связанных с эксплуатацией судна.</t>
  </si>
  <si>
    <t>ОК-1-10</t>
  </si>
  <si>
    <t>Принято Ученым советом университета</t>
  </si>
  <si>
    <t>ОК-2,3,6,7</t>
  </si>
  <si>
    <t>ОК 1-10; ПК-1.3</t>
  </si>
  <si>
    <t>ОК-1-10; ПК-1.1</t>
  </si>
  <si>
    <t>ОК-1-10; ПК-1.1,1.2</t>
  </si>
  <si>
    <t>ОК 1-10; 
ПК-1.1,1.2,1.4,4.2,4.3</t>
  </si>
  <si>
    <t>ОК 1-10; 
ПК-1.1,1.2,1.4,2.1
ПК-4.2,4.3</t>
  </si>
  <si>
    <t>ОК-1-10; ПК-1.4</t>
  </si>
  <si>
    <t>ОК-1-10; ПК-1.3</t>
  </si>
  <si>
    <t>ОК 1-10; ПК 2.1</t>
  </si>
  <si>
    <t>Тренажерная подготовка. Использование ЭКНИС</t>
  </si>
  <si>
    <t>Судовая автоматика и контрольно-измерительные приборы</t>
  </si>
  <si>
    <t>Обслуживание и ремонт судовых энергетических установок</t>
  </si>
  <si>
    <t>Судовождение на внутренних водных путях</t>
  </si>
  <si>
    <t>Правила плавания и управление судами на ВВП</t>
  </si>
  <si>
    <t>Лоция внутренних водных путей</t>
  </si>
  <si>
    <t>Безопасность жизнедеятельности на судне</t>
  </si>
  <si>
    <t>Транспортная безопасность</t>
  </si>
  <si>
    <t>Эксплуатация судовых энергетических установок на вспомогательном уровне</t>
  </si>
  <si>
    <t>ОК 1-10; ПК 2,4, 2.6, 2,7</t>
  </si>
  <si>
    <t>3гр 6 п.гр</t>
  </si>
  <si>
    <t>3гр 5 п.гр</t>
  </si>
  <si>
    <t>сумма часов</t>
  </si>
  <si>
    <t>кол-во ставок</t>
  </si>
  <si>
    <t>кол-во курсантов</t>
  </si>
  <si>
    <t>отношение</t>
  </si>
  <si>
    <t>ОК 1-10; ПК 4.1 - 4.3</t>
  </si>
  <si>
    <t>8,Х</t>
  </si>
  <si>
    <t>Судовые энергетические установки (включая тренажер вахтенного механика)</t>
  </si>
  <si>
    <t>Количество курсантов</t>
  </si>
  <si>
    <t>Количество часов по курсам</t>
  </si>
  <si>
    <t>Количество ставок преподавателей</t>
  </si>
  <si>
    <t>Отношение кол-ва курсантов к кол-ву ставок</t>
  </si>
  <si>
    <t>ИТОГО по часам:</t>
  </si>
  <si>
    <t>Ставок:</t>
  </si>
  <si>
    <t>Обслуживание и ремонт судового электрического и электронного оборудования</t>
  </si>
  <si>
    <t>Тренажерная подготовка. Использование РЛС и САРП</t>
  </si>
  <si>
    <t>Управление судном</t>
  </si>
  <si>
    <t>______________________ И.К. Кузьмичев</t>
  </si>
  <si>
    <t>самостоятельная работа (осенний семестр)</t>
  </si>
  <si>
    <t>осенняя лабораторно-экзаменационная сессия</t>
  </si>
  <si>
    <t>самостоятельная работа (весенний семестр)</t>
  </si>
  <si>
    <t>весенняя лабораторно-экзаменационная сессия</t>
  </si>
  <si>
    <t>дней</t>
  </si>
  <si>
    <t>6 курс</t>
  </si>
  <si>
    <t>0,3</t>
  </si>
  <si>
    <t>Шлюпочно-такелажная практика</t>
  </si>
  <si>
    <t>Слесарная практика</t>
  </si>
  <si>
    <t>Основы безопасности жизнедеятельности</t>
  </si>
  <si>
    <t>Учебная плавательная (групповая)</t>
  </si>
  <si>
    <t>Производственная практика (по профилю специальности)</t>
  </si>
  <si>
    <t>64-1</t>
  </si>
  <si>
    <t>64-2</t>
  </si>
  <si>
    <t>33</t>
  </si>
  <si>
    <t>ОК 1-10, ПК 1.1</t>
  </si>
  <si>
    <t>ОК 1-10</t>
  </si>
  <si>
    <t>ОК 1-10; ПК 2.4,2.6,2.7</t>
  </si>
  <si>
    <t>ОК 1-10; ПК 1.1, 1.3. 3.1</t>
  </si>
  <si>
    <t>ОК-1-10, ПК 1.3, 3.1, 4.2,4.3</t>
  </si>
  <si>
    <t>ОК-1-10 ПК 2.7, 3.2</t>
  </si>
  <si>
    <t>ОК-1-10 ПК 1.2 - 1.4</t>
  </si>
  <si>
    <t>64-5</t>
  </si>
  <si>
    <t>64-4</t>
  </si>
  <si>
    <t>ОК-1-10 ПК 1.1 - 1.4, 2.1 - 2.7, 3.1, 3.2, 4.1-4.3</t>
  </si>
  <si>
    <t>64-3</t>
  </si>
  <si>
    <t>ОК 1-10, ПК 1.1 - 1.4, 3.1, 3.2,4.1-4.3</t>
  </si>
  <si>
    <t>ОК 1-10 ПК 1.1 - 1.4, 2.1-2.7, 3.1, 3.2, 4.1-4.3</t>
  </si>
  <si>
    <t>ОК-1-10, ПК 1.1-1.4. 2.1-2.7, 3.1, 3.2, 4.1-4.3</t>
  </si>
  <si>
    <t>64-6</t>
  </si>
  <si>
    <t>ОК 2,3,6,9; ПК-1.3</t>
  </si>
  <si>
    <t>ОК-2,3,5,7; ПК-1.3</t>
  </si>
  <si>
    <t>64-9</t>
  </si>
  <si>
    <t>64-4, 64-5</t>
  </si>
  <si>
    <t>ОК 1-10, ПК 1.1 - 1.4, 2.1 - 2.7, 3.1- 3.2, 4.1 - 4.3</t>
  </si>
  <si>
    <t>Общего гуманитарного и социально-экономического цикла</t>
  </si>
  <si>
    <t>64 - 1</t>
  </si>
  <si>
    <t>Математического  и общего естественнонаучного цикла</t>
  </si>
  <si>
    <t>64 - 2</t>
  </si>
  <si>
    <t>Общепрофессиональных дисциплин</t>
  </si>
  <si>
    <t>64 - 3</t>
  </si>
  <si>
    <t>Профессионального цикла специальности "Судовождение"</t>
  </si>
  <si>
    <t>64 - 4</t>
  </si>
  <si>
    <t>Профессионального цикла специальности "Эксплуатация судовых энергетических установок"</t>
  </si>
  <si>
    <t>64 - 5</t>
  </si>
  <si>
    <t xml:space="preserve">Профессионального цикла специальности "Эксплуатация судового электрооборудования и средств автоматики" </t>
  </si>
  <si>
    <t>64 - 6</t>
  </si>
  <si>
    <t>Профессионального цикла специальности "Эксплуатация внутренних водных путей"</t>
  </si>
  <si>
    <t>64 - 7</t>
  </si>
  <si>
    <t>Профессионального цикла специальности "Экономика и бухгалтерский учет (по отраслям)"</t>
  </si>
  <si>
    <t>64 - 8</t>
  </si>
  <si>
    <t>Профессионального цикла специальности "Организация перевозок и управление на транспорте (по видам)"</t>
  </si>
  <si>
    <t>64 - 9</t>
  </si>
  <si>
    <t>Кафедра теории конструирования инженерных сооружений</t>
  </si>
  <si>
    <t>Кафедра физического воспитания и спорта</t>
  </si>
  <si>
    <t>Нижегородское речное училище им.И.П.Кулибина</t>
  </si>
  <si>
    <t>Управление конвенционной подготовки и повышения квалификации</t>
  </si>
  <si>
    <t>ВЧ.02</t>
  </si>
  <si>
    <t>ВЧ.01</t>
  </si>
  <si>
    <t>12 часов из ВЧ</t>
  </si>
  <si>
    <t>Общеобразовательные учебные дисциплины</t>
  </si>
  <si>
    <t>Общеобразовательные общие дисциплины</t>
  </si>
  <si>
    <t>Общеобразовательные дисциплины по выбору из обязательных предметных областей</t>
  </si>
  <si>
    <t>ОГСЭ.05</t>
  </si>
  <si>
    <t xml:space="preserve">Правовые основы профессиональной деятельности                                               </t>
  </si>
  <si>
    <t>старший техник - судоводитель</t>
  </si>
  <si>
    <t>Учебная практика - 2 курс -  9 недель</t>
  </si>
  <si>
    <t>ПМ.01, ПМ.02, ПМ.05</t>
  </si>
  <si>
    <t>Производственная практика - 3 курс - Практика по профилю специальности - 15 недель</t>
  </si>
  <si>
    <t>Производственная практика - 4 курс Практика по профилю специальности - 25 недель</t>
  </si>
  <si>
    <t>ПМ.01, ПМ.03, ПМ.04</t>
  </si>
  <si>
    <t>МДК.01.04</t>
  </si>
  <si>
    <t>Судоводительское отделение</t>
  </si>
  <si>
    <t>ЕН.00 Математический и общий естественнонаучный цикл</t>
  </si>
  <si>
    <t>П.00 Общепрофессиональные дисциплины</t>
  </si>
  <si>
    <t>ПМ.00 Профессиональные модули</t>
  </si>
  <si>
    <t>4,5</t>
  </si>
  <si>
    <t>3,4,5</t>
  </si>
  <si>
    <t>Общеобразовательных учебных дисциплин</t>
  </si>
  <si>
    <t>Иностранного языка</t>
  </si>
  <si>
    <t>ПОПД</t>
  </si>
  <si>
    <t>ТУС</t>
  </si>
  <si>
    <t>ЭКНИС</t>
  </si>
  <si>
    <t>РЛС и САРП</t>
  </si>
  <si>
    <t>ГМССБ</t>
  </si>
  <si>
    <t>ЭНПиС</t>
  </si>
  <si>
    <t xml:space="preserve">Радионавигационные системы </t>
  </si>
  <si>
    <t>РНС</t>
  </si>
  <si>
    <t>СВМиС</t>
  </si>
  <si>
    <t>СЭУ</t>
  </si>
  <si>
    <t>САиКИП</t>
  </si>
  <si>
    <t>РЛС на ВВП</t>
  </si>
  <si>
    <t>Лоция ВВП</t>
  </si>
  <si>
    <t>БЖС</t>
  </si>
  <si>
    <t>ЭСЭУ</t>
  </si>
  <si>
    <t>дифференцированные зачеты</t>
  </si>
  <si>
    <t>6,7</t>
  </si>
  <si>
    <t>ОК-1-10 ПК 1.1-1.4, 3.1</t>
  </si>
  <si>
    <t>ОК 1-10, ПК 2.3-2.7</t>
  </si>
  <si>
    <t>Электроника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</si>
  <si>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</si>
  <si>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</si>
  <si>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курсовые проекты (работы)</t>
  </si>
  <si>
    <t>другие формы</t>
  </si>
  <si>
    <t>уроков, лекций, вкл. семинары</t>
  </si>
  <si>
    <t>практических, лабораторных работ</t>
  </si>
  <si>
    <t>уроков, лекций, вкл. Семинары</t>
  </si>
  <si>
    <t>практических и лабораторных работ</t>
  </si>
  <si>
    <t>Количество курсовых проектов (работ)</t>
  </si>
  <si>
    <t>Всего часов на государственную итоговую аттестацию</t>
  </si>
  <si>
    <t>Количество других форм контроля</t>
  </si>
  <si>
    <t>Дата утверждения ФГОС СПО</t>
  </si>
  <si>
    <t>Русский язык и литература</t>
  </si>
  <si>
    <t>Математика: алгебра и начала математического анализа; геометрия</t>
  </si>
  <si>
    <t>Радиооборудование судов</t>
  </si>
  <si>
    <t>7,Х</t>
  </si>
  <si>
    <t>5,6,8,9</t>
  </si>
  <si>
    <t>7,9</t>
  </si>
  <si>
    <t>Производственная практика - 5 курс Преддипломная по специальности - 4 недели</t>
  </si>
  <si>
    <t>Производственная практика - 5 курс Практика по профилю специальности - 6 недель</t>
  </si>
  <si>
    <t>45 часов из ВЧ</t>
  </si>
  <si>
    <t>929 часов из ВЧ</t>
  </si>
  <si>
    <t>ОК 1-10; ПК 1.1-1.3, 2.1-2.7, 3.1-3.2, 4.1-4.3</t>
  </si>
  <si>
    <t>___________________ И.К.Кузьмичев</t>
  </si>
  <si>
    <t>Всего часов обучения по циклам</t>
  </si>
  <si>
    <t>3,4,5,6,7,8, 9, Х</t>
  </si>
  <si>
    <t xml:space="preserve">Всего часов обучения по циклам </t>
  </si>
  <si>
    <t>Количество учебных занятий (часов) в неделю</t>
  </si>
  <si>
    <t>Государственная итоговая аттестация, недель</t>
  </si>
  <si>
    <t>6,8,Х</t>
  </si>
  <si>
    <t>5,7,9</t>
  </si>
  <si>
    <t>4,Х</t>
  </si>
  <si>
    <t>ОК 1-10, ПК1.1-1.4</t>
  </si>
  <si>
    <t>Матрос</t>
  </si>
  <si>
    <t>7,8</t>
  </si>
  <si>
    <t>4,5,7</t>
  </si>
  <si>
    <t>8,9</t>
  </si>
  <si>
    <t>Оператор связи ГМССБ</t>
  </si>
  <si>
    <t>Профессиональный  английский язык</t>
  </si>
  <si>
    <t>2,3,4</t>
  </si>
  <si>
    <t>2,4</t>
  </si>
  <si>
    <t>ОДб.01</t>
  </si>
  <si>
    <t>ОДб.02</t>
  </si>
  <si>
    <t>ОДб.03</t>
  </si>
  <si>
    <t>ОДб.04</t>
  </si>
  <si>
    <t>ОДб.05</t>
  </si>
  <si>
    <t>ОДб.06</t>
  </si>
  <si>
    <t>ОДп.01</t>
  </si>
  <si>
    <t>ОДп.02</t>
  </si>
  <si>
    <t>ОДп.03</t>
  </si>
  <si>
    <t>ОДп.04</t>
  </si>
  <si>
    <t>ОДп.05</t>
  </si>
  <si>
    <t>ОДп.06</t>
  </si>
  <si>
    <t>ОДп.07</t>
  </si>
  <si>
    <t>Базовые дисциплины</t>
  </si>
  <si>
    <t>Профильные дисциплины</t>
  </si>
  <si>
    <t>ОК 1-10; 
ПК-1.1,1.2,1.4</t>
  </si>
  <si>
    <t>ОК-1-10; ПК 2.1-2.7</t>
  </si>
  <si>
    <t>ОК 1-10, ПК-1.3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</si>
</sst>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8"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color indexed="12"/>
      <name val="Times New Roman"/>
      <family val="1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7.5"/>
      <name val="Times New Roman"/>
      <family val="1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"/>
      <family val="1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>
      <alignment vertical="top"/>
    </xf>
    <xf numFmtId="0" fontId="1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917">
    <xf numFmtId="0" fontId="0" fillId="0" borderId="0" xfId="0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9" fillId="26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14" fillId="28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29" borderId="13" xfId="0" applyFont="1" applyFill="1" applyBorder="1" applyAlignment="1">
      <alignment horizontal="center" vertical="top" wrapText="1"/>
    </xf>
    <xf numFmtId="0" fontId="14" fillId="30" borderId="13" xfId="0" applyFont="1" applyFill="1" applyBorder="1" applyAlignment="1">
      <alignment horizontal="center" vertical="top" wrapText="1"/>
    </xf>
    <xf numFmtId="0" fontId="14" fillId="31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1" fontId="12" fillId="26" borderId="10" xfId="0" applyNumberFormat="1" applyFont="1" applyFill="1" applyBorder="1" applyAlignment="1">
      <alignment horizontal="center" vertical="top" wrapText="1"/>
    </xf>
    <xf numFmtId="1" fontId="9" fillId="26" borderId="10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7" fillId="32" borderId="0" xfId="0" applyNumberFormat="1" applyFont="1" applyFill="1" applyBorder="1" applyAlignment="1">
      <alignment horizontal="justify" vertical="top" wrapText="1"/>
    </xf>
    <xf numFmtId="0" fontId="3" fillId="32" borderId="0" xfId="0" applyFont="1" applyFill="1" applyAlignment="1">
      <alignment horizontal="center" vertical="top" wrapText="1"/>
    </xf>
    <xf numFmtId="0" fontId="38" fillId="0" borderId="10" xfId="0" applyFont="1" applyFill="1" applyBorder="1" applyAlignment="1" applyProtection="1">
      <alignment horizontal="center" vertical="top" wrapText="1"/>
      <protection locked="0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/>
    </xf>
    <xf numFmtId="1" fontId="2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1" fontId="7" fillId="28" borderId="14" xfId="0" applyNumberFormat="1" applyFont="1" applyFill="1" applyBorder="1" applyAlignment="1" applyProtection="1">
      <alignment horizontal="left" vertical="top" wrapText="1"/>
    </xf>
    <xf numFmtId="164" fontId="7" fillId="28" borderId="14" xfId="0" applyNumberFormat="1" applyFont="1" applyFill="1" applyBorder="1" applyAlignment="1" applyProtection="1">
      <alignment horizontal="center" vertical="top" wrapText="1"/>
    </xf>
    <xf numFmtId="1" fontId="7" fillId="28" borderId="29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vertical="top" wrapText="1"/>
    </xf>
    <xf numFmtId="164" fontId="7" fillId="28" borderId="16" xfId="0" applyNumberFormat="1" applyFont="1" applyFill="1" applyBorder="1" applyAlignment="1" applyProtection="1">
      <alignment horizontal="center" vertical="top" wrapText="1"/>
    </xf>
    <xf numFmtId="1" fontId="7" fillId="28" borderId="31" xfId="0" applyNumberFormat="1" applyFont="1" applyFill="1" applyBorder="1" applyAlignment="1" applyProtection="1">
      <alignment horizontal="center" vertical="top" wrapText="1"/>
    </xf>
    <xf numFmtId="49" fontId="7" fillId="28" borderId="32" xfId="0" applyNumberFormat="1" applyFont="1" applyFill="1" applyBorder="1" applyAlignment="1" applyProtection="1">
      <alignment horizontal="center" vertical="top" wrapText="1"/>
    </xf>
    <xf numFmtId="49" fontId="7" fillId="28" borderId="16" xfId="0" applyNumberFormat="1" applyFont="1" applyFill="1" applyBorder="1" applyAlignment="1" applyProtection="1">
      <alignment horizontal="center" vertical="top" wrapText="1"/>
    </xf>
    <xf numFmtId="0" fontId="7" fillId="28" borderId="13" xfId="0" applyFont="1" applyFill="1" applyBorder="1" applyAlignment="1" applyProtection="1">
      <alignment horizontal="center" textRotation="90" wrapText="1"/>
    </xf>
    <xf numFmtId="0" fontId="7" fillId="28" borderId="18" xfId="0" applyFont="1" applyFill="1" applyBorder="1" applyAlignment="1" applyProtection="1">
      <alignment horizontal="center" textRotation="90" wrapText="1"/>
    </xf>
    <xf numFmtId="49" fontId="3" fillId="34" borderId="14" xfId="0" applyNumberFormat="1" applyFont="1" applyFill="1" applyBorder="1" applyAlignment="1" applyProtection="1">
      <alignment horizontal="left" vertical="center" wrapText="1"/>
    </xf>
    <xf numFmtId="1" fontId="3" fillId="34" borderId="14" xfId="0" applyNumberFormat="1" applyFont="1" applyFill="1" applyBorder="1" applyAlignment="1" applyProtection="1">
      <alignment horizontal="left" vertical="center" wrapText="1"/>
    </xf>
    <xf numFmtId="49" fontId="3" fillId="34" borderId="16" xfId="0" applyNumberFormat="1" applyFont="1" applyFill="1" applyBorder="1" applyAlignment="1" applyProtection="1">
      <alignment horizontal="left" vertical="center" wrapText="1"/>
    </xf>
    <xf numFmtId="1" fontId="3" fillId="34" borderId="16" xfId="0" applyNumberFormat="1" applyFont="1" applyFill="1" applyBorder="1" applyAlignment="1" applyProtection="1">
      <alignment horizontal="left" vertical="center" wrapText="1"/>
    </xf>
    <xf numFmtId="0" fontId="3" fillId="34" borderId="39" xfId="0" applyNumberFormat="1" applyFont="1" applyFill="1" applyBorder="1" applyAlignment="1" applyProtection="1">
      <alignment horizontal="left" vertical="center" wrapText="1"/>
    </xf>
    <xf numFmtId="0" fontId="7" fillId="34" borderId="39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33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27" borderId="17" xfId="0" applyFont="1" applyFill="1" applyBorder="1" applyAlignment="1" applyProtection="1">
      <alignment vertical="top" wrapText="1"/>
    </xf>
    <xf numFmtId="0" fontId="0" fillId="0" borderId="13" xfId="0" applyBorder="1" applyAlignment="1" applyProtection="1">
      <alignment horizontal="justify" vertical="top" wrapText="1"/>
      <protection locked="0"/>
    </xf>
    <xf numFmtId="0" fontId="8" fillId="24" borderId="13" xfId="0" applyFont="1" applyFill="1" applyBorder="1" applyAlignment="1" applyProtection="1">
      <alignment horizontal="center" vertical="top" wrapText="1"/>
    </xf>
    <xf numFmtId="0" fontId="8" fillId="24" borderId="22" xfId="0" applyFont="1" applyFill="1" applyBorder="1" applyAlignment="1" applyProtection="1">
      <alignment horizontal="center" vertical="top" wrapText="1"/>
    </xf>
    <xf numFmtId="0" fontId="0" fillId="27" borderId="13" xfId="0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2" fillId="36" borderId="0" xfId="0" applyFont="1" applyFill="1" applyAlignment="1">
      <alignment vertical="top"/>
    </xf>
    <xf numFmtId="0" fontId="2" fillId="36" borderId="0" xfId="0" applyFont="1" applyFill="1" applyAlignment="1">
      <alignment vertical="top" wrapText="1"/>
    </xf>
    <xf numFmtId="0" fontId="2" fillId="38" borderId="0" xfId="0" applyFont="1" applyFill="1" applyAlignment="1">
      <alignment vertical="top"/>
    </xf>
    <xf numFmtId="0" fontId="2" fillId="38" borderId="0" xfId="0" applyFont="1" applyFill="1" applyAlignment="1">
      <alignment vertical="top" wrapText="1"/>
    </xf>
    <xf numFmtId="0" fontId="12" fillId="39" borderId="10" xfId="0" applyFont="1" applyFill="1" applyBorder="1" applyAlignment="1">
      <alignment horizontal="center" vertical="top" wrapText="1"/>
    </xf>
    <xf numFmtId="1" fontId="3" fillId="28" borderId="14" xfId="0" applyNumberFormat="1" applyFont="1" applyFill="1" applyBorder="1" applyAlignment="1" applyProtection="1">
      <alignment horizontal="center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0" fontId="3" fillId="28" borderId="37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40" borderId="13" xfId="0" applyNumberFormat="1" applyFont="1" applyFill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40" borderId="13" xfId="0" applyNumberFormat="1" applyFont="1" applyFill="1" applyBorder="1" applyAlignment="1" applyProtection="1">
      <alignment horizontal="center" vertical="center" wrapText="1"/>
    </xf>
    <xf numFmtId="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40" borderId="13" xfId="0" applyNumberFormat="1" applyFont="1" applyFill="1" applyBorder="1" applyAlignment="1" applyProtection="1">
      <alignment horizontal="center" vertical="center" wrapText="1"/>
    </xf>
    <xf numFmtId="0" fontId="0" fillId="37" borderId="0" xfId="0" applyFont="1" applyFill="1" applyBorder="1" applyAlignment="1" applyProtection="1">
      <alignment vertical="center" wrapText="1"/>
    </xf>
    <xf numFmtId="49" fontId="0" fillId="37" borderId="13" xfId="0" applyNumberFormat="1" applyFont="1" applyFill="1" applyBorder="1" applyAlignment="1" applyProtection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left" vertical="center" wrapText="1"/>
    </xf>
    <xf numFmtId="1" fontId="2" fillId="0" borderId="16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2" fillId="34" borderId="14" xfId="0" applyFont="1" applyFill="1" applyBorder="1" applyAlignment="1" applyProtection="1">
      <alignment horizontal="center" vertical="center" wrapText="1"/>
    </xf>
    <xf numFmtId="1" fontId="8" fillId="34" borderId="36" xfId="0" applyNumberFormat="1" applyFont="1" applyFill="1" applyBorder="1" applyAlignment="1" applyProtection="1">
      <alignment horizontal="center" vertical="center" wrapText="1"/>
    </xf>
    <xf numFmtId="3" fontId="8" fillId="25" borderId="36" xfId="0" applyNumberFormat="1" applyFont="1" applyFill="1" applyBorder="1" applyAlignment="1" applyProtection="1">
      <alignment horizontal="center" vertical="center" wrapText="1"/>
    </xf>
    <xf numFmtId="3" fontId="7" fillId="25" borderId="13" xfId="0" applyNumberFormat="1" applyFont="1" applyFill="1" applyBorder="1" applyAlignment="1" applyProtection="1">
      <alignment horizontal="center" vertical="center" wrapText="1"/>
    </xf>
    <xf numFmtId="3" fontId="7" fillId="25" borderId="34" xfId="0" applyNumberFormat="1" applyFont="1" applyFill="1" applyBorder="1" applyAlignment="1" applyProtection="1">
      <alignment horizontal="center" vertical="center" wrapText="1"/>
    </xf>
    <xf numFmtId="1" fontId="7" fillId="34" borderId="36" xfId="0" applyNumberFormat="1" applyFont="1" applyFill="1" applyBorder="1" applyAlignment="1" applyProtection="1">
      <alignment horizontal="center" vertical="center" wrapText="1"/>
    </xf>
    <xf numFmtId="3" fontId="7" fillId="25" borderId="36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49" fontId="2" fillId="34" borderId="42" xfId="0" applyNumberFormat="1" applyFont="1" applyFill="1" applyBorder="1" applyAlignment="1" applyProtection="1">
      <alignment horizontal="center" vertical="center" wrapText="1"/>
    </xf>
    <xf numFmtId="1" fontId="8" fillId="34" borderId="13" xfId="0" applyNumberFormat="1" applyFont="1" applyFill="1" applyBorder="1" applyAlignment="1" applyProtection="1">
      <alignment horizontal="center" vertical="center" wrapText="1"/>
    </xf>
    <xf numFmtId="3" fontId="8" fillId="25" borderId="13" xfId="0" applyNumberFormat="1" applyFont="1" applyFill="1" applyBorder="1" applyAlignment="1" applyProtection="1">
      <alignment horizontal="center" vertical="center" wrapText="1"/>
    </xf>
    <xf numFmtId="3" fontId="7" fillId="25" borderId="17" xfId="0" applyNumberFormat="1" applyFont="1" applyFill="1" applyBorder="1" applyAlignment="1" applyProtection="1">
      <alignment horizontal="center" vertical="center" wrapText="1"/>
    </xf>
    <xf numFmtId="49" fontId="3" fillId="34" borderId="42" xfId="0" applyNumberFormat="1" applyFont="1" applyFill="1" applyBorder="1" applyAlignment="1" applyProtection="1">
      <alignment horizontal="left" vertical="center" wrapText="1"/>
    </xf>
    <xf numFmtId="49" fontId="2" fillId="34" borderId="42" xfId="0" applyNumberFormat="1" applyFont="1" applyFill="1" applyBorder="1" applyAlignment="1" applyProtection="1">
      <alignment horizontal="left" vertical="center" wrapText="1"/>
    </xf>
    <xf numFmtId="49" fontId="2" fillId="34" borderId="12" xfId="0" applyNumberFormat="1" applyFont="1" applyFill="1" applyBorder="1" applyAlignment="1" applyProtection="1">
      <alignment horizontal="center" vertical="center" wrapText="1"/>
    </xf>
    <xf numFmtId="1" fontId="2" fillId="32" borderId="13" xfId="0" applyNumberFormat="1" applyFont="1" applyFill="1" applyBorder="1" applyAlignment="1" applyProtection="1">
      <alignment horizontal="center" vertical="center" wrapText="1"/>
    </xf>
    <xf numFmtId="1" fontId="7" fillId="32" borderId="13" xfId="0" applyNumberFormat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vertical="center" wrapText="1"/>
      <protection locked="0"/>
    </xf>
    <xf numFmtId="49" fontId="0" fillId="37" borderId="13" xfId="0" applyNumberFormat="1" applyFill="1" applyBorder="1" applyAlignment="1" applyProtection="1">
      <alignment horizontal="center" vertical="center" wrapText="1"/>
      <protection locked="0"/>
    </xf>
    <xf numFmtId="1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7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32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8" fillId="24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24" borderId="13" xfId="0" applyFont="1" applyFill="1" applyBorder="1" applyAlignment="1" applyProtection="1">
      <alignment horizontal="center" vertical="center" wrapText="1"/>
      <protection locked="0"/>
    </xf>
    <xf numFmtId="1" fontId="3" fillId="34" borderId="0" xfId="0" applyNumberFormat="1" applyFont="1" applyFill="1" applyBorder="1" applyAlignment="1" applyProtection="1">
      <alignment horizontal="left" vertical="center" wrapText="1"/>
    </xf>
    <xf numFmtId="0" fontId="2" fillId="34" borderId="0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vertical="center" wrapText="1"/>
    </xf>
    <xf numFmtId="0" fontId="34" fillId="24" borderId="13" xfId="37" applyFont="1" applyFill="1" applyBorder="1" applyAlignment="1" applyProtection="1">
      <alignment horizontal="center" vertical="center" wrapText="1"/>
    </xf>
    <xf numFmtId="0" fontId="8" fillId="27" borderId="20" xfId="37" applyNumberFormat="1" applyFont="1" applyFill="1" applyBorder="1" applyAlignment="1" applyProtection="1">
      <alignment horizontal="justify" vertical="center" wrapText="1"/>
    </xf>
    <xf numFmtId="0" fontId="34" fillId="27" borderId="14" xfId="37" applyFont="1" applyFill="1" applyBorder="1" applyAlignment="1" applyProtection="1">
      <alignment horizontal="center" vertical="center" wrapText="1"/>
    </xf>
    <xf numFmtId="0" fontId="34" fillId="27" borderId="15" xfId="37" applyFont="1" applyFill="1" applyBorder="1" applyAlignment="1" applyProtection="1">
      <alignment horizontal="center" vertical="center" wrapText="1"/>
    </xf>
    <xf numFmtId="0" fontId="8" fillId="27" borderId="21" xfId="37" applyNumberFormat="1" applyFont="1" applyFill="1" applyBorder="1" applyAlignment="1" applyProtection="1">
      <alignment horizontal="justify" vertical="center" wrapText="1"/>
    </xf>
    <xf numFmtId="0" fontId="34" fillId="27" borderId="16" xfId="37" applyFont="1" applyFill="1" applyBorder="1" applyAlignment="1" applyProtection="1">
      <alignment horizontal="center" vertical="center" wrapText="1"/>
    </xf>
    <xf numFmtId="49" fontId="34" fillId="27" borderId="16" xfId="37" applyNumberFormat="1" applyFont="1" applyFill="1" applyBorder="1" applyAlignment="1" applyProtection="1">
      <alignment horizontal="center" vertical="center" wrapText="1" shrinkToFit="1"/>
    </xf>
    <xf numFmtId="49" fontId="34" fillId="27" borderId="10" xfId="37" applyNumberFormat="1" applyFont="1" applyFill="1" applyBorder="1" applyAlignment="1" applyProtection="1">
      <alignment horizontal="center" vertical="center" wrapText="1" shrinkToFit="1"/>
    </xf>
    <xf numFmtId="164" fontId="7" fillId="32" borderId="13" xfId="37" applyNumberFormat="1" applyFont="1" applyFill="1" applyBorder="1" applyAlignment="1" applyProtection="1">
      <alignment horizontal="center" vertical="center" wrapText="1"/>
    </xf>
    <xf numFmtId="164" fontId="8" fillId="26" borderId="13" xfId="41" applyNumberFormat="1" applyFont="1" applyFill="1" applyBorder="1" applyAlignment="1" applyProtection="1">
      <alignment horizontal="center" vertical="center" wrapText="1"/>
    </xf>
    <xf numFmtId="0" fontId="34" fillId="0" borderId="0" xfId="37" applyFont="1" applyAlignment="1" applyProtection="1">
      <alignment vertical="center" wrapText="1"/>
    </xf>
    <xf numFmtId="0" fontId="0" fillId="24" borderId="13" xfId="37" applyFont="1" applyFill="1" applyBorder="1" applyAlignment="1" applyProtection="1">
      <alignment horizontal="center" vertical="center" wrapText="1"/>
    </xf>
    <xf numFmtId="2" fontId="7" fillId="29" borderId="13" xfId="37" applyNumberFormat="1" applyFont="1" applyFill="1" applyBorder="1" applyAlignment="1" applyProtection="1">
      <alignment horizontal="center" vertical="center" wrapText="1"/>
    </xf>
    <xf numFmtId="2" fontId="36" fillId="29" borderId="13" xfId="37" applyNumberFormat="1" applyFont="1" applyFill="1" applyBorder="1" applyAlignment="1" applyProtection="1">
      <alignment horizontal="center" vertical="center" wrapText="1"/>
    </xf>
    <xf numFmtId="2" fontId="37" fillId="29" borderId="13" xfId="37" applyNumberFormat="1" applyFont="1" applyFill="1" applyBorder="1" applyAlignment="1" applyProtection="1">
      <alignment horizontal="center" vertical="center" wrapText="1"/>
    </xf>
    <xf numFmtId="0" fontId="8" fillId="29" borderId="13" xfId="37" applyFont="1" applyFill="1" applyBorder="1" applyAlignment="1" applyProtection="1">
      <alignment horizontal="center" vertical="center" wrapText="1"/>
    </xf>
    <xf numFmtId="1" fontId="7" fillId="32" borderId="13" xfId="37" applyNumberFormat="1" applyFont="1" applyFill="1" applyBorder="1" applyAlignment="1" applyProtection="1">
      <alignment horizontal="center" vertical="center" wrapText="1"/>
    </xf>
    <xf numFmtId="1" fontId="36" fillId="0" borderId="13" xfId="37" applyNumberFormat="1" applyFont="1" applyFill="1" applyBorder="1" applyAlignment="1" applyProtection="1">
      <alignment horizontal="center" vertical="center" wrapText="1"/>
      <protection locked="0"/>
    </xf>
    <xf numFmtId="1" fontId="37" fillId="32" borderId="13" xfId="37" applyNumberFormat="1" applyFont="1" applyFill="1" applyBorder="1" applyAlignment="1" applyProtection="1">
      <alignment horizontal="center" vertical="center" wrapText="1"/>
    </xf>
    <xf numFmtId="2" fontId="8" fillId="26" borderId="13" xfId="37" applyNumberFormat="1" applyFont="1" applyFill="1" applyBorder="1" applyAlignment="1" applyProtection="1">
      <alignment horizontal="center" vertical="center" wrapText="1"/>
    </xf>
    <xf numFmtId="2" fontId="7" fillId="32" borderId="13" xfId="37" applyNumberFormat="1" applyFont="1" applyFill="1" applyBorder="1" applyAlignment="1" applyProtection="1">
      <alignment horizontal="center" vertical="center" wrapText="1"/>
    </xf>
    <xf numFmtId="2" fontId="36" fillId="0" borderId="13" xfId="37" applyNumberFormat="1" applyFont="1" applyFill="1" applyBorder="1" applyAlignment="1" applyProtection="1">
      <alignment horizontal="center" vertical="center" wrapText="1"/>
      <protection locked="0"/>
    </xf>
    <xf numFmtId="2" fontId="37" fillId="32" borderId="13" xfId="37" applyNumberFormat="1" applyFont="1" applyFill="1" applyBorder="1" applyAlignment="1" applyProtection="1">
      <alignment horizontal="center" vertical="center" wrapText="1"/>
    </xf>
    <xf numFmtId="0" fontId="8" fillId="26" borderId="13" xfId="37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 wrapText="1"/>
    </xf>
    <xf numFmtId="164" fontId="36" fillId="0" borderId="13" xfId="37" applyNumberFormat="1" applyFont="1" applyFill="1" applyBorder="1" applyAlignment="1" applyProtection="1">
      <alignment horizontal="center" vertical="center" wrapText="1"/>
      <protection locked="0"/>
    </xf>
    <xf numFmtId="164" fontId="37" fillId="32" borderId="13" xfId="37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2" fontId="9" fillId="31" borderId="13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vertical="center" wrapText="1"/>
    </xf>
    <xf numFmtId="0" fontId="40" fillId="31" borderId="13" xfId="0" applyFont="1" applyFill="1" applyBorder="1" applyAlignment="1" applyProtection="1">
      <alignment horizontal="center" vertical="center" wrapText="1"/>
    </xf>
    <xf numFmtId="0" fontId="9" fillId="31" borderId="13" xfId="0" applyFont="1" applyFill="1" applyBorder="1" applyAlignment="1" applyProtection="1">
      <alignment vertical="center" wrapText="1"/>
    </xf>
    <xf numFmtId="0" fontId="9" fillId="35" borderId="13" xfId="0" applyFont="1" applyFill="1" applyBorder="1" applyAlignment="1" applyProtection="1">
      <alignment vertical="center" wrapText="1"/>
    </xf>
    <xf numFmtId="164" fontId="9" fillId="31" borderId="13" xfId="0" applyNumberFormat="1" applyFont="1" applyFill="1" applyBorder="1" applyAlignment="1" applyProtection="1">
      <alignment horizontal="center" vertical="center" wrapText="1"/>
    </xf>
    <xf numFmtId="2" fontId="9" fillId="0" borderId="0" xfId="0" applyNumberFormat="1" applyFont="1" applyAlignment="1" applyProtection="1">
      <alignment horizontal="center" vertical="center" wrapText="1"/>
    </xf>
    <xf numFmtId="0" fontId="9" fillId="31" borderId="13" xfId="0" applyFont="1" applyFill="1" applyBorder="1" applyAlignment="1" applyProtection="1">
      <alignment horizontal="left" vertical="center" wrapText="1"/>
    </xf>
    <xf numFmtId="0" fontId="9" fillId="35" borderId="13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vertical="center" wrapText="1"/>
    </xf>
    <xf numFmtId="1" fontId="0" fillId="37" borderId="13" xfId="0" applyNumberFormat="1" applyFont="1" applyFill="1" applyBorder="1" applyAlignment="1" applyProtection="1">
      <alignment horizontal="center" vertical="center" wrapText="1"/>
    </xf>
    <xf numFmtId="1" fontId="8" fillId="37" borderId="13" xfId="0" applyNumberFormat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 applyProtection="1">
      <alignment vertical="center" wrapText="1"/>
      <protection locked="0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37" borderId="13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vertical="center" wrapText="1"/>
    </xf>
    <xf numFmtId="0" fontId="7" fillId="0" borderId="13" xfId="0" applyFont="1" applyFill="1" applyBorder="1" applyAlignment="1" applyProtection="1">
      <alignment vertical="center" wrapText="1"/>
    </xf>
    <xf numFmtId="0" fontId="0" fillId="24" borderId="13" xfId="0" applyFont="1" applyFill="1" applyBorder="1" applyAlignment="1" applyProtection="1">
      <alignment horizontal="center" vertical="center" wrapText="1"/>
    </xf>
    <xf numFmtId="0" fontId="7" fillId="27" borderId="13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0" fillId="0" borderId="13" xfId="0" applyBorder="1" applyAlignment="1" applyProtection="1">
      <alignment horizontal="justify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0" xfId="0" applyFont="1" applyFill="1" applyBorder="1" applyAlignment="1" applyProtection="1">
      <alignment vertical="center" wrapText="1"/>
      <protection locked="0"/>
    </xf>
    <xf numFmtId="1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3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Alignment="1">
      <alignment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37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left" vertical="top" wrapText="1"/>
    </xf>
    <xf numFmtId="49" fontId="0" fillId="37" borderId="13" xfId="37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2" fillId="41" borderId="0" xfId="0" applyFont="1" applyFill="1" applyBorder="1" applyAlignment="1" applyProtection="1">
      <alignment horizontal="left" vertical="top" wrapText="1"/>
    </xf>
    <xf numFmtId="1" fontId="2" fillId="41" borderId="0" xfId="0" applyNumberFormat="1" applyFont="1" applyFill="1" applyBorder="1" applyAlignment="1" applyProtection="1">
      <alignment horizontal="left" vertical="top" wrapText="1"/>
    </xf>
    <xf numFmtId="2" fontId="2" fillId="0" borderId="0" xfId="0" applyNumberFormat="1" applyFont="1" applyFill="1" applyBorder="1" applyAlignment="1" applyProtection="1">
      <alignment horizontal="left" vertical="top" wrapText="1"/>
    </xf>
    <xf numFmtId="0" fontId="2" fillId="37" borderId="0" xfId="0" applyFont="1" applyFill="1" applyBorder="1" applyAlignment="1" applyProtection="1">
      <alignment horizontal="left" vertical="top" wrapText="1"/>
    </xf>
    <xf numFmtId="0" fontId="8" fillId="41" borderId="0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>
      <alignment horizontal="left" vertical="top" wrapText="1"/>
    </xf>
    <xf numFmtId="0" fontId="45" fillId="37" borderId="0" xfId="0" applyFont="1" applyFill="1" applyBorder="1" applyAlignment="1" applyProtection="1">
      <alignment horizontal="left" vertical="top" wrapText="1"/>
    </xf>
    <xf numFmtId="0" fontId="5" fillId="37" borderId="0" xfId="0" applyFont="1" applyFill="1" applyBorder="1" applyAlignment="1" applyProtection="1">
      <alignment horizontal="left" vertical="top" wrapText="1"/>
    </xf>
    <xf numFmtId="0" fontId="2" fillId="41" borderId="0" xfId="0" applyNumberFormat="1" applyFont="1" applyFill="1" applyBorder="1" applyAlignment="1" applyProtection="1">
      <alignment horizontal="left" vertical="top" wrapText="1"/>
    </xf>
    <xf numFmtId="49" fontId="2" fillId="41" borderId="0" xfId="0" applyNumberFormat="1" applyFont="1" applyFill="1" applyBorder="1" applyAlignment="1" applyProtection="1">
      <alignment horizontal="left" vertical="top" wrapText="1"/>
    </xf>
    <xf numFmtId="2" fontId="2" fillId="41" borderId="0" xfId="0" applyNumberFormat="1" applyFont="1" applyFill="1" applyBorder="1" applyAlignment="1" applyProtection="1">
      <alignment horizontal="left" vertical="top" wrapText="1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4" fillId="24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7" fillId="32" borderId="0" xfId="0" applyNumberFormat="1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0" fillId="0" borderId="0" xfId="0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12" fillId="25" borderId="10" xfId="0" applyFont="1" applyFill="1" applyBorder="1" applyAlignment="1">
      <alignment horizontal="center" vertical="top" wrapText="1"/>
    </xf>
    <xf numFmtId="0" fontId="38" fillId="0" borderId="13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vertical="top" wrapText="1"/>
    </xf>
    <xf numFmtId="1" fontId="2" fillId="48" borderId="13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34" xfId="0" applyFont="1" applyFill="1" applyBorder="1" applyAlignment="1" applyProtection="1">
      <alignment vertical="top" wrapText="1"/>
      <protection locked="0"/>
    </xf>
    <xf numFmtId="1" fontId="2" fillId="32" borderId="13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 wrapText="1"/>
    </xf>
    <xf numFmtId="49" fontId="2" fillId="0" borderId="17" xfId="0" applyNumberFormat="1" applyFont="1" applyFill="1" applyBorder="1" applyAlignment="1" applyProtection="1">
      <alignment horizontal="left" vertical="top" wrapText="1"/>
    </xf>
    <xf numFmtId="0" fontId="2" fillId="0" borderId="34" xfId="0" applyFont="1" applyFill="1" applyBorder="1" applyAlignment="1" applyProtection="1">
      <alignment horizontal="justify" vertical="top" wrapText="1"/>
    </xf>
    <xf numFmtId="49" fontId="2" fillId="0" borderId="34" xfId="0" applyNumberFormat="1" applyFont="1" applyFill="1" applyBorder="1" applyAlignment="1" applyProtection="1">
      <alignment horizontal="center" vertical="top" wrapText="1"/>
    </xf>
    <xf numFmtId="1" fontId="2" fillId="0" borderId="34" xfId="0" applyNumberFormat="1" applyFont="1" applyFill="1" applyBorder="1" applyAlignment="1" applyProtection="1">
      <alignment horizontal="center" vertical="top" wrapText="1"/>
    </xf>
    <xf numFmtId="1" fontId="2" fillId="37" borderId="0" xfId="0" applyNumberFormat="1" applyFont="1" applyFill="1" applyBorder="1" applyAlignment="1" applyProtection="1">
      <alignment horizontal="center" vertical="top" wrapText="1"/>
    </xf>
    <xf numFmtId="49" fontId="3" fillId="34" borderId="14" xfId="0" applyNumberFormat="1" applyFont="1" applyFill="1" applyBorder="1" applyAlignment="1" applyProtection="1">
      <alignment horizontal="left" vertical="top" wrapText="1"/>
    </xf>
    <xf numFmtId="0" fontId="2" fillId="34" borderId="14" xfId="0" applyFont="1" applyFill="1" applyBorder="1" applyAlignment="1" applyProtection="1">
      <alignment horizontal="center" vertical="top" wrapText="1"/>
    </xf>
    <xf numFmtId="1" fontId="3" fillId="37" borderId="0" xfId="0" applyNumberFormat="1" applyFont="1" applyFill="1" applyBorder="1" applyAlignment="1" applyProtection="1">
      <alignment horizontal="left" vertical="center" wrapText="1"/>
    </xf>
    <xf numFmtId="49" fontId="3" fillId="34" borderId="16" xfId="0" applyNumberFormat="1" applyFont="1" applyFill="1" applyBorder="1" applyAlignment="1" applyProtection="1">
      <alignment horizontal="left" vertical="top" wrapText="1"/>
    </xf>
    <xf numFmtId="0" fontId="2" fillId="34" borderId="16" xfId="0" applyFont="1" applyFill="1" applyBorder="1" applyAlignment="1" applyProtection="1">
      <alignment horizontal="center" vertical="top" wrapText="1"/>
    </xf>
    <xf numFmtId="1" fontId="8" fillId="34" borderId="36" xfId="0" applyNumberFormat="1" applyFont="1" applyFill="1" applyBorder="1" applyAlignment="1" applyProtection="1">
      <alignment horizontal="center" vertical="top" wrapText="1"/>
    </xf>
    <xf numFmtId="3" fontId="8" fillId="25" borderId="36" xfId="0" applyNumberFormat="1" applyFont="1" applyFill="1" applyBorder="1" applyAlignment="1" applyProtection="1">
      <alignment horizontal="center" vertical="top" wrapText="1"/>
    </xf>
    <xf numFmtId="1" fontId="3" fillId="25" borderId="19" xfId="0" applyNumberFormat="1" applyFont="1" applyFill="1" applyBorder="1" applyAlignment="1" applyProtection="1">
      <alignment horizontal="center" vertical="top" wrapText="1"/>
    </xf>
    <xf numFmtId="3" fontId="7" fillId="25" borderId="13" xfId="0" applyNumberFormat="1" applyFont="1" applyFill="1" applyBorder="1" applyAlignment="1" applyProtection="1">
      <alignment horizontal="center" vertical="top" wrapText="1"/>
    </xf>
    <xf numFmtId="1" fontId="3" fillId="37" borderId="0" xfId="0" applyNumberFormat="1" applyFont="1" applyFill="1" applyBorder="1" applyAlignment="1" applyProtection="1">
      <alignment horizontal="center" vertical="top" wrapText="1"/>
    </xf>
    <xf numFmtId="1" fontId="3" fillId="25" borderId="40" xfId="0" applyNumberFormat="1" applyFont="1" applyFill="1" applyBorder="1" applyAlignment="1" applyProtection="1">
      <alignment horizontal="center" vertical="top" wrapText="1"/>
    </xf>
    <xf numFmtId="1" fontId="3" fillId="25" borderId="13" xfId="0" applyNumberFormat="1" applyFont="1" applyFill="1" applyBorder="1" applyAlignment="1" applyProtection="1">
      <alignment horizontal="center" vertical="top" wrapText="1"/>
    </xf>
    <xf numFmtId="1" fontId="3" fillId="25" borderId="36" xfId="0" applyNumberFormat="1" applyFont="1" applyFill="1" applyBorder="1" applyAlignment="1" applyProtection="1">
      <alignment horizontal="center" vertical="top" wrapText="1"/>
    </xf>
    <xf numFmtId="3" fontId="7" fillId="37" borderId="0" xfId="0" applyNumberFormat="1" applyFont="1" applyFill="1" applyBorder="1" applyAlignment="1" applyProtection="1">
      <alignment horizontal="center" vertical="top" wrapText="1"/>
    </xf>
    <xf numFmtId="1" fontId="7" fillId="34" borderId="36" xfId="0" applyNumberFormat="1" applyFont="1" applyFill="1" applyBorder="1" applyAlignment="1" applyProtection="1">
      <alignment horizontal="center" vertical="top" wrapText="1"/>
    </xf>
    <xf numFmtId="3" fontId="7" fillId="25" borderId="36" xfId="0" applyNumberFormat="1" applyFont="1" applyFill="1" applyBorder="1" applyAlignment="1" applyProtection="1">
      <alignment horizontal="center" vertical="top" wrapText="1"/>
    </xf>
    <xf numFmtId="3" fontId="7" fillId="25" borderId="34" xfId="0" applyNumberFormat="1" applyFont="1" applyFill="1" applyBorder="1" applyAlignment="1" applyProtection="1">
      <alignment horizontal="center" vertical="top" wrapText="1"/>
    </xf>
    <xf numFmtId="1" fontId="7" fillId="25" borderId="19" xfId="0" applyNumberFormat="1" applyFont="1" applyFill="1" applyBorder="1" applyAlignment="1" applyProtection="1">
      <alignment horizontal="center" vertical="top" wrapText="1"/>
    </xf>
    <xf numFmtId="1" fontId="7" fillId="37" borderId="0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2" fillId="34" borderId="42" xfId="0" applyNumberFormat="1" applyFont="1" applyFill="1" applyBorder="1" applyAlignment="1" applyProtection="1">
      <alignment horizontal="center" vertical="top" wrapText="1"/>
    </xf>
    <xf numFmtId="1" fontId="8" fillId="34" borderId="13" xfId="0" applyNumberFormat="1" applyFont="1" applyFill="1" applyBorder="1" applyAlignment="1" applyProtection="1">
      <alignment horizontal="center" vertical="top" wrapText="1"/>
    </xf>
    <xf numFmtId="3" fontId="8" fillId="25" borderId="13" xfId="0" applyNumberFormat="1" applyFont="1" applyFill="1" applyBorder="1" applyAlignment="1" applyProtection="1">
      <alignment horizontal="center" vertical="top" wrapText="1"/>
    </xf>
    <xf numFmtId="3" fontId="7" fillId="25" borderId="17" xfId="0" applyNumberFormat="1" applyFont="1" applyFill="1" applyBorder="1" applyAlignment="1" applyProtection="1">
      <alignment horizontal="center" vertical="top" wrapText="1"/>
    </xf>
    <xf numFmtId="49" fontId="3" fillId="34" borderId="42" xfId="0" applyNumberFormat="1" applyFont="1" applyFill="1" applyBorder="1" applyAlignment="1" applyProtection="1">
      <alignment horizontal="left" vertical="top" wrapText="1"/>
    </xf>
    <xf numFmtId="49" fontId="2" fillId="34" borderId="42" xfId="0" applyNumberFormat="1" applyFont="1" applyFill="1" applyBorder="1" applyAlignment="1" applyProtection="1">
      <alignment horizontal="left" vertical="top" wrapText="1"/>
    </xf>
    <xf numFmtId="1" fontId="3" fillId="37" borderId="0" xfId="0" applyNumberFormat="1" applyFont="1" applyFill="1" applyBorder="1" applyAlignment="1" applyProtection="1">
      <alignment horizontal="left" vertical="top" wrapText="1"/>
    </xf>
    <xf numFmtId="49" fontId="2" fillId="34" borderId="12" xfId="0" applyNumberFormat="1" applyFont="1" applyFill="1" applyBorder="1" applyAlignment="1" applyProtection="1">
      <alignment horizontal="center" vertical="top" wrapText="1"/>
    </xf>
    <xf numFmtId="1" fontId="3" fillId="28" borderId="49" xfId="0" applyNumberFormat="1" applyFont="1" applyFill="1" applyBorder="1" applyAlignment="1" applyProtection="1">
      <alignment horizontal="center" vertical="top" wrapText="1"/>
    </xf>
    <xf numFmtId="0" fontId="0" fillId="38" borderId="48" xfId="0" applyFill="1" applyBorder="1" applyAlignment="1">
      <alignment vertical="top" wrapText="1"/>
    </xf>
    <xf numFmtId="49" fontId="0" fillId="38" borderId="48" xfId="0" applyNumberFormat="1" applyFill="1" applyBorder="1">
      <alignment vertical="top"/>
    </xf>
    <xf numFmtId="0" fontId="0" fillId="0" borderId="48" xfId="0" applyBorder="1" applyAlignment="1">
      <alignment vertical="top" wrapText="1"/>
    </xf>
    <xf numFmtId="49" fontId="0" fillId="0" borderId="48" xfId="0" applyNumberFormat="1" applyBorder="1">
      <alignment vertical="top"/>
    </xf>
    <xf numFmtId="0" fontId="0" fillId="0" borderId="0" xfId="0" applyBorder="1">
      <alignment vertical="top"/>
    </xf>
    <xf numFmtId="0" fontId="0" fillId="38" borderId="0" xfId="0" applyFill="1" applyBorder="1">
      <alignment vertical="top"/>
    </xf>
    <xf numFmtId="0" fontId="8" fillId="34" borderId="36" xfId="0" applyFont="1" applyFill="1" applyBorder="1" applyAlignment="1" applyProtection="1">
      <alignment horizontal="left" vertical="top" wrapText="1"/>
    </xf>
    <xf numFmtId="0" fontId="7" fillId="34" borderId="36" xfId="0" applyFont="1" applyFill="1" applyBorder="1" applyAlignment="1" applyProtection="1">
      <alignment horizontal="left" vertical="top" wrapText="1"/>
    </xf>
    <xf numFmtId="0" fontId="8" fillId="34" borderId="34" xfId="0" applyFont="1" applyFill="1" applyBorder="1" applyAlignment="1" applyProtection="1">
      <alignment horizontal="left" vertical="top" wrapText="1"/>
    </xf>
    <xf numFmtId="1" fontId="3" fillId="33" borderId="34" xfId="0" applyNumberFormat="1" applyFont="1" applyFill="1" applyBorder="1" applyAlignment="1" applyProtection="1">
      <alignment horizontal="center" vertical="top" wrapText="1"/>
    </xf>
    <xf numFmtId="1" fontId="7" fillId="33" borderId="34" xfId="0" applyNumberFormat="1" applyFont="1" applyFill="1" applyBorder="1" applyAlignment="1" applyProtection="1">
      <alignment horizontal="center" vertical="top" wrapText="1"/>
    </xf>
    <xf numFmtId="0" fontId="0" fillId="37" borderId="13" xfId="0" applyFill="1" applyBorder="1" applyAlignment="1" applyProtection="1">
      <alignment horizontal="left" vertical="center" wrapText="1"/>
      <protection locked="0"/>
    </xf>
    <xf numFmtId="1" fontId="2" fillId="0" borderId="16" xfId="0" applyNumberFormat="1" applyFont="1" applyFill="1" applyBorder="1" applyAlignment="1" applyProtection="1">
      <alignment horizontal="center" vertical="top" wrapText="1"/>
    </xf>
    <xf numFmtId="1" fontId="8" fillId="30" borderId="33" xfId="0" applyNumberFormat="1" applyFont="1" applyFill="1" applyBorder="1" applyAlignment="1" applyProtection="1">
      <alignment horizontal="center" vertical="top" wrapText="1"/>
    </xf>
    <xf numFmtId="1" fontId="8" fillId="30" borderId="42" xfId="0" applyNumberFormat="1" applyFont="1" applyFill="1" applyBorder="1" applyAlignment="1" applyProtection="1">
      <alignment horizontal="center" vertical="top" wrapText="1"/>
    </xf>
    <xf numFmtId="49" fontId="8" fillId="30" borderId="43" xfId="0" applyNumberFormat="1" applyFont="1" applyFill="1" applyBorder="1" applyAlignment="1" applyProtection="1">
      <alignment horizontal="center" vertical="top" wrapText="1"/>
    </xf>
    <xf numFmtId="49" fontId="8" fillId="30" borderId="12" xfId="0" applyNumberFormat="1" applyFont="1" applyFill="1" applyBorder="1" applyAlignment="1" applyProtection="1">
      <alignment horizontal="center" vertical="top" wrapText="1"/>
    </xf>
    <xf numFmtId="0" fontId="14" fillId="38" borderId="13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 vertical="top"/>
    </xf>
    <xf numFmtId="0" fontId="4" fillId="32" borderId="11" xfId="0" applyFont="1" applyFill="1" applyBorder="1" applyAlignment="1">
      <alignment vertical="top"/>
    </xf>
    <xf numFmtId="0" fontId="3" fillId="28" borderId="22" xfId="0" applyFont="1" applyFill="1" applyBorder="1" applyAlignment="1" applyProtection="1">
      <alignment horizontal="center" vertical="top" wrapText="1"/>
    </xf>
    <xf numFmtId="0" fontId="43" fillId="0" borderId="13" xfId="0" applyFont="1" applyFill="1" applyBorder="1" applyAlignment="1" applyProtection="1">
      <alignment horizontal="justify" vertical="center" wrapText="1"/>
      <protection locked="0"/>
    </xf>
    <xf numFmtId="49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>
      <alignment horizontal="justify" vertical="top" wrapText="1"/>
    </xf>
    <xf numFmtId="0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8" borderId="23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1" fontId="2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left" vertical="center" wrapText="1"/>
    </xf>
    <xf numFmtId="164" fontId="7" fillId="26" borderId="13" xfId="37" applyNumberFormat="1" applyFont="1" applyFill="1" applyBorder="1" applyAlignment="1" applyProtection="1">
      <alignment horizontal="center" vertical="top" wrapText="1"/>
    </xf>
    <xf numFmtId="164" fontId="7" fillId="0" borderId="13" xfId="37" applyNumberFormat="1" applyFont="1" applyBorder="1" applyAlignment="1" applyProtection="1">
      <alignment horizontal="center" vertical="top" wrapText="1"/>
      <protection locked="0"/>
    </xf>
    <xf numFmtId="164" fontId="0" fillId="0" borderId="13" xfId="37" applyNumberFormat="1" applyFont="1" applyBorder="1" applyAlignment="1" applyProtection="1">
      <alignment horizontal="center" vertical="top" wrapText="1"/>
      <protection locked="0"/>
    </xf>
    <xf numFmtId="164" fontId="7" fillId="26" borderId="13" xfId="37" applyNumberFormat="1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0" xfId="0">
      <alignment vertical="top"/>
    </xf>
    <xf numFmtId="1" fontId="3" fillId="48" borderId="13" xfId="0" applyNumberFormat="1" applyFont="1" applyFill="1" applyBorder="1" applyAlignment="1" applyProtection="1">
      <alignment horizontal="center" vertical="top" wrapText="1"/>
    </xf>
    <xf numFmtId="1" fontId="8" fillId="37" borderId="13" xfId="0" applyNumberFormat="1" applyFont="1" applyFill="1" applyBorder="1" applyAlignment="1" applyProtection="1">
      <alignment horizontal="center" vertical="top" wrapText="1"/>
    </xf>
    <xf numFmtId="1" fontId="3" fillId="38" borderId="14" xfId="0" applyNumberFormat="1" applyFont="1" applyFill="1" applyBorder="1" applyAlignment="1" applyProtection="1">
      <alignment horizontal="center" vertical="top" wrapText="1"/>
    </xf>
    <xf numFmtId="1" fontId="3" fillId="38" borderId="0" xfId="0" applyNumberFormat="1" applyFont="1" applyFill="1" applyBorder="1" applyAlignment="1" applyProtection="1">
      <alignment horizontal="center" vertical="top" wrapText="1"/>
    </xf>
    <xf numFmtId="1" fontId="3" fillId="38" borderId="0" xfId="0" applyNumberFormat="1" applyFont="1" applyFill="1" applyBorder="1" applyAlignment="1" applyProtection="1">
      <alignment horizontal="center" textRotation="90" wrapText="1"/>
    </xf>
    <xf numFmtId="1" fontId="3" fillId="38" borderId="16" xfId="0" applyNumberFormat="1" applyFont="1" applyFill="1" applyBorder="1" applyAlignment="1" applyProtection="1">
      <alignment horizontal="center" textRotation="90" wrapText="1"/>
    </xf>
    <xf numFmtId="1" fontId="8" fillId="34" borderId="36" xfId="0" applyNumberFormat="1" applyFont="1" applyFill="1" applyBorder="1" applyAlignment="1" applyProtection="1">
      <alignment horizontal="left" vertical="top" wrapText="1"/>
    </xf>
    <xf numFmtId="1" fontId="7" fillId="34" borderId="36" xfId="0" applyNumberFormat="1" applyFont="1" applyFill="1" applyBorder="1" applyAlignment="1" applyProtection="1">
      <alignment horizontal="left" vertical="top" wrapText="1"/>
    </xf>
    <xf numFmtId="1" fontId="8" fillId="34" borderId="34" xfId="0" applyNumberFormat="1" applyFont="1" applyFill="1" applyBorder="1" applyAlignment="1" applyProtection="1">
      <alignment horizontal="left" vertical="top" wrapText="1"/>
    </xf>
    <xf numFmtId="0" fontId="0" fillId="37" borderId="48" xfId="0" applyFill="1" applyBorder="1" applyAlignment="1">
      <alignment vertical="top" wrapText="1"/>
    </xf>
    <xf numFmtId="0" fontId="0" fillId="37" borderId="0" xfId="0" applyFill="1" applyBorder="1">
      <alignment vertical="top"/>
    </xf>
    <xf numFmtId="49" fontId="0" fillId="37" borderId="48" xfId="0" applyNumberFormat="1" applyFill="1" applyBorder="1">
      <alignment vertical="top"/>
    </xf>
    <xf numFmtId="0" fontId="8" fillId="37" borderId="0" xfId="0" applyFont="1" applyFill="1" applyBorder="1" applyAlignment="1" applyProtection="1">
      <alignment vertical="top" wrapText="1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37" borderId="13" xfId="0" applyFill="1" applyBorder="1" applyAlignment="1" applyProtection="1">
      <alignment vertical="center" wrapText="1"/>
      <protection locked="0"/>
    </xf>
    <xf numFmtId="0" fontId="0" fillId="37" borderId="13" xfId="0" applyFill="1" applyBorder="1" applyAlignment="1" applyProtection="1">
      <alignment horizontal="center" vertical="center" wrapText="1"/>
      <protection locked="0"/>
    </xf>
    <xf numFmtId="49" fontId="0" fillId="37" borderId="17" xfId="37" applyNumberFormat="1" applyFont="1" applyFill="1" applyBorder="1" applyAlignment="1" applyProtection="1">
      <alignment vertical="center"/>
    </xf>
    <xf numFmtId="0" fontId="0" fillId="27" borderId="13" xfId="0" applyFont="1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justify" vertical="top" wrapText="1"/>
      <protection locked="0"/>
    </xf>
    <xf numFmtId="0" fontId="0" fillId="37" borderId="22" xfId="0" applyFont="1" applyFill="1" applyBorder="1" applyAlignment="1" applyProtection="1">
      <alignment horizontal="left" vertical="top" wrapText="1"/>
    </xf>
    <xf numFmtId="0" fontId="3" fillId="28" borderId="22" xfId="0" applyFont="1" applyFill="1" applyBorder="1" applyAlignment="1" applyProtection="1">
      <alignment horizontal="center" vertical="top" wrapText="1"/>
    </xf>
    <xf numFmtId="0" fontId="2" fillId="32" borderId="0" xfId="0" applyFont="1" applyFill="1" applyAlignment="1">
      <alignment vertical="top" wrapText="1"/>
    </xf>
    <xf numFmtId="49" fontId="8" fillId="28" borderId="22" xfId="0" applyNumberFormat="1" applyFont="1" applyFill="1" applyBorder="1" applyAlignment="1" applyProtection="1">
      <alignment horizontal="center" textRotation="90" wrapText="1"/>
    </xf>
    <xf numFmtId="49" fontId="8" fillId="28" borderId="42" xfId="0" applyNumberFormat="1" applyFont="1" applyFill="1" applyBorder="1" applyAlignment="1" applyProtection="1">
      <alignment horizontal="center" textRotation="90" wrapText="1"/>
    </xf>
    <xf numFmtId="0" fontId="0" fillId="28" borderId="22" xfId="0" applyFill="1" applyBorder="1" applyAlignment="1" applyProtection="1">
      <alignment horizontal="center" textRotation="90" wrapText="1"/>
    </xf>
    <xf numFmtId="0" fontId="0" fillId="28" borderId="22" xfId="0" applyFont="1" applyFill="1" applyBorder="1" applyAlignment="1" applyProtection="1">
      <alignment horizontal="center" textRotation="90" wrapText="1"/>
    </xf>
    <xf numFmtId="0" fontId="7" fillId="37" borderId="13" xfId="0" applyFont="1" applyFill="1" applyBorder="1" applyAlignment="1" applyProtection="1">
      <alignment horizontal="left" vertical="center" wrapText="1"/>
      <protection locked="0"/>
    </xf>
    <xf numFmtId="1" fontId="3" fillId="28" borderId="14" xfId="0" applyNumberFormat="1" applyFont="1" applyFill="1" applyBorder="1" applyAlignment="1" applyProtection="1">
      <alignment horizontal="center" vertical="top" wrapText="1"/>
    </xf>
    <xf numFmtId="49" fontId="8" fillId="28" borderId="22" xfId="0" applyNumberFormat="1" applyFont="1" applyFill="1" applyBorder="1" applyAlignment="1" applyProtection="1">
      <alignment horizontal="center" textRotation="90" wrapText="1"/>
    </xf>
    <xf numFmtId="49" fontId="8" fillId="28" borderId="42" xfId="0" applyNumberFormat="1" applyFont="1" applyFill="1" applyBorder="1" applyAlignment="1" applyProtection="1">
      <alignment horizontal="center" textRotation="90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0" fontId="3" fillId="28" borderId="13" xfId="0" applyFont="1" applyFill="1" applyBorder="1" applyAlignment="1" applyProtection="1">
      <alignment horizontal="center" vertical="top" wrapText="1"/>
    </xf>
    <xf numFmtId="49" fontId="3" fillId="28" borderId="0" xfId="0" applyNumberFormat="1" applyFont="1" applyFill="1" applyBorder="1" applyAlignment="1" applyProtection="1">
      <alignment horizontal="center" vertical="top" wrapText="1"/>
    </xf>
    <xf numFmtId="0" fontId="3" fillId="28" borderId="14" xfId="0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49" fontId="3" fillId="28" borderId="26" xfId="0" applyNumberFormat="1" applyFont="1" applyFill="1" applyBorder="1" applyAlignment="1" applyProtection="1">
      <alignment horizontal="center" vertical="top" wrapText="1"/>
    </xf>
    <xf numFmtId="1" fontId="7" fillId="28" borderId="16" xfId="0" applyNumberFormat="1" applyFont="1" applyFill="1" applyBorder="1" applyAlignment="1" applyProtection="1">
      <alignment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7" fillId="28" borderId="14" xfId="0" applyNumberFormat="1" applyFont="1" applyFill="1" applyBorder="1" applyAlignment="1" applyProtection="1">
      <alignment horizontal="center" vertical="top" wrapText="1"/>
    </xf>
    <xf numFmtId="0" fontId="3" fillId="30" borderId="13" xfId="0" applyFont="1" applyFill="1" applyBorder="1" applyAlignment="1" applyProtection="1">
      <alignment horizontal="left" vertical="center" wrapText="1"/>
    </xf>
    <xf numFmtId="0" fontId="3" fillId="30" borderId="13" xfId="0" applyFont="1" applyFill="1" applyBorder="1" applyAlignment="1" applyProtection="1">
      <alignment horizontal="center" vertical="center" wrapText="1"/>
    </xf>
    <xf numFmtId="1" fontId="3" fillId="30" borderId="13" xfId="0" applyNumberFormat="1" applyFont="1" applyFill="1" applyBorder="1" applyAlignment="1" applyProtection="1">
      <alignment horizontal="center" vertical="center" wrapText="1"/>
    </xf>
    <xf numFmtId="49" fontId="3" fillId="30" borderId="13" xfId="0" applyNumberFormat="1" applyFont="1" applyFill="1" applyBorder="1" applyAlignment="1" applyProtection="1">
      <alignment horizontal="center" vertical="center" wrapText="1"/>
    </xf>
    <xf numFmtId="0" fontId="8" fillId="29" borderId="13" xfId="0" applyFont="1" applyFill="1" applyBorder="1" applyAlignment="1" applyProtection="1">
      <alignment horizontal="left" vertical="center" wrapText="1"/>
    </xf>
    <xf numFmtId="49" fontId="8" fillId="29" borderId="13" xfId="0" applyNumberFormat="1" applyFont="1" applyFill="1" applyBorder="1" applyAlignment="1" applyProtection="1">
      <alignment horizontal="center" vertical="center" wrapText="1"/>
    </xf>
    <xf numFmtId="1" fontId="8" fillId="29" borderId="13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" fontId="3" fillId="29" borderId="13" xfId="0" applyNumberFormat="1" applyFont="1" applyFill="1" applyBorder="1" applyAlignment="1" applyProtection="1">
      <alignment horizontal="center" vertical="center" wrapText="1"/>
    </xf>
    <xf numFmtId="49" fontId="44" fillId="29" borderId="13" xfId="0" applyNumberFormat="1" applyFont="1" applyFill="1" applyBorder="1" applyAlignment="1" applyProtection="1">
      <alignment horizontal="center" vertical="center" wrapText="1"/>
    </xf>
    <xf numFmtId="49" fontId="2" fillId="30" borderId="13" xfId="0" applyNumberFormat="1" applyFont="1" applyFill="1" applyBorder="1" applyAlignment="1" applyProtection="1">
      <alignment horizontal="center" vertical="center" wrapText="1"/>
    </xf>
    <xf numFmtId="1" fontId="8" fillId="30" borderId="13" xfId="0" applyNumberFormat="1" applyFont="1" applyFill="1" applyBorder="1" applyAlignment="1" applyProtection="1">
      <alignment horizontal="center" vertical="center" wrapText="1"/>
    </xf>
    <xf numFmtId="164" fontId="3" fillId="30" borderId="13" xfId="0" applyNumberFormat="1" applyFont="1" applyFill="1" applyBorder="1" applyAlignment="1" applyProtection="1">
      <alignment horizontal="center" vertical="center" wrapText="1"/>
    </xf>
    <xf numFmtId="49" fontId="42" fillId="30" borderId="13" xfId="0" applyNumberFormat="1" applyFont="1" applyFill="1" applyBorder="1" applyAlignment="1" applyProtection="1">
      <alignment horizontal="center" vertical="center" wrapText="1"/>
    </xf>
    <xf numFmtId="1" fontId="8" fillId="38" borderId="13" xfId="0" applyNumberFormat="1" applyFont="1" applyFill="1" applyBorder="1" applyAlignment="1" applyProtection="1">
      <alignment horizontal="center" vertical="center" wrapText="1"/>
    </xf>
    <xf numFmtId="164" fontId="8" fillId="29" borderId="13" xfId="0" applyNumberFormat="1" applyFont="1" applyFill="1" applyBorder="1" applyAlignment="1" applyProtection="1">
      <alignment horizontal="left" vertical="center" wrapText="1"/>
    </xf>
    <xf numFmtId="164" fontId="8" fillId="29" borderId="13" xfId="0" applyNumberFormat="1" applyFont="1" applyFill="1" applyBorder="1" applyAlignment="1" applyProtection="1">
      <alignment horizontal="center" vertical="center" wrapText="1"/>
    </xf>
    <xf numFmtId="49" fontId="42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9" borderId="13" xfId="0" applyFont="1" applyFill="1" applyBorder="1" applyAlignment="1" applyProtection="1">
      <alignment horizontal="left" vertical="center" wrapText="1"/>
    </xf>
    <xf numFmtId="49" fontId="2" fillId="29" borderId="13" xfId="0" applyNumberFormat="1" applyFont="1" applyFill="1" applyBorder="1" applyAlignment="1" applyProtection="1">
      <alignment horizontal="center" vertical="center" wrapText="1"/>
    </xf>
    <xf numFmtId="1" fontId="3" fillId="38" borderId="13" xfId="0" applyNumberFormat="1" applyFont="1" applyFill="1" applyBorder="1" applyAlignment="1" applyProtection="1">
      <alignment horizontal="center" vertical="center" wrapText="1"/>
    </xf>
    <xf numFmtId="164" fontId="3" fillId="29" borderId="13" xfId="0" applyNumberFormat="1" applyFont="1" applyFill="1" applyBorder="1" applyAlignment="1" applyProtection="1">
      <alignment horizontal="center" vertical="center" wrapText="1"/>
    </xf>
    <xf numFmtId="49" fontId="42" fillId="29" borderId="13" xfId="0" applyNumberFormat="1" applyFont="1" applyFill="1" applyBorder="1" applyAlignment="1" applyProtection="1">
      <alignment horizontal="center" vertical="center" wrapText="1"/>
    </xf>
    <xf numFmtId="0" fontId="39" fillId="42" borderId="13" xfId="0" applyFont="1" applyFill="1" applyBorder="1" applyAlignment="1" applyProtection="1">
      <alignment horizontal="left" vertical="center" wrapText="1"/>
    </xf>
    <xf numFmtId="49" fontId="0" fillId="42" borderId="13" xfId="0" applyNumberFormat="1" applyFont="1" applyFill="1" applyBorder="1" applyAlignment="1" applyProtection="1">
      <alignment horizontal="center" vertical="center" wrapText="1"/>
    </xf>
    <xf numFmtId="1" fontId="8" fillId="42" borderId="13" xfId="0" applyNumberFormat="1" applyFont="1" applyFill="1" applyBorder="1" applyAlignment="1" applyProtection="1">
      <alignment horizontal="center" vertical="center" wrapText="1"/>
    </xf>
    <xf numFmtId="1" fontId="39" fillId="42" borderId="13" xfId="0" applyNumberFormat="1" applyFont="1" applyFill="1" applyBorder="1" applyAlignment="1" applyProtection="1">
      <alignment horizontal="center" vertical="center" wrapText="1"/>
    </xf>
    <xf numFmtId="164" fontId="39" fillId="42" borderId="13" xfId="0" applyNumberFormat="1" applyFont="1" applyFill="1" applyBorder="1" applyAlignment="1" applyProtection="1">
      <alignment horizontal="center" vertical="center" wrapText="1"/>
    </xf>
    <xf numFmtId="49" fontId="42" fillId="42" borderId="13" xfId="0" applyNumberFormat="1" applyFont="1" applyFill="1" applyBorder="1" applyAlignment="1" applyProtection="1">
      <alignment horizontal="center" vertical="center" wrapText="1"/>
    </xf>
    <xf numFmtId="1" fontId="4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3" fillId="42" borderId="13" xfId="0" applyFont="1" applyFill="1" applyBorder="1" applyAlignment="1" applyProtection="1">
      <alignment horizontal="left" vertical="center" wrapText="1"/>
    </xf>
    <xf numFmtId="49" fontId="8" fillId="42" borderId="13" xfId="0" applyNumberFormat="1" applyFont="1" applyFill="1" applyBorder="1" applyAlignment="1" applyProtection="1">
      <alignment horizontal="center" vertical="center" wrapText="1"/>
    </xf>
    <xf numFmtId="1" fontId="33" fillId="42" borderId="13" xfId="0" applyNumberFormat="1" applyFont="1" applyFill="1" applyBorder="1" applyAlignment="1" applyProtection="1">
      <alignment horizontal="center" vertical="center" wrapText="1"/>
    </xf>
    <xf numFmtId="49" fontId="44" fillId="42" borderId="13" xfId="0" applyNumberFormat="1" applyFont="1" applyFill="1" applyBorder="1" applyAlignment="1" applyProtection="1">
      <alignment horizontal="center" vertical="center" wrapText="1"/>
    </xf>
    <xf numFmtId="49" fontId="8" fillId="44" borderId="13" xfId="0" applyNumberFormat="1" applyFont="1" applyFill="1" applyBorder="1" applyAlignment="1" applyProtection="1">
      <alignment horizontal="center" vertical="center" wrapText="1"/>
    </xf>
    <xf numFmtId="1" fontId="8" fillId="44" borderId="13" xfId="0" applyNumberFormat="1" applyFont="1" applyFill="1" applyBorder="1" applyAlignment="1" applyProtection="1">
      <alignment horizontal="center" vertical="center" wrapText="1"/>
    </xf>
    <xf numFmtId="49" fontId="8" fillId="43" borderId="13" xfId="0" applyNumberFormat="1" applyFont="1" applyFill="1" applyBorder="1" applyAlignment="1" applyProtection="1">
      <alignment horizontal="left" vertical="center" wrapText="1"/>
      <protection locked="0"/>
    </xf>
    <xf numFmtId="49" fontId="8" fillId="43" borderId="13" xfId="0" applyNumberFormat="1" applyFont="1" applyFill="1" applyBorder="1" applyAlignment="1" applyProtection="1">
      <alignment horizontal="center" vertical="center" wrapText="1"/>
    </xf>
    <xf numFmtId="1" fontId="8" fillId="43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43" borderId="13" xfId="0" applyNumberFormat="1" applyFont="1" applyFill="1" applyBorder="1" applyAlignment="1" applyProtection="1">
      <alignment horizontal="center" vertical="center" wrapText="1"/>
    </xf>
    <xf numFmtId="1" fontId="0" fillId="32" borderId="13" xfId="0" applyNumberFormat="1" applyFont="1" applyFill="1" applyBorder="1" applyAlignment="1" applyProtection="1">
      <alignment horizontal="center" vertical="center" wrapText="1"/>
    </xf>
    <xf numFmtId="1" fontId="0" fillId="40" borderId="13" xfId="0" applyNumberFormat="1" applyFont="1" applyFill="1" applyBorder="1" applyAlignment="1" applyProtection="1">
      <alignment horizontal="center" vertical="center" wrapText="1"/>
    </xf>
    <xf numFmtId="0" fontId="43" fillId="0" borderId="13" xfId="36" applyFont="1" applyFill="1" applyBorder="1" applyAlignment="1">
      <alignment horizontal="left" vertical="center" wrapText="1"/>
    </xf>
    <xf numFmtId="1" fontId="3" fillId="43" borderId="13" xfId="0" applyNumberFormat="1" applyFont="1" applyFill="1" applyBorder="1" applyAlignment="1" applyProtection="1">
      <alignment horizontal="center" vertical="center" wrapText="1"/>
      <protection locked="0"/>
    </xf>
    <xf numFmtId="1" fontId="4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1" fillId="0" borderId="13" xfId="0" applyNumberFormat="1" applyFont="1" applyFill="1" applyBorder="1" applyAlignment="1" applyProtection="1">
      <alignment horizontal="center" vertical="center" wrapText="1"/>
    </xf>
    <xf numFmtId="1" fontId="0" fillId="45" borderId="13" xfId="0" applyNumberFormat="1" applyFont="1" applyFill="1" applyBorder="1" applyAlignment="1" applyProtection="1">
      <alignment horizontal="center" vertical="center" wrapText="1"/>
    </xf>
    <xf numFmtId="164" fontId="0" fillId="37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47" borderId="13" xfId="0" applyNumberFormat="1" applyFont="1" applyFill="1" applyBorder="1" applyAlignment="1" applyProtection="1">
      <alignment horizontal="left" vertical="center" wrapText="1"/>
      <protection locked="0"/>
    </xf>
    <xf numFmtId="1" fontId="8" fillId="47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47" borderId="13" xfId="0" applyNumberFormat="1" applyFont="1" applyFill="1" applyBorder="1" applyAlignment="1" applyProtection="1">
      <alignment horizontal="center" vertical="center" wrapText="1"/>
    </xf>
    <xf numFmtId="1" fontId="3" fillId="47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7" borderId="13" xfId="0" applyNumberFormat="1" applyFill="1" applyBorder="1" applyAlignment="1" applyProtection="1">
      <alignment horizontal="left" vertical="center" wrapText="1"/>
      <protection locked="0"/>
    </xf>
    <xf numFmtId="0" fontId="39" fillId="46" borderId="13" xfId="0" applyFont="1" applyFill="1" applyBorder="1" applyAlignment="1" applyProtection="1">
      <alignment vertical="center"/>
      <protection locked="0"/>
    </xf>
    <xf numFmtId="49" fontId="0" fillId="50" borderId="13" xfId="0" applyNumberFormat="1" applyFill="1" applyBorder="1" applyAlignment="1" applyProtection="1">
      <alignment horizontal="center" vertical="center" wrapText="1"/>
      <protection locked="0"/>
    </xf>
    <xf numFmtId="0" fontId="39" fillId="50" borderId="13" xfId="0" applyFont="1" applyFill="1" applyBorder="1" applyAlignment="1" applyProtection="1">
      <alignment vertical="center"/>
      <protection locked="0"/>
    </xf>
    <xf numFmtId="49" fontId="0" fillId="46" borderId="13" xfId="0" applyNumberFormat="1" applyFill="1" applyBorder="1" applyAlignment="1" applyProtection="1">
      <alignment horizontal="center" vertical="center" wrapText="1"/>
      <protection locked="0"/>
    </xf>
    <xf numFmtId="1" fontId="7" fillId="46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46" borderId="13" xfId="0" applyNumberFormat="1" applyFont="1" applyFill="1" applyBorder="1" applyAlignment="1" applyProtection="1">
      <alignment horizontal="center" vertical="center" wrapText="1"/>
    </xf>
    <xf numFmtId="1" fontId="7" fillId="46" borderId="13" xfId="0" applyNumberFormat="1" applyFont="1" applyFill="1" applyBorder="1" applyAlignment="1" applyProtection="1">
      <alignment horizontal="center" vertical="center" wrapText="1"/>
    </xf>
    <xf numFmtId="1" fontId="0" fillId="46" borderId="13" xfId="0" applyNumberFormat="1" applyFont="1" applyFill="1" applyBorder="1" applyAlignment="1" applyProtection="1">
      <alignment horizontal="center" vertical="center" wrapText="1"/>
    </xf>
    <xf numFmtId="49" fontId="2" fillId="46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6" borderId="13" xfId="0" applyNumberFormat="1" applyFill="1" applyBorder="1" applyAlignment="1" applyProtection="1">
      <alignment horizontal="center" vertical="center" wrapText="1"/>
      <protection locked="0"/>
    </xf>
    <xf numFmtId="49" fontId="8" fillId="41" borderId="13" xfId="0" applyNumberFormat="1" applyFont="1" applyFill="1" applyBorder="1" applyAlignment="1" applyProtection="1">
      <alignment horizontal="left" vertical="center" wrapText="1"/>
      <protection locked="0"/>
    </xf>
    <xf numFmtId="49" fontId="8" fillId="41" borderId="13" xfId="0" applyNumberFormat="1" applyFont="1" applyFill="1" applyBorder="1" applyAlignment="1" applyProtection="1">
      <alignment horizontal="center" vertical="center" wrapText="1"/>
    </xf>
    <xf numFmtId="1" fontId="8" fillId="41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41" borderId="13" xfId="0" applyNumberFormat="1" applyFont="1" applyFill="1" applyBorder="1" applyAlignment="1" applyProtection="1">
      <alignment horizontal="center" vertical="center" wrapText="1"/>
    </xf>
    <xf numFmtId="0" fontId="0" fillId="46" borderId="13" xfId="0" applyNumberFormat="1" applyFill="1" applyBorder="1" applyAlignment="1" applyProtection="1">
      <alignment horizontal="center" vertical="center"/>
      <protection locked="0"/>
    </xf>
    <xf numFmtId="0" fontId="39" fillId="46" borderId="13" xfId="0" applyFont="1" applyFill="1" applyBorder="1" applyAlignment="1" applyProtection="1">
      <alignment horizontal="center" vertical="center"/>
      <protection locked="0"/>
    </xf>
    <xf numFmtId="1" fontId="8" fillId="46" borderId="13" xfId="0" applyNumberFormat="1" applyFont="1" applyFill="1" applyBorder="1" applyAlignment="1" applyProtection="1">
      <alignment horizontal="center" vertical="center" wrapText="1"/>
    </xf>
    <xf numFmtId="0" fontId="3" fillId="41" borderId="13" xfId="0" applyFont="1" applyFill="1" applyBorder="1" applyAlignment="1" applyProtection="1">
      <alignment horizontal="center" vertical="center" wrapText="1"/>
      <protection locked="0"/>
    </xf>
    <xf numFmtId="0" fontId="8" fillId="43" borderId="13" xfId="0" applyFont="1" applyFill="1" applyBorder="1" applyAlignment="1" applyProtection="1">
      <alignment vertical="center" wrapText="1"/>
      <protection locked="0"/>
    </xf>
    <xf numFmtId="0" fontId="8" fillId="43" borderId="13" xfId="0" applyFont="1" applyFill="1" applyBorder="1" applyAlignment="1" applyProtection="1">
      <alignment horizontal="center" vertical="center" wrapText="1"/>
      <protection locked="0"/>
    </xf>
    <xf numFmtId="0" fontId="3" fillId="43" borderId="13" xfId="0" applyFont="1" applyFill="1" applyBorder="1" applyAlignment="1" applyProtection="1">
      <alignment horizontal="center" vertical="center" wrapText="1"/>
      <protection locked="0"/>
    </xf>
    <xf numFmtId="0" fontId="8" fillId="40" borderId="13" xfId="0" applyFont="1" applyFill="1" applyBorder="1" applyAlignment="1" applyProtection="1">
      <alignment horizontal="left" vertical="center" wrapText="1"/>
    </xf>
    <xf numFmtId="49" fontId="8" fillId="40" borderId="13" xfId="0" applyNumberFormat="1" applyFont="1" applyFill="1" applyBorder="1" applyAlignment="1" applyProtection="1">
      <alignment horizontal="center" vertical="center" wrapText="1"/>
    </xf>
    <xf numFmtId="49" fontId="44" fillId="40" borderId="13" xfId="0" applyNumberFormat="1" applyFont="1" applyFill="1" applyBorder="1" applyAlignment="1" applyProtection="1">
      <alignment horizontal="center" vertical="center" wrapText="1"/>
    </xf>
    <xf numFmtId="0" fontId="2" fillId="37" borderId="13" xfId="0" applyFont="1" applyFill="1" applyBorder="1" applyAlignment="1" applyProtection="1">
      <alignment horizontal="center" vertical="center" wrapText="1"/>
      <protection locked="0"/>
    </xf>
    <xf numFmtId="0" fontId="8" fillId="30" borderId="13" xfId="0" applyFont="1" applyFill="1" applyBorder="1" applyAlignment="1" applyProtection="1">
      <alignment horizontal="left" vertical="center" wrapText="1"/>
    </xf>
    <xf numFmtId="0" fontId="8" fillId="30" borderId="13" xfId="0" applyFont="1" applyFill="1" applyBorder="1" applyAlignment="1" applyProtection="1">
      <alignment vertical="center" wrapText="1"/>
    </xf>
    <xf numFmtId="0" fontId="8" fillId="30" borderId="13" xfId="0" applyFont="1" applyFill="1" applyBorder="1" applyAlignment="1" applyProtection="1">
      <alignment horizontal="center" vertical="center" wrapText="1"/>
    </xf>
    <xf numFmtId="49" fontId="8" fillId="30" borderId="13" xfId="0" applyNumberFormat="1" applyFont="1" applyFill="1" applyBorder="1" applyAlignment="1" applyProtection="1">
      <alignment horizontal="center" vertical="center" wrapText="1"/>
    </xf>
    <xf numFmtId="0" fontId="8" fillId="41" borderId="13" xfId="0" applyFont="1" applyFill="1" applyBorder="1" applyAlignment="1" applyProtection="1">
      <alignment horizontal="center" vertical="center" wrapText="1"/>
    </xf>
    <xf numFmtId="49" fontId="2" fillId="37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37" borderId="13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justify" vertical="center" wrapText="1"/>
      <protection locked="0"/>
    </xf>
    <xf numFmtId="0" fontId="2" fillId="38" borderId="13" xfId="0" applyFont="1" applyFill="1" applyBorder="1" applyAlignment="1" applyProtection="1">
      <alignment horizontal="center" vertical="center" wrapText="1"/>
      <protection locked="0"/>
    </xf>
    <xf numFmtId="49" fontId="8" fillId="30" borderId="13" xfId="0" applyNumberFormat="1" applyFont="1" applyFill="1" applyBorder="1" applyAlignment="1" applyProtection="1">
      <alignment horizontal="left" vertical="center" wrapText="1"/>
    </xf>
    <xf numFmtId="1" fontId="3" fillId="28" borderId="13" xfId="0" applyNumberFormat="1" applyFont="1" applyFill="1" applyBorder="1" applyAlignment="1" applyProtection="1">
      <alignment horizontal="center" textRotation="90" wrapText="1"/>
    </xf>
    <xf numFmtId="0" fontId="8" fillId="28" borderId="15" xfId="0" applyFont="1" applyFill="1" applyBorder="1" applyAlignment="1" applyProtection="1">
      <alignment horizontal="center" textRotation="90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49" fontId="7" fillId="28" borderId="15" xfId="0" applyNumberFormat="1" applyFont="1" applyFill="1" applyBorder="1" applyAlignment="1" applyProtection="1">
      <alignment horizontal="center" vertical="top" wrapText="1"/>
    </xf>
    <xf numFmtId="49" fontId="7" fillId="28" borderId="10" xfId="0" applyNumberFormat="1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textRotation="90" wrapText="1"/>
    </xf>
    <xf numFmtId="0" fontId="0" fillId="28" borderId="13" xfId="0" applyFill="1" applyBorder="1" applyAlignment="1" applyProtection="1">
      <alignment horizontal="center" textRotation="90" wrapText="1"/>
    </xf>
    <xf numFmtId="0" fontId="0" fillId="28" borderId="13" xfId="0" applyFont="1" applyFill="1" applyBorder="1" applyAlignment="1" applyProtection="1">
      <alignment horizontal="center" textRotation="90" wrapText="1"/>
    </xf>
    <xf numFmtId="0" fontId="0" fillId="28" borderId="20" xfId="0" applyFont="1" applyFill="1" applyBorder="1" applyAlignment="1" applyProtection="1">
      <alignment horizontal="center" textRotation="90" wrapText="1"/>
    </xf>
    <xf numFmtId="0" fontId="8" fillId="40" borderId="17" xfId="0" applyFont="1" applyFill="1" applyBorder="1" applyAlignment="1" applyProtection="1">
      <alignment horizontal="left" vertical="center"/>
    </xf>
    <xf numFmtId="0" fontId="8" fillId="40" borderId="34" xfId="0" applyFont="1" applyFill="1" applyBorder="1" applyAlignment="1" applyProtection="1">
      <alignment horizontal="left" vertical="center"/>
    </xf>
    <xf numFmtId="0" fontId="8" fillId="40" borderId="36" xfId="0" applyFont="1" applyFill="1" applyBorder="1" applyAlignment="1" applyProtection="1">
      <alignment horizontal="left" vertical="center"/>
    </xf>
    <xf numFmtId="49" fontId="8" fillId="30" borderId="42" xfId="0" applyNumberFormat="1" applyFont="1" applyFill="1" applyBorder="1" applyAlignment="1" applyProtection="1">
      <alignment horizontal="left" vertical="top" wrapText="1"/>
    </xf>
    <xf numFmtId="0" fontId="8" fillId="30" borderId="39" xfId="0" applyFont="1" applyFill="1" applyBorder="1" applyAlignment="1" applyProtection="1">
      <alignment horizontal="left" vertical="top" wrapText="1"/>
    </xf>
    <xf numFmtId="0" fontId="8" fillId="30" borderId="0" xfId="0" applyFont="1" applyFill="1" applyBorder="1" applyAlignment="1" applyProtection="1">
      <alignment horizontal="left" vertical="top" wrapText="1"/>
    </xf>
    <xf numFmtId="49" fontId="8" fillId="30" borderId="0" xfId="0" applyNumberFormat="1" applyFont="1" applyFill="1" applyBorder="1" applyAlignment="1" applyProtection="1">
      <alignment horizontal="center" vertical="top" wrapText="1"/>
    </xf>
    <xf numFmtId="1" fontId="8" fillId="30" borderId="0" xfId="0" applyNumberFormat="1" applyFont="1" applyFill="1" applyBorder="1" applyAlignment="1" applyProtection="1">
      <alignment horizontal="center" vertical="top" wrapText="1"/>
    </xf>
    <xf numFmtId="1" fontId="8" fillId="30" borderId="53" xfId="0" applyNumberFormat="1" applyFont="1" applyFill="1" applyBorder="1" applyAlignment="1" applyProtection="1">
      <alignment horizontal="center" vertical="top" wrapText="1"/>
    </xf>
    <xf numFmtId="1" fontId="8" fillId="30" borderId="54" xfId="0" applyNumberFormat="1" applyFont="1" applyFill="1" applyBorder="1" applyAlignment="1" applyProtection="1">
      <alignment horizontal="center" vertical="top" wrapText="1"/>
    </xf>
    <xf numFmtId="1" fontId="8" fillId="30" borderId="11" xfId="0" applyNumberFormat="1" applyFont="1" applyFill="1" applyBorder="1" applyAlignment="1" applyProtection="1">
      <alignment horizontal="center" vertical="top" wrapText="1"/>
    </xf>
    <xf numFmtId="1" fontId="8" fillId="30" borderId="43" xfId="0" applyNumberFormat="1" applyFont="1" applyFill="1" applyBorder="1" applyAlignment="1" applyProtection="1">
      <alignment horizontal="center" vertical="top" wrapText="1"/>
    </xf>
    <xf numFmtId="1" fontId="8" fillId="30" borderId="56" xfId="0" applyNumberFormat="1" applyFont="1" applyFill="1" applyBorder="1" applyAlignment="1" applyProtection="1">
      <alignment horizontal="center" vertical="top" wrapText="1"/>
    </xf>
    <xf numFmtId="1" fontId="8" fillId="37" borderId="11" xfId="0" applyNumberFormat="1" applyFont="1" applyFill="1" applyBorder="1" applyAlignment="1" applyProtection="1">
      <alignment horizontal="center" vertical="top" wrapText="1"/>
    </xf>
    <xf numFmtId="1" fontId="3" fillId="28" borderId="13" xfId="0" applyNumberFormat="1" applyFont="1" applyFill="1" applyBorder="1" applyAlignment="1" applyProtection="1">
      <alignment horizontal="center" vertical="top" wrapText="1"/>
    </xf>
    <xf numFmtId="0" fontId="3" fillId="37" borderId="13" xfId="0" applyFont="1" applyFill="1" applyBorder="1" applyAlignment="1" applyProtection="1">
      <alignment horizontal="center" vertical="top" wrapText="1"/>
    </xf>
    <xf numFmtId="49" fontId="2" fillId="49" borderId="13" xfId="0" applyNumberFormat="1" applyFont="1" applyFill="1" applyBorder="1" applyAlignment="1" applyProtection="1">
      <alignment horizontal="center" vertical="top" wrapText="1"/>
      <protection locked="0"/>
    </xf>
    <xf numFmtId="49" fontId="8" fillId="49" borderId="13" xfId="0" applyNumberFormat="1" applyFont="1" applyFill="1" applyBorder="1" applyAlignment="1" applyProtection="1">
      <alignment horizontal="center" vertical="top" wrapText="1"/>
    </xf>
    <xf numFmtId="0" fontId="0" fillId="49" borderId="13" xfId="0" applyFont="1" applyFill="1" applyBorder="1" applyAlignment="1" applyProtection="1">
      <alignment horizontal="left" vertical="top" wrapText="1"/>
    </xf>
    <xf numFmtId="0" fontId="8" fillId="49" borderId="13" xfId="0" applyFont="1" applyFill="1" applyBorder="1" applyAlignment="1" applyProtection="1">
      <alignment horizontal="left" vertical="top" wrapText="1"/>
    </xf>
    <xf numFmtId="1" fontId="8" fillId="49" borderId="13" xfId="0" applyNumberFormat="1" applyFont="1" applyFill="1" applyBorder="1" applyAlignment="1" applyProtection="1">
      <alignment horizontal="center" vertical="top" wrapText="1"/>
    </xf>
    <xf numFmtId="0" fontId="3" fillId="33" borderId="41" xfId="0" applyFont="1" applyFill="1" applyBorder="1" applyAlignment="1" applyProtection="1">
      <alignment horizontal="center" textRotation="90" wrapText="1"/>
    </xf>
    <xf numFmtId="0" fontId="3" fillId="33" borderId="25" xfId="0" applyFont="1" applyFill="1" applyBorder="1" applyAlignment="1" applyProtection="1">
      <alignment horizontal="center" textRotation="90" wrapText="1"/>
    </xf>
    <xf numFmtId="0" fontId="3" fillId="33" borderId="49" xfId="0" applyFont="1" applyFill="1" applyBorder="1" applyAlignment="1" applyProtection="1">
      <alignment horizontal="center" textRotation="90" wrapText="1"/>
    </xf>
    <xf numFmtId="0" fontId="3" fillId="37" borderId="15" xfId="0" applyFont="1" applyFill="1" applyBorder="1" applyAlignment="1" applyProtection="1">
      <alignment horizontal="center" vertical="top" wrapText="1"/>
    </xf>
    <xf numFmtId="0" fontId="3" fillId="37" borderId="38" xfId="0" applyFont="1" applyFill="1" applyBorder="1" applyAlignment="1" applyProtection="1">
      <alignment horizontal="center" textRotation="90" wrapText="1"/>
    </xf>
    <xf numFmtId="0" fontId="3" fillId="28" borderId="36" xfId="0" applyFont="1" applyFill="1" applyBorder="1" applyAlignment="1" applyProtection="1">
      <alignment horizontal="center" textRotation="90" wrapText="1"/>
    </xf>
    <xf numFmtId="0" fontId="3" fillId="37" borderId="43" xfId="0" applyFont="1" applyFill="1" applyBorder="1" applyAlignment="1" applyProtection="1">
      <alignment horizontal="center" textRotation="90" wrapText="1"/>
    </xf>
    <xf numFmtId="1" fontId="3" fillId="28" borderId="12" xfId="0" applyNumberFormat="1" applyFont="1" applyFill="1" applyBorder="1" applyAlignment="1" applyProtection="1">
      <alignment horizontal="center" textRotation="90" wrapText="1"/>
    </xf>
    <xf numFmtId="1" fontId="3" fillId="33" borderId="41" xfId="0" applyNumberFormat="1" applyFont="1" applyFill="1" applyBorder="1" applyAlignment="1" applyProtection="1">
      <alignment horizontal="center" vertical="top" wrapText="1"/>
    </xf>
    <xf numFmtId="1" fontId="3" fillId="33" borderId="41" xfId="0" applyNumberFormat="1" applyFont="1" applyFill="1" applyBorder="1" applyAlignment="1" applyProtection="1">
      <alignment horizontal="left" vertical="top" wrapText="1"/>
    </xf>
    <xf numFmtId="1" fontId="3" fillId="25" borderId="17" xfId="0" applyNumberFormat="1" applyFont="1" applyFill="1" applyBorder="1" applyAlignment="1" applyProtection="1">
      <alignment horizontal="center" vertical="top" wrapText="1"/>
    </xf>
    <xf numFmtId="1" fontId="7" fillId="25" borderId="13" xfId="0" applyNumberFormat="1" applyFont="1" applyFill="1" applyBorder="1" applyAlignment="1" applyProtection="1">
      <alignment horizontal="center" vertical="top" wrapText="1"/>
    </xf>
    <xf numFmtId="3" fontId="8" fillId="25" borderId="34" xfId="0" applyNumberFormat="1" applyFont="1" applyFill="1" applyBorder="1" applyAlignment="1" applyProtection="1">
      <alignment horizontal="center" vertical="top" wrapText="1"/>
    </xf>
    <xf numFmtId="3" fontId="8" fillId="25" borderId="17" xfId="0" applyNumberFormat="1" applyFont="1" applyFill="1" applyBorder="1" applyAlignment="1" applyProtection="1">
      <alignment horizontal="center" vertical="top" wrapText="1"/>
    </xf>
    <xf numFmtId="1" fontId="3" fillId="25" borderId="34" xfId="0" applyNumberFormat="1" applyFont="1" applyFill="1" applyBorder="1" applyAlignment="1" applyProtection="1">
      <alignment horizontal="center" vertical="top" wrapText="1"/>
    </xf>
    <xf numFmtId="1" fontId="7" fillId="25" borderId="36" xfId="0" applyNumberFormat="1" applyFont="1" applyFill="1" applyBorder="1" applyAlignment="1" applyProtection="1">
      <alignment horizontal="center" vertical="top" wrapText="1"/>
    </xf>
    <xf numFmtId="1" fontId="0" fillId="38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Font="1" applyFill="1" applyBorder="1" applyAlignment="1" applyProtection="1">
      <alignment horizontal="center" vertical="center" wrapText="1"/>
    </xf>
    <xf numFmtId="1" fontId="0" fillId="46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40" borderId="13" xfId="0" applyNumberFormat="1" applyFont="1" applyFill="1" applyBorder="1" applyAlignment="1" applyProtection="1">
      <alignment horizontal="left" vertical="center" wrapText="1"/>
    </xf>
    <xf numFmtId="1" fontId="0" fillId="41" borderId="13" xfId="0" applyNumberFormat="1" applyFont="1" applyFill="1" applyBorder="1" applyAlignment="1" applyProtection="1">
      <alignment horizontal="center" vertical="center" wrapText="1"/>
    </xf>
    <xf numFmtId="1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13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>
      <alignment horizontal="center" vertical="center"/>
    </xf>
    <xf numFmtId="0" fontId="0" fillId="30" borderId="13" xfId="0" applyFont="1" applyFill="1" applyBorder="1" applyAlignment="1" applyProtection="1">
      <alignment horizontal="left" vertical="center" wrapText="1"/>
    </xf>
    <xf numFmtId="1" fontId="0" fillId="30" borderId="13" xfId="0" applyNumberFormat="1" applyFont="1" applyFill="1" applyBorder="1" applyAlignment="1" applyProtection="1">
      <alignment horizontal="center" vertical="center" wrapText="1"/>
    </xf>
    <xf numFmtId="49" fontId="0" fillId="30" borderId="13" xfId="0" applyNumberFormat="1" applyFont="1" applyFill="1" applyBorder="1" applyAlignment="1" applyProtection="1">
      <alignment horizontal="center" vertical="center" wrapText="1"/>
    </xf>
    <xf numFmtId="0" fontId="0" fillId="29" borderId="13" xfId="0" applyFont="1" applyFill="1" applyBorder="1" applyAlignment="1" applyProtection="1">
      <alignment horizontal="left" vertical="center" wrapText="1"/>
    </xf>
    <xf numFmtId="1" fontId="0" fillId="29" borderId="13" xfId="0" applyNumberFormat="1" applyFont="1" applyFill="1" applyBorder="1" applyAlignment="1" applyProtection="1">
      <alignment horizontal="center" vertical="center" wrapText="1"/>
    </xf>
    <xf numFmtId="49" fontId="0" fillId="29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/>
    </xf>
    <xf numFmtId="1" fontId="0" fillId="48" borderId="13" xfId="0" applyNumberFormat="1" applyFont="1" applyFill="1" applyBorder="1" applyAlignment="1" applyProtection="1">
      <alignment horizontal="center" vertical="center" wrapText="1"/>
    </xf>
    <xf numFmtId="1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29" borderId="13" xfId="0" applyFont="1" applyFill="1" applyBorder="1" applyAlignment="1" applyProtection="1">
      <alignment horizontal="left" vertical="center" wrapText="1"/>
    </xf>
    <xf numFmtId="1" fontId="39" fillId="29" borderId="13" xfId="0" applyNumberFormat="1" applyFont="1" applyFill="1" applyBorder="1" applyAlignment="1" applyProtection="1">
      <alignment horizontal="center" vertical="center" wrapText="1"/>
    </xf>
    <xf numFmtId="1" fontId="39" fillId="37" borderId="13" xfId="0" applyNumberFormat="1" applyFont="1" applyFill="1" applyBorder="1" applyAlignment="1" applyProtection="1">
      <alignment horizontal="center" vertical="center" wrapText="1"/>
    </xf>
    <xf numFmtId="16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38" borderId="13" xfId="0" applyFont="1" applyFill="1" applyBorder="1" applyAlignment="1" applyProtection="1">
      <alignment horizontal="left" vertical="center" wrapText="1"/>
    </xf>
    <xf numFmtId="49" fontId="0" fillId="38" borderId="13" xfId="0" applyNumberFormat="1" applyFont="1" applyFill="1" applyBorder="1" applyAlignment="1" applyProtection="1">
      <alignment horizontal="center" vertical="center" wrapText="1"/>
    </xf>
    <xf numFmtId="49" fontId="0" fillId="40" borderId="13" xfId="0" applyNumberFormat="1" applyFont="1" applyFill="1" applyBorder="1" applyAlignment="1" applyProtection="1">
      <alignment horizontal="center" vertical="center" wrapText="1"/>
    </xf>
    <xf numFmtId="0" fontId="0" fillId="40" borderId="13" xfId="0" applyFont="1" applyFill="1" applyBorder="1" applyAlignment="1" applyProtection="1">
      <alignment horizontal="center" vertical="center" wrapText="1"/>
    </xf>
    <xf numFmtId="0" fontId="0" fillId="46" borderId="13" xfId="0" applyFont="1" applyFill="1" applyBorder="1" applyAlignment="1" applyProtection="1">
      <alignment horizontal="left" vertical="center" wrapText="1"/>
      <protection locked="0"/>
    </xf>
    <xf numFmtId="49" fontId="0" fillId="4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6" borderId="13" xfId="0" applyFont="1" applyFill="1" applyBorder="1" applyAlignment="1" applyProtection="1">
      <alignment horizontal="center" vertical="center" wrapText="1"/>
      <protection locked="0"/>
    </xf>
    <xf numFmtId="49" fontId="0" fillId="37" borderId="13" xfId="0" applyNumberFormat="1" applyFont="1" applyFill="1" applyBorder="1" applyAlignment="1" applyProtection="1">
      <alignment horizontal="left" vertical="center" wrapText="1"/>
    </xf>
    <xf numFmtId="49" fontId="0" fillId="49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49" borderId="13" xfId="0" applyNumberFormat="1" applyFont="1" applyFill="1" applyBorder="1" applyAlignment="1" applyProtection="1">
      <alignment horizontal="center" vertical="center" wrapText="1"/>
    </xf>
    <xf numFmtId="0" fontId="0" fillId="41" borderId="13" xfId="0" applyFont="1" applyFill="1" applyBorder="1" applyAlignment="1" applyProtection="1">
      <alignment horizontal="left" vertical="center" wrapText="1"/>
    </xf>
    <xf numFmtId="49" fontId="0" fillId="41" borderId="13" xfId="0" applyNumberFormat="1" applyFont="1" applyFill="1" applyBorder="1" applyAlignment="1" applyProtection="1">
      <alignment horizontal="center" vertical="center" wrapText="1"/>
    </xf>
    <xf numFmtId="0" fontId="0" fillId="41" borderId="13" xfId="0" applyFont="1" applyFill="1" applyBorder="1" applyAlignment="1" applyProtection="1">
      <alignment horizontal="center" vertical="center" wrapText="1"/>
    </xf>
    <xf numFmtId="0" fontId="0" fillId="37" borderId="13" xfId="0" applyFont="1" applyFill="1" applyBorder="1" applyAlignment="1" applyProtection="1">
      <alignment horizontal="left" vertical="center" wrapText="1"/>
    </xf>
    <xf numFmtId="0" fontId="0" fillId="37" borderId="13" xfId="0" applyFont="1" applyFill="1" applyBorder="1" applyAlignment="1" applyProtection="1">
      <alignment vertical="center" wrapText="1"/>
    </xf>
    <xf numFmtId="0" fontId="0" fillId="41" borderId="13" xfId="0" applyFont="1" applyFill="1" applyBorder="1" applyAlignment="1" applyProtection="1">
      <alignment vertical="center" wrapText="1"/>
    </xf>
    <xf numFmtId="49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0" borderId="13" xfId="0" applyFont="1" applyFill="1" applyBorder="1" applyAlignment="1" applyProtection="1">
      <alignment horizontal="justify" vertical="center" wrapText="1"/>
      <protection locked="0"/>
    </xf>
    <xf numFmtId="49" fontId="0" fillId="3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1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0" fontId="0" fillId="37" borderId="13" xfId="0" applyFont="1" applyFill="1" applyBorder="1" applyAlignment="1">
      <alignment vertical="center"/>
    </xf>
    <xf numFmtId="3" fontId="8" fillId="25" borderId="34" xfId="0" applyNumberFormat="1" applyFont="1" applyFill="1" applyBorder="1" applyAlignment="1" applyProtection="1">
      <alignment horizontal="center" vertical="center" wrapText="1"/>
    </xf>
    <xf numFmtId="3" fontId="8" fillId="25" borderId="17" xfId="0" applyNumberFormat="1" applyFont="1" applyFill="1" applyBorder="1" applyAlignment="1" applyProtection="1">
      <alignment horizontal="center" vertical="center" wrapText="1"/>
    </xf>
    <xf numFmtId="1" fontId="3" fillId="25" borderId="36" xfId="0" applyNumberFormat="1" applyFont="1" applyFill="1" applyBorder="1" applyAlignment="1" applyProtection="1">
      <alignment horizontal="center" vertical="center" wrapText="1"/>
    </xf>
    <xf numFmtId="1" fontId="7" fillId="25" borderId="36" xfId="0" applyNumberFormat="1" applyFont="1" applyFill="1" applyBorder="1" applyAlignment="1" applyProtection="1">
      <alignment horizontal="center" vertical="center" wrapText="1"/>
    </xf>
    <xf numFmtId="1" fontId="3" fillId="25" borderId="13" xfId="0" applyNumberFormat="1" applyFont="1" applyFill="1" applyBorder="1" applyAlignment="1" applyProtection="1">
      <alignment horizontal="center" vertical="center" wrapText="1"/>
    </xf>
    <xf numFmtId="1" fontId="7" fillId="25" borderId="13" xfId="0" applyNumberFormat="1" applyFont="1" applyFill="1" applyBorder="1" applyAlignment="1" applyProtection="1">
      <alignment horizontal="center" vertical="center" wrapText="1"/>
    </xf>
    <xf numFmtId="0" fontId="8" fillId="47" borderId="13" xfId="0" applyFont="1" applyFill="1" applyBorder="1" applyAlignment="1" applyProtection="1">
      <alignment vertical="center" wrapText="1"/>
      <protection locked="0"/>
    </xf>
    <xf numFmtId="1" fontId="2" fillId="47" borderId="13" xfId="0" applyNumberFormat="1" applyFont="1" applyFill="1" applyBorder="1" applyAlignment="1" applyProtection="1">
      <alignment horizontal="center" vertical="center" wrapText="1"/>
    </xf>
    <xf numFmtId="1" fontId="7" fillId="47" borderId="13" xfId="0" applyNumberFormat="1" applyFont="1" applyFill="1" applyBorder="1" applyAlignment="1" applyProtection="1">
      <alignment horizontal="center" vertical="center" wrapText="1"/>
    </xf>
    <xf numFmtId="1" fontId="7" fillId="47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47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0" fontId="7" fillId="37" borderId="13" xfId="36" applyFont="1" applyFill="1" applyBorder="1" applyAlignment="1">
      <alignment horizontal="left" vertical="center" wrapText="1"/>
    </xf>
    <xf numFmtId="49" fontId="0" fillId="37" borderId="13" xfId="0" applyNumberFormat="1" applyFont="1" applyFill="1" applyBorder="1" applyAlignment="1" applyProtection="1">
      <alignment horizontal="left" vertical="center" wrapText="1"/>
      <protection locked="0"/>
    </xf>
    <xf numFmtId="1" fontId="0" fillId="43" borderId="13" xfId="0" applyNumberFormat="1" applyFont="1" applyFill="1" applyBorder="1" applyAlignment="1" applyProtection="1">
      <alignment horizontal="center" vertical="center" wrapText="1"/>
    </xf>
    <xf numFmtId="1" fontId="0" fillId="47" borderId="13" xfId="0" applyNumberFormat="1" applyFont="1" applyFill="1" applyBorder="1" applyAlignment="1" applyProtection="1">
      <alignment horizontal="center" vertical="center" wrapText="1"/>
    </xf>
    <xf numFmtId="49" fontId="0" fillId="37" borderId="13" xfId="0" applyNumberForma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37" borderId="13" xfId="0" applyFill="1" applyBorder="1" applyAlignment="1" applyProtection="1">
      <alignment horizontal="left" vertical="center" wrapText="1"/>
    </xf>
    <xf numFmtId="1" fontId="0" fillId="0" borderId="13" xfId="0" applyNumberFormat="1" applyFont="1" applyFill="1" applyBorder="1" applyAlignment="1" applyProtection="1">
      <alignment horizontal="center" vertical="top" wrapText="1"/>
      <protection locked="0"/>
    </xf>
    <xf numFmtId="1" fontId="0" fillId="32" borderId="13" xfId="0" applyNumberFormat="1" applyFont="1" applyFill="1" applyBorder="1" applyAlignment="1" applyProtection="1">
      <alignment horizontal="center" vertical="top" wrapText="1"/>
    </xf>
    <xf numFmtId="1" fontId="0" fillId="29" borderId="13" xfId="0" applyNumberFormat="1" applyFont="1" applyFill="1" applyBorder="1" applyAlignment="1" applyProtection="1">
      <alignment horizontal="center" vertical="top" wrapText="1"/>
    </xf>
    <xf numFmtId="1" fontId="0" fillId="38" borderId="13" xfId="0" applyNumberFormat="1" applyFont="1" applyFill="1" applyBorder="1" applyAlignment="1" applyProtection="1">
      <alignment horizontal="center" vertical="top" wrapText="1"/>
    </xf>
    <xf numFmtId="1" fontId="0" fillId="45" borderId="13" xfId="0" applyNumberFormat="1" applyFont="1" applyFill="1" applyBorder="1" applyAlignment="1" applyProtection="1">
      <alignment horizontal="center" vertical="top" wrapText="1"/>
    </xf>
    <xf numFmtId="1" fontId="0" fillId="52" borderId="13" xfId="0" applyNumberFormat="1" applyFont="1" applyFill="1" applyBorder="1" applyAlignment="1" applyProtection="1">
      <alignment horizontal="center" vertical="top" wrapText="1"/>
    </xf>
    <xf numFmtId="1" fontId="0" fillId="46" borderId="13" xfId="0" applyNumberFormat="1" applyFont="1" applyFill="1" applyBorder="1" applyAlignment="1" applyProtection="1">
      <alignment horizontal="center" vertical="top" wrapText="1"/>
      <protection locked="0"/>
    </xf>
    <xf numFmtId="1" fontId="0" fillId="46" borderId="13" xfId="0" applyNumberFormat="1" applyFont="1" applyFill="1" applyBorder="1" applyAlignment="1" applyProtection="1">
      <alignment horizontal="center" vertical="top" wrapText="1"/>
    </xf>
    <xf numFmtId="1" fontId="0" fillId="52" borderId="13" xfId="0" applyNumberFormat="1" applyFont="1" applyFill="1" applyBorder="1" applyAlignment="1" applyProtection="1">
      <alignment horizontal="center" vertical="top" wrapText="1"/>
      <protection locked="0"/>
    </xf>
    <xf numFmtId="1" fontId="0" fillId="41" borderId="13" xfId="0" applyNumberFormat="1" applyFont="1" applyFill="1" applyBorder="1" applyAlignment="1" applyProtection="1">
      <alignment horizontal="center" vertical="top" wrapText="1"/>
    </xf>
    <xf numFmtId="1" fontId="0" fillId="37" borderId="13" xfId="0" applyNumberFormat="1" applyFont="1" applyFill="1" applyBorder="1" applyAlignment="1" applyProtection="1">
      <alignment horizontal="center" vertical="top" wrapText="1"/>
    </xf>
    <xf numFmtId="49" fontId="0" fillId="52" borderId="13" xfId="0" applyNumberFormat="1" applyFont="1" applyFill="1" applyBorder="1" applyAlignment="1" applyProtection="1">
      <alignment horizontal="left" vertical="center" wrapText="1"/>
    </xf>
    <xf numFmtId="0" fontId="0" fillId="52" borderId="13" xfId="0" applyNumberFormat="1" applyFont="1" applyFill="1" applyBorder="1" applyAlignment="1" applyProtection="1">
      <alignment vertical="center" wrapText="1"/>
    </xf>
    <xf numFmtId="0" fontId="0" fillId="52" borderId="13" xfId="0" applyNumberFormat="1" applyFont="1" applyFill="1" applyBorder="1" applyAlignment="1" applyProtection="1">
      <alignment vertical="center" wrapText="1"/>
      <protection locked="0"/>
    </xf>
    <xf numFmtId="49" fontId="0" fillId="52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52" borderId="13" xfId="0" applyNumberFormat="1" applyFont="1" applyFill="1" applyBorder="1" applyAlignment="1" applyProtection="1">
      <alignment horizontal="center" vertical="center" wrapText="1"/>
    </xf>
    <xf numFmtId="1" fontId="0" fillId="5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52" borderId="13" xfId="0" applyFont="1" applyFill="1" applyBorder="1" applyAlignment="1" applyProtection="1">
      <alignment vertical="center" wrapText="1"/>
    </xf>
    <xf numFmtId="0" fontId="0" fillId="52" borderId="13" xfId="0" applyFont="1" applyFill="1" applyBorder="1" applyAlignment="1" applyProtection="1">
      <alignment vertical="center" wrapText="1"/>
      <protection locked="0"/>
    </xf>
    <xf numFmtId="0" fontId="0" fillId="52" borderId="13" xfId="0" applyNumberFormat="1" applyFont="1" applyFill="1" applyBorder="1" applyAlignment="1" applyProtection="1">
      <alignment horizontal="left" vertical="center" wrapText="1"/>
    </xf>
    <xf numFmtId="0" fontId="0" fillId="52" borderId="13" xfId="0" applyFont="1" applyFill="1" applyBorder="1" applyAlignment="1" applyProtection="1">
      <alignment horizontal="left" vertical="center" wrapText="1"/>
      <protection locked="0"/>
    </xf>
    <xf numFmtId="0" fontId="0" fillId="52" borderId="13" xfId="0" applyFont="1" applyFill="1" applyBorder="1" applyAlignment="1" applyProtection="1">
      <alignment horizontal="center" vertical="center" wrapText="1"/>
      <protection locked="0"/>
    </xf>
    <xf numFmtId="49" fontId="0" fillId="52" borderId="13" xfId="0" applyNumberFormat="1" applyFont="1" applyFill="1" applyBorder="1" applyAlignment="1" applyProtection="1">
      <alignment horizontal="center" vertical="center" wrapText="1"/>
    </xf>
    <xf numFmtId="49" fontId="46" fillId="52" borderId="13" xfId="0" applyNumberFormat="1" applyFont="1" applyFill="1" applyBorder="1" applyAlignment="1" applyProtection="1">
      <alignment horizontal="left" vertical="center" wrapText="1"/>
    </xf>
    <xf numFmtId="49" fontId="0" fillId="52" borderId="13" xfId="0" applyNumberFormat="1" applyFill="1" applyBorder="1" applyAlignment="1" applyProtection="1">
      <alignment horizontal="center" vertical="center" wrapText="1"/>
      <protection locked="0"/>
    </xf>
    <xf numFmtId="0" fontId="2" fillId="41" borderId="13" xfId="0" applyFont="1" applyFill="1" applyBorder="1" applyAlignment="1" applyProtection="1">
      <alignment horizontal="center" vertical="center" wrapText="1"/>
      <protection locked="0"/>
    </xf>
    <xf numFmtId="1" fontId="2" fillId="41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53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Fill="1" applyBorder="1" applyAlignment="1" applyProtection="1">
      <alignment horizontal="center" vertical="center" wrapText="1"/>
      <protection locked="0"/>
    </xf>
    <xf numFmtId="1" fontId="0" fillId="37" borderId="13" xfId="0" applyNumberFormat="1" applyFill="1" applyBorder="1" applyAlignment="1" applyProtection="1">
      <alignment horizontal="center" vertical="center" wrapText="1"/>
      <protection locked="0"/>
    </xf>
    <xf numFmtId="0" fontId="0" fillId="32" borderId="0" xfId="0" applyFill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  <xf numFmtId="0" fontId="14" fillId="24" borderId="20" xfId="0" applyFont="1" applyFill="1" applyBorder="1" applyAlignment="1">
      <alignment horizontal="center" vertical="center" textRotation="90" wrapText="1"/>
    </xf>
    <xf numFmtId="0" fontId="14" fillId="24" borderId="14" xfId="0" applyFont="1" applyFill="1" applyBorder="1" applyAlignment="1">
      <alignment horizontal="center" vertical="center" textRotation="90" wrapText="1"/>
    </xf>
    <xf numFmtId="0" fontId="14" fillId="24" borderId="15" xfId="0" applyFont="1" applyFill="1" applyBorder="1" applyAlignment="1">
      <alignment horizontal="center" vertical="center" textRotation="90" wrapText="1"/>
    </xf>
    <xf numFmtId="0" fontId="14" fillId="24" borderId="39" xfId="0" applyFont="1" applyFill="1" applyBorder="1" applyAlignment="1">
      <alignment horizontal="center" vertical="center" textRotation="90" wrapText="1"/>
    </xf>
    <xf numFmtId="0" fontId="14" fillId="24" borderId="0" xfId="0" applyFont="1" applyFill="1" applyBorder="1" applyAlignment="1">
      <alignment horizontal="center" vertical="center" textRotation="90" wrapText="1"/>
    </xf>
    <xf numFmtId="0" fontId="14" fillId="24" borderId="11" xfId="0" applyFont="1" applyFill="1" applyBorder="1" applyAlignment="1">
      <alignment horizontal="center" vertical="center" textRotation="90" wrapText="1"/>
    </xf>
    <xf numFmtId="0" fontId="14" fillId="24" borderId="21" xfId="0" applyFont="1" applyFill="1" applyBorder="1" applyAlignment="1">
      <alignment horizontal="center" vertical="center" textRotation="90" wrapText="1"/>
    </xf>
    <xf numFmtId="0" fontId="14" fillId="24" borderId="16" xfId="0" applyFont="1" applyFill="1" applyBorder="1" applyAlignment="1">
      <alignment horizontal="center" vertical="center" textRotation="90" wrapText="1"/>
    </xf>
    <xf numFmtId="0" fontId="14" fillId="24" borderId="10" xfId="0" applyFont="1" applyFill="1" applyBorder="1" applyAlignment="1">
      <alignment horizontal="center" vertical="center" textRotation="90" wrapText="1"/>
    </xf>
    <xf numFmtId="0" fontId="4" fillId="24" borderId="20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21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9" fillId="24" borderId="4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32" borderId="0" xfId="0" applyFont="1" applyFill="1" applyAlignment="1">
      <alignment horizontal="justify" vertical="top" wrapText="1"/>
    </xf>
    <xf numFmtId="0" fontId="14" fillId="24" borderId="22" xfId="0" applyFont="1" applyFill="1" applyBorder="1" applyAlignment="1">
      <alignment horizontal="center" textRotation="90" wrapText="1"/>
    </xf>
    <xf numFmtId="0" fontId="14" fillId="24" borderId="42" xfId="0" applyFont="1" applyFill="1" applyBorder="1" applyAlignment="1">
      <alignment horizontal="center" textRotation="90" wrapText="1"/>
    </xf>
    <xf numFmtId="0" fontId="14" fillId="24" borderId="12" xfId="0" applyFont="1" applyFill="1" applyBorder="1" applyAlignment="1">
      <alignment horizontal="center" textRotation="90" wrapText="1"/>
    </xf>
    <xf numFmtId="0" fontId="4" fillId="26" borderId="13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horizontal="justify" vertical="top" wrapText="1"/>
    </xf>
    <xf numFmtId="0" fontId="4" fillId="32" borderId="0" xfId="0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2" fontId="7" fillId="32" borderId="0" xfId="0" applyNumberFormat="1" applyFont="1" applyFill="1" applyBorder="1" applyAlignment="1" applyProtection="1">
      <alignment horizontal="justify" vertical="top"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34" xfId="0" applyFont="1" applyFill="1" applyBorder="1" applyAlignment="1">
      <alignment horizontal="center" vertical="top" wrapText="1"/>
    </xf>
    <xf numFmtId="0" fontId="4" fillId="24" borderId="36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justify" vertical="top" wrapText="1"/>
    </xf>
    <xf numFmtId="0" fontId="2" fillId="32" borderId="0" xfId="0" applyFont="1" applyFill="1" applyAlignment="1">
      <alignment horizontal="center" vertical="top"/>
    </xf>
    <xf numFmtId="0" fontId="2" fillId="0" borderId="0" xfId="0" applyFont="1" applyFill="1" applyAlignment="1" applyProtection="1">
      <alignment vertical="top" wrapText="1"/>
      <protection locked="0"/>
    </xf>
    <xf numFmtId="0" fontId="10" fillId="32" borderId="0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32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 applyProtection="1">
      <alignment horizontal="justify" vertical="top" wrapText="1"/>
      <protection locked="0"/>
    </xf>
    <xf numFmtId="0" fontId="7" fillId="32" borderId="0" xfId="0" applyFont="1" applyFill="1" applyBorder="1" applyAlignment="1">
      <alignment horizontal="justify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Alignment="1">
      <alignment vertical="top" wrapText="1"/>
    </xf>
    <xf numFmtId="0" fontId="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NumberForma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4" fillId="24" borderId="22" xfId="0" applyFont="1" applyFill="1" applyBorder="1" applyAlignment="1">
      <alignment vertical="center" textRotation="90" wrapText="1"/>
    </xf>
    <xf numFmtId="0" fontId="6" fillId="0" borderId="4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32" borderId="0" xfId="0" applyFont="1" applyFill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>
      <alignment vertical="top"/>
    </xf>
    <xf numFmtId="0" fontId="0" fillId="0" borderId="11" xfId="0" applyBorder="1">
      <alignment vertical="top"/>
    </xf>
    <xf numFmtId="0" fontId="4" fillId="32" borderId="0" xfId="0" applyFont="1" applyFill="1" applyAlignment="1">
      <alignment horizontal="left" vertical="top"/>
    </xf>
    <xf numFmtId="0" fontId="4" fillId="32" borderId="11" xfId="0" applyFont="1" applyFill="1" applyBorder="1" applyAlignment="1">
      <alignment horizontal="left" vertical="top"/>
    </xf>
    <xf numFmtId="2" fontId="2" fillId="25" borderId="18" xfId="0" applyNumberFormat="1" applyFont="1" applyFill="1" applyBorder="1" applyAlignment="1" applyProtection="1">
      <alignment horizontal="center" vertical="center" wrapText="1"/>
    </xf>
    <xf numFmtId="2" fontId="2" fillId="25" borderId="27" xfId="0" applyNumberFormat="1" applyFont="1" applyFill="1" applyBorder="1" applyAlignment="1" applyProtection="1">
      <alignment horizontal="center" vertical="center" wrapText="1"/>
    </xf>
    <xf numFmtId="2" fontId="2" fillId="25" borderId="19" xfId="0" applyNumberFormat="1" applyFont="1" applyFill="1" applyBorder="1" applyAlignment="1" applyProtection="1">
      <alignment horizontal="center" vertical="center" wrapText="1"/>
    </xf>
    <xf numFmtId="1" fontId="2" fillId="25" borderId="41" xfId="0" applyNumberFormat="1" applyFont="1" applyFill="1" applyBorder="1" applyAlignment="1" applyProtection="1">
      <alignment horizontal="center" vertical="center" wrapText="1"/>
    </xf>
    <xf numFmtId="1" fontId="2" fillId="25" borderId="27" xfId="0" applyNumberFormat="1" applyFont="1" applyFill="1" applyBorder="1" applyAlignment="1" applyProtection="1">
      <alignment horizontal="center" vertical="center" wrapText="1"/>
    </xf>
    <xf numFmtId="1" fontId="2" fillId="25" borderId="40" xfId="0" applyNumberFormat="1" applyFont="1" applyFill="1" applyBorder="1" applyAlignment="1" applyProtection="1">
      <alignment horizontal="center" vertical="center" wrapText="1"/>
    </xf>
    <xf numFmtId="1" fontId="2" fillId="25" borderId="17" xfId="0" applyNumberFormat="1" applyFont="1" applyFill="1" applyBorder="1" applyAlignment="1" applyProtection="1">
      <alignment horizontal="center" vertical="center" wrapText="1"/>
    </xf>
    <xf numFmtId="1" fontId="2" fillId="25" borderId="34" xfId="0" applyNumberFormat="1" applyFont="1" applyFill="1" applyBorder="1" applyAlignment="1" applyProtection="1">
      <alignment horizontal="center" vertical="center" wrapText="1"/>
    </xf>
    <xf numFmtId="1" fontId="2" fillId="25" borderId="36" xfId="0" applyNumberFormat="1" applyFont="1" applyFill="1" applyBorder="1" applyAlignment="1" applyProtection="1">
      <alignment horizontal="center" vertical="center" wrapText="1"/>
    </xf>
    <xf numFmtId="2" fontId="2" fillId="25" borderId="41" xfId="0" applyNumberFormat="1" applyFont="1" applyFill="1" applyBorder="1" applyAlignment="1" applyProtection="1">
      <alignment horizontal="center" vertical="center" wrapText="1"/>
    </xf>
    <xf numFmtId="2" fontId="2" fillId="25" borderId="40" xfId="0" applyNumberFormat="1" applyFont="1" applyFill="1" applyBorder="1" applyAlignment="1" applyProtection="1">
      <alignment horizontal="center" vertical="center" wrapText="1"/>
    </xf>
    <xf numFmtId="0" fontId="8" fillId="34" borderId="17" xfId="0" applyFont="1" applyFill="1" applyBorder="1" applyAlignment="1" applyProtection="1">
      <alignment horizontal="left" vertical="center" wrapText="1"/>
    </xf>
    <xf numFmtId="0" fontId="8" fillId="34" borderId="34" xfId="0" applyFont="1" applyFill="1" applyBorder="1" applyAlignment="1" applyProtection="1">
      <alignment horizontal="left" vertical="center" wrapText="1"/>
    </xf>
    <xf numFmtId="0" fontId="8" fillId="34" borderId="36" xfId="0" applyFont="1" applyFill="1" applyBorder="1" applyAlignment="1" applyProtection="1">
      <alignment horizontal="left" vertical="center" wrapText="1"/>
    </xf>
    <xf numFmtId="0" fontId="7" fillId="34" borderId="17" xfId="0" applyFont="1" applyFill="1" applyBorder="1" applyAlignment="1" applyProtection="1">
      <alignment horizontal="left" vertical="center" wrapText="1"/>
    </xf>
    <xf numFmtId="0" fontId="7" fillId="34" borderId="34" xfId="0" applyFont="1" applyFill="1" applyBorder="1" applyAlignment="1" applyProtection="1">
      <alignment horizontal="left" vertical="center" wrapText="1"/>
    </xf>
    <xf numFmtId="0" fontId="7" fillId="34" borderId="36" xfId="0" applyFont="1" applyFill="1" applyBorder="1" applyAlignment="1" applyProtection="1">
      <alignment horizontal="left" vertical="center" wrapText="1"/>
    </xf>
    <xf numFmtId="164" fontId="8" fillId="25" borderId="18" xfId="0" applyNumberFormat="1" applyFont="1" applyFill="1" applyBorder="1" applyAlignment="1" applyProtection="1">
      <alignment horizontal="center" vertical="center" wrapText="1"/>
    </xf>
    <xf numFmtId="164" fontId="8" fillId="25" borderId="27" xfId="0" applyNumberFormat="1" applyFont="1" applyFill="1" applyBorder="1" applyAlignment="1" applyProtection="1">
      <alignment horizontal="center" vertical="center" wrapText="1"/>
    </xf>
    <xf numFmtId="164" fontId="8" fillId="25" borderId="40" xfId="0" applyNumberFormat="1" applyFont="1" applyFill="1" applyBorder="1" applyAlignment="1" applyProtection="1">
      <alignment horizontal="center" vertical="center" wrapText="1"/>
    </xf>
    <xf numFmtId="1" fontId="8" fillId="25" borderId="18" xfId="0" applyNumberFormat="1" applyFont="1" applyFill="1" applyBorder="1" applyAlignment="1" applyProtection="1">
      <alignment horizontal="center" vertical="center" wrapText="1"/>
    </xf>
    <xf numFmtId="1" fontId="8" fillId="25" borderId="27" xfId="0" applyNumberFormat="1" applyFont="1" applyFill="1" applyBorder="1" applyAlignment="1" applyProtection="1">
      <alignment horizontal="center" vertical="center" wrapText="1"/>
    </xf>
    <xf numFmtId="1" fontId="8" fillId="25" borderId="40" xfId="0" applyNumberFormat="1" applyFont="1" applyFill="1" applyBorder="1" applyAlignment="1" applyProtection="1">
      <alignment horizontal="center" vertical="center" wrapText="1"/>
    </xf>
    <xf numFmtId="1" fontId="8" fillId="25" borderId="17" xfId="0" applyNumberFormat="1" applyFont="1" applyFill="1" applyBorder="1" applyAlignment="1" applyProtection="1">
      <alignment horizontal="center" vertical="center" wrapText="1"/>
    </xf>
    <xf numFmtId="1" fontId="8" fillId="25" borderId="34" xfId="0" applyNumberFormat="1" applyFont="1" applyFill="1" applyBorder="1" applyAlignment="1" applyProtection="1">
      <alignment horizontal="center" vertical="center" wrapText="1"/>
    </xf>
    <xf numFmtId="1" fontId="2" fillId="25" borderId="18" xfId="0" applyNumberFormat="1" applyFont="1" applyFill="1" applyBorder="1" applyAlignment="1" applyProtection="1">
      <alignment horizontal="center" vertical="center" wrapText="1"/>
    </xf>
    <xf numFmtId="1" fontId="2" fillId="25" borderId="19" xfId="0" applyNumberFormat="1" applyFont="1" applyFill="1" applyBorder="1" applyAlignment="1" applyProtection="1">
      <alignment horizontal="center" vertical="center" wrapText="1"/>
    </xf>
    <xf numFmtId="0" fontId="0" fillId="34" borderId="17" xfId="0" applyFill="1" applyBorder="1" applyAlignment="1" applyProtection="1">
      <alignment horizontal="left" vertical="center" wrapText="1"/>
    </xf>
    <xf numFmtId="0" fontId="3" fillId="34" borderId="20" xfId="0" applyNumberFormat="1" applyFont="1" applyFill="1" applyBorder="1" applyAlignment="1" applyProtection="1">
      <alignment horizontal="left" vertical="center" wrapText="1"/>
    </xf>
    <xf numFmtId="0" fontId="3" fillId="34" borderId="14" xfId="0" applyNumberFormat="1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justify" vertical="center"/>
    </xf>
    <xf numFmtId="0" fontId="0" fillId="0" borderId="16" xfId="0" applyBorder="1" applyAlignment="1">
      <alignment vertical="center"/>
    </xf>
    <xf numFmtId="0" fontId="3" fillId="51" borderId="45" xfId="0" applyFont="1" applyFill="1" applyBorder="1" applyAlignment="1" applyProtection="1">
      <alignment horizontal="center" vertical="top" wrapText="1"/>
    </xf>
    <xf numFmtId="0" fontId="3" fillId="51" borderId="42" xfId="0" applyFont="1" applyFill="1" applyBorder="1" applyAlignment="1" applyProtection="1">
      <alignment horizontal="center" vertical="top" wrapText="1"/>
    </xf>
    <xf numFmtId="0" fontId="3" fillId="51" borderId="12" xfId="0" applyFont="1" applyFill="1" applyBorder="1" applyAlignment="1" applyProtection="1">
      <alignment horizontal="center" vertical="top" wrapText="1"/>
    </xf>
    <xf numFmtId="49" fontId="8" fillId="28" borderId="22" xfId="0" applyNumberFormat="1" applyFont="1" applyFill="1" applyBorder="1" applyAlignment="1" applyProtection="1">
      <alignment horizontal="center" textRotation="90" wrapText="1"/>
    </xf>
    <xf numFmtId="49" fontId="8" fillId="28" borderId="42" xfId="0" applyNumberFormat="1" applyFont="1" applyFill="1" applyBorder="1" applyAlignment="1" applyProtection="1">
      <alignment horizontal="center" textRotation="90" wrapText="1"/>
    </xf>
    <xf numFmtId="49" fontId="3" fillId="28" borderId="50" xfId="0" applyNumberFormat="1" applyFont="1" applyFill="1" applyBorder="1" applyAlignment="1" applyProtection="1">
      <alignment horizontal="center" vertical="top" wrapText="1"/>
    </xf>
    <xf numFmtId="49" fontId="3" fillId="28" borderId="51" xfId="0" applyNumberFormat="1" applyFont="1" applyFill="1" applyBorder="1" applyAlignment="1" applyProtection="1">
      <alignment horizontal="center" vertical="top" wrapText="1"/>
    </xf>
    <xf numFmtId="49" fontId="3" fillId="28" borderId="21" xfId="0" applyNumberFormat="1" applyFont="1" applyFill="1" applyBorder="1" applyAlignment="1" applyProtection="1">
      <alignment horizontal="center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0" fontId="3" fillId="30" borderId="13" xfId="0" applyFont="1" applyFill="1" applyBorder="1" applyAlignment="1" applyProtection="1">
      <alignment horizontal="left" vertical="center" wrapText="1"/>
    </xf>
    <xf numFmtId="0" fontId="3" fillId="34" borderId="21" xfId="0" applyNumberFormat="1" applyFont="1" applyFill="1" applyBorder="1" applyAlignment="1" applyProtection="1">
      <alignment horizontal="left" vertical="center" wrapText="1"/>
    </xf>
    <xf numFmtId="0" fontId="3" fillId="34" borderId="16" xfId="0" applyNumberFormat="1" applyFont="1" applyFill="1" applyBorder="1" applyAlignment="1" applyProtection="1">
      <alignment horizontal="left" vertical="center" wrapText="1"/>
    </xf>
    <xf numFmtId="0" fontId="8" fillId="29" borderId="13" xfId="0" applyFont="1" applyFill="1" applyBorder="1" applyAlignment="1" applyProtection="1">
      <alignment horizontal="left" vertical="center" wrapText="1"/>
    </xf>
    <xf numFmtId="49" fontId="8" fillId="51" borderId="20" xfId="0" applyNumberFormat="1" applyFont="1" applyFill="1" applyBorder="1" applyAlignment="1" applyProtection="1">
      <alignment horizontal="center" textRotation="90" wrapText="1"/>
    </xf>
    <xf numFmtId="49" fontId="8" fillId="51" borderId="39" xfId="0" applyNumberFormat="1" applyFont="1" applyFill="1" applyBorder="1" applyAlignment="1" applyProtection="1">
      <alignment horizontal="center" textRotation="90" wrapText="1"/>
    </xf>
    <xf numFmtId="0" fontId="8" fillId="43" borderId="17" xfId="0" applyFont="1" applyFill="1" applyBorder="1" applyAlignment="1" applyProtection="1">
      <alignment horizontal="left" vertical="center" wrapText="1"/>
      <protection locked="0"/>
    </xf>
    <xf numFmtId="0" fontId="8" fillId="43" borderId="34" xfId="0" applyFont="1" applyFill="1" applyBorder="1" applyAlignment="1" applyProtection="1">
      <alignment horizontal="left" vertical="center" wrapText="1"/>
      <protection locked="0"/>
    </xf>
    <xf numFmtId="0" fontId="8" fillId="43" borderId="36" xfId="0" applyFont="1" applyFill="1" applyBorder="1" applyAlignment="1" applyProtection="1">
      <alignment horizontal="left" vertical="center" wrapText="1"/>
      <protection locked="0"/>
    </xf>
    <xf numFmtId="0" fontId="8" fillId="47" borderId="17" xfId="0" applyFont="1" applyFill="1" applyBorder="1" applyAlignment="1" applyProtection="1">
      <alignment horizontal="left" vertical="center" wrapText="1"/>
      <protection locked="0"/>
    </xf>
    <xf numFmtId="0" fontId="8" fillId="47" borderId="34" xfId="0" applyFont="1" applyFill="1" applyBorder="1" applyAlignment="1" applyProtection="1">
      <alignment horizontal="left" vertical="center" wrapText="1"/>
      <protection locked="0"/>
    </xf>
    <xf numFmtId="0" fontId="8" fillId="47" borderId="36" xfId="0" applyFont="1" applyFill="1" applyBorder="1" applyAlignment="1" applyProtection="1">
      <alignment horizontal="left" vertical="center" wrapText="1"/>
      <protection locked="0"/>
    </xf>
    <xf numFmtId="0" fontId="8" fillId="41" borderId="17" xfId="0" applyFont="1" applyFill="1" applyBorder="1" applyAlignment="1" applyProtection="1">
      <alignment horizontal="left" vertical="center" wrapText="1"/>
      <protection locked="0"/>
    </xf>
    <xf numFmtId="0" fontId="8" fillId="41" borderId="34" xfId="0" applyFont="1" applyFill="1" applyBorder="1" applyAlignment="1" applyProtection="1">
      <alignment horizontal="left" vertical="center" wrapText="1"/>
      <protection locked="0"/>
    </xf>
    <xf numFmtId="0" fontId="8" fillId="41" borderId="36" xfId="0" applyFont="1" applyFill="1" applyBorder="1" applyAlignment="1" applyProtection="1">
      <alignment horizontal="left" vertical="center" wrapText="1"/>
      <protection locked="0"/>
    </xf>
    <xf numFmtId="0" fontId="8" fillId="30" borderId="17" xfId="0" applyFont="1" applyFill="1" applyBorder="1" applyAlignment="1" applyProtection="1">
      <alignment horizontal="left" vertical="center" wrapText="1"/>
    </xf>
    <xf numFmtId="0" fontId="8" fillId="30" borderId="34" xfId="0" applyFont="1" applyFill="1" applyBorder="1" applyAlignment="1" applyProtection="1">
      <alignment horizontal="left" vertical="center" wrapText="1"/>
    </xf>
    <xf numFmtId="0" fontId="8" fillId="30" borderId="36" xfId="0" applyFont="1" applyFill="1" applyBorder="1" applyAlignment="1" applyProtection="1">
      <alignment horizontal="left" vertical="center" wrapText="1"/>
    </xf>
    <xf numFmtId="0" fontId="3" fillId="30" borderId="17" xfId="0" applyFont="1" applyFill="1" applyBorder="1" applyAlignment="1" applyProtection="1">
      <alignment horizontal="left" vertical="center"/>
    </xf>
    <xf numFmtId="0" fontId="3" fillId="30" borderId="34" xfId="0" applyFont="1" applyFill="1" applyBorder="1" applyAlignment="1" applyProtection="1">
      <alignment horizontal="left" vertical="center"/>
    </xf>
    <xf numFmtId="0" fontId="3" fillId="30" borderId="36" xfId="0" applyFont="1" applyFill="1" applyBorder="1" applyAlignment="1" applyProtection="1">
      <alignment horizontal="left" vertical="center"/>
    </xf>
    <xf numFmtId="0" fontId="8" fillId="29" borderId="17" xfId="0" applyFont="1" applyFill="1" applyBorder="1" applyAlignment="1" applyProtection="1">
      <alignment horizontal="left" vertical="center"/>
    </xf>
    <xf numFmtId="0" fontId="8" fillId="29" borderId="34" xfId="0" applyFont="1" applyFill="1" applyBorder="1" applyAlignment="1" applyProtection="1">
      <alignment horizontal="left" vertical="center"/>
    </xf>
    <xf numFmtId="0" fontId="8" fillId="29" borderId="36" xfId="0" applyFont="1" applyFill="1" applyBorder="1" applyAlignment="1" applyProtection="1">
      <alignment horizontal="left" vertical="center"/>
    </xf>
    <xf numFmtId="0" fontId="3" fillId="28" borderId="17" xfId="0" applyFont="1" applyFill="1" applyBorder="1" applyAlignment="1" applyProtection="1">
      <alignment horizontal="center" vertical="top" wrapText="1"/>
    </xf>
    <xf numFmtId="0" fontId="3" fillId="28" borderId="34" xfId="0" applyFont="1" applyFill="1" applyBorder="1" applyAlignment="1" applyProtection="1">
      <alignment horizontal="center" vertical="top" wrapText="1"/>
    </xf>
    <xf numFmtId="0" fontId="3" fillId="28" borderId="36" xfId="0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49" fontId="3" fillId="28" borderId="56" xfId="0" applyNumberFormat="1" applyFont="1" applyFill="1" applyBorder="1" applyAlignment="1" applyProtection="1">
      <alignment horizontal="center" vertical="top" wrapText="1"/>
    </xf>
    <xf numFmtId="49" fontId="3" fillId="28" borderId="30" xfId="0" applyNumberFormat="1" applyFont="1" applyFill="1" applyBorder="1" applyAlignment="1" applyProtection="1">
      <alignment horizontal="center" vertical="top" wrapText="1"/>
    </xf>
    <xf numFmtId="1" fontId="3" fillId="28" borderId="13" xfId="0" applyNumberFormat="1" applyFont="1" applyFill="1" applyBorder="1" applyAlignment="1" applyProtection="1">
      <alignment horizontal="center" vertical="top" wrapText="1"/>
    </xf>
    <xf numFmtId="0" fontId="8" fillId="28" borderId="22" xfId="0" applyFont="1" applyFill="1" applyBorder="1" applyAlignment="1" applyProtection="1">
      <alignment horizontal="center" textRotation="90" wrapText="1"/>
    </xf>
    <xf numFmtId="0" fontId="8" fillId="28" borderId="42" xfId="0" applyFont="1" applyFill="1" applyBorder="1" applyAlignment="1" applyProtection="1">
      <alignment horizontal="center" textRotation="90" wrapText="1"/>
    </xf>
    <xf numFmtId="0" fontId="8" fillId="28" borderId="15" xfId="0" applyFont="1" applyFill="1" applyBorder="1" applyAlignment="1" applyProtection="1">
      <alignment horizontal="center" vertical="center" wrapText="1"/>
    </xf>
    <xf numFmtId="0" fontId="8" fillId="28" borderId="11" xfId="0" applyFont="1" applyFill="1" applyBorder="1" applyAlignment="1" applyProtection="1">
      <alignment horizontal="center" vertical="center" wrapText="1"/>
    </xf>
    <xf numFmtId="0" fontId="8" fillId="28" borderId="10" xfId="0" applyFont="1" applyFill="1" applyBorder="1" applyAlignment="1" applyProtection="1">
      <alignment horizontal="center" vertical="center" wrapText="1"/>
    </xf>
    <xf numFmtId="0" fontId="8" fillId="30" borderId="13" xfId="0" applyFont="1" applyFill="1" applyBorder="1" applyAlignment="1" applyProtection="1">
      <alignment horizontal="left" vertical="center" wrapText="1"/>
    </xf>
    <xf numFmtId="0" fontId="0" fillId="0" borderId="42" xfId="0" applyFont="1" applyBorder="1" applyAlignment="1" applyProtection="1"/>
    <xf numFmtId="0" fontId="3" fillId="28" borderId="45" xfId="0" applyFont="1" applyFill="1" applyBorder="1" applyAlignment="1" applyProtection="1">
      <alignment horizontal="center" vertical="top" wrapText="1"/>
    </xf>
    <xf numFmtId="0" fontId="3" fillId="28" borderId="42" xfId="0" applyFont="1" applyFill="1" applyBorder="1" applyAlignment="1" applyProtection="1">
      <alignment horizontal="center" vertical="top" wrapText="1"/>
    </xf>
    <xf numFmtId="0" fontId="3" fillId="28" borderId="12" xfId="0" applyFont="1" applyFill="1" applyBorder="1" applyAlignment="1" applyProtection="1">
      <alignment horizontal="center" vertical="top" wrapText="1"/>
    </xf>
    <xf numFmtId="0" fontId="8" fillId="28" borderId="34" xfId="0" applyFont="1" applyFill="1" applyBorder="1" applyAlignment="1" applyProtection="1">
      <alignment horizontal="center" vertical="top" wrapText="1"/>
    </xf>
    <xf numFmtId="0" fontId="8" fillId="28" borderId="36" xfId="0" applyFont="1" applyFill="1" applyBorder="1" applyAlignment="1" applyProtection="1">
      <alignment horizontal="center" vertical="top" wrapText="1"/>
    </xf>
    <xf numFmtId="1" fontId="0" fillId="28" borderId="16" xfId="0" applyNumberFormat="1" applyFont="1" applyFill="1" applyBorder="1" applyAlignment="1" applyProtection="1">
      <alignment horizontal="left" vertical="top" wrapText="1"/>
    </xf>
    <xf numFmtId="1" fontId="0" fillId="28" borderId="21" xfId="0" applyNumberFormat="1" applyFont="1" applyFill="1" applyBorder="1" applyAlignment="1" applyProtection="1">
      <alignment horizontal="left" vertical="top" wrapText="1"/>
    </xf>
    <xf numFmtId="49" fontId="0" fillId="28" borderId="20" xfId="0" applyNumberFormat="1" applyFont="1" applyFill="1" applyBorder="1" applyAlignment="1" applyProtection="1">
      <alignment horizontal="left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49" fontId="3" fillId="28" borderId="22" xfId="0" applyNumberFormat="1" applyFont="1" applyFill="1" applyBorder="1" applyAlignment="1" applyProtection="1">
      <alignment horizontal="center" vertical="top" wrapText="1"/>
    </xf>
    <xf numFmtId="49" fontId="3" fillId="28" borderId="42" xfId="0" applyNumberFormat="1" applyFont="1" applyFill="1" applyBorder="1" applyAlignment="1" applyProtection="1">
      <alignment horizontal="center" vertical="top" wrapText="1"/>
    </xf>
    <xf numFmtId="49" fontId="3" fillId="28" borderId="12" xfId="0" applyNumberFormat="1" applyFont="1" applyFill="1" applyBorder="1" applyAlignment="1" applyProtection="1">
      <alignment horizontal="center" vertical="top" wrapText="1"/>
    </xf>
    <xf numFmtId="0" fontId="3" fillId="28" borderId="52" xfId="0" applyFont="1" applyFill="1" applyBorder="1" applyAlignment="1" applyProtection="1">
      <alignment horizontal="center" vertical="top" wrapText="1"/>
    </xf>
    <xf numFmtId="0" fontId="3" fillId="28" borderId="47" xfId="0" applyFont="1" applyFill="1" applyBorder="1" applyAlignment="1" applyProtection="1">
      <alignment horizontal="center" vertical="top" wrapText="1"/>
    </xf>
    <xf numFmtId="0" fontId="3" fillId="28" borderId="33" xfId="0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8" fillId="28" borderId="17" xfId="0" applyFont="1" applyFill="1" applyBorder="1" applyAlignment="1" applyProtection="1">
      <alignment horizontal="center" vertical="top" wrapText="1"/>
    </xf>
    <xf numFmtId="0" fontId="8" fillId="28" borderId="17" xfId="0" applyFont="1" applyFill="1" applyBorder="1" applyAlignment="1" applyProtection="1">
      <alignment horizontal="center" textRotation="90" wrapText="1"/>
    </xf>
    <xf numFmtId="0" fontId="8" fillId="28" borderId="20" xfId="0" applyFont="1" applyFill="1" applyBorder="1" applyAlignment="1" applyProtection="1">
      <alignment horizontal="center" textRotation="90" wrapText="1"/>
    </xf>
    <xf numFmtId="49" fontId="3" fillId="28" borderId="24" xfId="0" applyNumberFormat="1" applyFont="1" applyFill="1" applyBorder="1" applyAlignment="1" applyProtection="1">
      <alignment horizontal="center" vertical="top" wrapText="1"/>
    </xf>
    <xf numFmtId="49" fontId="3" fillId="28" borderId="29" xfId="0" applyNumberFormat="1" applyFont="1" applyFill="1" applyBorder="1" applyAlignment="1" applyProtection="1">
      <alignment horizontal="center" vertical="top" wrapText="1"/>
    </xf>
    <xf numFmtId="49" fontId="3" fillId="28" borderId="26" xfId="0" applyNumberFormat="1" applyFont="1" applyFill="1" applyBorder="1" applyAlignment="1" applyProtection="1">
      <alignment horizontal="center" vertical="top" wrapText="1"/>
    </xf>
    <xf numFmtId="49" fontId="3" fillId="28" borderId="31" xfId="0" applyNumberFormat="1" applyFont="1" applyFill="1" applyBorder="1" applyAlignment="1" applyProtection="1">
      <alignment horizontal="center" vertical="top" wrapText="1"/>
    </xf>
    <xf numFmtId="0" fontId="3" fillId="28" borderId="44" xfId="0" applyFont="1" applyFill="1" applyBorder="1" applyAlignment="1" applyProtection="1">
      <alignment horizontal="center" vertical="top" wrapText="1"/>
    </xf>
    <xf numFmtId="49" fontId="3" fillId="28" borderId="55" xfId="0" applyNumberFormat="1" applyFont="1" applyFill="1" applyBorder="1" applyAlignment="1" applyProtection="1">
      <alignment horizontal="center" vertical="top" wrapText="1"/>
    </xf>
    <xf numFmtId="49" fontId="3" fillId="28" borderId="28" xfId="0" applyNumberFormat="1" applyFont="1" applyFill="1" applyBorder="1" applyAlignment="1" applyProtection="1">
      <alignment horizontal="center" vertical="top" wrapText="1"/>
    </xf>
    <xf numFmtId="49" fontId="3" fillId="28" borderId="20" xfId="0" applyNumberFormat="1" applyFont="1" applyFill="1" applyBorder="1" applyAlignment="1" applyProtection="1">
      <alignment horizontal="center" vertical="top" wrapText="1"/>
    </xf>
    <xf numFmtId="0" fontId="2" fillId="31" borderId="0" xfId="0" applyFont="1" applyFill="1" applyBorder="1" applyAlignment="1" applyProtection="1">
      <alignment horizontal="left" vertical="top" wrapText="1"/>
    </xf>
    <xf numFmtId="0" fontId="2" fillId="31" borderId="16" xfId="0" applyFont="1" applyFill="1" applyBorder="1" applyAlignment="1" applyProtection="1">
      <alignment horizontal="left" vertical="top" wrapText="1"/>
    </xf>
    <xf numFmtId="0" fontId="8" fillId="29" borderId="17" xfId="0" applyFont="1" applyFill="1" applyBorder="1" applyAlignment="1" applyProtection="1">
      <alignment horizontal="left" vertical="center" wrapText="1"/>
    </xf>
    <xf numFmtId="0" fontId="8" fillId="29" borderId="34" xfId="0" applyFont="1" applyFill="1" applyBorder="1" applyAlignment="1" applyProtection="1">
      <alignment horizontal="left" vertical="center" wrapText="1"/>
    </xf>
    <xf numFmtId="0" fontId="8" fillId="29" borderId="36" xfId="0" applyFont="1" applyFill="1" applyBorder="1" applyAlignment="1" applyProtection="1">
      <alignment horizontal="left" vertical="center" wrapText="1"/>
    </xf>
    <xf numFmtId="0" fontId="3" fillId="29" borderId="17" xfId="0" applyFont="1" applyFill="1" applyBorder="1" applyAlignment="1" applyProtection="1">
      <alignment horizontal="left" vertical="center" wrapText="1"/>
    </xf>
    <xf numFmtId="0" fontId="3" fillId="29" borderId="34" xfId="0" applyFont="1" applyFill="1" applyBorder="1" applyAlignment="1" applyProtection="1">
      <alignment horizontal="left" vertical="center" wrapText="1"/>
    </xf>
    <xf numFmtId="0" fontId="3" fillId="29" borderId="36" xfId="0" applyFont="1" applyFill="1" applyBorder="1" applyAlignment="1" applyProtection="1">
      <alignment horizontal="left" vertical="center" wrapText="1"/>
    </xf>
    <xf numFmtId="0" fontId="33" fillId="42" borderId="17" xfId="0" applyFont="1" applyFill="1" applyBorder="1" applyAlignment="1" applyProtection="1">
      <alignment horizontal="left" vertical="center" wrapText="1"/>
    </xf>
    <xf numFmtId="0" fontId="33" fillId="42" borderId="34" xfId="0" applyFont="1" applyFill="1" applyBorder="1" applyAlignment="1" applyProtection="1">
      <alignment horizontal="left" vertical="center" wrapText="1"/>
    </xf>
    <xf numFmtId="0" fontId="33" fillId="42" borderId="36" xfId="0" applyFont="1" applyFill="1" applyBorder="1" applyAlignment="1" applyProtection="1">
      <alignment horizontal="left" vertical="center" wrapText="1"/>
    </xf>
    <xf numFmtId="0" fontId="8" fillId="41" borderId="17" xfId="0" applyFont="1" applyFill="1" applyBorder="1" applyAlignment="1" applyProtection="1">
      <alignment horizontal="left" vertical="center"/>
      <protection locked="0"/>
    </xf>
    <xf numFmtId="0" fontId="8" fillId="41" borderId="34" xfId="0" applyFont="1" applyFill="1" applyBorder="1" applyAlignment="1" applyProtection="1">
      <alignment horizontal="left" vertical="center"/>
      <protection locked="0"/>
    </xf>
    <xf numFmtId="0" fontId="8" fillId="41" borderId="36" xfId="0" applyFont="1" applyFill="1" applyBorder="1" applyAlignment="1" applyProtection="1">
      <alignment horizontal="left" vertical="center"/>
      <protection locked="0"/>
    </xf>
    <xf numFmtId="0" fontId="4" fillId="26" borderId="12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0" fillId="32" borderId="0" xfId="0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32" borderId="0" xfId="0" applyFont="1" applyFill="1" applyAlignment="1">
      <alignment vertical="top" wrapText="1"/>
    </xf>
    <xf numFmtId="1" fontId="8" fillId="25" borderId="17" xfId="0" applyNumberFormat="1" applyFont="1" applyFill="1" applyBorder="1" applyAlignment="1" applyProtection="1">
      <alignment horizontal="center" vertical="top" wrapText="1"/>
    </xf>
    <xf numFmtId="1" fontId="8" fillId="25" borderId="34" xfId="0" applyNumberFormat="1" applyFont="1" applyFill="1" applyBorder="1" applyAlignment="1" applyProtection="1">
      <alignment horizontal="center" vertical="top" wrapText="1"/>
    </xf>
    <xf numFmtId="0" fontId="3" fillId="28" borderId="13" xfId="0" applyFont="1" applyFill="1" applyBorder="1" applyAlignment="1" applyProtection="1">
      <alignment horizontal="center" vertical="top" wrapText="1"/>
    </xf>
    <xf numFmtId="49" fontId="47" fillId="38" borderId="29" xfId="0" applyNumberFormat="1" applyFont="1" applyFill="1" applyBorder="1" applyAlignment="1" applyProtection="1">
      <alignment horizontal="center" vertical="center" textRotation="90" wrapText="1"/>
    </xf>
    <xf numFmtId="49" fontId="47" fillId="38" borderId="46" xfId="0" applyNumberFormat="1" applyFont="1" applyFill="1" applyBorder="1" applyAlignment="1" applyProtection="1">
      <alignment horizontal="center" vertical="center" textRotation="90" wrapText="1"/>
    </xf>
    <xf numFmtId="49" fontId="47" fillId="38" borderId="31" xfId="0" applyNumberFormat="1" applyFont="1" applyFill="1" applyBorder="1" applyAlignment="1" applyProtection="1">
      <alignment horizontal="center" vertical="center" textRotation="90" wrapText="1"/>
    </xf>
    <xf numFmtId="1" fontId="3" fillId="28" borderId="14" xfId="0" applyNumberFormat="1" applyFont="1" applyFill="1" applyBorder="1" applyAlignment="1" applyProtection="1">
      <alignment horizontal="center" vertical="top" wrapText="1"/>
    </xf>
    <xf numFmtId="1" fontId="2" fillId="25" borderId="35" xfId="0" applyNumberFormat="1" applyFont="1" applyFill="1" applyBorder="1" applyAlignment="1" applyProtection="1">
      <alignment horizontal="center" vertical="center" wrapText="1"/>
    </xf>
    <xf numFmtId="0" fontId="0" fillId="34" borderId="17" xfId="0" applyFill="1" applyBorder="1" applyAlignment="1" applyProtection="1">
      <alignment horizontal="left" vertical="top" wrapText="1"/>
    </xf>
    <xf numFmtId="0" fontId="7" fillId="34" borderId="34" xfId="0" applyFont="1" applyFill="1" applyBorder="1" applyAlignment="1" applyProtection="1">
      <alignment horizontal="left" vertical="top" wrapText="1"/>
    </xf>
    <xf numFmtId="1" fontId="2" fillId="25" borderId="40" xfId="0" applyNumberFormat="1" applyFont="1" applyFill="1" applyBorder="1" applyAlignment="1" applyProtection="1">
      <alignment horizontal="center" vertical="top" wrapText="1"/>
    </xf>
    <xf numFmtId="1" fontId="2" fillId="25" borderId="34" xfId="0" applyNumberFormat="1" applyFont="1" applyFill="1" applyBorder="1" applyAlignment="1" applyProtection="1">
      <alignment horizontal="center" vertical="top" wrapText="1"/>
    </xf>
    <xf numFmtId="1" fontId="2" fillId="25" borderId="41" xfId="0" applyNumberFormat="1" applyFont="1" applyFill="1" applyBorder="1" applyAlignment="1" applyProtection="1">
      <alignment horizontal="center" vertical="top" wrapText="1"/>
    </xf>
    <xf numFmtId="0" fontId="7" fillId="34" borderId="17" xfId="0" applyFont="1" applyFill="1" applyBorder="1" applyAlignment="1" applyProtection="1">
      <alignment horizontal="left" vertical="top" wrapText="1"/>
    </xf>
    <xf numFmtId="1" fontId="2" fillId="25" borderId="17" xfId="0" applyNumberFormat="1" applyFont="1" applyFill="1" applyBorder="1" applyAlignment="1" applyProtection="1">
      <alignment horizontal="center" vertical="top" wrapText="1"/>
    </xf>
    <xf numFmtId="1" fontId="2" fillId="25" borderId="36" xfId="0" applyNumberFormat="1" applyFont="1" applyFill="1" applyBorder="1" applyAlignment="1" applyProtection="1">
      <alignment horizontal="center" vertical="top" wrapText="1"/>
    </xf>
    <xf numFmtId="164" fontId="2" fillId="25" borderId="40" xfId="0" applyNumberFormat="1" applyFont="1" applyFill="1" applyBorder="1" applyAlignment="1" applyProtection="1">
      <alignment horizontal="center" vertical="top" wrapText="1"/>
    </xf>
    <xf numFmtId="164" fontId="2" fillId="25" borderId="34" xfId="0" applyNumberFormat="1" applyFont="1" applyFill="1" applyBorder="1" applyAlignment="1" applyProtection="1">
      <alignment horizontal="center" vertical="top" wrapText="1"/>
    </xf>
    <xf numFmtId="164" fontId="2" fillId="25" borderId="41" xfId="0" applyNumberFormat="1" applyFont="1" applyFill="1" applyBorder="1" applyAlignment="1" applyProtection="1">
      <alignment horizontal="center" vertical="top" wrapText="1"/>
    </xf>
    <xf numFmtId="164" fontId="8" fillId="25" borderId="18" xfId="0" applyNumberFormat="1" applyFont="1" applyFill="1" applyBorder="1" applyAlignment="1" applyProtection="1">
      <alignment horizontal="center" vertical="top" wrapText="1"/>
    </xf>
    <xf numFmtId="164" fontId="8" fillId="25" borderId="27" xfId="0" applyNumberFormat="1" applyFont="1" applyFill="1" applyBorder="1" applyAlignment="1" applyProtection="1">
      <alignment horizontal="center" vertical="top" wrapText="1"/>
    </xf>
    <xf numFmtId="164" fontId="8" fillId="25" borderId="40" xfId="0" applyNumberFormat="1" applyFont="1" applyFill="1" applyBorder="1" applyAlignment="1" applyProtection="1">
      <alignment horizontal="center" vertical="top" wrapText="1"/>
    </xf>
    <xf numFmtId="164" fontId="2" fillId="25" borderId="17" xfId="0" applyNumberFormat="1" applyFont="1" applyFill="1" applyBorder="1" applyAlignment="1" applyProtection="1">
      <alignment horizontal="center" vertical="top" wrapText="1"/>
    </xf>
    <xf numFmtId="164" fontId="2" fillId="25" borderId="36" xfId="0" applyNumberFormat="1" applyFont="1" applyFill="1" applyBorder="1" applyAlignment="1" applyProtection="1">
      <alignment horizontal="center" vertical="top" wrapText="1"/>
    </xf>
    <xf numFmtId="1" fontId="2" fillId="25" borderId="27" xfId="0" applyNumberFormat="1" applyFont="1" applyFill="1" applyBorder="1" applyAlignment="1" applyProtection="1">
      <alignment horizontal="center" vertical="top" wrapText="1"/>
    </xf>
    <xf numFmtId="164" fontId="2" fillId="25" borderId="18" xfId="0" applyNumberFormat="1" applyFont="1" applyFill="1" applyBorder="1" applyAlignment="1" applyProtection="1">
      <alignment horizontal="center" vertical="top" wrapText="1"/>
    </xf>
    <xf numFmtId="164" fontId="2" fillId="25" borderId="27" xfId="0" applyNumberFormat="1" applyFont="1" applyFill="1" applyBorder="1" applyAlignment="1" applyProtection="1">
      <alignment horizontal="center" vertical="top" wrapText="1"/>
    </xf>
    <xf numFmtId="164" fontId="2" fillId="25" borderId="19" xfId="0" applyNumberFormat="1" applyFont="1" applyFill="1" applyBorder="1" applyAlignment="1" applyProtection="1">
      <alignment horizontal="center" vertical="top" wrapText="1"/>
    </xf>
    <xf numFmtId="1" fontId="2" fillId="25" borderId="35" xfId="0" applyNumberFormat="1" applyFont="1" applyFill="1" applyBorder="1" applyAlignment="1" applyProtection="1">
      <alignment horizontal="center" vertical="top" wrapText="1"/>
    </xf>
    <xf numFmtId="1" fontId="8" fillId="25" borderId="18" xfId="0" applyNumberFormat="1" applyFont="1" applyFill="1" applyBorder="1" applyAlignment="1" applyProtection="1">
      <alignment horizontal="center" vertical="top" wrapText="1"/>
    </xf>
    <xf numFmtId="1" fontId="8" fillId="25" borderId="27" xfId="0" applyNumberFormat="1" applyFont="1" applyFill="1" applyBorder="1" applyAlignment="1" applyProtection="1">
      <alignment horizontal="center" vertical="top" wrapText="1"/>
    </xf>
    <xf numFmtId="1" fontId="8" fillId="25" borderId="40" xfId="0" applyNumberFormat="1" applyFont="1" applyFill="1" applyBorder="1" applyAlignment="1" applyProtection="1">
      <alignment horizontal="center" vertical="top" wrapText="1"/>
    </xf>
    <xf numFmtId="1" fontId="2" fillId="25" borderId="18" xfId="0" applyNumberFormat="1" applyFont="1" applyFill="1" applyBorder="1" applyAlignment="1" applyProtection="1">
      <alignment horizontal="center" vertical="top" wrapText="1"/>
    </xf>
    <xf numFmtId="1" fontId="2" fillId="25" borderId="19" xfId="0" applyNumberFormat="1" applyFont="1" applyFill="1" applyBorder="1" applyAlignment="1" applyProtection="1">
      <alignment horizontal="center" vertical="top" wrapText="1"/>
    </xf>
    <xf numFmtId="0" fontId="7" fillId="34" borderId="36" xfId="0" applyFont="1" applyFill="1" applyBorder="1" applyAlignment="1" applyProtection="1">
      <alignment horizontal="left" vertical="top" wrapText="1"/>
    </xf>
    <xf numFmtId="0" fontId="8" fillId="34" borderId="17" xfId="0" applyFont="1" applyFill="1" applyBorder="1" applyAlignment="1" applyProtection="1">
      <alignment horizontal="left" vertical="top" wrapText="1"/>
    </xf>
    <xf numFmtId="0" fontId="8" fillId="34" borderId="34" xfId="0" applyFont="1" applyFill="1" applyBorder="1" applyAlignment="1" applyProtection="1">
      <alignment horizontal="left" vertical="top" wrapText="1"/>
    </xf>
    <xf numFmtId="0" fontId="8" fillId="34" borderId="36" xfId="0" applyFont="1" applyFill="1" applyBorder="1" applyAlignment="1" applyProtection="1">
      <alignment horizontal="left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0" fontId="0" fillId="30" borderId="13" xfId="0" applyFont="1" applyFill="1" applyBorder="1" applyAlignment="1" applyProtection="1">
      <alignment horizontal="left" vertical="center"/>
    </xf>
    <xf numFmtId="0" fontId="0" fillId="41" borderId="13" xfId="0" applyFont="1" applyFill="1" applyBorder="1" applyAlignment="1" applyProtection="1">
      <alignment horizontal="left" vertical="center" wrapText="1"/>
    </xf>
    <xf numFmtId="0" fontId="0" fillId="40" borderId="13" xfId="0" applyFont="1" applyFill="1" applyBorder="1" applyAlignment="1" applyProtection="1">
      <alignment horizontal="left" vertical="center" wrapText="1"/>
    </xf>
    <xf numFmtId="49" fontId="0" fillId="52" borderId="13" xfId="0" applyNumberFormat="1" applyFont="1" applyFill="1" applyBorder="1" applyAlignment="1" applyProtection="1">
      <alignment horizontal="left" vertical="center" wrapText="1"/>
    </xf>
    <xf numFmtId="49" fontId="46" fillId="46" borderId="17" xfId="0" applyNumberFormat="1" applyFont="1" applyFill="1" applyBorder="1" applyAlignment="1" applyProtection="1">
      <alignment vertical="center" wrapText="1"/>
    </xf>
    <xf numFmtId="49" fontId="46" fillId="46" borderId="36" xfId="0" applyNumberFormat="1" applyFont="1" applyFill="1" applyBorder="1" applyAlignment="1" applyProtection="1">
      <alignment vertical="center" wrapText="1"/>
    </xf>
    <xf numFmtId="0" fontId="3" fillId="28" borderId="22" xfId="0" applyFont="1" applyFill="1" applyBorder="1" applyAlignment="1" applyProtection="1">
      <alignment horizontal="center" textRotation="90" wrapText="1"/>
    </xf>
    <xf numFmtId="0" fontId="3" fillId="28" borderId="42" xfId="0" applyFont="1" applyFill="1" applyBorder="1" applyAlignment="1" applyProtection="1">
      <alignment horizontal="center" textRotation="90" wrapText="1"/>
    </xf>
    <xf numFmtId="0" fontId="3" fillId="28" borderId="12" xfId="0" applyFont="1" applyFill="1" applyBorder="1" applyAlignment="1" applyProtection="1">
      <alignment horizontal="center" textRotation="90" wrapText="1"/>
    </xf>
    <xf numFmtId="0" fontId="3" fillId="28" borderId="22" xfId="0" applyFont="1" applyFill="1" applyBorder="1" applyAlignment="1" applyProtection="1">
      <alignment horizontal="center" vertical="top" wrapText="1"/>
    </xf>
    <xf numFmtId="49" fontId="3" fillId="28" borderId="46" xfId="0" applyNumberFormat="1" applyFont="1" applyFill="1" applyBorder="1" applyAlignment="1" applyProtection="1">
      <alignment horizontal="center" vertical="top" wrapText="1"/>
    </xf>
    <xf numFmtId="49" fontId="3" fillId="28" borderId="0" xfId="0" applyNumberFormat="1" applyFont="1" applyFill="1" applyBorder="1" applyAlignment="1" applyProtection="1">
      <alignment horizontal="center" vertical="top" wrapText="1"/>
    </xf>
    <xf numFmtId="1" fontId="3" fillId="28" borderId="0" xfId="0" applyNumberFormat="1" applyFont="1" applyFill="1" applyBorder="1" applyAlignment="1" applyProtection="1">
      <alignment horizontal="center" vertical="top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1" fontId="7" fillId="28" borderId="16" xfId="0" applyNumberFormat="1" applyFont="1" applyFill="1" applyBorder="1" applyAlignment="1" applyProtection="1">
      <alignment horizontal="left" vertical="top" wrapText="1"/>
    </xf>
    <xf numFmtId="1" fontId="3" fillId="28" borderId="20" xfId="0" applyNumberFormat="1" applyFont="1" applyFill="1" applyBorder="1" applyAlignment="1" applyProtection="1">
      <alignment horizontal="center" vertical="top" wrapText="1"/>
    </xf>
    <xf numFmtId="1" fontId="3" fillId="28" borderId="39" xfId="0" applyNumberFormat="1" applyFont="1" applyFill="1" applyBorder="1" applyAlignment="1" applyProtection="1">
      <alignment horizontal="center" vertical="top" wrapText="1"/>
    </xf>
    <xf numFmtId="1" fontId="3" fillId="28" borderId="11" xfId="0" applyNumberFormat="1" applyFont="1" applyFill="1" applyBorder="1" applyAlignment="1" applyProtection="1">
      <alignment horizontal="center" vertical="top" wrapText="1"/>
    </xf>
    <xf numFmtId="1" fontId="3" fillId="28" borderId="21" xfId="0" applyNumberFormat="1" applyFont="1" applyFill="1" applyBorder="1" applyAlignment="1" applyProtection="1">
      <alignment horizontal="center" vertical="top" wrapText="1"/>
    </xf>
    <xf numFmtId="1" fontId="3" fillId="28" borderId="10" xfId="0" applyNumberFormat="1" applyFont="1" applyFill="1" applyBorder="1" applyAlignment="1" applyProtection="1">
      <alignment horizontal="center" vertical="top" wrapText="1"/>
    </xf>
    <xf numFmtId="0" fontId="3" fillId="28" borderId="14" xfId="0" applyFont="1" applyFill="1" applyBorder="1" applyAlignment="1" applyProtection="1">
      <alignment horizontal="center" vertical="top" wrapText="1"/>
    </xf>
    <xf numFmtId="0" fontId="3" fillId="28" borderId="25" xfId="0" applyFont="1" applyFill="1" applyBorder="1" applyAlignment="1" applyProtection="1">
      <alignment horizontal="center" vertical="top" wrapText="1"/>
    </xf>
    <xf numFmtId="49" fontId="7" fillId="28" borderId="20" xfId="0" applyNumberFormat="1" applyFont="1" applyFill="1" applyBorder="1" applyAlignment="1" applyProtection="1">
      <alignment horizontal="left" vertical="top" wrapText="1"/>
    </xf>
    <xf numFmtId="49" fontId="0" fillId="40" borderId="13" xfId="0" applyNumberFormat="1" applyFont="1" applyFill="1" applyBorder="1" applyAlignment="1" applyProtection="1">
      <alignment horizontal="left" vertical="center" wrapText="1"/>
    </xf>
    <xf numFmtId="0" fontId="39" fillId="38" borderId="13" xfId="0" applyFont="1" applyFill="1" applyBorder="1" applyAlignment="1" applyProtection="1">
      <alignment horizontal="left" vertical="center" wrapText="1"/>
    </xf>
    <xf numFmtId="0" fontId="39" fillId="29" borderId="13" xfId="0" applyFont="1" applyFill="1" applyBorder="1" applyAlignment="1" applyProtection="1">
      <alignment horizontal="left" vertical="center" wrapText="1"/>
    </xf>
    <xf numFmtId="0" fontId="0" fillId="29" borderId="13" xfId="0" applyFont="1" applyFill="1" applyBorder="1" applyAlignment="1" applyProtection="1">
      <alignment horizontal="left" vertical="center" wrapText="1"/>
    </xf>
    <xf numFmtId="0" fontId="0" fillId="30" borderId="13" xfId="0" applyFont="1" applyFill="1" applyBorder="1" applyAlignment="1" applyProtection="1">
      <alignment horizontal="left" vertical="center" wrapText="1"/>
    </xf>
    <xf numFmtId="1" fontId="7" fillId="28" borderId="21" xfId="0" applyNumberFormat="1" applyFont="1" applyFill="1" applyBorder="1" applyAlignment="1" applyProtection="1">
      <alignment horizontal="left" vertical="top" wrapText="1"/>
    </xf>
    <xf numFmtId="49" fontId="3" fillId="28" borderId="48" xfId="0" applyNumberFormat="1" applyFont="1" applyFill="1" applyBorder="1" applyAlignment="1" applyProtection="1">
      <alignment horizontal="center" textRotation="90" wrapText="1"/>
    </xf>
    <xf numFmtId="49" fontId="3" fillId="28" borderId="48" xfId="0" applyNumberFormat="1" applyFont="1" applyFill="1" applyBorder="1" applyAlignment="1" applyProtection="1">
      <alignment horizontal="center" vertical="top" wrapText="1"/>
    </xf>
    <xf numFmtId="0" fontId="3" fillId="28" borderId="48" xfId="0" applyFont="1" applyFill="1" applyBorder="1" applyAlignment="1" applyProtection="1">
      <alignment horizontal="center" vertical="top" wrapText="1"/>
    </xf>
    <xf numFmtId="0" fontId="0" fillId="27" borderId="17" xfId="37" applyFont="1" applyFill="1" applyBorder="1" applyAlignment="1" applyProtection="1">
      <alignment vertical="center" wrapText="1"/>
    </xf>
    <xf numFmtId="0" fontId="7" fillId="27" borderId="34" xfId="37" applyFont="1" applyFill="1" applyBorder="1" applyAlignment="1" applyProtection="1">
      <alignment vertical="center" wrapText="1"/>
    </xf>
    <xf numFmtId="0" fontId="7" fillId="27" borderId="36" xfId="37" applyFont="1" applyFill="1" applyBorder="1" applyAlignment="1" applyProtection="1">
      <alignment vertical="center" wrapText="1"/>
    </xf>
    <xf numFmtId="0" fontId="7" fillId="27" borderId="17" xfId="37" applyFont="1" applyFill="1" applyBorder="1" applyAlignment="1" applyProtection="1">
      <alignment vertical="center" wrapText="1"/>
    </xf>
    <xf numFmtId="49" fontId="34" fillId="24" borderId="17" xfId="37" applyNumberFormat="1" applyFont="1" applyFill="1" applyBorder="1" applyAlignment="1" applyProtection="1">
      <alignment horizontal="center" vertical="center" wrapText="1" shrinkToFit="1"/>
    </xf>
    <xf numFmtId="49" fontId="34" fillId="24" borderId="36" xfId="37" applyNumberFormat="1" applyFont="1" applyFill="1" applyBorder="1" applyAlignment="1" applyProtection="1">
      <alignment horizontal="center" vertical="center" wrapText="1" shrinkToFit="1"/>
    </xf>
    <xf numFmtId="0" fontId="34" fillId="24" borderId="20" xfId="37" applyFont="1" applyFill="1" applyBorder="1" applyAlignment="1" applyProtection="1">
      <alignment horizontal="center" vertical="center" wrapText="1"/>
    </xf>
    <xf numFmtId="0" fontId="34" fillId="24" borderId="14" xfId="37" applyFont="1" applyFill="1" applyBorder="1" applyAlignment="1" applyProtection="1">
      <alignment horizontal="center" vertical="center" wrapText="1"/>
    </xf>
    <xf numFmtId="0" fontId="34" fillId="24" borderId="15" xfId="37" applyFont="1" applyFill="1" applyBorder="1" applyAlignment="1" applyProtection="1">
      <alignment horizontal="center" vertical="center" wrapText="1"/>
    </xf>
    <xf numFmtId="0" fontId="34" fillId="24" borderId="21" xfId="37" applyFont="1" applyFill="1" applyBorder="1" applyAlignment="1" applyProtection="1">
      <alignment horizontal="center" vertical="center" wrapText="1"/>
    </xf>
    <xf numFmtId="0" fontId="34" fillId="24" borderId="16" xfId="37" applyFont="1" applyFill="1" applyBorder="1" applyAlignment="1" applyProtection="1">
      <alignment horizontal="center" vertical="center" wrapText="1"/>
    </xf>
    <xf numFmtId="0" fontId="34" fillId="24" borderId="10" xfId="37" applyFont="1" applyFill="1" applyBorder="1" applyAlignment="1" applyProtection="1">
      <alignment horizontal="center" vertical="center" wrapText="1"/>
    </xf>
    <xf numFmtId="49" fontId="0" fillId="27" borderId="17" xfId="37" applyNumberFormat="1" applyFont="1" applyFill="1" applyBorder="1" applyAlignment="1" applyProtection="1">
      <alignment horizontal="left" vertical="center" wrapText="1"/>
    </xf>
    <xf numFmtId="49" fontId="7" fillId="27" borderId="34" xfId="37" applyNumberFormat="1" applyFont="1" applyFill="1" applyBorder="1" applyAlignment="1" applyProtection="1">
      <alignment horizontal="left" vertical="center" wrapText="1"/>
    </xf>
    <xf numFmtId="49" fontId="7" fillId="27" borderId="36" xfId="37" applyNumberFormat="1" applyFont="1" applyFill="1" applyBorder="1" applyAlignment="1" applyProtection="1">
      <alignment horizontal="left" vertical="center" wrapText="1"/>
    </xf>
    <xf numFmtId="49" fontId="7" fillId="27" borderId="17" xfId="37" applyNumberFormat="1" applyFont="1" applyFill="1" applyBorder="1" applyAlignment="1" applyProtection="1">
      <alignment horizontal="left" vertical="center" wrapText="1"/>
    </xf>
    <xf numFmtId="0" fontId="8" fillId="0" borderId="16" xfId="37" applyFont="1" applyFill="1" applyBorder="1" applyAlignment="1" applyProtection="1">
      <alignment horizontal="center" vertical="center" wrapText="1"/>
    </xf>
    <xf numFmtId="0" fontId="34" fillId="24" borderId="17" xfId="37" applyFont="1" applyFill="1" applyBorder="1" applyAlignment="1" applyProtection="1">
      <alignment horizontal="center" vertical="center" wrapText="1"/>
    </xf>
    <xf numFmtId="0" fontId="34" fillId="24" borderId="34" xfId="37" applyFont="1" applyFill="1" applyBorder="1" applyAlignment="1" applyProtection="1">
      <alignment horizontal="center" vertical="center" wrapText="1"/>
    </xf>
    <xf numFmtId="0" fontId="34" fillId="24" borderId="36" xfId="37" applyFont="1" applyFill="1" applyBorder="1" applyAlignment="1" applyProtection="1">
      <alignment horizontal="center" vertical="center" wrapText="1"/>
    </xf>
    <xf numFmtId="0" fontId="7" fillId="29" borderId="17" xfId="37" applyFont="1" applyFill="1" applyBorder="1" applyAlignment="1" applyProtection="1">
      <alignment vertical="center" wrapText="1"/>
    </xf>
    <xf numFmtId="0" fontId="7" fillId="29" borderId="34" xfId="37" applyFont="1" applyFill="1" applyBorder="1" applyAlignment="1" applyProtection="1">
      <alignment vertical="center" wrapText="1"/>
    </xf>
    <xf numFmtId="0" fontId="7" fillId="29" borderId="36" xfId="37" applyFont="1" applyFill="1" applyBorder="1" applyAlignment="1" applyProtection="1">
      <alignment vertical="center" wrapText="1"/>
    </xf>
    <xf numFmtId="49" fontId="7" fillId="26" borderId="17" xfId="37" applyNumberFormat="1" applyFont="1" applyFill="1" applyBorder="1" applyAlignment="1" applyProtection="1">
      <alignment horizontal="left" vertical="center" wrapText="1"/>
    </xf>
    <xf numFmtId="49" fontId="7" fillId="26" borderId="34" xfId="37" applyNumberFormat="1" applyFont="1" applyFill="1" applyBorder="1" applyAlignment="1" applyProtection="1">
      <alignment horizontal="left" vertical="center" wrapText="1"/>
    </xf>
    <xf numFmtId="49" fontId="7" fillId="26" borderId="36" xfId="37" applyNumberFormat="1" applyFont="1" applyFill="1" applyBorder="1" applyAlignment="1" applyProtection="1">
      <alignment horizontal="left" vertical="center" wrapText="1"/>
    </xf>
    <xf numFmtId="0" fontId="40" fillId="31" borderId="17" xfId="0" applyFont="1" applyFill="1" applyBorder="1" applyAlignment="1" applyProtection="1">
      <alignment horizontal="center" vertical="center" wrapText="1"/>
    </xf>
    <xf numFmtId="0" fontId="40" fillId="31" borderId="36" xfId="0" applyFont="1" applyFill="1" applyBorder="1" applyAlignment="1" applyProtection="1">
      <alignment horizontal="center" vertical="center" wrapText="1"/>
    </xf>
    <xf numFmtId="0" fontId="34" fillId="0" borderId="17" xfId="37" applyFont="1" applyFill="1" applyBorder="1" applyAlignment="1" applyProtection="1">
      <alignment horizontal="center" vertical="center" wrapText="1" shrinkToFit="1"/>
    </xf>
    <xf numFmtId="0" fontId="34" fillId="0" borderId="34" xfId="37" applyFont="1" applyFill="1" applyBorder="1" applyAlignment="1" applyProtection="1">
      <alignment horizontal="center" vertical="center" wrapText="1" shrinkToFit="1"/>
    </xf>
    <xf numFmtId="0" fontId="34" fillId="0" borderId="36" xfId="37" applyFont="1" applyFill="1" applyBorder="1" applyAlignment="1" applyProtection="1">
      <alignment horizontal="center" vertical="center" wrapText="1" shrinkToFit="1"/>
    </xf>
    <xf numFmtId="49" fontId="34" fillId="27" borderId="20" xfId="37" applyNumberFormat="1" applyFont="1" applyFill="1" applyBorder="1" applyAlignment="1" applyProtection="1">
      <alignment horizontal="left" vertical="center" wrapText="1" shrinkToFit="1"/>
    </xf>
    <xf numFmtId="49" fontId="34" fillId="27" borderId="14" xfId="37" applyNumberFormat="1" applyFont="1" applyFill="1" applyBorder="1" applyAlignment="1" applyProtection="1">
      <alignment horizontal="left" vertical="center" wrapText="1" shrinkToFit="1"/>
    </xf>
    <xf numFmtId="49" fontId="34" fillId="27" borderId="13" xfId="37" applyNumberFormat="1" applyFont="1" applyFill="1" applyBorder="1" applyAlignment="1" applyProtection="1">
      <alignment horizontal="center" vertical="center" wrapText="1" shrinkToFit="1"/>
    </xf>
    <xf numFmtId="0" fontId="34" fillId="27" borderId="17" xfId="37" applyFont="1" applyFill="1" applyBorder="1" applyAlignment="1" applyProtection="1">
      <alignment horizontal="left" vertical="center" wrapText="1" shrinkToFit="1"/>
    </xf>
    <xf numFmtId="0" fontId="34" fillId="27" borderId="34" xfId="37" applyFont="1" applyFill="1" applyBorder="1" applyAlignment="1" applyProtection="1">
      <alignment horizontal="left" vertical="center" wrapText="1" shrinkToFit="1"/>
    </xf>
    <xf numFmtId="14" fontId="34" fillId="32" borderId="17" xfId="37" applyNumberFormat="1" applyFont="1" applyFill="1" applyBorder="1" applyAlignment="1" applyProtection="1">
      <alignment horizontal="center" vertical="center" wrapText="1"/>
    </xf>
    <xf numFmtId="14" fontId="34" fillId="32" borderId="34" xfId="37" applyNumberFormat="1" applyFont="1" applyFill="1" applyBorder="1" applyAlignment="1" applyProtection="1">
      <alignment horizontal="center" vertical="center" wrapText="1"/>
    </xf>
    <xf numFmtId="14" fontId="34" fillId="32" borderId="36" xfId="37" applyNumberFormat="1" applyFont="1" applyFill="1" applyBorder="1" applyAlignment="1" applyProtection="1">
      <alignment horizontal="center" vertical="center" wrapText="1"/>
    </xf>
    <xf numFmtId="0" fontId="0" fillId="27" borderId="17" xfId="37" applyFont="1" applyFill="1" applyBorder="1" applyAlignment="1" applyProtection="1">
      <alignment horizontal="left" vertical="center" wrapText="1" shrinkToFit="1"/>
    </xf>
    <xf numFmtId="0" fontId="34" fillId="27" borderId="36" xfId="37" applyFont="1" applyFill="1" applyBorder="1" applyAlignment="1" applyProtection="1">
      <alignment horizontal="left" vertical="center" wrapText="1" shrinkToFit="1"/>
    </xf>
    <xf numFmtId="49" fontId="34" fillId="27" borderId="21" xfId="37" applyNumberFormat="1" applyFont="1" applyFill="1" applyBorder="1" applyAlignment="1" applyProtection="1">
      <alignment horizontal="left" vertical="center" wrapText="1" shrinkToFit="1"/>
    </xf>
    <xf numFmtId="49" fontId="34" fillId="27" borderId="16" xfId="37" applyNumberFormat="1" applyFont="1" applyFill="1" applyBorder="1" applyAlignment="1" applyProtection="1">
      <alignment horizontal="left" vertical="center" wrapText="1" shrinkToFit="1"/>
    </xf>
    <xf numFmtId="0" fontId="34" fillId="32" borderId="17" xfId="37" applyNumberFormat="1" applyFont="1" applyFill="1" applyBorder="1" applyAlignment="1" applyProtection="1">
      <alignment horizontal="center" vertical="center" wrapText="1"/>
    </xf>
    <xf numFmtId="0" fontId="34" fillId="32" borderId="34" xfId="37" applyNumberFormat="1" applyFont="1" applyFill="1" applyBorder="1" applyAlignment="1" applyProtection="1">
      <alignment horizontal="center" vertical="center" wrapText="1"/>
    </xf>
    <xf numFmtId="0" fontId="34" fillId="32" borderId="36" xfId="37" applyNumberFormat="1" applyFont="1" applyFill="1" applyBorder="1" applyAlignment="1" applyProtection="1">
      <alignment horizontal="center" vertical="center" wrapText="1"/>
    </xf>
    <xf numFmtId="0" fontId="9" fillId="31" borderId="17" xfId="0" applyFont="1" applyFill="1" applyBorder="1" applyAlignment="1" applyProtection="1">
      <alignment horizontal="center" vertical="center" wrapText="1"/>
    </xf>
    <xf numFmtId="0" fontId="9" fillId="31" borderId="36" xfId="0" applyFont="1" applyFill="1" applyBorder="1" applyAlignment="1" applyProtection="1">
      <alignment horizontal="center" vertical="center" wrapText="1"/>
    </xf>
    <xf numFmtId="164" fontId="9" fillId="31" borderId="17" xfId="0" applyNumberFormat="1" applyFont="1" applyFill="1" applyBorder="1" applyAlignment="1" applyProtection="1">
      <alignment horizontal="center" vertical="center" wrapText="1"/>
    </xf>
    <xf numFmtId="164" fontId="9" fillId="31" borderId="36" xfId="0" applyNumberFormat="1" applyFont="1" applyFill="1" applyBorder="1" applyAlignment="1" applyProtection="1">
      <alignment horizontal="center" vertical="center" wrapText="1"/>
    </xf>
    <xf numFmtId="0" fontId="8" fillId="0" borderId="0" xfId="37" applyFont="1" applyBorder="1" applyAlignment="1" applyProtection="1">
      <alignment horizontal="center" vertical="center" wrapText="1"/>
    </xf>
    <xf numFmtId="0" fontId="34" fillId="24" borderId="13" xfId="37" applyFont="1" applyFill="1" applyBorder="1" applyAlignment="1" applyProtection="1">
      <alignment horizontal="center" vertical="center" wrapText="1"/>
    </xf>
    <xf numFmtId="0" fontId="8" fillId="24" borderId="13" xfId="37" applyFont="1" applyFill="1" applyBorder="1" applyAlignment="1" applyProtection="1">
      <alignment horizontal="center" vertical="center" wrapText="1"/>
    </xf>
    <xf numFmtId="0" fontId="34" fillId="0" borderId="13" xfId="37" applyFont="1" applyFill="1" applyBorder="1" applyAlignment="1" applyProtection="1">
      <alignment horizontal="left" vertical="center" wrapText="1" shrinkToFit="1"/>
      <protection locked="0"/>
    </xf>
    <xf numFmtId="0" fontId="8" fillId="24" borderId="13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4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Процентный" xfId="41" builtinId="5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18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FF00"/>
      <color rgb="FFDDDDDD"/>
      <color rgb="FFEEECE1"/>
      <color rgb="FFCCFFFF"/>
      <color rgb="FF00FFFF"/>
      <color rgb="FFFF99CC"/>
      <color rgb="FFB2A1C7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509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510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2511" name="Rectangle 3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2512" name="Rectangle 4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513" name="Rectangle 11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514" name="Rectangle 116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515" name="Rectangle 11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516" name="Rectangle 118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518" name="Rectangle 12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19" name="Rectangle 12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520" name="Rectangle 122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521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5321011" y="505258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16" name="Rectangle 115"/>
        <xdr:cNvSpPr>
          <a:spLocks noChangeArrowheads="1"/>
        </xdr:cNvSpPr>
      </xdr:nvSpPr>
      <xdr:spPr bwMode="auto">
        <a:xfrm>
          <a:off x="5468216" y="505258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7" name="Rectangle 116"/>
        <xdr:cNvSpPr>
          <a:spLocks noChangeArrowheads="1"/>
        </xdr:cNvSpPr>
      </xdr:nvSpPr>
      <xdr:spPr bwMode="auto">
        <a:xfrm>
          <a:off x="5615420" y="505258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26</xdr:row>
      <xdr:rowOff>47625</xdr:rowOff>
    </xdr:from>
    <xdr:to>
      <xdr:col>40</xdr:col>
      <xdr:colOff>142875</xdr:colOff>
      <xdr:row>26</xdr:row>
      <xdr:rowOff>142875</xdr:rowOff>
    </xdr:to>
    <xdr:sp macro="" textlink="">
      <xdr:nvSpPr>
        <xdr:cNvPr id="20" name="Rectangle 116"/>
        <xdr:cNvSpPr>
          <a:spLocks noChangeArrowheads="1"/>
        </xdr:cNvSpPr>
      </xdr:nvSpPr>
      <xdr:spPr bwMode="auto">
        <a:xfrm>
          <a:off x="5615420" y="525173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5175250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4" name="Rectangle 115"/>
        <xdr:cNvSpPr>
          <a:spLocks noChangeArrowheads="1"/>
        </xdr:cNvSpPr>
      </xdr:nvSpPr>
      <xdr:spPr bwMode="auto">
        <a:xfrm>
          <a:off x="5318125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25" name="Rectangle 116"/>
        <xdr:cNvSpPr>
          <a:spLocks noChangeArrowheads="1"/>
        </xdr:cNvSpPr>
      </xdr:nvSpPr>
      <xdr:spPr bwMode="auto">
        <a:xfrm>
          <a:off x="5461000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5175250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6" name="Rectangle 115"/>
        <xdr:cNvSpPr>
          <a:spLocks noChangeArrowheads="1"/>
        </xdr:cNvSpPr>
      </xdr:nvSpPr>
      <xdr:spPr bwMode="auto">
        <a:xfrm>
          <a:off x="5318125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7" name="Rectangle 116"/>
        <xdr:cNvSpPr>
          <a:spLocks noChangeArrowheads="1"/>
        </xdr:cNvSpPr>
      </xdr:nvSpPr>
      <xdr:spPr bwMode="auto">
        <a:xfrm>
          <a:off x="5461000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8" name="Rectangle 117"/>
        <xdr:cNvSpPr>
          <a:spLocks noChangeArrowheads="1"/>
        </xdr:cNvSpPr>
      </xdr:nvSpPr>
      <xdr:spPr bwMode="auto">
        <a:xfrm>
          <a:off x="5603875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9" name="Rectangle 118"/>
        <xdr:cNvSpPr>
          <a:spLocks noChangeArrowheads="1"/>
        </xdr:cNvSpPr>
      </xdr:nvSpPr>
      <xdr:spPr bwMode="auto">
        <a:xfrm>
          <a:off x="5746750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26</xdr:row>
      <xdr:rowOff>47625</xdr:rowOff>
    </xdr:from>
    <xdr:to>
      <xdr:col>48</xdr:col>
      <xdr:colOff>142875</xdr:colOff>
      <xdr:row>26</xdr:row>
      <xdr:rowOff>142875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5175250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26</xdr:row>
      <xdr:rowOff>47625</xdr:rowOff>
    </xdr:from>
    <xdr:to>
      <xdr:col>49</xdr:col>
      <xdr:colOff>142875</xdr:colOff>
      <xdr:row>26</xdr:row>
      <xdr:rowOff>142875</xdr:rowOff>
    </xdr:to>
    <xdr:sp macro="" textlink="">
      <xdr:nvSpPr>
        <xdr:cNvPr id="31" name="Rectangle 115"/>
        <xdr:cNvSpPr>
          <a:spLocks noChangeArrowheads="1"/>
        </xdr:cNvSpPr>
      </xdr:nvSpPr>
      <xdr:spPr bwMode="auto">
        <a:xfrm>
          <a:off x="5318125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26</xdr:row>
      <xdr:rowOff>47625</xdr:rowOff>
    </xdr:from>
    <xdr:to>
      <xdr:col>50</xdr:col>
      <xdr:colOff>142875</xdr:colOff>
      <xdr:row>26</xdr:row>
      <xdr:rowOff>142875</xdr:rowOff>
    </xdr:to>
    <xdr:sp macro="" textlink="">
      <xdr:nvSpPr>
        <xdr:cNvPr id="32" name="Rectangle 116"/>
        <xdr:cNvSpPr>
          <a:spLocks noChangeArrowheads="1"/>
        </xdr:cNvSpPr>
      </xdr:nvSpPr>
      <xdr:spPr bwMode="auto">
        <a:xfrm>
          <a:off x="5461000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26</xdr:row>
      <xdr:rowOff>47625</xdr:rowOff>
    </xdr:from>
    <xdr:to>
      <xdr:col>51</xdr:col>
      <xdr:colOff>142875</xdr:colOff>
      <xdr:row>26</xdr:row>
      <xdr:rowOff>142875</xdr:rowOff>
    </xdr:to>
    <xdr:sp macro="" textlink="">
      <xdr:nvSpPr>
        <xdr:cNvPr id="33" name="Rectangle 116"/>
        <xdr:cNvSpPr>
          <a:spLocks noChangeArrowheads="1"/>
        </xdr:cNvSpPr>
      </xdr:nvSpPr>
      <xdr:spPr bwMode="auto">
        <a:xfrm>
          <a:off x="5603875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26</xdr:row>
      <xdr:rowOff>47625</xdr:rowOff>
    </xdr:from>
    <xdr:to>
      <xdr:col>48</xdr:col>
      <xdr:colOff>142875</xdr:colOff>
      <xdr:row>26</xdr:row>
      <xdr:rowOff>142875</xdr:rowOff>
    </xdr:to>
    <xdr:sp macro="" textlink="">
      <xdr:nvSpPr>
        <xdr:cNvPr id="34" name="Rectangle 2"/>
        <xdr:cNvSpPr>
          <a:spLocks noChangeArrowheads="1"/>
        </xdr:cNvSpPr>
      </xdr:nvSpPr>
      <xdr:spPr bwMode="auto">
        <a:xfrm>
          <a:off x="5175250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26</xdr:row>
      <xdr:rowOff>47625</xdr:rowOff>
    </xdr:from>
    <xdr:to>
      <xdr:col>49</xdr:col>
      <xdr:colOff>142875</xdr:colOff>
      <xdr:row>26</xdr:row>
      <xdr:rowOff>142875</xdr:rowOff>
    </xdr:to>
    <xdr:sp macro="" textlink="">
      <xdr:nvSpPr>
        <xdr:cNvPr id="35" name="Rectangle 115"/>
        <xdr:cNvSpPr>
          <a:spLocks noChangeArrowheads="1"/>
        </xdr:cNvSpPr>
      </xdr:nvSpPr>
      <xdr:spPr bwMode="auto">
        <a:xfrm>
          <a:off x="5318125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26</xdr:row>
      <xdr:rowOff>47625</xdr:rowOff>
    </xdr:from>
    <xdr:to>
      <xdr:col>50</xdr:col>
      <xdr:colOff>142875</xdr:colOff>
      <xdr:row>26</xdr:row>
      <xdr:rowOff>142875</xdr:rowOff>
    </xdr:to>
    <xdr:sp macro="" textlink="">
      <xdr:nvSpPr>
        <xdr:cNvPr id="36" name="Rectangle 116"/>
        <xdr:cNvSpPr>
          <a:spLocks noChangeArrowheads="1"/>
        </xdr:cNvSpPr>
      </xdr:nvSpPr>
      <xdr:spPr bwMode="auto">
        <a:xfrm>
          <a:off x="5461000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37" name="Rectangle 2"/>
        <xdr:cNvSpPr>
          <a:spLocks noChangeArrowheads="1"/>
        </xdr:cNvSpPr>
      </xdr:nvSpPr>
      <xdr:spPr bwMode="auto">
        <a:xfrm>
          <a:off x="52863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38" name="Rectangle 115"/>
        <xdr:cNvSpPr>
          <a:spLocks noChangeArrowheads="1"/>
        </xdr:cNvSpPr>
      </xdr:nvSpPr>
      <xdr:spPr bwMode="auto">
        <a:xfrm>
          <a:off x="54292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39" name="Rectangle 116"/>
        <xdr:cNvSpPr>
          <a:spLocks noChangeArrowheads="1"/>
        </xdr:cNvSpPr>
      </xdr:nvSpPr>
      <xdr:spPr bwMode="auto">
        <a:xfrm>
          <a:off x="55721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2642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vladimir\Documents\2018-2019%20&#1075;&#1086;&#1076;\&#1059;&#1055;%202018-2019%20&#1091;&#1095;.%20&#1075;&#1086;&#1076;\-1,2&#1082;&#1091;&#1088;&#1089;%20&#1086;&#1095;&#1085;&#1086;&#1077;%20&#1080;%201&#1079;&#1072;&#1086;&#1095;&#1085;&#1086;&#1077;%202017\&#1059;&#1055;-26.02.03%20(&#1057;&#1042;)%201,2%20&#1082;&#1091;&#1088;&#1089;%202017-18%20&#1091;&#1075;&#1083;&#1091;&#1073;&#1083;&#1077;&#1085;&#1085;&#1072;&#1103;%20&#1087;&#1086;&#1076;&#1075;&#1086;&#1090;&#1086;&#1074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vladimir\AppData\Local\Microsoft\Windows\Temporary%20Internet%20Files\Content.Outlook\90OQ1TMS\&#1059;&#1055;-23%2002%2001%20(&#1054;&#1055;)%201,2%20&#1082;&#1091;&#1088;&#1089;%202017-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vladimir\Documents\2016-2017%20&#1091;&#1095;&#1077;&#1073;&#1085;&#1099;&#1081;%20&#1075;&#1086;&#1076;\&#1059;&#1095;&#1077;&#1073;&#1085;&#1099;&#1077;%20&#1087;&#1083;&#1072;&#1085;&#1099;\&#1047;_&#1054;\&#1059;&#1055;-26.02.03-51%20(&#1057;&#104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Учебный план"/>
      <sheetName val="Титул заочное обучение"/>
      <sheetName val="УП заочное обучение"/>
      <sheetName val="ПРОВЕРКА"/>
      <sheetName val="Нормы"/>
      <sheetName val="Компетенции"/>
      <sheetName val="Материально-техническая база"/>
      <sheetName val="Примечание"/>
    </sheetNames>
    <sheetDataSet>
      <sheetData sheetId="0"/>
      <sheetData sheetId="1"/>
      <sheetData sheetId="2"/>
      <sheetData sheetId="3"/>
      <sheetData sheetId="4"/>
      <sheetData sheetId="5">
        <row r="6">
          <cell r="D6">
            <v>2106</v>
          </cell>
          <cell r="E6">
            <v>1404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 (очная)"/>
      <sheetName val="Учебный план (очная)"/>
      <sheetName val="Титульный лист З_О"/>
      <sheetName val="Учебный план З_О"/>
      <sheetName val="Нормы"/>
      <sheetName val="Компетенции"/>
      <sheetName val="Материально-техническая база"/>
      <sheetName val="Примеч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D7" t="str">
            <v>-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 (очная)"/>
      <sheetName val="Учебный план"/>
      <sheetName val="Титульный лист (заочная)"/>
      <sheetName val="Учебный план (заочная)"/>
      <sheetName val="Нормы"/>
      <sheetName val="Компетенции"/>
      <sheetName val="Материально-техническая база"/>
      <sheetName val="Примечание"/>
    </sheetNames>
    <sheetDataSet>
      <sheetData sheetId="0"/>
      <sheetData sheetId="1"/>
      <sheetData sheetId="2">
        <row r="29">
          <cell r="BD29">
            <v>57</v>
          </cell>
        </row>
      </sheetData>
      <sheetData sheetId="3"/>
      <sheetData sheetId="4">
        <row r="20">
          <cell r="D20">
            <v>216</v>
          </cell>
        </row>
        <row r="21">
          <cell r="E21" t="str">
            <v>-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N49"/>
  <sheetViews>
    <sheetView showZeros="0" tabSelected="1" workbookViewId="0">
      <selection activeCell="BG34" sqref="BG34"/>
    </sheetView>
  </sheetViews>
  <sheetFormatPr defaultColWidth="2.83203125" defaultRowHeight="12.75"/>
  <cols>
    <col min="1" max="1" width="3.6640625" style="6" customWidth="1"/>
    <col min="2" max="10" width="2.5" style="6" customWidth="1"/>
    <col min="11" max="11" width="3" style="6" customWidth="1"/>
    <col min="12" max="12" width="2.5" style="6" customWidth="1"/>
    <col min="13" max="13" width="2.6640625" style="6" customWidth="1"/>
    <col min="14" max="14" width="3.1640625" style="6" customWidth="1"/>
    <col min="15" max="53" width="2.5" style="6" customWidth="1"/>
    <col min="54" max="54" width="3.5" style="6" customWidth="1"/>
    <col min="55" max="55" width="3.1640625" style="6" customWidth="1"/>
    <col min="56" max="56" width="4" style="6" customWidth="1"/>
    <col min="57" max="60" width="3.33203125" style="6" customWidth="1"/>
    <col min="61" max="61" width="4.5" style="6" customWidth="1"/>
    <col min="62" max="63" width="3.33203125" style="6" hidden="1" customWidth="1"/>
    <col min="64" max="64" width="5.1640625" style="6" customWidth="1"/>
    <col min="65" max="65" width="3.33203125" style="6" customWidth="1"/>
    <col min="66" max="66" width="4.1640625" style="6" customWidth="1"/>
    <col min="67" max="16384" width="2.83203125" style="6"/>
  </cols>
  <sheetData>
    <row r="1" spans="1:66" ht="15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624" t="s">
        <v>34</v>
      </c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  <c r="AL1" s="624"/>
      <c r="AM1" s="624"/>
      <c r="AN1" s="624"/>
      <c r="AO1" s="624"/>
      <c r="AP1" s="624"/>
      <c r="AQ1" s="624"/>
      <c r="AR1" s="624"/>
      <c r="AS1" s="624"/>
      <c r="AT1" s="624"/>
      <c r="AU1" s="624"/>
      <c r="AV1" s="624"/>
      <c r="AW1" s="624"/>
      <c r="AX1" s="624"/>
      <c r="AY1" s="624"/>
      <c r="AZ1" s="624"/>
      <c r="BA1" s="624"/>
      <c r="BB1" s="624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</row>
    <row r="2" spans="1:66" ht="15.75" customHeight="1">
      <c r="A2" s="633" t="s">
        <v>447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25" t="s">
        <v>357</v>
      </c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5"/>
      <c r="AL2" s="625"/>
      <c r="AM2" s="625"/>
      <c r="AN2" s="625"/>
      <c r="AO2" s="625"/>
      <c r="AP2" s="625"/>
      <c r="AQ2" s="625"/>
      <c r="AR2" s="625"/>
      <c r="AS2" s="625"/>
      <c r="AT2" s="625"/>
      <c r="AU2" s="625"/>
      <c r="AV2" s="625"/>
      <c r="AW2" s="625"/>
      <c r="AX2" s="625"/>
      <c r="AY2" s="625"/>
      <c r="AZ2" s="625"/>
      <c r="BA2" s="625"/>
      <c r="BB2" s="625"/>
      <c r="BC2" s="636" t="s">
        <v>47</v>
      </c>
      <c r="BD2" s="636"/>
      <c r="BE2" s="636"/>
      <c r="BF2" s="636"/>
      <c r="BG2" s="636"/>
      <c r="BH2" s="636"/>
      <c r="BI2" s="636"/>
      <c r="BJ2" s="636"/>
      <c r="BK2" s="636"/>
      <c r="BL2" s="636"/>
      <c r="BM2" s="636"/>
      <c r="BN2" s="636"/>
    </row>
    <row r="3" spans="1:66" ht="15.75" customHeight="1">
      <c r="A3" s="639">
        <v>42817</v>
      </c>
      <c r="B3" s="639"/>
      <c r="C3" s="639"/>
      <c r="D3" s="639"/>
      <c r="E3" s="639"/>
      <c r="F3" s="639"/>
      <c r="G3" s="639"/>
      <c r="H3" s="639" t="s">
        <v>419</v>
      </c>
      <c r="I3" s="639"/>
      <c r="J3" s="639"/>
      <c r="K3" s="639"/>
      <c r="L3" s="639"/>
      <c r="M3" s="639"/>
      <c r="N3" s="639"/>
      <c r="O3" s="625" t="s">
        <v>358</v>
      </c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  <c r="AI3" s="625"/>
      <c r="AJ3" s="625"/>
      <c r="AK3" s="625"/>
      <c r="AL3" s="625"/>
      <c r="AM3" s="625"/>
      <c r="AN3" s="625"/>
      <c r="AO3" s="625"/>
      <c r="AP3" s="625"/>
      <c r="AQ3" s="625"/>
      <c r="AR3" s="625"/>
      <c r="AS3" s="625"/>
      <c r="AT3" s="625"/>
      <c r="AU3" s="625"/>
      <c r="AV3" s="625"/>
      <c r="AW3" s="625"/>
      <c r="AX3" s="625"/>
      <c r="AY3" s="625"/>
      <c r="AZ3" s="625"/>
      <c r="BA3" s="625"/>
      <c r="BB3" s="625"/>
      <c r="BC3" s="638" t="s">
        <v>364</v>
      </c>
      <c r="BD3" s="638"/>
      <c r="BE3" s="638"/>
      <c r="BF3" s="638"/>
      <c r="BG3" s="638"/>
      <c r="BH3" s="638"/>
      <c r="BI3" s="638"/>
      <c r="BJ3" s="638"/>
      <c r="BK3" s="638"/>
      <c r="BL3" s="638"/>
      <c r="BM3" s="638"/>
      <c r="BN3" s="638"/>
    </row>
    <row r="4" spans="1:66" ht="15.75" customHeight="1">
      <c r="A4" s="634"/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632" t="s">
        <v>609</v>
      </c>
      <c r="BD4" s="632"/>
      <c r="BE4" s="632"/>
      <c r="BF4" s="632"/>
      <c r="BG4" s="632"/>
      <c r="BH4" s="632"/>
      <c r="BI4" s="632"/>
      <c r="BJ4" s="632"/>
      <c r="BK4" s="632"/>
      <c r="BL4" s="632"/>
      <c r="BM4" s="632"/>
      <c r="BN4" s="632"/>
    </row>
    <row r="5" spans="1:66" ht="15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7"/>
      <c r="P5" s="27"/>
      <c r="Q5" s="27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30"/>
      <c r="BD5" s="24"/>
      <c r="BE5" s="24"/>
      <c r="BF5" s="31"/>
      <c r="BG5" s="32"/>
      <c r="BH5" s="32"/>
      <c r="BI5" s="32"/>
      <c r="BJ5" s="32"/>
      <c r="BK5" s="32"/>
      <c r="BL5" s="32"/>
      <c r="BM5" s="32"/>
      <c r="BN5" s="24"/>
    </row>
    <row r="6" spans="1:66" ht="15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7"/>
      <c r="P6" s="27"/>
      <c r="Q6" s="27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637">
        <v>42818</v>
      </c>
      <c r="BD6" s="637"/>
      <c r="BE6" s="637"/>
      <c r="BF6" s="637"/>
      <c r="BG6" s="637"/>
      <c r="BH6" s="637"/>
      <c r="BI6" s="637"/>
      <c r="BJ6" s="637"/>
      <c r="BK6" s="637"/>
      <c r="BL6" s="637"/>
      <c r="BM6" s="637"/>
      <c r="BN6" s="637"/>
    </row>
    <row r="7" spans="1:66" ht="25.5">
      <c r="A7" s="635" t="s">
        <v>376</v>
      </c>
      <c r="B7" s="635"/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5"/>
      <c r="T7" s="635"/>
      <c r="U7" s="635"/>
      <c r="V7" s="635"/>
      <c r="W7" s="635"/>
      <c r="X7" s="635"/>
      <c r="Y7" s="635"/>
      <c r="Z7" s="635"/>
      <c r="AA7" s="635"/>
      <c r="AB7" s="635"/>
      <c r="AC7" s="635"/>
      <c r="AD7" s="635"/>
      <c r="AE7" s="635"/>
      <c r="AF7" s="635"/>
      <c r="AG7" s="635"/>
      <c r="AH7" s="635"/>
      <c r="AI7" s="635"/>
      <c r="AJ7" s="635"/>
      <c r="AK7" s="635"/>
      <c r="AL7" s="635"/>
      <c r="AM7" s="635"/>
      <c r="AN7" s="635"/>
      <c r="AO7" s="635"/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  <c r="BB7" s="635"/>
      <c r="BC7" s="635"/>
      <c r="BD7" s="635"/>
      <c r="BE7" s="635"/>
      <c r="BF7" s="635"/>
      <c r="BG7" s="635"/>
      <c r="BH7" s="635"/>
      <c r="BI7" s="635"/>
      <c r="BJ7" s="635"/>
      <c r="BK7" s="635"/>
      <c r="BL7" s="635"/>
      <c r="BM7" s="635"/>
      <c r="BN7" s="635"/>
    </row>
    <row r="8" spans="1:66" s="3" customFormat="1" ht="15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595" t="s">
        <v>377</v>
      </c>
      <c r="P8" s="596"/>
      <c r="Q8" s="596"/>
      <c r="R8" s="596"/>
      <c r="S8" s="596"/>
      <c r="T8" s="596"/>
      <c r="U8" s="596"/>
      <c r="V8" s="596"/>
      <c r="W8" s="596"/>
      <c r="X8" s="596"/>
      <c r="Y8" s="596"/>
      <c r="Z8" s="596"/>
      <c r="AA8" s="596"/>
      <c r="AB8" s="596"/>
      <c r="AC8" s="596"/>
      <c r="AD8" s="596"/>
      <c r="AE8" s="596"/>
      <c r="AF8" s="596"/>
      <c r="AG8" s="596"/>
      <c r="AH8" s="596"/>
      <c r="AI8" s="596"/>
      <c r="AJ8" s="596"/>
      <c r="AK8" s="596"/>
      <c r="AL8" s="596"/>
      <c r="AM8" s="596"/>
      <c r="AN8" s="596"/>
      <c r="AO8" s="596"/>
      <c r="AP8" s="596"/>
      <c r="AQ8" s="596"/>
      <c r="AR8" s="596"/>
      <c r="AS8" s="596"/>
      <c r="AT8" s="596"/>
      <c r="AU8" s="596"/>
      <c r="AV8" s="596"/>
      <c r="AW8" s="596"/>
      <c r="AX8" s="596"/>
      <c r="AY8" s="596"/>
      <c r="AZ8" s="596"/>
      <c r="BA8" s="596"/>
      <c r="BB8" s="596"/>
      <c r="BC8" s="29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</row>
    <row r="9" spans="1:66" s="3" customFormat="1" ht="15.75" customHeight="1">
      <c r="A9" s="640" t="s">
        <v>166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640"/>
      <c r="M9" s="640"/>
      <c r="N9" s="640"/>
      <c r="O9" s="641" t="s">
        <v>359</v>
      </c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  <c r="AO9" s="641"/>
      <c r="AP9" s="641"/>
      <c r="AQ9" s="641"/>
      <c r="AR9" s="641"/>
      <c r="AS9" s="641"/>
      <c r="AT9" s="641"/>
      <c r="AU9" s="641"/>
      <c r="AV9" s="641"/>
      <c r="AW9" s="641"/>
      <c r="AX9" s="641"/>
      <c r="AY9" s="641"/>
      <c r="AZ9" s="641"/>
      <c r="BA9" s="641"/>
      <c r="BB9" s="641"/>
      <c r="BC9" s="642" t="s">
        <v>51</v>
      </c>
      <c r="BD9" s="642"/>
      <c r="BE9" s="642"/>
      <c r="BF9" s="642"/>
      <c r="BG9" s="642"/>
      <c r="BH9" s="642"/>
      <c r="BI9" s="642"/>
      <c r="BJ9" s="642"/>
      <c r="BK9" s="642"/>
      <c r="BL9" s="642"/>
      <c r="BM9" s="642"/>
      <c r="BN9" s="642"/>
    </row>
    <row r="10" spans="1:66" s="3" customFormat="1" ht="15.75" customHeight="1">
      <c r="A10" s="640" t="s">
        <v>163</v>
      </c>
      <c r="B10" s="640"/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3" t="s">
        <v>404</v>
      </c>
      <c r="P10" s="616"/>
      <c r="Q10" s="616"/>
      <c r="R10" s="616"/>
      <c r="S10" s="616"/>
      <c r="T10" s="616"/>
      <c r="U10" s="616"/>
      <c r="V10" s="616"/>
      <c r="W10" s="616"/>
      <c r="X10" s="616"/>
      <c r="Y10" s="616"/>
      <c r="Z10" s="616"/>
      <c r="AA10" s="616"/>
      <c r="AB10" s="616"/>
      <c r="AC10" s="616"/>
      <c r="AD10" s="616"/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16"/>
      <c r="AP10" s="616"/>
      <c r="AQ10" s="616"/>
      <c r="AR10" s="616"/>
      <c r="AS10" s="616"/>
      <c r="AT10" s="616"/>
      <c r="AU10" s="616"/>
      <c r="AV10" s="616"/>
      <c r="AW10" s="616"/>
      <c r="AX10" s="616"/>
      <c r="AY10" s="616"/>
      <c r="AZ10" s="616"/>
      <c r="BA10" s="616"/>
      <c r="BB10" s="616"/>
      <c r="BC10" s="642"/>
      <c r="BD10" s="642"/>
      <c r="BE10" s="642"/>
      <c r="BF10" s="642"/>
      <c r="BG10" s="642"/>
      <c r="BH10" s="642"/>
      <c r="BI10" s="642"/>
      <c r="BJ10" s="642"/>
      <c r="BK10" s="642"/>
      <c r="BL10" s="642"/>
      <c r="BM10" s="642"/>
      <c r="BN10" s="642"/>
    </row>
    <row r="11" spans="1:66" s="3" customFormat="1" ht="15.75" customHeight="1">
      <c r="A11" s="640" t="s">
        <v>213</v>
      </c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4"/>
      <c r="P11" s="616"/>
      <c r="Q11" s="616"/>
      <c r="R11" s="616"/>
      <c r="S11" s="616"/>
      <c r="T11" s="616"/>
      <c r="U11" s="616"/>
      <c r="V11" s="616"/>
      <c r="W11" s="616"/>
      <c r="X11" s="616"/>
      <c r="Y11" s="616"/>
      <c r="Z11" s="616"/>
      <c r="AA11" s="616"/>
      <c r="AB11" s="616"/>
      <c r="AC11" s="616"/>
      <c r="AD11" s="616"/>
      <c r="AE11" s="616"/>
      <c r="AF11" s="616"/>
      <c r="AG11" s="616"/>
      <c r="AH11" s="616"/>
      <c r="AI11" s="616"/>
      <c r="AJ11" s="616"/>
      <c r="AK11" s="616"/>
      <c r="AL11" s="616"/>
      <c r="AM11" s="616"/>
      <c r="AN11" s="616"/>
      <c r="AO11" s="616"/>
      <c r="AP11" s="616"/>
      <c r="AQ11" s="616"/>
      <c r="AR11" s="616"/>
      <c r="AS11" s="616"/>
      <c r="AT11" s="616"/>
      <c r="AU11" s="616"/>
      <c r="AV11" s="616"/>
      <c r="AW11" s="616"/>
      <c r="AX11" s="616"/>
      <c r="AY11" s="616"/>
      <c r="AZ11" s="616"/>
      <c r="BA11" s="616"/>
      <c r="BB11" s="616"/>
      <c r="BC11" s="642"/>
      <c r="BD11" s="642"/>
      <c r="BE11" s="642"/>
      <c r="BF11" s="642"/>
      <c r="BG11" s="642"/>
      <c r="BH11" s="642"/>
      <c r="BI11" s="642"/>
      <c r="BJ11" s="642"/>
      <c r="BK11" s="642"/>
      <c r="BL11" s="642"/>
      <c r="BM11" s="642"/>
      <c r="BN11" s="642"/>
    </row>
    <row r="12" spans="1:66" s="3" customFormat="1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616"/>
      <c r="P12" s="616"/>
      <c r="Q12" s="616"/>
      <c r="R12" s="616"/>
      <c r="S12" s="616"/>
      <c r="T12" s="616"/>
      <c r="U12" s="616"/>
      <c r="V12" s="616"/>
      <c r="W12" s="616"/>
      <c r="X12" s="616"/>
      <c r="Y12" s="616"/>
      <c r="Z12" s="616"/>
      <c r="AA12" s="616"/>
      <c r="AB12" s="616"/>
      <c r="AC12" s="616"/>
      <c r="AD12" s="616"/>
      <c r="AE12" s="616"/>
      <c r="AF12" s="616"/>
      <c r="AG12" s="616"/>
      <c r="AH12" s="616"/>
      <c r="AI12" s="616"/>
      <c r="AJ12" s="616"/>
      <c r="AK12" s="616"/>
      <c r="AL12" s="616"/>
      <c r="AM12" s="616"/>
      <c r="AN12" s="616"/>
      <c r="AO12" s="616"/>
      <c r="AP12" s="616"/>
      <c r="AQ12" s="616"/>
      <c r="AR12" s="616"/>
      <c r="AS12" s="616"/>
      <c r="AT12" s="616"/>
      <c r="AU12" s="616"/>
      <c r="AV12" s="616"/>
      <c r="AW12" s="616"/>
      <c r="AX12" s="616"/>
      <c r="AY12" s="616"/>
      <c r="AZ12" s="616"/>
      <c r="BA12" s="616"/>
      <c r="BB12" s="616"/>
      <c r="BC12" s="642"/>
      <c r="BD12" s="642"/>
      <c r="BE12" s="642"/>
      <c r="BF12" s="642"/>
      <c r="BG12" s="642"/>
      <c r="BH12" s="642"/>
      <c r="BI12" s="642"/>
      <c r="BJ12" s="642"/>
      <c r="BK12" s="642"/>
      <c r="BL12" s="642"/>
      <c r="BM12" s="642"/>
      <c r="BN12" s="642"/>
    </row>
    <row r="13" spans="1:66" s="3" customFormat="1" ht="15.75" customHeight="1">
      <c r="A13" s="640" t="s">
        <v>48</v>
      </c>
      <c r="B13" s="640"/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16" t="s">
        <v>165</v>
      </c>
      <c r="P13" s="616"/>
      <c r="Q13" s="616"/>
      <c r="R13" s="616"/>
      <c r="S13" s="616"/>
      <c r="T13" s="616"/>
      <c r="U13" s="616"/>
      <c r="V13" s="616"/>
      <c r="W13" s="616"/>
      <c r="X13" s="616"/>
      <c r="Y13" s="616"/>
      <c r="Z13" s="616"/>
      <c r="AA13" s="616"/>
      <c r="AB13" s="616"/>
      <c r="AC13" s="616"/>
      <c r="AD13" s="616"/>
      <c r="AE13" s="616"/>
      <c r="AF13" s="616"/>
      <c r="AG13" s="616"/>
      <c r="AH13" s="616"/>
      <c r="AI13" s="616"/>
      <c r="AJ13" s="616"/>
      <c r="AK13" s="616"/>
      <c r="AL13" s="616"/>
      <c r="AM13" s="616"/>
      <c r="AN13" s="616"/>
      <c r="AO13" s="616"/>
      <c r="AP13" s="616"/>
      <c r="AQ13" s="616"/>
      <c r="AR13" s="616"/>
      <c r="AS13" s="616"/>
      <c r="AT13" s="616"/>
      <c r="AU13" s="616"/>
      <c r="AV13" s="616"/>
      <c r="AW13" s="616"/>
      <c r="AX13" s="616"/>
      <c r="AY13" s="616"/>
      <c r="AZ13" s="616"/>
      <c r="BA13" s="616"/>
      <c r="BB13" s="616"/>
      <c r="BC13" s="645" t="s">
        <v>365</v>
      </c>
      <c r="BD13" s="646"/>
      <c r="BE13" s="646"/>
      <c r="BF13" s="646"/>
      <c r="BG13" s="646"/>
      <c r="BH13" s="646"/>
      <c r="BI13" s="646"/>
      <c r="BJ13" s="646"/>
      <c r="BK13" s="646"/>
      <c r="BL13" s="646"/>
      <c r="BM13" s="646"/>
      <c r="BN13" s="646"/>
    </row>
    <row r="14" spans="1:66" s="3" customFormat="1" ht="15.75" customHeight="1">
      <c r="A14" s="640" t="s">
        <v>167</v>
      </c>
      <c r="B14" s="640"/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16" t="s">
        <v>169</v>
      </c>
      <c r="P14" s="616"/>
      <c r="Q14" s="616"/>
      <c r="R14" s="616"/>
      <c r="S14" s="616"/>
      <c r="T14" s="616"/>
      <c r="U14" s="616"/>
      <c r="V14" s="616"/>
      <c r="W14" s="616"/>
      <c r="X14" s="616"/>
      <c r="Y14" s="616"/>
      <c r="Z14" s="616"/>
      <c r="AA14" s="616"/>
      <c r="AB14" s="616"/>
      <c r="AC14" s="616"/>
      <c r="AD14" s="616"/>
      <c r="AE14" s="616"/>
      <c r="AF14" s="616"/>
      <c r="AG14" s="616"/>
      <c r="AH14" s="616"/>
      <c r="AI14" s="616"/>
      <c r="AJ14" s="616"/>
      <c r="AK14" s="616"/>
      <c r="AL14" s="616"/>
      <c r="AM14" s="616"/>
      <c r="AN14" s="616"/>
      <c r="AO14" s="616"/>
      <c r="AP14" s="616"/>
      <c r="AQ14" s="616"/>
      <c r="AR14" s="616"/>
      <c r="AS14" s="616"/>
      <c r="AT14" s="616"/>
      <c r="AU14" s="616"/>
      <c r="AV14" s="616"/>
      <c r="AW14" s="616"/>
      <c r="AX14" s="616"/>
      <c r="AY14" s="616"/>
      <c r="AZ14" s="616"/>
      <c r="BA14" s="616"/>
      <c r="BB14" s="616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</row>
    <row r="15" spans="1:66" s="3" customFormat="1" ht="15.75" customHeight="1">
      <c r="A15" s="640" t="s">
        <v>49</v>
      </c>
      <c r="B15" s="640"/>
      <c r="C15" s="640"/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16" t="s">
        <v>116</v>
      </c>
      <c r="P15" s="616"/>
      <c r="Q15" s="616"/>
      <c r="R15" s="616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616"/>
      <c r="AD15" s="616"/>
      <c r="AE15" s="616"/>
      <c r="AF15" s="616"/>
      <c r="AG15" s="616"/>
      <c r="AH15" s="616"/>
      <c r="AI15" s="616"/>
      <c r="AJ15" s="616"/>
      <c r="AK15" s="616"/>
      <c r="AL15" s="616"/>
      <c r="AM15" s="616"/>
      <c r="AN15" s="616"/>
      <c r="AO15" s="616"/>
      <c r="AP15" s="616"/>
      <c r="AQ15" s="616"/>
      <c r="AR15" s="616"/>
      <c r="AS15" s="616"/>
      <c r="AT15" s="616"/>
      <c r="AU15" s="616"/>
      <c r="AV15" s="616"/>
      <c r="AW15" s="616"/>
      <c r="AX15" s="616"/>
      <c r="AY15" s="616"/>
      <c r="AZ15" s="616"/>
      <c r="BA15" s="616"/>
      <c r="BB15" s="616"/>
      <c r="BC15" s="29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</row>
    <row r="16" spans="1:66" ht="15.75" customHeight="1">
      <c r="A16" s="640" t="s">
        <v>291</v>
      </c>
      <c r="B16" s="640"/>
      <c r="C16" s="640"/>
      <c r="D16" s="640"/>
      <c r="E16" s="640"/>
      <c r="F16" s="640"/>
      <c r="G16" s="640"/>
      <c r="H16" s="640"/>
      <c r="I16" s="640"/>
      <c r="J16" s="640"/>
      <c r="K16" s="640"/>
      <c r="L16" s="640"/>
      <c r="M16" s="640"/>
      <c r="N16" s="640"/>
      <c r="O16" s="626">
        <v>4</v>
      </c>
      <c r="P16" s="626"/>
      <c r="Q16" s="627" t="s">
        <v>292</v>
      </c>
      <c r="R16" s="627"/>
      <c r="S16" s="627"/>
      <c r="T16" s="626">
        <v>10</v>
      </c>
      <c r="U16" s="626"/>
      <c r="V16" s="628" t="s">
        <v>293</v>
      </c>
      <c r="W16" s="628"/>
      <c r="X16" s="628"/>
      <c r="Y16" s="628"/>
      <c r="Z16" s="628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27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</row>
    <row r="17" spans="1:66" ht="15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596" t="s">
        <v>50</v>
      </c>
      <c r="P17" s="596"/>
      <c r="Q17" s="596"/>
      <c r="R17" s="596"/>
      <c r="S17" s="596"/>
      <c r="T17" s="596"/>
      <c r="U17" s="596"/>
      <c r="V17" s="596"/>
      <c r="W17" s="596"/>
      <c r="X17" s="596"/>
      <c r="Y17" s="596"/>
      <c r="Z17" s="596"/>
      <c r="AA17" s="596"/>
      <c r="AB17" s="596"/>
      <c r="AC17" s="596"/>
      <c r="AD17" s="596"/>
      <c r="AE17" s="596"/>
      <c r="AF17" s="596"/>
      <c r="AG17" s="596"/>
      <c r="AH17" s="596"/>
      <c r="AI17" s="596"/>
      <c r="AJ17" s="596"/>
      <c r="AK17" s="596"/>
      <c r="AL17" s="596"/>
      <c r="AM17" s="596"/>
      <c r="AN17" s="596"/>
      <c r="AO17" s="596"/>
      <c r="AP17" s="596"/>
      <c r="AQ17" s="596"/>
      <c r="AR17" s="596"/>
      <c r="AS17" s="596"/>
      <c r="AT17" s="596"/>
      <c r="AU17" s="596"/>
      <c r="AV17" s="596"/>
      <c r="AW17" s="596"/>
      <c r="AX17" s="596"/>
      <c r="AY17" s="596"/>
      <c r="AZ17" s="596"/>
      <c r="BA17" s="596"/>
      <c r="BB17" s="596"/>
      <c r="BC17" s="34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</row>
    <row r="18" spans="1:66" ht="9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</row>
    <row r="19" spans="1:66" ht="12.75" customHeight="1">
      <c r="A19" s="647" t="s">
        <v>10</v>
      </c>
      <c r="B19" s="606" t="s">
        <v>11</v>
      </c>
      <c r="C19" s="607"/>
      <c r="D19" s="607"/>
      <c r="E19" s="608"/>
      <c r="F19" s="614" t="s">
        <v>64</v>
      </c>
      <c r="G19" s="606" t="s">
        <v>25</v>
      </c>
      <c r="H19" s="607"/>
      <c r="I19" s="608"/>
      <c r="J19" s="614" t="s">
        <v>138</v>
      </c>
      <c r="K19" s="606" t="s">
        <v>12</v>
      </c>
      <c r="L19" s="607"/>
      <c r="M19" s="607"/>
      <c r="N19" s="608"/>
      <c r="O19" s="606" t="s">
        <v>13</v>
      </c>
      <c r="P19" s="607"/>
      <c r="Q19" s="607"/>
      <c r="R19" s="608"/>
      <c r="S19" s="614" t="s">
        <v>137</v>
      </c>
      <c r="T19" s="606" t="s">
        <v>14</v>
      </c>
      <c r="U19" s="607"/>
      <c r="V19" s="608"/>
      <c r="W19" s="614" t="s">
        <v>63</v>
      </c>
      <c r="X19" s="606" t="s">
        <v>15</v>
      </c>
      <c r="Y19" s="607"/>
      <c r="Z19" s="608"/>
      <c r="AA19" s="614" t="s">
        <v>133</v>
      </c>
      <c r="AB19" s="606" t="s">
        <v>16</v>
      </c>
      <c r="AC19" s="607"/>
      <c r="AD19" s="607"/>
      <c r="AE19" s="608"/>
      <c r="AF19" s="614" t="s">
        <v>62</v>
      </c>
      <c r="AG19" s="606" t="s">
        <v>17</v>
      </c>
      <c r="AH19" s="607"/>
      <c r="AI19" s="608"/>
      <c r="AJ19" s="614" t="s">
        <v>61</v>
      </c>
      <c r="AK19" s="606" t="s">
        <v>18</v>
      </c>
      <c r="AL19" s="607"/>
      <c r="AM19" s="607"/>
      <c r="AN19" s="608"/>
      <c r="AO19" s="606" t="s">
        <v>19</v>
      </c>
      <c r="AP19" s="607"/>
      <c r="AQ19" s="607"/>
      <c r="AR19" s="608"/>
      <c r="AS19" s="614" t="s">
        <v>136</v>
      </c>
      <c r="AT19" s="606" t="s">
        <v>20</v>
      </c>
      <c r="AU19" s="607"/>
      <c r="AV19" s="608"/>
      <c r="AW19" s="614" t="s">
        <v>132</v>
      </c>
      <c r="AX19" s="606" t="s">
        <v>21</v>
      </c>
      <c r="AY19" s="607"/>
      <c r="AZ19" s="607"/>
      <c r="BA19" s="608"/>
      <c r="BB19" s="629" t="s">
        <v>57</v>
      </c>
      <c r="BC19" s="630"/>
      <c r="BD19" s="630"/>
      <c r="BE19" s="630"/>
      <c r="BF19" s="630"/>
      <c r="BG19" s="630"/>
      <c r="BH19" s="630"/>
      <c r="BI19" s="630"/>
      <c r="BJ19" s="630"/>
      <c r="BK19" s="630"/>
      <c r="BL19" s="630"/>
      <c r="BM19" s="630"/>
      <c r="BN19" s="631"/>
    </row>
    <row r="20" spans="1:66" ht="15.75" customHeight="1">
      <c r="A20" s="648"/>
      <c r="B20" s="609"/>
      <c r="C20" s="610"/>
      <c r="D20" s="610"/>
      <c r="E20" s="611"/>
      <c r="F20" s="615"/>
      <c r="G20" s="609"/>
      <c r="H20" s="610"/>
      <c r="I20" s="611"/>
      <c r="J20" s="615"/>
      <c r="K20" s="609"/>
      <c r="L20" s="610"/>
      <c r="M20" s="610"/>
      <c r="N20" s="611"/>
      <c r="O20" s="609"/>
      <c r="P20" s="610"/>
      <c r="Q20" s="610"/>
      <c r="R20" s="611"/>
      <c r="S20" s="615"/>
      <c r="T20" s="609"/>
      <c r="U20" s="610"/>
      <c r="V20" s="611"/>
      <c r="W20" s="615"/>
      <c r="X20" s="609"/>
      <c r="Y20" s="610"/>
      <c r="Z20" s="611"/>
      <c r="AA20" s="615"/>
      <c r="AB20" s="609"/>
      <c r="AC20" s="610"/>
      <c r="AD20" s="610"/>
      <c r="AE20" s="611"/>
      <c r="AF20" s="615"/>
      <c r="AG20" s="609"/>
      <c r="AH20" s="610"/>
      <c r="AI20" s="611"/>
      <c r="AJ20" s="615"/>
      <c r="AK20" s="609"/>
      <c r="AL20" s="610"/>
      <c r="AM20" s="610"/>
      <c r="AN20" s="611"/>
      <c r="AO20" s="609"/>
      <c r="AP20" s="610"/>
      <c r="AQ20" s="610"/>
      <c r="AR20" s="611"/>
      <c r="AS20" s="615"/>
      <c r="AT20" s="609"/>
      <c r="AU20" s="610"/>
      <c r="AV20" s="611"/>
      <c r="AW20" s="615"/>
      <c r="AX20" s="609"/>
      <c r="AY20" s="610"/>
      <c r="AZ20" s="610"/>
      <c r="BA20" s="611"/>
      <c r="BB20" s="597" t="s">
        <v>8</v>
      </c>
      <c r="BC20" s="598"/>
      <c r="BD20" s="599"/>
      <c r="BE20" s="597" t="s">
        <v>315</v>
      </c>
      <c r="BF20" s="598"/>
      <c r="BG20" s="599"/>
      <c r="BH20" s="618" t="s">
        <v>6</v>
      </c>
      <c r="BI20" s="618" t="s">
        <v>146</v>
      </c>
      <c r="BJ20" s="618" t="s">
        <v>45</v>
      </c>
      <c r="BK20" s="618" t="s">
        <v>58</v>
      </c>
      <c r="BL20" s="618" t="s">
        <v>374</v>
      </c>
      <c r="BM20" s="618" t="s">
        <v>46</v>
      </c>
      <c r="BN20" s="618" t="s">
        <v>1</v>
      </c>
    </row>
    <row r="21" spans="1:66" ht="15.75" customHeight="1">
      <c r="A21" s="648"/>
      <c r="B21" s="7">
        <v>1</v>
      </c>
      <c r="C21" s="7">
        <v>8</v>
      </c>
      <c r="D21" s="7">
        <v>15</v>
      </c>
      <c r="E21" s="7">
        <v>22</v>
      </c>
      <c r="F21" s="612" t="s">
        <v>125</v>
      </c>
      <c r="G21" s="7">
        <v>6</v>
      </c>
      <c r="H21" s="7">
        <v>13</v>
      </c>
      <c r="I21" s="7">
        <v>20</v>
      </c>
      <c r="J21" s="612" t="s">
        <v>126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612" t="s">
        <v>127</v>
      </c>
      <c r="T21" s="7">
        <v>5</v>
      </c>
      <c r="U21" s="7">
        <v>12</v>
      </c>
      <c r="V21" s="7">
        <v>19</v>
      </c>
      <c r="W21" s="612" t="s">
        <v>128</v>
      </c>
      <c r="X21" s="7">
        <v>2</v>
      </c>
      <c r="Y21" s="7">
        <v>9</v>
      </c>
      <c r="Z21" s="7">
        <v>16</v>
      </c>
      <c r="AA21" s="612" t="s">
        <v>134</v>
      </c>
      <c r="AB21" s="7">
        <v>2</v>
      </c>
      <c r="AC21" s="7">
        <v>9</v>
      </c>
      <c r="AD21" s="7">
        <v>16</v>
      </c>
      <c r="AE21" s="7">
        <v>23</v>
      </c>
      <c r="AF21" s="612" t="s">
        <v>130</v>
      </c>
      <c r="AG21" s="7">
        <v>6</v>
      </c>
      <c r="AH21" s="7">
        <v>13</v>
      </c>
      <c r="AI21" s="7">
        <v>20</v>
      </c>
      <c r="AJ21" s="612" t="s">
        <v>131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612" t="s">
        <v>135</v>
      </c>
      <c r="AT21" s="7">
        <v>6</v>
      </c>
      <c r="AU21" s="7">
        <v>13</v>
      </c>
      <c r="AV21" s="7">
        <v>20</v>
      </c>
      <c r="AW21" s="612" t="s">
        <v>129</v>
      </c>
      <c r="AX21" s="7">
        <v>2</v>
      </c>
      <c r="AY21" s="7">
        <v>9</v>
      </c>
      <c r="AZ21" s="7">
        <v>16</v>
      </c>
      <c r="BA21" s="7">
        <v>23</v>
      </c>
      <c r="BB21" s="600"/>
      <c r="BC21" s="601"/>
      <c r="BD21" s="602"/>
      <c r="BE21" s="600"/>
      <c r="BF21" s="601"/>
      <c r="BG21" s="602"/>
      <c r="BH21" s="619"/>
      <c r="BI21" s="619"/>
      <c r="BJ21" s="619"/>
      <c r="BK21" s="619"/>
      <c r="BL21" s="619"/>
      <c r="BM21" s="619"/>
      <c r="BN21" s="619"/>
    </row>
    <row r="22" spans="1:66" ht="18" customHeight="1">
      <c r="A22" s="648"/>
      <c r="B22" s="4">
        <v>7</v>
      </c>
      <c r="C22" s="4">
        <v>14</v>
      </c>
      <c r="D22" s="4">
        <v>21</v>
      </c>
      <c r="E22" s="4">
        <v>28</v>
      </c>
      <c r="F22" s="613"/>
      <c r="G22" s="4">
        <v>12</v>
      </c>
      <c r="H22" s="4">
        <v>19</v>
      </c>
      <c r="I22" s="4">
        <v>26</v>
      </c>
      <c r="J22" s="613"/>
      <c r="K22" s="4">
        <v>9</v>
      </c>
      <c r="L22" s="4">
        <v>16</v>
      </c>
      <c r="M22" s="4">
        <v>23</v>
      </c>
      <c r="N22" s="4">
        <v>30</v>
      </c>
      <c r="O22" s="4">
        <v>7</v>
      </c>
      <c r="P22" s="4">
        <v>14</v>
      </c>
      <c r="Q22" s="4">
        <v>21</v>
      </c>
      <c r="R22" s="4">
        <v>28</v>
      </c>
      <c r="S22" s="613"/>
      <c r="T22" s="4">
        <v>11</v>
      </c>
      <c r="U22" s="4">
        <v>18</v>
      </c>
      <c r="V22" s="4">
        <v>25</v>
      </c>
      <c r="W22" s="613"/>
      <c r="X22" s="4">
        <v>8</v>
      </c>
      <c r="Y22" s="4">
        <v>15</v>
      </c>
      <c r="Z22" s="4">
        <v>22</v>
      </c>
      <c r="AA22" s="613"/>
      <c r="AB22" s="4">
        <v>8</v>
      </c>
      <c r="AC22" s="4">
        <v>15</v>
      </c>
      <c r="AD22" s="4">
        <v>22</v>
      </c>
      <c r="AE22" s="4">
        <v>29</v>
      </c>
      <c r="AF22" s="613"/>
      <c r="AG22" s="4">
        <v>12</v>
      </c>
      <c r="AH22" s="4">
        <v>19</v>
      </c>
      <c r="AI22" s="4">
        <v>26</v>
      </c>
      <c r="AJ22" s="613"/>
      <c r="AK22" s="4">
        <v>10</v>
      </c>
      <c r="AL22" s="4">
        <v>17</v>
      </c>
      <c r="AM22" s="4">
        <v>24</v>
      </c>
      <c r="AN22" s="4">
        <v>31</v>
      </c>
      <c r="AO22" s="4">
        <v>7</v>
      </c>
      <c r="AP22" s="4">
        <v>14</v>
      </c>
      <c r="AQ22" s="4">
        <v>21</v>
      </c>
      <c r="AR22" s="4">
        <v>28</v>
      </c>
      <c r="AS22" s="613"/>
      <c r="AT22" s="4">
        <v>12</v>
      </c>
      <c r="AU22" s="4">
        <v>19</v>
      </c>
      <c r="AV22" s="4">
        <v>26</v>
      </c>
      <c r="AW22" s="613"/>
      <c r="AX22" s="4">
        <v>8</v>
      </c>
      <c r="AY22" s="4">
        <v>15</v>
      </c>
      <c r="AZ22" s="4">
        <v>22</v>
      </c>
      <c r="BA22" s="4">
        <v>31</v>
      </c>
      <c r="BB22" s="603"/>
      <c r="BC22" s="604"/>
      <c r="BD22" s="605"/>
      <c r="BE22" s="603"/>
      <c r="BF22" s="604"/>
      <c r="BG22" s="605"/>
      <c r="BH22" s="619"/>
      <c r="BI22" s="619"/>
      <c r="BJ22" s="619"/>
      <c r="BK22" s="619"/>
      <c r="BL22" s="619"/>
      <c r="BM22" s="619"/>
      <c r="BN22" s="619"/>
    </row>
    <row r="23" spans="1:66" ht="15.75" customHeight="1">
      <c r="A23" s="649"/>
      <c r="B23" s="82">
        <v>1</v>
      </c>
      <c r="C23" s="82">
        <v>2</v>
      </c>
      <c r="D23" s="82">
        <v>3</v>
      </c>
      <c r="E23" s="82">
        <v>4</v>
      </c>
      <c r="F23" s="82">
        <v>5</v>
      </c>
      <c r="G23" s="82">
        <v>6</v>
      </c>
      <c r="H23" s="82">
        <v>7</v>
      </c>
      <c r="I23" s="82">
        <v>8</v>
      </c>
      <c r="J23" s="82">
        <v>9</v>
      </c>
      <c r="K23" s="82">
        <v>10</v>
      </c>
      <c r="L23" s="82">
        <v>11</v>
      </c>
      <c r="M23" s="82">
        <v>12</v>
      </c>
      <c r="N23" s="82">
        <v>13</v>
      </c>
      <c r="O23" s="82">
        <v>14</v>
      </c>
      <c r="P23" s="82">
        <v>15</v>
      </c>
      <c r="Q23" s="82">
        <v>16</v>
      </c>
      <c r="R23" s="82">
        <v>17</v>
      </c>
      <c r="S23" s="82">
        <v>18</v>
      </c>
      <c r="T23" s="82">
        <v>19</v>
      </c>
      <c r="U23" s="82">
        <v>20</v>
      </c>
      <c r="V23" s="82">
        <v>21</v>
      </c>
      <c r="W23" s="82">
        <v>22</v>
      </c>
      <c r="X23" s="82">
        <v>23</v>
      </c>
      <c r="Y23" s="82">
        <v>24</v>
      </c>
      <c r="Z23" s="82">
        <v>25</v>
      </c>
      <c r="AA23" s="82">
        <v>26</v>
      </c>
      <c r="AB23" s="82">
        <v>27</v>
      </c>
      <c r="AC23" s="82">
        <v>28</v>
      </c>
      <c r="AD23" s="82">
        <v>29</v>
      </c>
      <c r="AE23" s="82">
        <v>30</v>
      </c>
      <c r="AF23" s="82">
        <v>31</v>
      </c>
      <c r="AG23" s="82">
        <v>32</v>
      </c>
      <c r="AH23" s="82">
        <v>33</v>
      </c>
      <c r="AI23" s="82">
        <v>34</v>
      </c>
      <c r="AJ23" s="82">
        <v>35</v>
      </c>
      <c r="AK23" s="82">
        <v>36</v>
      </c>
      <c r="AL23" s="82">
        <v>37</v>
      </c>
      <c r="AM23" s="82">
        <v>38</v>
      </c>
      <c r="AN23" s="82">
        <v>39</v>
      </c>
      <c r="AO23" s="82">
        <v>40</v>
      </c>
      <c r="AP23" s="82">
        <v>41</v>
      </c>
      <c r="AQ23" s="82">
        <v>42</v>
      </c>
      <c r="AR23" s="82">
        <v>43</v>
      </c>
      <c r="AS23" s="82">
        <v>44</v>
      </c>
      <c r="AT23" s="82">
        <v>45</v>
      </c>
      <c r="AU23" s="82">
        <v>46</v>
      </c>
      <c r="AV23" s="82">
        <v>47</v>
      </c>
      <c r="AW23" s="82">
        <v>48</v>
      </c>
      <c r="AX23" s="82">
        <v>49</v>
      </c>
      <c r="AY23" s="82">
        <v>50</v>
      </c>
      <c r="AZ23" s="82">
        <v>51</v>
      </c>
      <c r="BA23" s="82">
        <v>52</v>
      </c>
      <c r="BB23" s="9" t="s">
        <v>77</v>
      </c>
      <c r="BC23" s="9" t="s">
        <v>33</v>
      </c>
      <c r="BD23" s="10" t="s">
        <v>60</v>
      </c>
      <c r="BE23" s="9" t="s">
        <v>77</v>
      </c>
      <c r="BF23" s="9" t="s">
        <v>33</v>
      </c>
      <c r="BG23" s="10" t="s">
        <v>60</v>
      </c>
      <c r="BH23" s="620"/>
      <c r="BI23" s="620"/>
      <c r="BJ23" s="620"/>
      <c r="BK23" s="620"/>
      <c r="BL23" s="620"/>
      <c r="BM23" s="620"/>
      <c r="BN23" s="620"/>
    </row>
    <row r="24" spans="1:66" ht="15.75" customHeight="1">
      <c r="A24" s="8">
        <v>1</v>
      </c>
      <c r="B24" s="35" t="s">
        <v>77</v>
      </c>
      <c r="C24" s="35" t="s">
        <v>77</v>
      </c>
      <c r="D24" s="35" t="s">
        <v>77</v>
      </c>
      <c r="E24" s="35" t="s">
        <v>77</v>
      </c>
      <c r="F24" s="35" t="s">
        <v>77</v>
      </c>
      <c r="G24" s="35" t="s">
        <v>77</v>
      </c>
      <c r="H24" s="35" t="s">
        <v>77</v>
      </c>
      <c r="I24" s="35" t="s">
        <v>77</v>
      </c>
      <c r="J24" s="35" t="s">
        <v>77</v>
      </c>
      <c r="K24" s="35" t="s">
        <v>77</v>
      </c>
      <c r="L24" s="35" t="s">
        <v>77</v>
      </c>
      <c r="M24" s="35" t="s">
        <v>77</v>
      </c>
      <c r="N24" s="35" t="s">
        <v>77</v>
      </c>
      <c r="O24" s="35" t="s">
        <v>77</v>
      </c>
      <c r="P24" s="35" t="s">
        <v>77</v>
      </c>
      <c r="Q24" s="35" t="s">
        <v>77</v>
      </c>
      <c r="R24" s="35" t="s">
        <v>77</v>
      </c>
      <c r="S24" s="35" t="s">
        <v>28</v>
      </c>
      <c r="T24" s="35" t="s">
        <v>28</v>
      </c>
      <c r="U24" s="35" t="s">
        <v>33</v>
      </c>
      <c r="V24" s="35" t="s">
        <v>33</v>
      </c>
      <c r="W24" s="35" t="s">
        <v>33</v>
      </c>
      <c r="X24" s="35" t="s">
        <v>33</v>
      </c>
      <c r="Y24" s="35" t="s">
        <v>33</v>
      </c>
      <c r="Z24" s="35" t="s">
        <v>33</v>
      </c>
      <c r="AA24" s="35" t="s">
        <v>33</v>
      </c>
      <c r="AB24" s="35" t="s">
        <v>33</v>
      </c>
      <c r="AC24" s="35" t="s">
        <v>33</v>
      </c>
      <c r="AD24" s="35" t="s">
        <v>33</v>
      </c>
      <c r="AE24" s="35" t="s">
        <v>33</v>
      </c>
      <c r="AF24" s="35" t="s">
        <v>33</v>
      </c>
      <c r="AG24" s="35" t="s">
        <v>33</v>
      </c>
      <c r="AH24" s="35" t="s">
        <v>33</v>
      </c>
      <c r="AI24" s="35" t="s">
        <v>33</v>
      </c>
      <c r="AJ24" s="35" t="s">
        <v>33</v>
      </c>
      <c r="AK24" s="35" t="s">
        <v>33</v>
      </c>
      <c r="AL24" s="35" t="s">
        <v>33</v>
      </c>
      <c r="AM24" s="35" t="s">
        <v>33</v>
      </c>
      <c r="AN24" s="35" t="s">
        <v>33</v>
      </c>
      <c r="AO24" s="35" t="s">
        <v>33</v>
      </c>
      <c r="AP24" s="35" t="s">
        <v>33</v>
      </c>
      <c r="AQ24" s="35" t="s">
        <v>228</v>
      </c>
      <c r="AR24" s="35" t="s">
        <v>228</v>
      </c>
      <c r="AS24" s="35" t="s">
        <v>28</v>
      </c>
      <c r="AT24" s="35" t="s">
        <v>28</v>
      </c>
      <c r="AU24" s="35" t="s">
        <v>28</v>
      </c>
      <c r="AV24" s="35" t="s">
        <v>28</v>
      </c>
      <c r="AW24" s="35" t="s">
        <v>28</v>
      </c>
      <c r="AX24" s="35" t="s">
        <v>28</v>
      </c>
      <c r="AY24" s="35" t="s">
        <v>28</v>
      </c>
      <c r="AZ24" s="35" t="s">
        <v>28</v>
      </c>
      <c r="BA24" s="35" t="s">
        <v>28</v>
      </c>
      <c r="BB24" s="22">
        <f>COUNTIF(B24:BA24,"о")</f>
        <v>17</v>
      </c>
      <c r="BC24" s="22">
        <f>COUNTIF(B24:BA24,"в")</f>
        <v>22</v>
      </c>
      <c r="BD24" s="23">
        <f>SUM(BB24:BC24)</f>
        <v>39</v>
      </c>
      <c r="BE24" s="22">
        <f>COUNTIF(B24:BA24,$R$31)</f>
        <v>0</v>
      </c>
      <c r="BF24" s="22">
        <f>COUNTIF(B24:BA24,$R$33)</f>
        <v>2</v>
      </c>
      <c r="BG24" s="23">
        <f>SUM(BE24:BF24)</f>
        <v>2</v>
      </c>
      <c r="BH24" s="23">
        <f>COUNTIF(B24:BA24,$AF$31)</f>
        <v>0</v>
      </c>
      <c r="BI24" s="23">
        <f>COUNTIF(B24:BA24,$AF$33)</f>
        <v>0</v>
      </c>
      <c r="BJ24" s="23">
        <f>COUNTIF(B24:BA24,$AQ$31)</f>
        <v>0</v>
      </c>
      <c r="BK24" s="23">
        <f>COUNTIF(B24:BA24,$AZ$31)</f>
        <v>0</v>
      </c>
      <c r="BL24" s="23">
        <f>COUNTIF(B24:BA24,$AQ$33)</f>
        <v>0</v>
      </c>
      <c r="BM24" s="23">
        <f>COUNTIF(B24:BA24,$AZ$33)</f>
        <v>11</v>
      </c>
      <c r="BN24" s="23">
        <f>SUM(BG24:BM24)+BD24</f>
        <v>52</v>
      </c>
    </row>
    <row r="25" spans="1:66" ht="15.75" customHeight="1">
      <c r="A25" s="8">
        <v>2</v>
      </c>
      <c r="B25" s="35" t="s">
        <v>77</v>
      </c>
      <c r="C25" s="35" t="s">
        <v>77</v>
      </c>
      <c r="D25" s="35" t="s">
        <v>77</v>
      </c>
      <c r="E25" s="35" t="s">
        <v>77</v>
      </c>
      <c r="F25" s="35" t="s">
        <v>77</v>
      </c>
      <c r="G25" s="35" t="s">
        <v>77</v>
      </c>
      <c r="H25" s="35" t="s">
        <v>77</v>
      </c>
      <c r="I25" s="35" t="s">
        <v>77</v>
      </c>
      <c r="J25" s="35" t="s">
        <v>77</v>
      </c>
      <c r="K25" s="35" t="s">
        <v>77</v>
      </c>
      <c r="L25" s="35" t="s">
        <v>77</v>
      </c>
      <c r="M25" s="35" t="s">
        <v>77</v>
      </c>
      <c r="N25" s="35" t="s">
        <v>77</v>
      </c>
      <c r="O25" s="35" t="s">
        <v>77</v>
      </c>
      <c r="P25" s="35" t="s">
        <v>77</v>
      </c>
      <c r="Q25" s="35" t="s">
        <v>77</v>
      </c>
      <c r="R25" s="15" t="s">
        <v>227</v>
      </c>
      <c r="S25" s="35" t="s">
        <v>28</v>
      </c>
      <c r="T25" s="35" t="s">
        <v>28</v>
      </c>
      <c r="U25" s="35" t="s">
        <v>33</v>
      </c>
      <c r="V25" s="35" t="s">
        <v>33</v>
      </c>
      <c r="W25" s="35" t="s">
        <v>33</v>
      </c>
      <c r="X25" s="35" t="s">
        <v>33</v>
      </c>
      <c r="Y25" s="35" t="s">
        <v>33</v>
      </c>
      <c r="Z25" s="35" t="s">
        <v>33</v>
      </c>
      <c r="AA25" s="35" t="s">
        <v>33</v>
      </c>
      <c r="AB25" s="35" t="s">
        <v>33</v>
      </c>
      <c r="AC25" s="35" t="s">
        <v>33</v>
      </c>
      <c r="AD25" s="35" t="s">
        <v>33</v>
      </c>
      <c r="AE25" s="35" t="s">
        <v>33</v>
      </c>
      <c r="AF25" s="35" t="s">
        <v>33</v>
      </c>
      <c r="AG25" s="35" t="s">
        <v>33</v>
      </c>
      <c r="AH25" s="35" t="s">
        <v>33</v>
      </c>
      <c r="AI25" s="35" t="s">
        <v>33</v>
      </c>
      <c r="AJ25" s="35" t="s">
        <v>33</v>
      </c>
      <c r="AK25" s="35" t="s">
        <v>33</v>
      </c>
      <c r="AL25" s="35" t="s">
        <v>228</v>
      </c>
      <c r="AM25" s="35" t="s">
        <v>52</v>
      </c>
      <c r="AN25" s="35" t="s">
        <v>52</v>
      </c>
      <c r="AO25" s="35" t="s">
        <v>52</v>
      </c>
      <c r="AP25" s="35" t="s">
        <v>52</v>
      </c>
      <c r="AQ25" s="35" t="s">
        <v>52</v>
      </c>
      <c r="AR25" s="35" t="s">
        <v>52</v>
      </c>
      <c r="AS25" s="35" t="s">
        <v>52</v>
      </c>
      <c r="AT25" s="35" t="s">
        <v>52</v>
      </c>
      <c r="AU25" s="35" t="s">
        <v>52</v>
      </c>
      <c r="AV25" s="35" t="s">
        <v>28</v>
      </c>
      <c r="AW25" s="35" t="s">
        <v>28</v>
      </c>
      <c r="AX25" s="35" t="s">
        <v>28</v>
      </c>
      <c r="AY25" s="35" t="s">
        <v>28</v>
      </c>
      <c r="AZ25" s="35" t="s">
        <v>28</v>
      </c>
      <c r="BA25" s="35" t="s">
        <v>28</v>
      </c>
      <c r="BB25" s="22">
        <f>COUNTIF(B25:BA25,"о")</f>
        <v>16</v>
      </c>
      <c r="BC25" s="22">
        <f>COUNTIF(B25:BA25,"в")</f>
        <v>17</v>
      </c>
      <c r="BD25" s="23">
        <f>SUM(BB25:BC25)</f>
        <v>33</v>
      </c>
      <c r="BE25" s="22">
        <f>COUNTIF(B25:BA25,$R$31)</f>
        <v>1</v>
      </c>
      <c r="BF25" s="22">
        <f>COUNTIF(B25:BA25,$R$33)</f>
        <v>1</v>
      </c>
      <c r="BG25" s="23">
        <f>SUM(BE25:BF25)</f>
        <v>2</v>
      </c>
      <c r="BH25" s="23">
        <f>COUNTIF(B25:BA25,$AF$31)</f>
        <v>9</v>
      </c>
      <c r="BI25" s="23">
        <f>COUNTIF(B25:BA25,$AF$33)</f>
        <v>0</v>
      </c>
      <c r="BJ25" s="23">
        <f>COUNTIF(B25:BA25,$AQ$31)</f>
        <v>0</v>
      </c>
      <c r="BK25" s="23">
        <f>COUNTIF(B25:BA25,$AZ$31)</f>
        <v>0</v>
      </c>
      <c r="BL25" s="23">
        <f>COUNTIF(B25:BA25,$AQ$33)</f>
        <v>0</v>
      </c>
      <c r="BM25" s="23">
        <f>COUNTIF(B25:BA25,$AZ$33)</f>
        <v>8</v>
      </c>
      <c r="BN25" s="23">
        <f>SUM(BG25:BM25)+BD25</f>
        <v>52</v>
      </c>
    </row>
    <row r="26" spans="1:66" ht="15.75" customHeight="1">
      <c r="A26" s="8">
        <v>3</v>
      </c>
      <c r="B26" s="35" t="s">
        <v>77</v>
      </c>
      <c r="C26" s="35" t="s">
        <v>77</v>
      </c>
      <c r="D26" s="35" t="s">
        <v>77</v>
      </c>
      <c r="E26" s="35" t="s">
        <v>77</v>
      </c>
      <c r="F26" s="35" t="s">
        <v>77</v>
      </c>
      <c r="G26" s="35" t="s">
        <v>77</v>
      </c>
      <c r="H26" s="35" t="s">
        <v>77</v>
      </c>
      <c r="I26" s="35" t="s">
        <v>77</v>
      </c>
      <c r="J26" s="35" t="s">
        <v>77</v>
      </c>
      <c r="K26" s="35" t="s">
        <v>77</v>
      </c>
      <c r="L26" s="35" t="s">
        <v>77</v>
      </c>
      <c r="M26" s="35" t="s">
        <v>77</v>
      </c>
      <c r="N26" s="35" t="s">
        <v>77</v>
      </c>
      <c r="O26" s="35" t="s">
        <v>77</v>
      </c>
      <c r="P26" s="35" t="s">
        <v>77</v>
      </c>
      <c r="Q26" s="35" t="s">
        <v>77</v>
      </c>
      <c r="R26" s="15" t="s">
        <v>227</v>
      </c>
      <c r="S26" s="35" t="s">
        <v>28</v>
      </c>
      <c r="T26" s="35" t="s">
        <v>28</v>
      </c>
      <c r="U26" s="35" t="s">
        <v>33</v>
      </c>
      <c r="V26" s="35" t="s">
        <v>33</v>
      </c>
      <c r="W26" s="35" t="s">
        <v>33</v>
      </c>
      <c r="X26" s="35" t="s">
        <v>33</v>
      </c>
      <c r="Y26" s="35" t="s">
        <v>33</v>
      </c>
      <c r="Z26" s="35" t="s">
        <v>33</v>
      </c>
      <c r="AA26" s="35" t="s">
        <v>33</v>
      </c>
      <c r="AB26" s="35" t="s">
        <v>33</v>
      </c>
      <c r="AC26" s="35" t="s">
        <v>33</v>
      </c>
      <c r="AD26" s="35" t="s">
        <v>33</v>
      </c>
      <c r="AE26" s="35" t="s">
        <v>33</v>
      </c>
      <c r="AF26" s="35" t="s">
        <v>228</v>
      </c>
      <c r="AG26" s="35" t="s">
        <v>28</v>
      </c>
      <c r="AH26" s="35" t="s">
        <v>28</v>
      </c>
      <c r="AI26" s="35" t="s">
        <v>28</v>
      </c>
      <c r="AJ26" s="35" t="s">
        <v>28</v>
      </c>
      <c r="AK26" s="35" t="s">
        <v>28</v>
      </c>
      <c r="AL26" s="35" t="s">
        <v>28</v>
      </c>
      <c r="AM26" s="35" t="s">
        <v>53</v>
      </c>
      <c r="AN26" s="35" t="s">
        <v>53</v>
      </c>
      <c r="AO26" s="35" t="s">
        <v>53</v>
      </c>
      <c r="AP26" s="35" t="s">
        <v>53</v>
      </c>
      <c r="AQ26" s="35" t="s">
        <v>53</v>
      </c>
      <c r="AR26" s="35" t="s">
        <v>53</v>
      </c>
      <c r="AS26" s="35" t="s">
        <v>53</v>
      </c>
      <c r="AT26" s="35" t="s">
        <v>53</v>
      </c>
      <c r="AU26" s="35" t="s">
        <v>53</v>
      </c>
      <c r="AV26" s="35" t="s">
        <v>53</v>
      </c>
      <c r="AW26" s="35" t="s">
        <v>53</v>
      </c>
      <c r="AX26" s="35" t="s">
        <v>53</v>
      </c>
      <c r="AY26" s="35" t="s">
        <v>53</v>
      </c>
      <c r="AZ26" s="35" t="s">
        <v>53</v>
      </c>
      <c r="BA26" s="35" t="s">
        <v>53</v>
      </c>
      <c r="BB26" s="22">
        <f>COUNTIF(B26:BA26,"о")</f>
        <v>16</v>
      </c>
      <c r="BC26" s="22">
        <f>COUNTIF(B26:BA26,"в")</f>
        <v>11</v>
      </c>
      <c r="BD26" s="23">
        <f>SUM(BB26:BC26)</f>
        <v>27</v>
      </c>
      <c r="BE26" s="22">
        <f>COUNTIF(B26:BA26,$R$31)</f>
        <v>1</v>
      </c>
      <c r="BF26" s="22">
        <f>COUNTIF(B26:BA26,$R$33)</f>
        <v>1</v>
      </c>
      <c r="BG26" s="23">
        <f>SUM(BE26:BF26)</f>
        <v>2</v>
      </c>
      <c r="BH26" s="23">
        <f>COUNTIF(B26:BA26,$AF$31)</f>
        <v>0</v>
      </c>
      <c r="BI26" s="23">
        <f>COUNTIF(B26:BA26,$AF$33)</f>
        <v>15</v>
      </c>
      <c r="BJ26" s="23">
        <f>COUNTIF(B26:BA26,$AQ$31)</f>
        <v>0</v>
      </c>
      <c r="BK26" s="23">
        <f>COUNTIF(B26:BA26,$AZ$31)</f>
        <v>0</v>
      </c>
      <c r="BL26" s="23">
        <f>COUNTIF(B26:BA26,$AQ$33)</f>
        <v>0</v>
      </c>
      <c r="BM26" s="23">
        <f>COUNTIF(B26:BA26,$AZ$33)</f>
        <v>8</v>
      </c>
      <c r="BN26" s="23">
        <f>SUM(BG26:BM26)+BD26</f>
        <v>52</v>
      </c>
    </row>
    <row r="27" spans="1:66" ht="15.75" customHeight="1">
      <c r="A27" s="8">
        <v>4</v>
      </c>
      <c r="B27" s="35" t="s">
        <v>53</v>
      </c>
      <c r="C27" s="35" t="s">
        <v>53</v>
      </c>
      <c r="D27" s="35" t="s">
        <v>53</v>
      </c>
      <c r="E27" s="35" t="s">
        <v>53</v>
      </c>
      <c r="F27" s="35" t="s">
        <v>53</v>
      </c>
      <c r="G27" s="35" t="s">
        <v>53</v>
      </c>
      <c r="H27" s="35" t="s">
        <v>77</v>
      </c>
      <c r="I27" s="35" t="s">
        <v>77</v>
      </c>
      <c r="J27" s="35" t="s">
        <v>77</v>
      </c>
      <c r="K27" s="35" t="s">
        <v>77</v>
      </c>
      <c r="L27" s="35" t="s">
        <v>77</v>
      </c>
      <c r="M27" s="35" t="s">
        <v>77</v>
      </c>
      <c r="N27" s="35" t="s">
        <v>77</v>
      </c>
      <c r="O27" s="35" t="s">
        <v>77</v>
      </c>
      <c r="P27" s="35" t="s">
        <v>77</v>
      </c>
      <c r="Q27" s="35" t="s">
        <v>77</v>
      </c>
      <c r="R27" s="35" t="s">
        <v>77</v>
      </c>
      <c r="S27" s="35" t="s">
        <v>28</v>
      </c>
      <c r="T27" s="35" t="s">
        <v>28</v>
      </c>
      <c r="U27" s="35" t="s">
        <v>33</v>
      </c>
      <c r="V27" s="35" t="s">
        <v>33</v>
      </c>
      <c r="W27" s="35" t="s">
        <v>33</v>
      </c>
      <c r="X27" s="35" t="s">
        <v>33</v>
      </c>
      <c r="Y27" s="35" t="s">
        <v>33</v>
      </c>
      <c r="Z27" s="35" t="s">
        <v>33</v>
      </c>
      <c r="AA27" s="35" t="s">
        <v>33</v>
      </c>
      <c r="AB27" s="35" t="s">
        <v>33</v>
      </c>
      <c r="AC27" s="35" t="s">
        <v>33</v>
      </c>
      <c r="AD27" s="35" t="s">
        <v>33</v>
      </c>
      <c r="AE27" s="35" t="s">
        <v>33</v>
      </c>
      <c r="AF27" s="35" t="s">
        <v>228</v>
      </c>
      <c r="AG27" s="35" t="s">
        <v>28</v>
      </c>
      <c r="AH27" s="35" t="s">
        <v>28</v>
      </c>
      <c r="AI27" s="35" t="s">
        <v>28</v>
      </c>
      <c r="AJ27" s="35" t="s">
        <v>28</v>
      </c>
      <c r="AK27" s="35" t="s">
        <v>28</v>
      </c>
      <c r="AL27" s="35" t="s">
        <v>28</v>
      </c>
      <c r="AM27" s="35" t="s">
        <v>53</v>
      </c>
      <c r="AN27" s="35" t="s">
        <v>53</v>
      </c>
      <c r="AO27" s="35" t="s">
        <v>53</v>
      </c>
      <c r="AP27" s="35" t="s">
        <v>53</v>
      </c>
      <c r="AQ27" s="35" t="s">
        <v>53</v>
      </c>
      <c r="AR27" s="35" t="s">
        <v>53</v>
      </c>
      <c r="AS27" s="35" t="s">
        <v>53</v>
      </c>
      <c r="AT27" s="35" t="s">
        <v>53</v>
      </c>
      <c r="AU27" s="35" t="s">
        <v>53</v>
      </c>
      <c r="AV27" s="35" t="s">
        <v>53</v>
      </c>
      <c r="AW27" s="35" t="s">
        <v>53</v>
      </c>
      <c r="AX27" s="35" t="s">
        <v>53</v>
      </c>
      <c r="AY27" s="35" t="s">
        <v>53</v>
      </c>
      <c r="AZ27" s="35" t="s">
        <v>53</v>
      </c>
      <c r="BA27" s="35" t="s">
        <v>53</v>
      </c>
      <c r="BB27" s="22">
        <f>COUNTIF(B27:BA27,"о")</f>
        <v>11</v>
      </c>
      <c r="BC27" s="22">
        <f>COUNTIF(B27:BA27,"в")</f>
        <v>11</v>
      </c>
      <c r="BD27" s="23">
        <f>SUM(BB27:BC27)</f>
        <v>22</v>
      </c>
      <c r="BE27" s="22">
        <f>COUNTIF(B27:BA27,$R$31)</f>
        <v>0</v>
      </c>
      <c r="BF27" s="22">
        <f>COUNTIF(B27:BA27,$R$33)</f>
        <v>1</v>
      </c>
      <c r="BG27" s="23">
        <f>SUM(BE27:BF27)</f>
        <v>1</v>
      </c>
      <c r="BH27" s="23">
        <f>COUNTIF(B27:BA27,$AF$31)</f>
        <v>0</v>
      </c>
      <c r="BI27" s="23">
        <f>COUNTIF(B27:BA27,$AF$33)</f>
        <v>21</v>
      </c>
      <c r="BJ27" s="23">
        <f>COUNTIF(B27:BA27,$AQ$31)</f>
        <v>0</v>
      </c>
      <c r="BK27" s="23">
        <f>COUNTIF(A27:AZ27,$AQ$33)</f>
        <v>0</v>
      </c>
      <c r="BL27" s="23"/>
      <c r="BM27" s="23">
        <f>COUNTIF(B27:BA27,$AZ$33)</f>
        <v>8</v>
      </c>
      <c r="BN27" s="23">
        <f>SUM(BG27:BM27)+BD27</f>
        <v>52</v>
      </c>
    </row>
    <row r="28" spans="1:66" ht="15.75" customHeight="1">
      <c r="A28" s="8">
        <v>5</v>
      </c>
      <c r="B28" s="35" t="s">
        <v>53</v>
      </c>
      <c r="C28" s="35" t="s">
        <v>53</v>
      </c>
      <c r="D28" s="35" t="s">
        <v>53</v>
      </c>
      <c r="E28" s="35" t="s">
        <v>53</v>
      </c>
      <c r="F28" s="35" t="s">
        <v>53</v>
      </c>
      <c r="G28" s="35" t="s">
        <v>53</v>
      </c>
      <c r="H28" s="35" t="s">
        <v>53</v>
      </c>
      <c r="I28" s="35" t="s">
        <v>53</v>
      </c>
      <c r="J28" s="35" t="s">
        <v>53</v>
      </c>
      <c r="K28" s="35" t="s">
        <v>53</v>
      </c>
      <c r="L28" s="35" t="s">
        <v>28</v>
      </c>
      <c r="M28" s="35" t="s">
        <v>28</v>
      </c>
      <c r="N28" s="35" t="s">
        <v>28</v>
      </c>
      <c r="O28" s="35" t="s">
        <v>77</v>
      </c>
      <c r="P28" s="35" t="s">
        <v>77</v>
      </c>
      <c r="Q28" s="35" t="s">
        <v>77</v>
      </c>
      <c r="R28" s="35" t="s">
        <v>77</v>
      </c>
      <c r="S28" s="35" t="s">
        <v>28</v>
      </c>
      <c r="T28" s="35" t="s">
        <v>28</v>
      </c>
      <c r="U28" s="35" t="s">
        <v>33</v>
      </c>
      <c r="V28" s="35" t="s">
        <v>33</v>
      </c>
      <c r="W28" s="35" t="s">
        <v>33</v>
      </c>
      <c r="X28" s="35" t="s">
        <v>33</v>
      </c>
      <c r="Y28" s="35" t="s">
        <v>33</v>
      </c>
      <c r="Z28" s="35" t="s">
        <v>33</v>
      </c>
      <c r="AA28" s="35" t="s">
        <v>33</v>
      </c>
      <c r="AB28" s="35" t="s">
        <v>33</v>
      </c>
      <c r="AC28" s="35" t="s">
        <v>33</v>
      </c>
      <c r="AD28" s="35" t="s">
        <v>33</v>
      </c>
      <c r="AE28" s="35" t="s">
        <v>33</v>
      </c>
      <c r="AF28" s="35" t="s">
        <v>33</v>
      </c>
      <c r="AG28" s="35" t="s">
        <v>33</v>
      </c>
      <c r="AH28" s="35" t="s">
        <v>33</v>
      </c>
      <c r="AI28" s="35" t="s">
        <v>33</v>
      </c>
      <c r="AJ28" s="35" t="s">
        <v>33</v>
      </c>
      <c r="AK28" s="35" t="s">
        <v>33</v>
      </c>
      <c r="AL28" s="35" t="s">
        <v>33</v>
      </c>
      <c r="AM28" s="35" t="s">
        <v>228</v>
      </c>
      <c r="AN28" s="35" t="s">
        <v>228</v>
      </c>
      <c r="AO28" s="35" t="s">
        <v>32</v>
      </c>
      <c r="AP28" s="35" t="s">
        <v>32</v>
      </c>
      <c r="AQ28" s="35" t="s">
        <v>32</v>
      </c>
      <c r="AR28" s="35" t="s">
        <v>32</v>
      </c>
      <c r="AS28" s="35" t="s">
        <v>26</v>
      </c>
      <c r="AT28" s="35" t="s">
        <v>26</v>
      </c>
      <c r="AU28" s="35" t="s">
        <v>26</v>
      </c>
      <c r="AV28" s="35" t="s">
        <v>26</v>
      </c>
      <c r="AW28" s="35" t="s">
        <v>26</v>
      </c>
      <c r="AX28" s="35" t="s">
        <v>26</v>
      </c>
      <c r="AY28" s="35" t="s">
        <v>26</v>
      </c>
      <c r="AZ28" s="35" t="s">
        <v>26</v>
      </c>
      <c r="BA28" s="35" t="s">
        <v>26</v>
      </c>
      <c r="BB28" s="22">
        <f>COUNTIF(B28:BA28,"о")</f>
        <v>4</v>
      </c>
      <c r="BC28" s="22">
        <f>COUNTIF(B28:BA28,"в")</f>
        <v>18</v>
      </c>
      <c r="BD28" s="23">
        <f>SUM(BB28:BC28)</f>
        <v>22</v>
      </c>
      <c r="BE28" s="22">
        <f>COUNTIF(B28:BA28,$R$31)</f>
        <v>0</v>
      </c>
      <c r="BF28" s="22">
        <f>COUNTIF(B28:BA28,$R$33)</f>
        <v>2</v>
      </c>
      <c r="BG28" s="23">
        <f>SUM(BE28:BF28)</f>
        <v>2</v>
      </c>
      <c r="BH28" s="23">
        <f>COUNTIF(B28:BA28,$AF$31)</f>
        <v>0</v>
      </c>
      <c r="BI28" s="23">
        <f>COUNTIF(B28:BA28,$AF$33)</f>
        <v>10</v>
      </c>
      <c r="BJ28" s="23">
        <f>COUNTIF(B28:BA28,$AQ$31)</f>
        <v>0</v>
      </c>
      <c r="BK28" s="23">
        <f>COUNTIF(B28:BA28,$AZ$31)</f>
        <v>0</v>
      </c>
      <c r="BL28" s="23">
        <f>COUNTIF(B28:BA28,$AQ$33)</f>
        <v>4</v>
      </c>
      <c r="BM28" s="23">
        <f>COUNTIF(B28:BA28,$AZ$33)</f>
        <v>5</v>
      </c>
      <c r="BN28" s="23">
        <f>SUM(BG28:BM28)+BD28</f>
        <v>43</v>
      </c>
    </row>
    <row r="29" spans="1:66" ht="15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621" t="s">
        <v>56</v>
      </c>
      <c r="AZ29" s="621"/>
      <c r="BA29" s="621"/>
      <c r="BB29" s="12">
        <f t="shared" ref="BB29:BN29" si="0">SUM(BB24:BB28)</f>
        <v>64</v>
      </c>
      <c r="BC29" s="12">
        <f t="shared" si="0"/>
        <v>79</v>
      </c>
      <c r="BD29" s="12">
        <f>SUM(BD24:BD28)</f>
        <v>143</v>
      </c>
      <c r="BE29" s="12">
        <f t="shared" si="0"/>
        <v>2</v>
      </c>
      <c r="BF29" s="12">
        <f t="shared" si="0"/>
        <v>7</v>
      </c>
      <c r="BG29" s="12">
        <f t="shared" si="0"/>
        <v>9</v>
      </c>
      <c r="BH29" s="12">
        <f t="shared" si="0"/>
        <v>9</v>
      </c>
      <c r="BI29" s="12">
        <f t="shared" si="0"/>
        <v>46</v>
      </c>
      <c r="BJ29" s="12">
        <f t="shared" si="0"/>
        <v>0</v>
      </c>
      <c r="BK29" s="12">
        <f t="shared" si="0"/>
        <v>0</v>
      </c>
      <c r="BL29" s="12">
        <f t="shared" si="0"/>
        <v>4</v>
      </c>
      <c r="BM29" s="12">
        <f t="shared" si="0"/>
        <v>40</v>
      </c>
      <c r="BN29" s="12">
        <f t="shared" si="0"/>
        <v>251</v>
      </c>
    </row>
    <row r="30" spans="1:66" ht="10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</row>
    <row r="31" spans="1:66" s="5" customFormat="1" ht="11.25" customHeight="1">
      <c r="A31" s="36"/>
      <c r="B31" s="21" t="s">
        <v>77</v>
      </c>
      <c r="C31" s="37" t="s">
        <v>22</v>
      </c>
      <c r="D31" s="650" t="s">
        <v>78</v>
      </c>
      <c r="E31" s="650"/>
      <c r="F31" s="650"/>
      <c r="G31" s="650"/>
      <c r="H31" s="650"/>
      <c r="I31" s="650"/>
      <c r="J31" s="650"/>
      <c r="K31" s="650"/>
      <c r="L31" s="650"/>
      <c r="M31" s="650"/>
      <c r="N31" s="650"/>
      <c r="O31" s="650"/>
      <c r="P31" s="650"/>
      <c r="Q31" s="651"/>
      <c r="R31" s="15" t="s">
        <v>227</v>
      </c>
      <c r="S31" s="37" t="s">
        <v>22</v>
      </c>
      <c r="T31" s="650" t="s">
        <v>225</v>
      </c>
      <c r="U31" s="650"/>
      <c r="V31" s="650"/>
      <c r="W31" s="650"/>
      <c r="X31" s="650"/>
      <c r="Y31" s="650"/>
      <c r="Z31" s="650"/>
      <c r="AA31" s="650"/>
      <c r="AB31" s="650"/>
      <c r="AC31" s="650"/>
      <c r="AD31" s="650"/>
      <c r="AE31" s="650"/>
      <c r="AF31" s="17" t="s">
        <v>52</v>
      </c>
      <c r="AG31" s="37" t="s">
        <v>22</v>
      </c>
      <c r="AH31" s="617" t="s">
        <v>23</v>
      </c>
      <c r="AI31" s="617"/>
      <c r="AJ31" s="617"/>
      <c r="AK31" s="617"/>
      <c r="AL31" s="617"/>
      <c r="AM31" s="617"/>
      <c r="AN31" s="617"/>
      <c r="AO31" s="617"/>
      <c r="AP31" s="617"/>
      <c r="AQ31" s="337"/>
      <c r="AR31" s="37"/>
      <c r="AS31" s="650"/>
      <c r="AT31" s="650"/>
      <c r="AU31" s="650"/>
      <c r="AV31" s="650"/>
      <c r="AW31" s="650"/>
      <c r="AX31" s="650"/>
      <c r="AY31" s="650"/>
      <c r="AZ31" s="293"/>
      <c r="BA31" s="293"/>
      <c r="BB31" s="293"/>
      <c r="BC31" s="293"/>
      <c r="BD31" s="293"/>
      <c r="BE31" s="293"/>
      <c r="BF31" s="293"/>
      <c r="BG31" s="293"/>
      <c r="BH31" s="293"/>
      <c r="BI31" s="36"/>
      <c r="BJ31" s="36"/>
      <c r="BK31" s="36"/>
      <c r="BL31" s="36"/>
      <c r="BM31" s="36"/>
      <c r="BN31" s="36"/>
    </row>
    <row r="32" spans="1:66" s="5" customFormat="1" ht="11.25">
      <c r="A32" s="36"/>
      <c r="B32" s="36"/>
      <c r="C32" s="36"/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7"/>
      <c r="W32" s="38"/>
      <c r="X32" s="38"/>
      <c r="Y32" s="37"/>
      <c r="Z32" s="38"/>
      <c r="AA32" s="38"/>
      <c r="AB32" s="37"/>
      <c r="AC32" s="38"/>
      <c r="AD32" s="38"/>
      <c r="AE32" s="37"/>
      <c r="AF32" s="38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</row>
    <row r="33" spans="1:66" s="5" customFormat="1" ht="12.75" customHeight="1">
      <c r="A33" s="36"/>
      <c r="B33" s="21" t="s">
        <v>33</v>
      </c>
      <c r="C33" s="37" t="s">
        <v>22</v>
      </c>
      <c r="D33" s="650" t="s">
        <v>79</v>
      </c>
      <c r="E33" s="653"/>
      <c r="F33" s="653"/>
      <c r="G33" s="653"/>
      <c r="H33" s="653"/>
      <c r="I33" s="653"/>
      <c r="J33" s="653"/>
      <c r="K33" s="653"/>
      <c r="L33" s="653"/>
      <c r="M33" s="653"/>
      <c r="N33" s="653"/>
      <c r="O33" s="653"/>
      <c r="P33" s="653"/>
      <c r="Q33" s="654"/>
      <c r="R33" s="15" t="s">
        <v>228</v>
      </c>
      <c r="S33" s="37" t="s">
        <v>22</v>
      </c>
      <c r="T33" s="655" t="s">
        <v>226</v>
      </c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6"/>
      <c r="AF33" s="17" t="s">
        <v>53</v>
      </c>
      <c r="AG33" s="37" t="s">
        <v>22</v>
      </c>
      <c r="AH33" s="294" t="s">
        <v>224</v>
      </c>
      <c r="AI33" s="294"/>
      <c r="AJ33" s="294"/>
      <c r="AK33" s="294"/>
      <c r="AL33" s="294"/>
      <c r="AM33" s="294"/>
      <c r="AN33" s="294"/>
      <c r="AO33" s="294"/>
      <c r="AP33" s="295"/>
      <c r="AQ33" s="15" t="s">
        <v>32</v>
      </c>
      <c r="AR33" s="37" t="s">
        <v>22</v>
      </c>
      <c r="AS33" s="623" t="s">
        <v>374</v>
      </c>
      <c r="AT33" s="623"/>
      <c r="AU33" s="623"/>
      <c r="AV33" s="623"/>
      <c r="AW33" s="623"/>
      <c r="AX33" s="623"/>
      <c r="AY33" s="623"/>
      <c r="AZ33" s="18" t="s">
        <v>28</v>
      </c>
      <c r="BA33" s="37" t="s">
        <v>22</v>
      </c>
      <c r="BB33" s="617" t="s">
        <v>223</v>
      </c>
      <c r="BC33" s="617"/>
      <c r="BD33" s="617"/>
      <c r="BE33" s="617"/>
      <c r="BF33" s="617"/>
      <c r="BG33" s="622"/>
      <c r="BH33" s="11" t="s">
        <v>26</v>
      </c>
      <c r="BI33" s="37" t="s">
        <v>22</v>
      </c>
      <c r="BJ33" s="617" t="s">
        <v>44</v>
      </c>
      <c r="BK33" s="617"/>
      <c r="BL33" s="617"/>
      <c r="BM33" s="617"/>
      <c r="BN33" s="617"/>
    </row>
    <row r="34" spans="1:66">
      <c r="A34" s="28"/>
      <c r="B34" s="28"/>
      <c r="C34" s="28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8"/>
      <c r="S34" s="28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623"/>
      <c r="AT34" s="623"/>
      <c r="AU34" s="623"/>
      <c r="AV34" s="623"/>
      <c r="AW34" s="623"/>
      <c r="AX34" s="623"/>
      <c r="AY34" s="623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</row>
    <row r="35" spans="1:66" ht="12.75" hidden="1" customHeight="1">
      <c r="A35" s="14"/>
      <c r="B35" s="16" t="str">
        <f>B31</f>
        <v>о</v>
      </c>
      <c r="D35" s="13" t="s">
        <v>116</v>
      </c>
      <c r="L35" s="652" t="s">
        <v>164</v>
      </c>
      <c r="M35" s="652"/>
      <c r="N35" s="652"/>
      <c r="O35" s="652"/>
      <c r="P35" s="652"/>
      <c r="Q35" s="652"/>
      <c r="R35" s="652"/>
      <c r="S35" s="652"/>
      <c r="T35" s="652"/>
      <c r="U35" s="652"/>
    </row>
    <row r="36" spans="1:66" ht="21" hidden="1" customHeight="1">
      <c r="A36" s="14"/>
      <c r="B36" s="16" t="str">
        <f>R31</f>
        <v>оа</v>
      </c>
      <c r="D36" s="13" t="s">
        <v>117</v>
      </c>
      <c r="L36" s="652" t="s">
        <v>165</v>
      </c>
      <c r="M36" s="652"/>
      <c r="N36" s="652"/>
      <c r="O36" s="652"/>
      <c r="P36" s="652"/>
      <c r="Q36" s="652"/>
      <c r="R36" s="652"/>
      <c r="S36" s="652"/>
      <c r="T36" s="652"/>
      <c r="U36" s="652"/>
      <c r="BA36" s="5"/>
      <c r="BK36" s="1"/>
      <c r="BL36" s="1"/>
    </row>
    <row r="37" spans="1:66" ht="12.75" hidden="1" customHeight="1">
      <c r="A37" s="14"/>
      <c r="B37" s="15" t="str">
        <f>B33</f>
        <v>в</v>
      </c>
      <c r="D37" s="13" t="s">
        <v>118</v>
      </c>
      <c r="L37" s="652" t="s">
        <v>168</v>
      </c>
      <c r="M37" s="652"/>
      <c r="N37" s="652"/>
      <c r="O37" s="652"/>
      <c r="P37" s="652"/>
      <c r="Q37" s="652"/>
      <c r="R37" s="652"/>
      <c r="S37" s="652"/>
      <c r="T37" s="652"/>
      <c r="U37" s="652"/>
      <c r="V37" s="652"/>
      <c r="W37" s="652"/>
      <c r="X37" s="652"/>
      <c r="Y37" s="652"/>
      <c r="Z37" s="652"/>
      <c r="AA37" s="652"/>
      <c r="AB37" s="652"/>
      <c r="AC37" s="652"/>
      <c r="AD37" s="652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6" ht="12.75" hidden="1" customHeight="1">
      <c r="A38" s="14"/>
      <c r="B38" s="15" t="str">
        <f>R33</f>
        <v>ва</v>
      </c>
      <c r="D38" s="13"/>
      <c r="L38" s="652" t="s">
        <v>169</v>
      </c>
      <c r="M38" s="652"/>
      <c r="N38" s="652"/>
      <c r="O38" s="652"/>
      <c r="P38" s="652"/>
      <c r="Q38" s="652"/>
      <c r="R38" s="652"/>
      <c r="S38" s="652"/>
      <c r="T38" s="652"/>
      <c r="U38" s="652"/>
      <c r="V38" s="652"/>
      <c r="W38" s="652"/>
      <c r="X38" s="652"/>
      <c r="Y38" s="652"/>
      <c r="Z38" s="652"/>
      <c r="AA38" s="652"/>
      <c r="AB38" s="652"/>
      <c r="AC38" s="652"/>
      <c r="AD38" s="652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>
      <c r="A39" s="14"/>
      <c r="B39" s="17" t="str">
        <f>AF31</f>
        <v>у</v>
      </c>
      <c r="D39" s="13" t="s">
        <v>119</v>
      </c>
      <c r="AQ39" s="5"/>
      <c r="BA39" s="5"/>
    </row>
    <row r="40" spans="1:66" hidden="1">
      <c r="A40" s="14"/>
      <c r="B40" s="17" t="str">
        <f>AF33</f>
        <v>п</v>
      </c>
    </row>
    <row r="41" spans="1:66" hidden="1">
      <c r="A41" s="14"/>
      <c r="B41" s="18" t="str">
        <f>AZ33</f>
        <v>к</v>
      </c>
    </row>
    <row r="42" spans="1:66" hidden="1">
      <c r="A42" s="14"/>
      <c r="B42" s="19">
        <f>AQ31</f>
        <v>0</v>
      </c>
    </row>
    <row r="43" spans="1:66" hidden="1">
      <c r="A43" s="14"/>
      <c r="B43" s="19" t="str">
        <f>AQ33</f>
        <v>А</v>
      </c>
    </row>
    <row r="44" spans="1:66" hidden="1">
      <c r="A44" s="14"/>
      <c r="B44" s="20" t="str">
        <f>BH33</f>
        <v xml:space="preserve"> </v>
      </c>
    </row>
    <row r="45" spans="1:66" hidden="1">
      <c r="K45" s="13" t="s">
        <v>348</v>
      </c>
    </row>
    <row r="46" spans="1:66" hidden="1">
      <c r="K46" s="78" t="s">
        <v>80</v>
      </c>
      <c r="L46" s="79"/>
      <c r="N46" s="80" t="s">
        <v>360</v>
      </c>
      <c r="O46" s="81"/>
      <c r="P46" s="81"/>
      <c r="Q46" s="81"/>
      <c r="R46" s="81"/>
    </row>
    <row r="47" spans="1:66" hidden="1">
      <c r="K47" s="78" t="s">
        <v>81</v>
      </c>
      <c r="L47" s="79"/>
      <c r="N47" s="80" t="s">
        <v>361</v>
      </c>
      <c r="O47" s="81"/>
      <c r="P47" s="81"/>
      <c r="Q47" s="81"/>
      <c r="R47" s="81"/>
    </row>
    <row r="48" spans="1:66" hidden="1">
      <c r="K48" s="78" t="s">
        <v>82</v>
      </c>
      <c r="L48" s="79"/>
      <c r="N48" s="80" t="s">
        <v>362</v>
      </c>
      <c r="O48" s="81"/>
      <c r="P48" s="81"/>
      <c r="Q48" s="81"/>
      <c r="R48" s="81"/>
    </row>
    <row r="49" spans="11:18" hidden="1">
      <c r="K49" s="78" t="s">
        <v>83</v>
      </c>
      <c r="L49" s="79"/>
      <c r="N49" s="80" t="s">
        <v>363</v>
      </c>
      <c r="O49" s="81"/>
      <c r="P49" s="81"/>
      <c r="Q49" s="81"/>
      <c r="R49" s="81"/>
    </row>
  </sheetData>
  <sheetProtection formatCells="0" formatColumns="0" formatRows="0" insertColumns="0" insertRows="0" insertHyperlinks="0" deleteColumns="0" deleteRows="0" sort="0" autoFilter="0" pivotTables="0"/>
  <dataConsolidate/>
  <mergeCells count="89">
    <mergeCell ref="L38:AD38"/>
    <mergeCell ref="L37:AD37"/>
    <mergeCell ref="L36:U36"/>
    <mergeCell ref="L35:U35"/>
    <mergeCell ref="D33:Q33"/>
    <mergeCell ref="T33:AE33"/>
    <mergeCell ref="A19:A23"/>
    <mergeCell ref="F19:F20"/>
    <mergeCell ref="AH31:AP31"/>
    <mergeCell ref="AS31:AY31"/>
    <mergeCell ref="T31:AE31"/>
    <mergeCell ref="D31:Q31"/>
    <mergeCell ref="B19:E20"/>
    <mergeCell ref="S19:S20"/>
    <mergeCell ref="F21:F22"/>
    <mergeCell ref="J21:J22"/>
    <mergeCell ref="J19:J20"/>
    <mergeCell ref="G19:I20"/>
    <mergeCell ref="K19:N20"/>
    <mergeCell ref="A14:N14"/>
    <mergeCell ref="O14:BB14"/>
    <mergeCell ref="A16:N16"/>
    <mergeCell ref="A15:N15"/>
    <mergeCell ref="O13:BB13"/>
    <mergeCell ref="A9:N9"/>
    <mergeCell ref="O9:BB9"/>
    <mergeCell ref="BC9:BN12"/>
    <mergeCell ref="A13:N13"/>
    <mergeCell ref="A10:N10"/>
    <mergeCell ref="A11:N11"/>
    <mergeCell ref="O10:BB10"/>
    <mergeCell ref="O11:BB11"/>
    <mergeCell ref="O12:BB12"/>
    <mergeCell ref="BC13:BN13"/>
    <mergeCell ref="BC4:BN4"/>
    <mergeCell ref="A2:N2"/>
    <mergeCell ref="A4:N4"/>
    <mergeCell ref="A7:BN7"/>
    <mergeCell ref="BC2:BN2"/>
    <mergeCell ref="BC6:BN6"/>
    <mergeCell ref="BC3:BN3"/>
    <mergeCell ref="H3:N3"/>
    <mergeCell ref="A3:G3"/>
    <mergeCell ref="O1:BB1"/>
    <mergeCell ref="O2:BB2"/>
    <mergeCell ref="O3:BB3"/>
    <mergeCell ref="O19:R20"/>
    <mergeCell ref="O16:P16"/>
    <mergeCell ref="Q16:S16"/>
    <mergeCell ref="T16:U16"/>
    <mergeCell ref="AF19:AF20"/>
    <mergeCell ref="T19:V20"/>
    <mergeCell ref="V16:Z16"/>
    <mergeCell ref="BB19:BN19"/>
    <mergeCell ref="BH20:BH23"/>
    <mergeCell ref="BI20:BI23"/>
    <mergeCell ref="BJ20:BJ23"/>
    <mergeCell ref="BK20:BK23"/>
    <mergeCell ref="BL20:BL23"/>
    <mergeCell ref="BJ33:BN33"/>
    <mergeCell ref="BM20:BM23"/>
    <mergeCell ref="BN20:BN23"/>
    <mergeCell ref="AY29:BA29"/>
    <mergeCell ref="O17:BB17"/>
    <mergeCell ref="AB19:AE20"/>
    <mergeCell ref="AG19:AI20"/>
    <mergeCell ref="AK19:AN20"/>
    <mergeCell ref="W19:W20"/>
    <mergeCell ref="S21:S22"/>
    <mergeCell ref="AJ19:AJ20"/>
    <mergeCell ref="AW21:AW22"/>
    <mergeCell ref="BB33:BG33"/>
    <mergeCell ref="AO19:AR20"/>
    <mergeCell ref="AT19:AV20"/>
    <mergeCell ref="AS33:AY34"/>
    <mergeCell ref="O8:BB8"/>
    <mergeCell ref="BE20:BG22"/>
    <mergeCell ref="AX19:BA20"/>
    <mergeCell ref="AA21:AA22"/>
    <mergeCell ref="AJ21:AJ22"/>
    <mergeCell ref="AA19:AA20"/>
    <mergeCell ref="BB20:BD22"/>
    <mergeCell ref="AS19:AS20"/>
    <mergeCell ref="AS21:AS22"/>
    <mergeCell ref="AW19:AW20"/>
    <mergeCell ref="W21:W22"/>
    <mergeCell ref="AF21:AF22"/>
    <mergeCell ref="X19:Z20"/>
    <mergeCell ref="O15:BB15"/>
  </mergeCells>
  <phoneticPr fontId="0" type="noConversion"/>
  <conditionalFormatting sqref="A35:A36">
    <cfRule type="cellIs" priority="14" stopIfTrue="1" operator="equal">
      <formula>#REF!</formula>
    </cfRule>
  </conditionalFormatting>
  <conditionalFormatting sqref="A37:A38">
    <cfRule type="expression" dxfId="182" priority="15" stopIfTrue="1">
      <formula>$R$31</formula>
    </cfRule>
  </conditionalFormatting>
  <conditionalFormatting sqref="B35">
    <cfRule type="cellIs" priority="16" stopIfTrue="1" operator="equal">
      <formula>$B$31</formula>
    </cfRule>
  </conditionalFormatting>
  <conditionalFormatting sqref="B36">
    <cfRule type="cellIs" dxfId="181" priority="17" stopIfTrue="1" operator="equal">
      <formula>$R$31</formula>
    </cfRule>
  </conditionalFormatting>
  <conditionalFormatting sqref="B37">
    <cfRule type="cellIs" dxfId="180" priority="18" stopIfTrue="1" operator="equal">
      <formula>$B$33</formula>
    </cfRule>
  </conditionalFormatting>
  <conditionalFormatting sqref="B38">
    <cfRule type="cellIs" dxfId="179" priority="19" stopIfTrue="1" operator="equal">
      <formula>$R$33</formula>
    </cfRule>
  </conditionalFormatting>
  <conditionalFormatting sqref="B39">
    <cfRule type="cellIs" priority="20" stopIfTrue="1" operator="equal">
      <formula>$AF$31</formula>
    </cfRule>
  </conditionalFormatting>
  <conditionalFormatting sqref="B40">
    <cfRule type="cellIs" dxfId="178" priority="21" stopIfTrue="1" operator="equal">
      <formula>$AF$33</formula>
    </cfRule>
  </conditionalFormatting>
  <conditionalFormatting sqref="B41">
    <cfRule type="cellIs" dxfId="177" priority="22" stopIfTrue="1" operator="equal">
      <formula>$AZ$33</formula>
    </cfRule>
  </conditionalFormatting>
  <conditionalFormatting sqref="B42">
    <cfRule type="cellIs" dxfId="176" priority="23" stopIfTrue="1" operator="equal">
      <formula>$AQ$31</formula>
    </cfRule>
  </conditionalFormatting>
  <conditionalFormatting sqref="B43">
    <cfRule type="cellIs" dxfId="175" priority="25" stopIfTrue="1" operator="equal">
      <formula>$AQ$33</formula>
    </cfRule>
  </conditionalFormatting>
  <conditionalFormatting sqref="B44">
    <cfRule type="cellIs" priority="26" stopIfTrue="1" operator="equal">
      <formula>$BH$33</formula>
    </cfRule>
  </conditionalFormatting>
  <conditionalFormatting sqref="R27:R28 R24 L28:AL28 S24:BA28 B24:Q28">
    <cfRule type="expression" dxfId="174" priority="27" stopIfTrue="1">
      <formula>OR(B24=$R$31,B24=$R$33,B24=$AQ$31,B24=$AZ$31,B24=$AQ$33)</formula>
    </cfRule>
    <cfRule type="expression" dxfId="173" priority="28" stopIfTrue="1">
      <formula>OR(B24=$AF$31,B24=$AF$33)</formula>
    </cfRule>
    <cfRule type="cellIs" dxfId="172" priority="29" stopIfTrue="1" operator="equal">
      <formula>$AZ$33</formula>
    </cfRule>
  </conditionalFormatting>
  <conditionalFormatting sqref="B28:AR28">
    <cfRule type="expression" dxfId="171" priority="10" stopIfTrue="1">
      <formula>OR(B28=$R$31,B28=$R$33,B28=$AQ$31,B28=$AZ$31,B28=$AQ$33)</formula>
    </cfRule>
    <cfRule type="expression" dxfId="170" priority="11" stopIfTrue="1">
      <formula>OR(B28=$AF$31,B28=$AF$33)</formula>
    </cfRule>
    <cfRule type="cellIs" dxfId="169" priority="12" stopIfTrue="1" operator="equal">
      <formula>$AZ$33</formula>
    </cfRule>
  </conditionalFormatting>
  <conditionalFormatting sqref="B28:AR28">
    <cfRule type="expression" dxfId="168" priority="7" stopIfTrue="1">
      <formula>OR(B28=$R$31,B28=$R$33,B28=$AQ$31,B28=$AZ$31,B28=$AQ$33)</formula>
    </cfRule>
    <cfRule type="expression" dxfId="167" priority="8" stopIfTrue="1">
      <formula>OR(B28=$AF$31,B28=$AF$33)</formula>
    </cfRule>
    <cfRule type="cellIs" dxfId="166" priority="9" stopIfTrue="1" operator="equal">
      <formula>$AZ$33</formula>
    </cfRule>
  </conditionalFormatting>
  <conditionalFormatting sqref="B28:AR28">
    <cfRule type="expression" dxfId="165" priority="4" stopIfTrue="1">
      <formula>OR(B28=$R$31,B28=$R$33,B28=$AQ$31,B28=$AZ$31,B28=$AQ$33)</formula>
    </cfRule>
    <cfRule type="expression" dxfId="164" priority="5" stopIfTrue="1">
      <formula>OR(B28=$AF$31,B28=$AF$33)</formula>
    </cfRule>
    <cfRule type="cellIs" dxfId="163" priority="6" stopIfTrue="1" operator="equal">
      <formula>$AZ$33</formula>
    </cfRule>
  </conditionalFormatting>
  <conditionalFormatting sqref="B28:AR28">
    <cfRule type="expression" dxfId="162" priority="1" stopIfTrue="1">
      <formula>OR(B28=$R$31,B28=$R$33,B28=$AQ$31,B28=$AZ$31,B28=$AQ$33)</formula>
    </cfRule>
    <cfRule type="expression" dxfId="161" priority="2" stopIfTrue="1">
      <formula>OR(B28=$AF$31,B28=$AF$33)</formula>
    </cfRule>
    <cfRule type="cellIs" dxfId="160" priority="3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3:BB13">
      <formula1>$L$35:$L$36</formula1>
    </dataValidation>
    <dataValidation type="list" allowBlank="1" showInputMessage="1" showErrorMessage="1" prompt="выберите из списка" sqref="B24:Q28 R24 S24:BA28 R27:R28">
      <formula1>$B$35:$B$44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O14:BB14">
      <formula1>$L$37:$L$38</formula1>
    </dataValidation>
  </dataValidations>
  <printOptions horizontalCentered="1" verticalCentered="1"/>
  <pageMargins left="0" right="0" top="0.59055118110236227" bottom="0.39370078740157483" header="0.11811023622047245" footer="0.11811023622047245"/>
  <pageSetup paperSize="8" orientation="landscape" horizontalDpi="300" verticalDpi="300" r:id="rId1"/>
  <headerFooter alignWithMargins="0">
    <oddFooter>&amp;L&amp;F&amp;C&amp;A</oddFooter>
  </headerFooter>
  <cellWatches>
    <cellWatch r="B24"/>
    <cellWatch r="O1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 summaryRight="0"/>
    <pageSetUpPr fitToPage="1"/>
  </sheetPr>
  <dimension ref="A1:TK176"/>
  <sheetViews>
    <sheetView showZeros="0" topLeftCell="A3" zoomScale="70" zoomScaleNormal="70" workbookViewId="0">
      <pane xSplit="17" ySplit="7" topLeftCell="BQ22" activePane="bottomRight" state="frozen"/>
      <selection activeCell="A3" sqref="A3"/>
      <selection pane="topRight" activeCell="U3" sqref="U3"/>
      <selection pane="bottomLeft" activeCell="A10" sqref="A10"/>
      <selection pane="bottomRight" activeCell="D79" sqref="D79"/>
    </sheetView>
  </sheetViews>
  <sheetFormatPr defaultRowHeight="12.75"/>
  <cols>
    <col min="1" max="1" width="16" style="40" customWidth="1"/>
    <col min="2" max="2" width="44.83203125" style="40" customWidth="1"/>
    <col min="3" max="3" width="17.5" style="40" customWidth="1"/>
    <col min="4" max="4" width="8" style="62" customWidth="1"/>
    <col min="5" max="7" width="7.6640625" style="62" customWidth="1"/>
    <col min="8" max="8" width="8.33203125" style="62" customWidth="1"/>
    <col min="9" max="9" width="8.6640625" style="63" customWidth="1"/>
    <col min="10" max="10" width="9.1640625" style="63" customWidth="1"/>
    <col min="11" max="11" width="8.33203125" style="40" customWidth="1"/>
    <col min="12" max="12" width="6.83203125" style="40" customWidth="1"/>
    <col min="13" max="13" width="7.83203125" style="40" customWidth="1"/>
    <col min="14" max="14" width="7.33203125" style="40" customWidth="1"/>
    <col min="15" max="15" width="6.5" style="40" customWidth="1"/>
    <col min="16" max="16" width="8.1640625" style="40" customWidth="1"/>
    <col min="17" max="17" width="10.1640625" style="40" customWidth="1"/>
    <col min="18" max="19" width="6.83203125" style="40" customWidth="1"/>
    <col min="20" max="20" width="7.6640625" style="40" customWidth="1"/>
    <col min="21" max="22" width="6.83203125" style="40" customWidth="1"/>
    <col min="23" max="23" width="7.83203125" style="40" customWidth="1"/>
    <col min="24" max="30" width="6.83203125" style="40" customWidth="1"/>
    <col min="31" max="31" width="7.33203125" style="40" customWidth="1"/>
    <col min="32" max="34" width="6.83203125" style="40" customWidth="1"/>
    <col min="35" max="35" width="7.1640625" style="40" customWidth="1"/>
    <col min="36" max="53" width="6.83203125" style="40" customWidth="1"/>
    <col min="54" max="54" width="6" style="40" customWidth="1"/>
    <col min="55" max="55" width="7" style="40" customWidth="1"/>
    <col min="56" max="56" width="6.6640625" style="40" customWidth="1"/>
    <col min="57" max="57" width="6.83203125" style="40" customWidth="1"/>
    <col min="58" max="58" width="6.6640625" style="40" customWidth="1"/>
    <col min="59" max="59" width="7.5" style="40" customWidth="1"/>
    <col min="60" max="60" width="8.5" style="40" customWidth="1"/>
    <col min="61" max="67" width="6.83203125" style="40" customWidth="1"/>
    <col min="68" max="68" width="6.5" style="40" customWidth="1"/>
    <col min="69" max="74" width="6.83203125" style="40" customWidth="1"/>
    <col min="75" max="75" width="7" style="40" customWidth="1"/>
    <col min="76" max="77" width="6.83203125" style="40" customWidth="1"/>
    <col min="78" max="78" width="13" style="44" customWidth="1"/>
    <col min="79" max="79" width="26.1640625" style="44" customWidth="1"/>
    <col min="80" max="84" width="0" style="41" hidden="1" customWidth="1"/>
    <col min="85" max="16384" width="9.33203125" style="41"/>
  </cols>
  <sheetData>
    <row r="1" spans="1:79" ht="15.75">
      <c r="A1" s="745" t="s">
        <v>37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745"/>
      <c r="AH1" s="745"/>
      <c r="AI1" s="745"/>
      <c r="AJ1" s="745"/>
      <c r="AK1" s="745"/>
      <c r="AL1" s="745"/>
      <c r="AM1" s="745"/>
      <c r="AN1" s="745"/>
      <c r="AO1" s="745"/>
      <c r="AP1" s="745"/>
      <c r="AQ1" s="745"/>
      <c r="AR1" s="745"/>
      <c r="AS1" s="745"/>
      <c r="AT1" s="745"/>
      <c r="AU1" s="745"/>
      <c r="AV1" s="745"/>
      <c r="AW1" s="745"/>
      <c r="AX1" s="745"/>
      <c r="AY1" s="745"/>
      <c r="AZ1" s="745"/>
      <c r="BA1" s="745"/>
      <c r="BB1" s="745"/>
      <c r="BC1" s="745"/>
      <c r="BD1" s="745"/>
      <c r="BE1" s="745"/>
      <c r="BF1" s="745"/>
      <c r="BG1" s="745"/>
      <c r="BH1" s="745"/>
      <c r="BI1" s="745"/>
      <c r="BJ1" s="745"/>
      <c r="BK1" s="745"/>
      <c r="BL1" s="745"/>
      <c r="BM1" s="745"/>
      <c r="BN1" s="745"/>
      <c r="BO1" s="745"/>
      <c r="BP1" s="745"/>
      <c r="BQ1" s="745"/>
      <c r="BR1" s="745"/>
      <c r="BS1" s="745"/>
      <c r="BT1" s="745"/>
      <c r="BU1" s="745"/>
      <c r="BV1" s="745"/>
      <c r="BW1" s="745"/>
      <c r="BX1" s="745"/>
      <c r="BY1" s="745"/>
      <c r="BZ1" s="746"/>
      <c r="CA1" s="745"/>
    </row>
    <row r="2" spans="1:79" ht="13.5" thickBot="1">
      <c r="B2" s="42"/>
      <c r="C2" s="42"/>
      <c r="D2" s="42"/>
      <c r="E2" s="42"/>
      <c r="F2" s="42"/>
      <c r="G2" s="42"/>
      <c r="H2" s="42"/>
      <c r="I2" s="43"/>
      <c r="J2" s="43"/>
      <c r="K2" s="42"/>
      <c r="L2" s="42"/>
      <c r="M2" s="42"/>
      <c r="N2" s="42"/>
      <c r="O2" s="42"/>
      <c r="P2" s="42"/>
    </row>
    <row r="3" spans="1:79" s="45" customFormat="1" ht="12.75" customHeight="1">
      <c r="A3" s="750" t="s">
        <v>170</v>
      </c>
      <c r="B3" s="736" t="s">
        <v>586</v>
      </c>
      <c r="C3" s="689" t="s">
        <v>75</v>
      </c>
      <c r="D3" s="694" t="s">
        <v>587</v>
      </c>
      <c r="E3" s="695"/>
      <c r="F3" s="695"/>
      <c r="G3" s="695"/>
      <c r="H3" s="695"/>
      <c r="I3" s="728" t="s">
        <v>229</v>
      </c>
      <c r="J3" s="728"/>
      <c r="K3" s="761" t="s">
        <v>2</v>
      </c>
      <c r="L3" s="761"/>
      <c r="M3" s="761"/>
      <c r="N3" s="761"/>
      <c r="O3" s="761"/>
      <c r="P3" s="761"/>
      <c r="Q3" s="761"/>
      <c r="R3" s="86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761"/>
      <c r="AK3" s="761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761"/>
      <c r="AX3" s="761"/>
      <c r="AY3" s="761"/>
      <c r="AZ3" s="761"/>
      <c r="BA3" s="761"/>
      <c r="BB3" s="761"/>
      <c r="BC3" s="761"/>
      <c r="BD3" s="761"/>
      <c r="BE3" s="761"/>
      <c r="BF3" s="761"/>
      <c r="BG3" s="761"/>
      <c r="BH3" s="761"/>
      <c r="BI3" s="761"/>
      <c r="BJ3" s="761"/>
      <c r="BK3" s="761"/>
      <c r="BL3" s="761"/>
      <c r="BM3" s="761"/>
      <c r="BN3" s="761"/>
      <c r="BO3" s="761"/>
      <c r="BP3" s="761"/>
      <c r="BQ3" s="761"/>
      <c r="BR3" s="761"/>
      <c r="BS3" s="761"/>
      <c r="BT3" s="761"/>
      <c r="BU3" s="761"/>
      <c r="BV3" s="761"/>
      <c r="BW3" s="761"/>
      <c r="BX3" s="761"/>
      <c r="BY3" s="761"/>
      <c r="BZ3" s="747" t="s">
        <v>171</v>
      </c>
      <c r="CA3" s="747" t="s">
        <v>73</v>
      </c>
    </row>
    <row r="4" spans="1:79" s="45" customFormat="1" ht="12.75" customHeight="1">
      <c r="A4" s="751"/>
      <c r="B4" s="737"/>
      <c r="C4" s="690"/>
      <c r="D4" s="696"/>
      <c r="E4" s="697"/>
      <c r="F4" s="697"/>
      <c r="G4" s="697"/>
      <c r="H4" s="697"/>
      <c r="I4" s="728"/>
      <c r="J4" s="728"/>
      <c r="K4" s="731" t="s">
        <v>1</v>
      </c>
      <c r="L4" s="753" t="s">
        <v>3</v>
      </c>
      <c r="M4" s="753"/>
      <c r="N4" s="753"/>
      <c r="O4" s="753"/>
      <c r="P4" s="753"/>
      <c r="Q4" s="754"/>
      <c r="R4" s="722" t="s">
        <v>80</v>
      </c>
      <c r="S4" s="723"/>
      <c r="T4" s="723"/>
      <c r="U4" s="723"/>
      <c r="V4" s="723"/>
      <c r="W4" s="723"/>
      <c r="X4" s="723"/>
      <c r="Y4" s="723"/>
      <c r="Z4" s="723"/>
      <c r="AA4" s="723"/>
      <c r="AB4" s="723"/>
      <c r="AC4" s="724"/>
      <c r="AD4" s="722" t="s">
        <v>81</v>
      </c>
      <c r="AE4" s="723"/>
      <c r="AF4" s="723"/>
      <c r="AG4" s="723"/>
      <c r="AH4" s="723"/>
      <c r="AI4" s="723"/>
      <c r="AJ4" s="723"/>
      <c r="AK4" s="723"/>
      <c r="AL4" s="723"/>
      <c r="AM4" s="723"/>
      <c r="AN4" s="723"/>
      <c r="AO4" s="724"/>
      <c r="AP4" s="722" t="s">
        <v>82</v>
      </c>
      <c r="AQ4" s="723"/>
      <c r="AR4" s="723"/>
      <c r="AS4" s="723"/>
      <c r="AT4" s="723"/>
      <c r="AU4" s="723"/>
      <c r="AV4" s="723"/>
      <c r="AW4" s="723"/>
      <c r="AX4" s="723"/>
      <c r="AY4" s="723"/>
      <c r="AZ4" s="723"/>
      <c r="BA4" s="724"/>
      <c r="BB4" s="722" t="s">
        <v>83</v>
      </c>
      <c r="BC4" s="723"/>
      <c r="BD4" s="723"/>
      <c r="BE4" s="723"/>
      <c r="BF4" s="723"/>
      <c r="BG4" s="723"/>
      <c r="BH4" s="723"/>
      <c r="BI4" s="723"/>
      <c r="BJ4" s="723"/>
      <c r="BK4" s="723"/>
      <c r="BL4" s="723"/>
      <c r="BM4" s="724"/>
      <c r="BN4" s="722" t="s">
        <v>84</v>
      </c>
      <c r="BO4" s="723"/>
      <c r="BP4" s="723"/>
      <c r="BQ4" s="723"/>
      <c r="BR4" s="723"/>
      <c r="BS4" s="723"/>
      <c r="BT4" s="723"/>
      <c r="BU4" s="723"/>
      <c r="BV4" s="723"/>
      <c r="BW4" s="723"/>
      <c r="BX4" s="723"/>
      <c r="BY4" s="724"/>
      <c r="BZ4" s="748"/>
      <c r="CA4" s="748"/>
    </row>
    <row r="5" spans="1:79" s="45" customFormat="1" ht="12.75" customHeight="1">
      <c r="A5" s="751"/>
      <c r="B5" s="737"/>
      <c r="C5" s="690"/>
      <c r="D5" s="692" t="s">
        <v>65</v>
      </c>
      <c r="E5" s="692" t="s">
        <v>581</v>
      </c>
      <c r="F5" s="338"/>
      <c r="G5" s="692" t="s">
        <v>588</v>
      </c>
      <c r="H5" s="702" t="s">
        <v>589</v>
      </c>
      <c r="I5" s="728"/>
      <c r="J5" s="728"/>
      <c r="K5" s="732"/>
      <c r="L5" s="729" t="s">
        <v>86</v>
      </c>
      <c r="M5" s="739"/>
      <c r="N5" s="739"/>
      <c r="O5" s="739"/>
      <c r="P5" s="740"/>
      <c r="Q5" s="755" t="s">
        <v>87</v>
      </c>
      <c r="R5" s="764" t="s">
        <v>27</v>
      </c>
      <c r="S5" s="725"/>
      <c r="T5" s="343"/>
      <c r="U5" s="343"/>
      <c r="V5" s="343">
        <f>'Титульный лист'!BB24</f>
        <v>17</v>
      </c>
      <c r="W5" s="449">
        <f>'Титульный лист'!BE24</f>
        <v>0</v>
      </c>
      <c r="X5" s="725" t="s">
        <v>31</v>
      </c>
      <c r="Y5" s="725"/>
      <c r="Z5" s="85"/>
      <c r="AA5" s="85"/>
      <c r="AB5" s="343">
        <f>'Титульный лист'!BC24</f>
        <v>22</v>
      </c>
      <c r="AC5" s="343">
        <f>'Титульный лист'!BF24</f>
        <v>2</v>
      </c>
      <c r="AD5" s="764" t="s">
        <v>30</v>
      </c>
      <c r="AE5" s="725"/>
      <c r="AF5" s="347"/>
      <c r="AG5" s="347"/>
      <c r="AH5" s="343">
        <f>'Титульный лист'!BB25</f>
        <v>16</v>
      </c>
      <c r="AI5" s="449">
        <f>'Титульный лист'!BE25</f>
        <v>1</v>
      </c>
      <c r="AJ5" s="725" t="s">
        <v>40</v>
      </c>
      <c r="AK5" s="725"/>
      <c r="AL5" s="85"/>
      <c r="AM5" s="85"/>
      <c r="AN5" s="343">
        <f>'Титульный лист'!BC25</f>
        <v>17</v>
      </c>
      <c r="AO5" s="343">
        <f>'Титульный лист'!BF25</f>
        <v>1</v>
      </c>
      <c r="AP5" s="762" t="s">
        <v>41</v>
      </c>
      <c r="AQ5" s="763"/>
      <c r="AR5" s="347"/>
      <c r="AS5" s="347"/>
      <c r="AT5" s="343">
        <f>'Титульный лист'!BB26</f>
        <v>16</v>
      </c>
      <c r="AU5" s="449">
        <f>'Титульный лист'!BE26</f>
        <v>1</v>
      </c>
      <c r="AV5" s="757" t="s">
        <v>42</v>
      </c>
      <c r="AW5" s="758"/>
      <c r="AX5" s="85"/>
      <c r="AY5" s="85"/>
      <c r="AZ5" s="343">
        <f>'Титульный лист'!BC26</f>
        <v>11</v>
      </c>
      <c r="BA5" s="343">
        <f>'Титульный лист'!BF26</f>
        <v>1</v>
      </c>
      <c r="BB5" s="762" t="s">
        <v>43</v>
      </c>
      <c r="BC5" s="763"/>
      <c r="BD5" s="347"/>
      <c r="BE5" s="347"/>
      <c r="BF5" s="343">
        <f>'Титульный лист'!BB27</f>
        <v>11</v>
      </c>
      <c r="BG5" s="449">
        <f>'Титульный лист'!BE27</f>
        <v>0</v>
      </c>
      <c r="BH5" s="757" t="s">
        <v>38</v>
      </c>
      <c r="BI5" s="758"/>
      <c r="BJ5" s="85"/>
      <c r="BK5" s="85"/>
      <c r="BL5" s="343">
        <f>'Титульный лист'!BC27</f>
        <v>11</v>
      </c>
      <c r="BM5" s="343">
        <f>'Титульный лист'!BF27</f>
        <v>1</v>
      </c>
      <c r="BN5" s="762" t="s">
        <v>39</v>
      </c>
      <c r="BO5" s="763"/>
      <c r="BP5" s="347"/>
      <c r="BQ5" s="347"/>
      <c r="BR5" s="343">
        <f>'Титульный лист'!BB28</f>
        <v>4</v>
      </c>
      <c r="BS5" s="449">
        <f>'Титульный лист'!BE28</f>
        <v>0</v>
      </c>
      <c r="BT5" s="757" t="s">
        <v>85</v>
      </c>
      <c r="BU5" s="758"/>
      <c r="BV5" s="85"/>
      <c r="BW5" s="85"/>
      <c r="BX5" s="343">
        <f>'Титульный лист'!BC28</f>
        <v>18</v>
      </c>
      <c r="BY5" s="83">
        <f>'Титульный лист'!BF28</f>
        <v>2</v>
      </c>
      <c r="BZ5" s="748"/>
      <c r="CA5" s="748"/>
    </row>
    <row r="6" spans="1:79" s="45" customFormat="1" ht="12.75" customHeight="1">
      <c r="A6" s="751"/>
      <c r="B6" s="737"/>
      <c r="C6" s="690"/>
      <c r="D6" s="693"/>
      <c r="E6" s="693"/>
      <c r="F6" s="339"/>
      <c r="G6" s="693"/>
      <c r="H6" s="703"/>
      <c r="I6" s="728"/>
      <c r="J6" s="728"/>
      <c r="K6" s="732"/>
      <c r="L6" s="735"/>
      <c r="M6" s="729" t="s">
        <v>590</v>
      </c>
      <c r="N6" s="729" t="s">
        <v>591</v>
      </c>
      <c r="O6" s="729" t="s">
        <v>232</v>
      </c>
      <c r="P6" s="729" t="s">
        <v>313</v>
      </c>
      <c r="Q6" s="755"/>
      <c r="R6" s="696" t="s">
        <v>72</v>
      </c>
      <c r="S6" s="697"/>
      <c r="T6" s="697" t="s">
        <v>57</v>
      </c>
      <c r="U6" s="697"/>
      <c r="V6" s="697"/>
      <c r="W6" s="450" t="s">
        <v>230</v>
      </c>
      <c r="X6" s="697" t="s">
        <v>72</v>
      </c>
      <c r="Y6" s="697"/>
      <c r="Z6" s="84"/>
      <c r="AA6" s="84"/>
      <c r="AB6" s="346" t="s">
        <v>57</v>
      </c>
      <c r="AC6" s="346" t="s">
        <v>230</v>
      </c>
      <c r="AD6" s="696" t="s">
        <v>72</v>
      </c>
      <c r="AE6" s="697"/>
      <c r="AF6" s="346"/>
      <c r="AG6" s="346"/>
      <c r="AH6" s="346" t="s">
        <v>57</v>
      </c>
      <c r="AI6" s="450" t="s">
        <v>230</v>
      </c>
      <c r="AJ6" s="697" t="s">
        <v>72</v>
      </c>
      <c r="AK6" s="697"/>
      <c r="AL6" s="84"/>
      <c r="AM6" s="84"/>
      <c r="AN6" s="346" t="s">
        <v>57</v>
      </c>
      <c r="AO6" s="346" t="s">
        <v>230</v>
      </c>
      <c r="AP6" s="726" t="s">
        <v>72</v>
      </c>
      <c r="AQ6" s="727"/>
      <c r="AR6" s="346"/>
      <c r="AS6" s="346"/>
      <c r="AT6" s="346" t="s">
        <v>57</v>
      </c>
      <c r="AU6" s="450" t="s">
        <v>230</v>
      </c>
      <c r="AV6" s="759" t="s">
        <v>72</v>
      </c>
      <c r="AW6" s="760"/>
      <c r="AX6" s="84"/>
      <c r="AY6" s="84"/>
      <c r="AZ6" s="346" t="s">
        <v>57</v>
      </c>
      <c r="BA6" s="346" t="s">
        <v>230</v>
      </c>
      <c r="BB6" s="726" t="s">
        <v>72</v>
      </c>
      <c r="BC6" s="727"/>
      <c r="BD6" s="346"/>
      <c r="BE6" s="346"/>
      <c r="BF6" s="346" t="s">
        <v>57</v>
      </c>
      <c r="BG6" s="450" t="s">
        <v>230</v>
      </c>
      <c r="BH6" s="759" t="s">
        <v>72</v>
      </c>
      <c r="BI6" s="760"/>
      <c r="BJ6" s="84"/>
      <c r="BK6" s="84"/>
      <c r="BL6" s="346" t="s">
        <v>57</v>
      </c>
      <c r="BM6" s="346" t="s">
        <v>230</v>
      </c>
      <c r="BN6" s="726" t="s">
        <v>72</v>
      </c>
      <c r="BO6" s="727"/>
      <c r="BP6" s="346"/>
      <c r="BQ6" s="346"/>
      <c r="BR6" s="346" t="s">
        <v>57</v>
      </c>
      <c r="BS6" s="450" t="s">
        <v>230</v>
      </c>
      <c r="BT6" s="759" t="s">
        <v>72</v>
      </c>
      <c r="BU6" s="760"/>
      <c r="BV6" s="84"/>
      <c r="BW6" s="84"/>
      <c r="BX6" s="346" t="s">
        <v>57</v>
      </c>
      <c r="BY6" s="346" t="s">
        <v>230</v>
      </c>
      <c r="BZ6" s="748"/>
      <c r="CA6" s="748"/>
    </row>
    <row r="7" spans="1:79" s="45" customFormat="1" ht="12.75" customHeight="1">
      <c r="A7" s="751"/>
      <c r="B7" s="737"/>
      <c r="C7" s="690"/>
      <c r="D7" s="693"/>
      <c r="E7" s="693"/>
      <c r="F7" s="339"/>
      <c r="G7" s="693"/>
      <c r="H7" s="703"/>
      <c r="I7" s="728"/>
      <c r="J7" s="728"/>
      <c r="K7" s="732"/>
      <c r="L7" s="735"/>
      <c r="M7" s="730"/>
      <c r="N7" s="730"/>
      <c r="O7" s="730"/>
      <c r="P7" s="730"/>
      <c r="Q7" s="755"/>
      <c r="R7" s="743" t="s">
        <v>148</v>
      </c>
      <c r="S7" s="744"/>
      <c r="T7" s="354"/>
      <c r="U7" s="351"/>
      <c r="V7" s="47">
        <f>IF((SUM(S94:W94)+SUM(S98:W98))=0,0,(SUM(S94:W94)+SUM(S98:W98))/Нормы!$G$38)</f>
        <v>0</v>
      </c>
      <c r="W7" s="451" t="s">
        <v>149</v>
      </c>
      <c r="X7" s="744" t="s">
        <v>148</v>
      </c>
      <c r="Y7" s="744"/>
      <c r="Z7" s="354"/>
      <c r="AA7" s="351"/>
      <c r="AB7" s="47">
        <f>IF((SUM(Y94:AC94)+SUM(Y98:AC98))=0,0,(SUM(Y94:AC94)+SUM(Y98:AC98))/Нормы!$G$38)</f>
        <v>0</v>
      </c>
      <c r="AC7" s="355" t="s">
        <v>149</v>
      </c>
      <c r="AD7" s="743" t="s">
        <v>148</v>
      </c>
      <c r="AE7" s="744"/>
      <c r="AF7" s="354"/>
      <c r="AG7" s="351"/>
      <c r="AH7" s="47">
        <f>IF((SUM(AE94:AI94)+SUM(AE98:AI98))=0,0,(SUM(AE94:AI94)+SUM(AE98:AI98))/Нормы!$G$38)</f>
        <v>0</v>
      </c>
      <c r="AI7" s="451" t="s">
        <v>149</v>
      </c>
      <c r="AJ7" s="744" t="s">
        <v>148</v>
      </c>
      <c r="AK7" s="744"/>
      <c r="AL7" s="354"/>
      <c r="AM7" s="351"/>
      <c r="AN7" s="47">
        <f>IF((SUM(AK94:AO94)+SUM(AK98:AO98))=0,0,(SUM(AK94:AO94)+SUM(AK98:AO98))/Нормы!$G$38)</f>
        <v>9</v>
      </c>
      <c r="AO7" s="355" t="s">
        <v>149</v>
      </c>
      <c r="AP7" s="743" t="s">
        <v>148</v>
      </c>
      <c r="AQ7" s="744"/>
      <c r="AR7" s="354"/>
      <c r="AS7" s="351"/>
      <c r="AT7" s="47">
        <f>IF((SUM(AQ94:AU94)+SUM(AQ98:AU98))=0,0,(SUM(AQ94:AU94)+SUM(AQ98:AU98))/Нормы!$G$38)</f>
        <v>0</v>
      </c>
      <c r="AU7" s="451" t="s">
        <v>149</v>
      </c>
      <c r="AV7" s="744" t="s">
        <v>148</v>
      </c>
      <c r="AW7" s="744"/>
      <c r="AX7" s="354"/>
      <c r="AY7" s="351"/>
      <c r="AZ7" s="47">
        <f>IF((SUM(AW94:BA94)+SUM(AW98:BA98))=0,0,(SUM(AW94:BA94)+SUM(AW98:BA98))/Нормы!$G$38)</f>
        <v>15</v>
      </c>
      <c r="BA7" s="355" t="s">
        <v>149</v>
      </c>
      <c r="BB7" s="743" t="s">
        <v>148</v>
      </c>
      <c r="BC7" s="744"/>
      <c r="BD7" s="354"/>
      <c r="BE7" s="351"/>
      <c r="BF7" s="47">
        <f>IF((SUM(BC94:BG94)+SUM(BC98:BG98))=0,0,(SUM(BC94:BG94)+SUM(BC98:BG98))/Нормы!$G$38)</f>
        <v>6</v>
      </c>
      <c r="BG7" s="451" t="s">
        <v>149</v>
      </c>
      <c r="BH7" s="744" t="s">
        <v>148</v>
      </c>
      <c r="BI7" s="744"/>
      <c r="BJ7" s="354"/>
      <c r="BK7" s="351"/>
      <c r="BL7" s="47">
        <f>IF((SUM(BI94:BM94)+SUM(BI98:BM98))=0,0,(SUM(BI94:BM94)+SUM(BI98:BM98))/Нормы!$G$38)</f>
        <v>15</v>
      </c>
      <c r="BM7" s="355" t="s">
        <v>149</v>
      </c>
      <c r="BN7" s="743" t="s">
        <v>148</v>
      </c>
      <c r="BO7" s="744"/>
      <c r="BP7" s="354"/>
      <c r="BQ7" s="351"/>
      <c r="BR7" s="47">
        <f>IF((SUM(BO94:BS94)+SUM(BO98:BS98))=0,0,(SUM(BO94:BS94)+SUM(BO98:BS98))/Нормы!$G$38)</f>
        <v>10</v>
      </c>
      <c r="BS7" s="451" t="s">
        <v>149</v>
      </c>
      <c r="BT7" s="744" t="s">
        <v>148</v>
      </c>
      <c r="BU7" s="744"/>
      <c r="BV7" s="354"/>
      <c r="BW7" s="351"/>
      <c r="BX7" s="47">
        <f>IF((SUM(BU94:BY94)+SUM(BU98:BY98))=0,0,(SUM(BU94:BY94)+SUM(BU98:BY98))/Нормы!$G$38)</f>
        <v>0</v>
      </c>
      <c r="BY7" s="355" t="s">
        <v>149</v>
      </c>
      <c r="BZ7" s="748"/>
      <c r="CA7" s="748"/>
    </row>
    <row r="8" spans="1:79" s="45" customFormat="1" ht="12.75" customHeight="1">
      <c r="A8" s="751"/>
      <c r="B8" s="737"/>
      <c r="C8" s="690"/>
      <c r="D8" s="693"/>
      <c r="E8" s="693"/>
      <c r="F8" s="339"/>
      <c r="G8" s="693"/>
      <c r="H8" s="703"/>
      <c r="I8" s="728"/>
      <c r="J8" s="728"/>
      <c r="K8" s="732"/>
      <c r="L8" s="735"/>
      <c r="M8" s="730"/>
      <c r="N8" s="730"/>
      <c r="O8" s="730"/>
      <c r="P8" s="730"/>
      <c r="Q8" s="755"/>
      <c r="R8" s="742" t="s">
        <v>150</v>
      </c>
      <c r="S8" s="741"/>
      <c r="T8" s="741"/>
      <c r="U8" s="353"/>
      <c r="V8" s="50">
        <f>IF(SUM(S101:W101)=0,0,SUM(S101:W101)/Нормы!$G$37)</f>
        <v>0</v>
      </c>
      <c r="W8" s="452" t="s">
        <v>149</v>
      </c>
      <c r="X8" s="741" t="s">
        <v>150</v>
      </c>
      <c r="Y8" s="741"/>
      <c r="Z8" s="741"/>
      <c r="AA8" s="353"/>
      <c r="AB8" s="50">
        <f>IF(SUM(Y101:AC101)=0,0,SUM(Y101:AC101)/Нормы!$G$37)</f>
        <v>0</v>
      </c>
      <c r="AC8" s="53" t="s">
        <v>149</v>
      </c>
      <c r="AD8" s="742" t="s">
        <v>150</v>
      </c>
      <c r="AE8" s="741"/>
      <c r="AF8" s="741"/>
      <c r="AG8" s="353"/>
      <c r="AH8" s="50">
        <f>IF(SUM(AE101:AI101)=0,0,SUM(AE101:AI101)/Нормы!$G$37)</f>
        <v>0</v>
      </c>
      <c r="AI8" s="452" t="s">
        <v>149</v>
      </c>
      <c r="AJ8" s="741" t="s">
        <v>150</v>
      </c>
      <c r="AK8" s="741"/>
      <c r="AL8" s="741"/>
      <c r="AM8" s="353"/>
      <c r="AN8" s="50">
        <f>IF(SUM(AK101:AO101)=0,0,SUM(AK101:AO101)/Нормы!$G$37)</f>
        <v>0</v>
      </c>
      <c r="AO8" s="53" t="s">
        <v>149</v>
      </c>
      <c r="AP8" s="742" t="s">
        <v>150</v>
      </c>
      <c r="AQ8" s="741"/>
      <c r="AR8" s="741"/>
      <c r="AS8" s="353"/>
      <c r="AT8" s="50">
        <f>IF(SUM(AQ101:AU101)=0,0,SUM(AQ101:AU101)/Нормы!$G$37)</f>
        <v>0</v>
      </c>
      <c r="AU8" s="452" t="s">
        <v>149</v>
      </c>
      <c r="AV8" s="741" t="s">
        <v>150</v>
      </c>
      <c r="AW8" s="741"/>
      <c r="AX8" s="741"/>
      <c r="AY8" s="353"/>
      <c r="AZ8" s="50">
        <f>IF(SUM(AW101:BA101)=0,0,SUM(AW101:BA101)/Нормы!$G$37)</f>
        <v>0</v>
      </c>
      <c r="BA8" s="53" t="s">
        <v>149</v>
      </c>
      <c r="BB8" s="742" t="s">
        <v>150</v>
      </c>
      <c r="BC8" s="741"/>
      <c r="BD8" s="741"/>
      <c r="BE8" s="353"/>
      <c r="BF8" s="50">
        <f>IF(SUM(BC101:BG101)=0,0,SUM(BC101:BG101)/Нормы!$G$37)</f>
        <v>0</v>
      </c>
      <c r="BG8" s="452" t="s">
        <v>149</v>
      </c>
      <c r="BH8" s="741" t="s">
        <v>150</v>
      </c>
      <c r="BI8" s="741"/>
      <c r="BJ8" s="741"/>
      <c r="BK8" s="353"/>
      <c r="BL8" s="50">
        <f>IF(SUM(BI101:BM101)=0,0,SUM(BI101:BM101)/Нормы!$G$37)</f>
        <v>0</v>
      </c>
      <c r="BM8" s="53" t="s">
        <v>149</v>
      </c>
      <c r="BN8" s="742" t="s">
        <v>150</v>
      </c>
      <c r="BO8" s="741"/>
      <c r="BP8" s="741"/>
      <c r="BQ8" s="353"/>
      <c r="BR8" s="50">
        <f>IF(SUM(BO101:BS101)=0,0,SUM(BO101:BS101)/Нормы!$G$37)</f>
        <v>0</v>
      </c>
      <c r="BS8" s="452" t="s">
        <v>149</v>
      </c>
      <c r="BT8" s="741" t="s">
        <v>150</v>
      </c>
      <c r="BU8" s="741"/>
      <c r="BV8" s="741"/>
      <c r="BW8" s="353"/>
      <c r="BX8" s="50">
        <f>IF(SUM(BU101:BY101)=0,0,SUM(BU101:BY101)/Нормы!$G$37)</f>
        <v>4</v>
      </c>
      <c r="BY8" s="53" t="s">
        <v>149</v>
      </c>
      <c r="BZ8" s="748"/>
      <c r="CA8" s="748"/>
    </row>
    <row r="9" spans="1:79" s="45" customFormat="1" ht="126" customHeight="1">
      <c r="A9" s="752"/>
      <c r="B9" s="738"/>
      <c r="C9" s="691"/>
      <c r="D9" s="693"/>
      <c r="E9" s="693"/>
      <c r="F9" s="339" t="s">
        <v>66</v>
      </c>
      <c r="G9" s="693"/>
      <c r="H9" s="703"/>
      <c r="I9" s="447" t="s">
        <v>179</v>
      </c>
      <c r="J9" s="447" t="s">
        <v>274</v>
      </c>
      <c r="K9" s="733"/>
      <c r="L9" s="735"/>
      <c r="M9" s="730"/>
      <c r="N9" s="730"/>
      <c r="O9" s="730"/>
      <c r="P9" s="730"/>
      <c r="Q9" s="756"/>
      <c r="R9" s="453" t="s">
        <v>139</v>
      </c>
      <c r="S9" s="454" t="s">
        <v>592</v>
      </c>
      <c r="T9" s="455" t="s">
        <v>593</v>
      </c>
      <c r="U9" s="454" t="s">
        <v>232</v>
      </c>
      <c r="V9" s="455" t="s">
        <v>313</v>
      </c>
      <c r="W9" s="455" t="s">
        <v>71</v>
      </c>
      <c r="X9" s="448" t="s">
        <v>139</v>
      </c>
      <c r="Y9" s="340" t="s">
        <v>592</v>
      </c>
      <c r="Z9" s="341" t="s">
        <v>593</v>
      </c>
      <c r="AA9" s="340" t="s">
        <v>232</v>
      </c>
      <c r="AB9" s="341" t="s">
        <v>313</v>
      </c>
      <c r="AC9" s="456" t="s">
        <v>71</v>
      </c>
      <c r="AD9" s="453" t="s">
        <v>139</v>
      </c>
      <c r="AE9" s="454" t="s">
        <v>592</v>
      </c>
      <c r="AF9" s="455" t="s">
        <v>593</v>
      </c>
      <c r="AG9" s="454" t="s">
        <v>232</v>
      </c>
      <c r="AH9" s="455" t="s">
        <v>313</v>
      </c>
      <c r="AI9" s="455" t="s">
        <v>71</v>
      </c>
      <c r="AJ9" s="448" t="s">
        <v>139</v>
      </c>
      <c r="AK9" s="340" t="s">
        <v>592</v>
      </c>
      <c r="AL9" s="341" t="s">
        <v>593</v>
      </c>
      <c r="AM9" s="340" t="s">
        <v>232</v>
      </c>
      <c r="AN9" s="341" t="s">
        <v>313</v>
      </c>
      <c r="AO9" s="456" t="s">
        <v>71</v>
      </c>
      <c r="AP9" s="453" t="s">
        <v>139</v>
      </c>
      <c r="AQ9" s="454" t="s">
        <v>592</v>
      </c>
      <c r="AR9" s="455" t="s">
        <v>593</v>
      </c>
      <c r="AS9" s="454" t="s">
        <v>232</v>
      </c>
      <c r="AT9" s="455" t="s">
        <v>313</v>
      </c>
      <c r="AU9" s="455" t="s">
        <v>71</v>
      </c>
      <c r="AV9" s="448" t="s">
        <v>139</v>
      </c>
      <c r="AW9" s="340" t="s">
        <v>592</v>
      </c>
      <c r="AX9" s="341" t="s">
        <v>593</v>
      </c>
      <c r="AY9" s="340" t="s">
        <v>232</v>
      </c>
      <c r="AZ9" s="341" t="s">
        <v>313</v>
      </c>
      <c r="BA9" s="456" t="s">
        <v>71</v>
      </c>
      <c r="BB9" s="453" t="s">
        <v>139</v>
      </c>
      <c r="BC9" s="454" t="s">
        <v>592</v>
      </c>
      <c r="BD9" s="455" t="s">
        <v>593</v>
      </c>
      <c r="BE9" s="454" t="s">
        <v>232</v>
      </c>
      <c r="BF9" s="455" t="s">
        <v>313</v>
      </c>
      <c r="BG9" s="455" t="s">
        <v>71</v>
      </c>
      <c r="BH9" s="448" t="s">
        <v>139</v>
      </c>
      <c r="BI9" s="340" t="s">
        <v>592</v>
      </c>
      <c r="BJ9" s="341" t="s">
        <v>593</v>
      </c>
      <c r="BK9" s="340" t="s">
        <v>232</v>
      </c>
      <c r="BL9" s="341" t="s">
        <v>313</v>
      </c>
      <c r="BM9" s="456" t="s">
        <v>71</v>
      </c>
      <c r="BN9" s="453" t="s">
        <v>139</v>
      </c>
      <c r="BO9" s="454" t="s">
        <v>592</v>
      </c>
      <c r="BP9" s="455" t="s">
        <v>593</v>
      </c>
      <c r="BQ9" s="454" t="s">
        <v>232</v>
      </c>
      <c r="BR9" s="455" t="s">
        <v>313</v>
      </c>
      <c r="BS9" s="455" t="s">
        <v>71</v>
      </c>
      <c r="BT9" s="448" t="s">
        <v>139</v>
      </c>
      <c r="BU9" s="340" t="s">
        <v>592</v>
      </c>
      <c r="BV9" s="341" t="s">
        <v>593</v>
      </c>
      <c r="BW9" s="340" t="s">
        <v>232</v>
      </c>
      <c r="BX9" s="341" t="s">
        <v>313</v>
      </c>
      <c r="BY9" s="456" t="s">
        <v>71</v>
      </c>
      <c r="BZ9" s="749"/>
      <c r="CA9" s="749"/>
    </row>
    <row r="10" spans="1:79" s="45" customFormat="1">
      <c r="A10" s="301">
        <v>1</v>
      </c>
      <c r="B10" s="296">
        <v>2</v>
      </c>
      <c r="C10" s="296">
        <v>3</v>
      </c>
      <c r="D10" s="296">
        <v>4</v>
      </c>
      <c r="E10" s="296">
        <v>5</v>
      </c>
      <c r="F10" s="336">
        <v>6</v>
      </c>
      <c r="G10" s="336">
        <v>7</v>
      </c>
      <c r="H10" s="336">
        <v>9</v>
      </c>
      <c r="I10" s="336">
        <v>10</v>
      </c>
      <c r="J10" s="336">
        <v>11</v>
      </c>
      <c r="K10" s="336">
        <v>12</v>
      </c>
      <c r="L10" s="336">
        <v>13</v>
      </c>
      <c r="M10" s="336">
        <v>15</v>
      </c>
      <c r="N10" s="336">
        <v>16</v>
      </c>
      <c r="O10" s="336">
        <v>17</v>
      </c>
      <c r="P10" s="336">
        <v>18</v>
      </c>
      <c r="Q10" s="336">
        <v>20</v>
      </c>
      <c r="R10" s="336">
        <v>22</v>
      </c>
      <c r="S10" s="336">
        <v>24</v>
      </c>
      <c r="T10" s="336">
        <v>25</v>
      </c>
      <c r="U10" s="336">
        <v>26</v>
      </c>
      <c r="V10" s="336">
        <v>27</v>
      </c>
      <c r="W10" s="336">
        <v>29</v>
      </c>
      <c r="X10" s="336">
        <v>31</v>
      </c>
      <c r="Y10" s="336">
        <v>33</v>
      </c>
      <c r="Z10" s="336">
        <v>34</v>
      </c>
      <c r="AA10" s="336">
        <v>35</v>
      </c>
      <c r="AB10" s="336">
        <v>36</v>
      </c>
      <c r="AC10" s="336">
        <v>38</v>
      </c>
      <c r="AD10" s="336">
        <v>40</v>
      </c>
      <c r="AE10" s="336">
        <v>42</v>
      </c>
      <c r="AF10" s="336">
        <v>43</v>
      </c>
      <c r="AG10" s="336">
        <v>44</v>
      </c>
      <c r="AH10" s="336">
        <v>45</v>
      </c>
      <c r="AI10" s="336">
        <v>47</v>
      </c>
      <c r="AJ10" s="336">
        <v>49</v>
      </c>
      <c r="AK10" s="336">
        <v>51</v>
      </c>
      <c r="AL10" s="336">
        <v>52</v>
      </c>
      <c r="AM10" s="336">
        <v>53</v>
      </c>
      <c r="AN10" s="336">
        <v>54</v>
      </c>
      <c r="AO10" s="336">
        <v>56</v>
      </c>
      <c r="AP10" s="336">
        <v>58</v>
      </c>
      <c r="AQ10" s="336">
        <v>60</v>
      </c>
      <c r="AR10" s="336">
        <v>61</v>
      </c>
      <c r="AS10" s="336">
        <v>62</v>
      </c>
      <c r="AT10" s="336">
        <v>63</v>
      </c>
      <c r="AU10" s="336">
        <v>65</v>
      </c>
      <c r="AV10" s="336">
        <v>67</v>
      </c>
      <c r="AW10" s="336">
        <v>69</v>
      </c>
      <c r="AX10" s="336">
        <v>70</v>
      </c>
      <c r="AY10" s="336">
        <v>71</v>
      </c>
      <c r="AZ10" s="336">
        <v>72</v>
      </c>
      <c r="BA10" s="336">
        <v>74</v>
      </c>
      <c r="BB10" s="336">
        <v>76</v>
      </c>
      <c r="BC10" s="336">
        <v>78</v>
      </c>
      <c r="BD10" s="336">
        <v>79</v>
      </c>
      <c r="BE10" s="336">
        <v>80</v>
      </c>
      <c r="BF10" s="336">
        <v>81</v>
      </c>
      <c r="BG10" s="336">
        <v>83</v>
      </c>
      <c r="BH10" s="336">
        <v>85</v>
      </c>
      <c r="BI10" s="336">
        <v>87</v>
      </c>
      <c r="BJ10" s="336">
        <v>88</v>
      </c>
      <c r="BK10" s="336">
        <v>89</v>
      </c>
      <c r="BL10" s="336">
        <v>90</v>
      </c>
      <c r="BM10" s="336">
        <v>92</v>
      </c>
      <c r="BN10" s="336">
        <v>94</v>
      </c>
      <c r="BO10" s="336">
        <v>96</v>
      </c>
      <c r="BP10" s="336">
        <v>97</v>
      </c>
      <c r="BQ10" s="336">
        <v>98</v>
      </c>
      <c r="BR10" s="336">
        <v>99</v>
      </c>
      <c r="BS10" s="336">
        <v>101</v>
      </c>
      <c r="BT10" s="336">
        <v>103</v>
      </c>
      <c r="BU10" s="336">
        <v>105</v>
      </c>
      <c r="BV10" s="336">
        <v>106</v>
      </c>
      <c r="BW10" s="336">
        <v>107</v>
      </c>
      <c r="BX10" s="336">
        <v>108</v>
      </c>
      <c r="BY10" s="336">
        <v>110</v>
      </c>
      <c r="BZ10" s="336">
        <v>111</v>
      </c>
      <c r="CA10" s="336">
        <v>112</v>
      </c>
    </row>
    <row r="11" spans="1:79" s="87" customFormat="1" ht="26.1" customHeight="1">
      <c r="A11" s="356"/>
      <c r="B11" s="698" t="s">
        <v>546</v>
      </c>
      <c r="C11" s="698"/>
      <c r="D11" s="698"/>
      <c r="E11" s="698"/>
      <c r="F11" s="698"/>
      <c r="G11" s="698"/>
      <c r="H11" s="357"/>
      <c r="I11" s="358">
        <f>[1]Нормы!D6</f>
        <v>2106</v>
      </c>
      <c r="J11" s="358">
        <f>[1]Нормы!E6</f>
        <v>1404</v>
      </c>
      <c r="K11" s="358">
        <f t="shared" ref="K11:BM11" si="0">K12+K19</f>
        <v>2106</v>
      </c>
      <c r="L11" s="358">
        <f t="shared" si="0"/>
        <v>1404</v>
      </c>
      <c r="M11" s="358">
        <f t="shared" si="0"/>
        <v>1189</v>
      </c>
      <c r="N11" s="358">
        <f t="shared" si="0"/>
        <v>215</v>
      </c>
      <c r="O11" s="358">
        <f t="shared" si="0"/>
        <v>0</v>
      </c>
      <c r="P11" s="358">
        <f t="shared" si="0"/>
        <v>0</v>
      </c>
      <c r="Q11" s="358">
        <f t="shared" si="0"/>
        <v>702</v>
      </c>
      <c r="R11" s="358">
        <f t="shared" si="0"/>
        <v>918</v>
      </c>
      <c r="S11" s="358">
        <f t="shared" si="0"/>
        <v>525</v>
      </c>
      <c r="T11" s="358">
        <f t="shared" si="0"/>
        <v>87</v>
      </c>
      <c r="U11" s="358">
        <f t="shared" si="0"/>
        <v>0</v>
      </c>
      <c r="V11" s="358">
        <f t="shared" si="0"/>
        <v>0</v>
      </c>
      <c r="W11" s="358">
        <f t="shared" si="0"/>
        <v>306</v>
      </c>
      <c r="X11" s="358">
        <f t="shared" si="0"/>
        <v>1188</v>
      </c>
      <c r="Y11" s="358">
        <f t="shared" si="0"/>
        <v>664</v>
      </c>
      <c r="Z11" s="358">
        <f t="shared" si="0"/>
        <v>128</v>
      </c>
      <c r="AA11" s="358">
        <f t="shared" si="0"/>
        <v>0</v>
      </c>
      <c r="AB11" s="358">
        <f t="shared" si="0"/>
        <v>0</v>
      </c>
      <c r="AC11" s="358">
        <f t="shared" si="0"/>
        <v>396</v>
      </c>
      <c r="AD11" s="358">
        <f t="shared" si="0"/>
        <v>0</v>
      </c>
      <c r="AE11" s="358">
        <f t="shared" si="0"/>
        <v>0</v>
      </c>
      <c r="AF11" s="358">
        <f t="shared" si="0"/>
        <v>0</v>
      </c>
      <c r="AG11" s="358">
        <f t="shared" si="0"/>
        <v>0</v>
      </c>
      <c r="AH11" s="358">
        <f t="shared" si="0"/>
        <v>0</v>
      </c>
      <c r="AI11" s="358">
        <f t="shared" si="0"/>
        <v>0</v>
      </c>
      <c r="AJ11" s="358">
        <f t="shared" si="0"/>
        <v>0</v>
      </c>
      <c r="AK11" s="358">
        <f t="shared" si="0"/>
        <v>0</v>
      </c>
      <c r="AL11" s="358">
        <f t="shared" si="0"/>
        <v>0</v>
      </c>
      <c r="AM11" s="358">
        <f t="shared" si="0"/>
        <v>0</v>
      </c>
      <c r="AN11" s="358">
        <f t="shared" si="0"/>
        <v>0</v>
      </c>
      <c r="AO11" s="358">
        <f t="shared" si="0"/>
        <v>0</v>
      </c>
      <c r="AP11" s="358">
        <f t="shared" si="0"/>
        <v>0</v>
      </c>
      <c r="AQ11" s="358">
        <f t="shared" si="0"/>
        <v>0</v>
      </c>
      <c r="AR11" s="358">
        <f t="shared" si="0"/>
        <v>0</v>
      </c>
      <c r="AS11" s="358">
        <f t="shared" si="0"/>
        <v>0</v>
      </c>
      <c r="AT11" s="358">
        <f t="shared" si="0"/>
        <v>0</v>
      </c>
      <c r="AU11" s="358">
        <f t="shared" si="0"/>
        <v>0</v>
      </c>
      <c r="AV11" s="358">
        <f t="shared" si="0"/>
        <v>0</v>
      </c>
      <c r="AW11" s="358">
        <f t="shared" si="0"/>
        <v>0</v>
      </c>
      <c r="AX11" s="358">
        <f t="shared" si="0"/>
        <v>0</v>
      </c>
      <c r="AY11" s="358">
        <f t="shared" si="0"/>
        <v>0</v>
      </c>
      <c r="AZ11" s="358">
        <f t="shared" si="0"/>
        <v>0</v>
      </c>
      <c r="BA11" s="358">
        <f t="shared" si="0"/>
        <v>0</v>
      </c>
      <c r="BB11" s="358">
        <f t="shared" si="0"/>
        <v>0</v>
      </c>
      <c r="BC11" s="358">
        <f t="shared" si="0"/>
        <v>0</v>
      </c>
      <c r="BD11" s="358">
        <f t="shared" si="0"/>
        <v>0</v>
      </c>
      <c r="BE11" s="358">
        <f t="shared" si="0"/>
        <v>0</v>
      </c>
      <c r="BF11" s="358">
        <f t="shared" si="0"/>
        <v>0</v>
      </c>
      <c r="BG11" s="358">
        <f t="shared" si="0"/>
        <v>0</v>
      </c>
      <c r="BH11" s="358">
        <f t="shared" si="0"/>
        <v>0</v>
      </c>
      <c r="BI11" s="358">
        <f t="shared" si="0"/>
        <v>0</v>
      </c>
      <c r="BJ11" s="358">
        <f t="shared" si="0"/>
        <v>0</v>
      </c>
      <c r="BK11" s="358">
        <f t="shared" si="0"/>
        <v>0</v>
      </c>
      <c r="BL11" s="358">
        <f t="shared" si="0"/>
        <v>0</v>
      </c>
      <c r="BM11" s="358">
        <f t="shared" si="0"/>
        <v>0</v>
      </c>
      <c r="BN11" s="358">
        <f t="shared" ref="BN11:BY11" si="1">BN12+BN19</f>
        <v>0</v>
      </c>
      <c r="BO11" s="358">
        <f t="shared" si="1"/>
        <v>0</v>
      </c>
      <c r="BP11" s="358">
        <f t="shared" si="1"/>
        <v>0</v>
      </c>
      <c r="BQ11" s="358">
        <f t="shared" si="1"/>
        <v>0</v>
      </c>
      <c r="BR11" s="358">
        <f t="shared" si="1"/>
        <v>0</v>
      </c>
      <c r="BS11" s="358">
        <f t="shared" si="1"/>
        <v>0</v>
      </c>
      <c r="BT11" s="358">
        <f t="shared" si="1"/>
        <v>0</v>
      </c>
      <c r="BU11" s="358">
        <f t="shared" si="1"/>
        <v>0</v>
      </c>
      <c r="BV11" s="358">
        <f t="shared" si="1"/>
        <v>0</v>
      </c>
      <c r="BW11" s="358">
        <f t="shared" si="1"/>
        <v>0</v>
      </c>
      <c r="BX11" s="358">
        <f t="shared" si="1"/>
        <v>0</v>
      </c>
      <c r="BY11" s="358">
        <f t="shared" si="1"/>
        <v>0</v>
      </c>
      <c r="BZ11" s="359"/>
      <c r="CA11" s="590"/>
    </row>
    <row r="12" spans="1:79" s="117" customFormat="1" ht="26.1" customHeight="1">
      <c r="A12" s="360"/>
      <c r="B12" s="701" t="s">
        <v>640</v>
      </c>
      <c r="C12" s="701"/>
      <c r="D12" s="361"/>
      <c r="E12" s="361"/>
      <c r="F12" s="361"/>
      <c r="G12" s="361"/>
      <c r="H12" s="361"/>
      <c r="I12" s="362" t="str">
        <f>[2]Нормы!D7</f>
        <v>-</v>
      </c>
      <c r="J12" s="362">
        <f>SUM(J13:J18)</f>
        <v>850</v>
      </c>
      <c r="K12" s="362">
        <f t="shared" ref="K12:BM12" si="2">SUM(K13:K18)</f>
        <v>1314</v>
      </c>
      <c r="L12" s="362">
        <f t="shared" si="2"/>
        <v>876</v>
      </c>
      <c r="M12" s="362">
        <f t="shared" si="2"/>
        <v>759</v>
      </c>
      <c r="N12" s="362">
        <f t="shared" si="2"/>
        <v>117</v>
      </c>
      <c r="O12" s="362">
        <f t="shared" si="2"/>
        <v>0</v>
      </c>
      <c r="P12" s="362">
        <f t="shared" si="2"/>
        <v>0</v>
      </c>
      <c r="Q12" s="362">
        <f t="shared" si="2"/>
        <v>438</v>
      </c>
      <c r="R12" s="362">
        <f t="shared" si="2"/>
        <v>529</v>
      </c>
      <c r="S12" s="362">
        <f t="shared" si="2"/>
        <v>302</v>
      </c>
      <c r="T12" s="362">
        <f t="shared" si="2"/>
        <v>51</v>
      </c>
      <c r="U12" s="362">
        <f t="shared" si="2"/>
        <v>0</v>
      </c>
      <c r="V12" s="362">
        <f t="shared" si="2"/>
        <v>0</v>
      </c>
      <c r="W12" s="362">
        <f t="shared" si="2"/>
        <v>176</v>
      </c>
      <c r="X12" s="362">
        <f t="shared" si="2"/>
        <v>785</v>
      </c>
      <c r="Y12" s="362">
        <f t="shared" si="2"/>
        <v>457</v>
      </c>
      <c r="Z12" s="362">
        <f t="shared" si="2"/>
        <v>66</v>
      </c>
      <c r="AA12" s="362">
        <f t="shared" si="2"/>
        <v>0</v>
      </c>
      <c r="AB12" s="362">
        <f t="shared" si="2"/>
        <v>0</v>
      </c>
      <c r="AC12" s="362">
        <f t="shared" si="2"/>
        <v>262</v>
      </c>
      <c r="AD12" s="362">
        <f t="shared" si="2"/>
        <v>0</v>
      </c>
      <c r="AE12" s="362">
        <f t="shared" si="2"/>
        <v>0</v>
      </c>
      <c r="AF12" s="362">
        <f t="shared" si="2"/>
        <v>0</v>
      </c>
      <c r="AG12" s="362">
        <f t="shared" si="2"/>
        <v>0</v>
      </c>
      <c r="AH12" s="362">
        <f t="shared" si="2"/>
        <v>0</v>
      </c>
      <c r="AI12" s="362">
        <f t="shared" si="2"/>
        <v>0</v>
      </c>
      <c r="AJ12" s="362">
        <f t="shared" si="2"/>
        <v>0</v>
      </c>
      <c r="AK12" s="362">
        <f t="shared" si="2"/>
        <v>0</v>
      </c>
      <c r="AL12" s="362">
        <f t="shared" si="2"/>
        <v>0</v>
      </c>
      <c r="AM12" s="362">
        <f t="shared" si="2"/>
        <v>0</v>
      </c>
      <c r="AN12" s="362">
        <f t="shared" si="2"/>
        <v>0</v>
      </c>
      <c r="AO12" s="362">
        <f t="shared" si="2"/>
        <v>0</v>
      </c>
      <c r="AP12" s="362">
        <f t="shared" si="2"/>
        <v>0</v>
      </c>
      <c r="AQ12" s="362">
        <f t="shared" si="2"/>
        <v>0</v>
      </c>
      <c r="AR12" s="362">
        <f t="shared" si="2"/>
        <v>0</v>
      </c>
      <c r="AS12" s="362">
        <f t="shared" si="2"/>
        <v>0</v>
      </c>
      <c r="AT12" s="362">
        <f t="shared" si="2"/>
        <v>0</v>
      </c>
      <c r="AU12" s="362">
        <f t="shared" si="2"/>
        <v>0</v>
      </c>
      <c r="AV12" s="362">
        <f t="shared" si="2"/>
        <v>0</v>
      </c>
      <c r="AW12" s="362">
        <f t="shared" si="2"/>
        <v>0</v>
      </c>
      <c r="AX12" s="362">
        <f t="shared" si="2"/>
        <v>0</v>
      </c>
      <c r="AY12" s="362">
        <f t="shared" si="2"/>
        <v>0</v>
      </c>
      <c r="AZ12" s="362">
        <f t="shared" si="2"/>
        <v>0</v>
      </c>
      <c r="BA12" s="362">
        <f t="shared" si="2"/>
        <v>0</v>
      </c>
      <c r="BB12" s="362">
        <f t="shared" si="2"/>
        <v>0</v>
      </c>
      <c r="BC12" s="362">
        <f t="shared" si="2"/>
        <v>0</v>
      </c>
      <c r="BD12" s="362">
        <f t="shared" si="2"/>
        <v>0</v>
      </c>
      <c r="BE12" s="362">
        <f t="shared" si="2"/>
        <v>0</v>
      </c>
      <c r="BF12" s="362">
        <f t="shared" si="2"/>
        <v>0</v>
      </c>
      <c r="BG12" s="362">
        <f t="shared" si="2"/>
        <v>0</v>
      </c>
      <c r="BH12" s="362">
        <f t="shared" si="2"/>
        <v>0</v>
      </c>
      <c r="BI12" s="362">
        <f t="shared" si="2"/>
        <v>0</v>
      </c>
      <c r="BJ12" s="362">
        <f t="shared" si="2"/>
        <v>0</v>
      </c>
      <c r="BK12" s="362">
        <f t="shared" si="2"/>
        <v>0</v>
      </c>
      <c r="BL12" s="362">
        <f t="shared" si="2"/>
        <v>0</v>
      </c>
      <c r="BM12" s="362">
        <f t="shared" si="2"/>
        <v>0</v>
      </c>
      <c r="BN12" s="362">
        <f t="shared" ref="BN12:BY12" si="3">SUM(BN13:BN18)</f>
        <v>0</v>
      </c>
      <c r="BO12" s="362">
        <f t="shared" si="3"/>
        <v>0</v>
      </c>
      <c r="BP12" s="362">
        <f t="shared" si="3"/>
        <v>0</v>
      </c>
      <c r="BQ12" s="362">
        <f t="shared" si="3"/>
        <v>0</v>
      </c>
      <c r="BR12" s="362">
        <f t="shared" si="3"/>
        <v>0</v>
      </c>
      <c r="BS12" s="362">
        <f t="shared" si="3"/>
        <v>0</v>
      </c>
      <c r="BT12" s="362">
        <f t="shared" si="3"/>
        <v>0</v>
      </c>
      <c r="BU12" s="362">
        <f t="shared" si="3"/>
        <v>0</v>
      </c>
      <c r="BV12" s="362">
        <f t="shared" si="3"/>
        <v>0</v>
      </c>
      <c r="BW12" s="362">
        <f t="shared" si="3"/>
        <v>0</v>
      </c>
      <c r="BX12" s="362">
        <f t="shared" si="3"/>
        <v>0</v>
      </c>
      <c r="BY12" s="362">
        <f t="shared" si="3"/>
        <v>0</v>
      </c>
      <c r="BZ12" s="361"/>
      <c r="CA12" s="445"/>
    </row>
    <row r="13" spans="1:79" s="89" customFormat="1" ht="26.1" customHeight="1">
      <c r="A13" s="185" t="s">
        <v>627</v>
      </c>
      <c r="B13" s="186" t="s">
        <v>598</v>
      </c>
      <c r="C13" s="94"/>
      <c r="D13" s="91" t="s">
        <v>31</v>
      </c>
      <c r="E13" s="91" t="s">
        <v>27</v>
      </c>
      <c r="F13" s="91"/>
      <c r="G13" s="91"/>
      <c r="H13" s="91" t="s">
        <v>27</v>
      </c>
      <c r="I13" s="93"/>
      <c r="J13" s="363">
        <v>195</v>
      </c>
      <c r="K13" s="92">
        <f t="shared" ref="K13:K18" si="4">L13+SUM(Q13:Q13)</f>
        <v>280</v>
      </c>
      <c r="L13" s="92">
        <f t="shared" ref="L13:L18" si="5">SUM(M13:P13)</f>
        <v>200</v>
      </c>
      <c r="M13" s="92">
        <f t="shared" ref="M13:Q18" si="6">S13+Y13+AE13+AK13+AQ13+AW13+BC13+BI13+BO13+BU13</f>
        <v>200</v>
      </c>
      <c r="N13" s="92">
        <f t="shared" si="6"/>
        <v>0</v>
      </c>
      <c r="O13" s="92">
        <f t="shared" si="6"/>
        <v>0</v>
      </c>
      <c r="P13" s="92">
        <f t="shared" si="6"/>
        <v>0</v>
      </c>
      <c r="Q13" s="92">
        <f t="shared" si="6"/>
        <v>80</v>
      </c>
      <c r="R13" s="125">
        <f t="shared" ref="R13:R18" si="7">SUM(S13:W13)</f>
        <v>94</v>
      </c>
      <c r="S13" s="93">
        <v>68</v>
      </c>
      <c r="T13" s="93"/>
      <c r="U13" s="93"/>
      <c r="V13" s="93"/>
      <c r="W13" s="93">
        <v>26</v>
      </c>
      <c r="X13" s="125">
        <f t="shared" ref="X13:X18" si="8">SUM(Y13:AC13)</f>
        <v>186</v>
      </c>
      <c r="Y13" s="93">
        <v>132</v>
      </c>
      <c r="Z13" s="93"/>
      <c r="AA13" s="93"/>
      <c r="AB13" s="93"/>
      <c r="AC13" s="93">
        <v>54</v>
      </c>
      <c r="AD13" s="125">
        <f t="shared" ref="AD13:AD18" si="9">SUM(AE13:AI13)</f>
        <v>0</v>
      </c>
      <c r="AE13" s="93"/>
      <c r="AF13" s="93"/>
      <c r="AG13" s="93"/>
      <c r="AH13" s="93"/>
      <c r="AI13" s="93"/>
      <c r="AJ13" s="125">
        <f t="shared" ref="AJ13:AJ18" si="10">SUM(AK13:AO13)</f>
        <v>0</v>
      </c>
      <c r="AK13" s="93"/>
      <c r="AL13" s="93"/>
      <c r="AM13" s="93"/>
      <c r="AN13" s="93"/>
      <c r="AO13" s="93"/>
      <c r="AP13" s="125">
        <f t="shared" ref="AP13:AP18" si="11">SUM(AQ13:AU13)</f>
        <v>0</v>
      </c>
      <c r="AQ13" s="93"/>
      <c r="AR13" s="93"/>
      <c r="AS13" s="93"/>
      <c r="AT13" s="93"/>
      <c r="AU13" s="93"/>
      <c r="AV13" s="125">
        <f t="shared" ref="AV13:AV18" si="12">SUM(AW13:BA13)</f>
        <v>0</v>
      </c>
      <c r="AW13" s="93"/>
      <c r="AX13" s="93"/>
      <c r="AY13" s="93"/>
      <c r="AZ13" s="93"/>
      <c r="BA13" s="93"/>
      <c r="BB13" s="125">
        <f t="shared" ref="BB13:BB18" si="13">SUM(BC13:BG13)</f>
        <v>0</v>
      </c>
      <c r="BC13" s="93"/>
      <c r="BD13" s="93"/>
      <c r="BE13" s="93"/>
      <c r="BF13" s="93"/>
      <c r="BG13" s="93"/>
      <c r="BH13" s="125">
        <f t="shared" ref="BH13:BH18" si="14">SUM(BI13:BM13)</f>
        <v>0</v>
      </c>
      <c r="BI13" s="93"/>
      <c r="BJ13" s="93"/>
      <c r="BK13" s="93"/>
      <c r="BL13" s="93"/>
      <c r="BM13" s="93"/>
      <c r="BN13" s="125">
        <f t="shared" ref="BN13:BN18" si="15">SUM(BO13:BS13)</f>
        <v>0</v>
      </c>
      <c r="BO13" s="93"/>
      <c r="BP13" s="93"/>
      <c r="BQ13" s="93"/>
      <c r="BR13" s="93"/>
      <c r="BS13" s="93"/>
      <c r="BT13" s="125">
        <f t="shared" ref="BT13:BT18" si="16">SUM(BU13:BY13)</f>
        <v>0</v>
      </c>
      <c r="BU13" s="93"/>
      <c r="BV13" s="93"/>
      <c r="BW13" s="93"/>
      <c r="BX13" s="93"/>
      <c r="BY13" s="93"/>
      <c r="BZ13" s="91" t="s">
        <v>498</v>
      </c>
      <c r="CA13" s="364"/>
    </row>
    <row r="14" spans="1:79" s="89" customFormat="1" ht="26.1" customHeight="1">
      <c r="A14" s="185" t="s">
        <v>628</v>
      </c>
      <c r="B14" s="286" t="s">
        <v>142</v>
      </c>
      <c r="C14" s="90"/>
      <c r="D14" s="91"/>
      <c r="E14" s="91" t="s">
        <v>31</v>
      </c>
      <c r="F14" s="91"/>
      <c r="G14" s="91"/>
      <c r="H14" s="91" t="s">
        <v>27</v>
      </c>
      <c r="I14" s="93"/>
      <c r="J14" s="363">
        <v>117</v>
      </c>
      <c r="K14" s="92">
        <f t="shared" si="4"/>
        <v>167</v>
      </c>
      <c r="L14" s="92">
        <f t="shared" si="5"/>
        <v>117</v>
      </c>
      <c r="M14" s="92">
        <f t="shared" si="6"/>
        <v>0</v>
      </c>
      <c r="N14" s="92">
        <f t="shared" si="6"/>
        <v>117</v>
      </c>
      <c r="O14" s="92">
        <f t="shared" si="6"/>
        <v>0</v>
      </c>
      <c r="P14" s="92">
        <f t="shared" si="6"/>
        <v>0</v>
      </c>
      <c r="Q14" s="92">
        <f t="shared" si="6"/>
        <v>50</v>
      </c>
      <c r="R14" s="125">
        <f t="shared" si="7"/>
        <v>69</v>
      </c>
      <c r="S14" s="93"/>
      <c r="T14" s="93">
        <v>51</v>
      </c>
      <c r="U14" s="93"/>
      <c r="V14" s="93"/>
      <c r="W14" s="93">
        <v>18</v>
      </c>
      <c r="X14" s="125">
        <f t="shared" si="8"/>
        <v>98</v>
      </c>
      <c r="Y14" s="93"/>
      <c r="Z14" s="93">
        <v>66</v>
      </c>
      <c r="AA14" s="93"/>
      <c r="AB14" s="93"/>
      <c r="AC14" s="93">
        <v>32</v>
      </c>
      <c r="AD14" s="125">
        <f t="shared" si="9"/>
        <v>0</v>
      </c>
      <c r="AE14" s="93"/>
      <c r="AF14" s="93"/>
      <c r="AG14" s="93"/>
      <c r="AH14" s="93"/>
      <c r="AI14" s="93"/>
      <c r="AJ14" s="125">
        <f t="shared" si="10"/>
        <v>0</v>
      </c>
      <c r="AK14" s="93"/>
      <c r="AL14" s="93"/>
      <c r="AM14" s="93"/>
      <c r="AN14" s="93"/>
      <c r="AO14" s="93"/>
      <c r="AP14" s="125">
        <f t="shared" si="11"/>
        <v>0</v>
      </c>
      <c r="AQ14" s="93"/>
      <c r="AR14" s="93"/>
      <c r="AS14" s="93"/>
      <c r="AT14" s="93"/>
      <c r="AU14" s="93"/>
      <c r="AV14" s="125">
        <f t="shared" si="12"/>
        <v>0</v>
      </c>
      <c r="AW14" s="93"/>
      <c r="AX14" s="93"/>
      <c r="AY14" s="93"/>
      <c r="AZ14" s="93"/>
      <c r="BA14" s="93"/>
      <c r="BB14" s="125">
        <f t="shared" si="13"/>
        <v>0</v>
      </c>
      <c r="BC14" s="93"/>
      <c r="BD14" s="93"/>
      <c r="BE14" s="93"/>
      <c r="BF14" s="93"/>
      <c r="BG14" s="93"/>
      <c r="BH14" s="125">
        <f t="shared" si="14"/>
        <v>0</v>
      </c>
      <c r="BI14" s="93"/>
      <c r="BJ14" s="93"/>
      <c r="BK14" s="93"/>
      <c r="BL14" s="93"/>
      <c r="BM14" s="93"/>
      <c r="BN14" s="125">
        <f t="shared" si="15"/>
        <v>0</v>
      </c>
      <c r="BO14" s="93"/>
      <c r="BP14" s="93"/>
      <c r="BQ14" s="93"/>
      <c r="BR14" s="93"/>
      <c r="BS14" s="93"/>
      <c r="BT14" s="125">
        <f t="shared" si="16"/>
        <v>0</v>
      </c>
      <c r="BU14" s="93"/>
      <c r="BV14" s="93"/>
      <c r="BW14" s="93"/>
      <c r="BX14" s="93"/>
      <c r="BY14" s="93"/>
      <c r="BZ14" s="91" t="s">
        <v>498</v>
      </c>
      <c r="CA14" s="364"/>
    </row>
    <row r="15" spans="1:79" s="89" customFormat="1" ht="26.1" customHeight="1">
      <c r="A15" s="185" t="s">
        <v>629</v>
      </c>
      <c r="B15" s="94" t="s">
        <v>599</v>
      </c>
      <c r="C15" s="94"/>
      <c r="D15" s="91" t="s">
        <v>31</v>
      </c>
      <c r="E15" s="91" t="s">
        <v>27</v>
      </c>
      <c r="F15" s="91"/>
      <c r="G15" s="91"/>
      <c r="H15" s="91"/>
      <c r="I15" s="93"/>
      <c r="J15" s="363">
        <v>234</v>
      </c>
      <c r="K15" s="92">
        <f t="shared" si="4"/>
        <v>368</v>
      </c>
      <c r="L15" s="92">
        <f t="shared" si="5"/>
        <v>255</v>
      </c>
      <c r="M15" s="92">
        <f t="shared" si="6"/>
        <v>255</v>
      </c>
      <c r="N15" s="92">
        <f t="shared" si="6"/>
        <v>0</v>
      </c>
      <c r="O15" s="92">
        <f t="shared" si="6"/>
        <v>0</v>
      </c>
      <c r="P15" s="92">
        <f t="shared" si="6"/>
        <v>0</v>
      </c>
      <c r="Q15" s="92">
        <f t="shared" si="6"/>
        <v>113</v>
      </c>
      <c r="R15" s="125">
        <f t="shared" si="7"/>
        <v>153</v>
      </c>
      <c r="S15" s="93">
        <v>102</v>
      </c>
      <c r="T15" s="93"/>
      <c r="U15" s="93"/>
      <c r="V15" s="93"/>
      <c r="W15" s="93">
        <v>51</v>
      </c>
      <c r="X15" s="125">
        <f t="shared" si="8"/>
        <v>215</v>
      </c>
      <c r="Y15" s="93">
        <v>153</v>
      </c>
      <c r="Z15" s="93"/>
      <c r="AA15" s="93"/>
      <c r="AB15" s="93"/>
      <c r="AC15" s="93">
        <v>62</v>
      </c>
      <c r="AD15" s="125">
        <f t="shared" si="9"/>
        <v>0</v>
      </c>
      <c r="AE15" s="93"/>
      <c r="AF15" s="93"/>
      <c r="AG15" s="93"/>
      <c r="AH15" s="93"/>
      <c r="AI15" s="93"/>
      <c r="AJ15" s="125">
        <f t="shared" si="10"/>
        <v>0</v>
      </c>
      <c r="AK15" s="93"/>
      <c r="AL15" s="93"/>
      <c r="AM15" s="93"/>
      <c r="AN15" s="93"/>
      <c r="AO15" s="93"/>
      <c r="AP15" s="125">
        <f t="shared" si="11"/>
        <v>0</v>
      </c>
      <c r="AQ15" s="93"/>
      <c r="AR15" s="93"/>
      <c r="AS15" s="93"/>
      <c r="AT15" s="93"/>
      <c r="AU15" s="93"/>
      <c r="AV15" s="125">
        <f t="shared" si="12"/>
        <v>0</v>
      </c>
      <c r="AW15" s="93"/>
      <c r="AX15" s="93"/>
      <c r="AY15" s="93"/>
      <c r="AZ15" s="93"/>
      <c r="BA15" s="93"/>
      <c r="BB15" s="125">
        <f t="shared" si="13"/>
        <v>0</v>
      </c>
      <c r="BC15" s="93"/>
      <c r="BD15" s="93"/>
      <c r="BE15" s="93"/>
      <c r="BF15" s="93"/>
      <c r="BG15" s="93"/>
      <c r="BH15" s="125">
        <f t="shared" si="14"/>
        <v>0</v>
      </c>
      <c r="BI15" s="93"/>
      <c r="BJ15" s="93"/>
      <c r="BK15" s="93"/>
      <c r="BL15" s="93"/>
      <c r="BM15" s="93"/>
      <c r="BN15" s="125">
        <f t="shared" si="15"/>
        <v>0</v>
      </c>
      <c r="BO15" s="93"/>
      <c r="BP15" s="93"/>
      <c r="BQ15" s="93"/>
      <c r="BR15" s="93"/>
      <c r="BS15" s="93"/>
      <c r="BT15" s="125">
        <f t="shared" si="16"/>
        <v>0</v>
      </c>
      <c r="BU15" s="93"/>
      <c r="BV15" s="93"/>
      <c r="BW15" s="93"/>
      <c r="BX15" s="93"/>
      <c r="BY15" s="93"/>
      <c r="BZ15" s="91" t="s">
        <v>499</v>
      </c>
      <c r="CA15" s="364"/>
    </row>
    <row r="16" spans="1:79" s="89" customFormat="1" ht="26.1" customHeight="1">
      <c r="A16" s="185" t="s">
        <v>630</v>
      </c>
      <c r="B16" s="186" t="s">
        <v>141</v>
      </c>
      <c r="C16" s="94"/>
      <c r="D16" s="91" t="s">
        <v>31</v>
      </c>
      <c r="E16" s="91"/>
      <c r="F16" s="91"/>
      <c r="G16" s="91"/>
      <c r="H16" s="91" t="s">
        <v>27</v>
      </c>
      <c r="I16" s="93"/>
      <c r="J16" s="363">
        <v>117</v>
      </c>
      <c r="K16" s="92">
        <f t="shared" si="4"/>
        <v>167</v>
      </c>
      <c r="L16" s="92">
        <f t="shared" si="5"/>
        <v>117</v>
      </c>
      <c r="M16" s="92">
        <f t="shared" si="6"/>
        <v>117</v>
      </c>
      <c r="N16" s="92">
        <f t="shared" si="6"/>
        <v>0</v>
      </c>
      <c r="O16" s="92">
        <f t="shared" si="6"/>
        <v>0</v>
      </c>
      <c r="P16" s="92">
        <f t="shared" si="6"/>
        <v>0</v>
      </c>
      <c r="Q16" s="92">
        <f t="shared" si="6"/>
        <v>50</v>
      </c>
      <c r="R16" s="125">
        <f t="shared" si="7"/>
        <v>69</v>
      </c>
      <c r="S16" s="93">
        <v>51</v>
      </c>
      <c r="T16" s="93"/>
      <c r="U16" s="93"/>
      <c r="V16" s="93"/>
      <c r="W16" s="93">
        <v>18</v>
      </c>
      <c r="X16" s="125">
        <f t="shared" si="8"/>
        <v>98</v>
      </c>
      <c r="Y16" s="93">
        <v>66</v>
      </c>
      <c r="Z16" s="93"/>
      <c r="AA16" s="93"/>
      <c r="AB16" s="93"/>
      <c r="AC16" s="93">
        <v>32</v>
      </c>
      <c r="AD16" s="125">
        <f t="shared" si="9"/>
        <v>0</v>
      </c>
      <c r="AE16" s="93"/>
      <c r="AF16" s="93"/>
      <c r="AG16" s="93"/>
      <c r="AH16" s="93"/>
      <c r="AI16" s="93"/>
      <c r="AJ16" s="125">
        <f t="shared" si="10"/>
        <v>0</v>
      </c>
      <c r="AK16" s="93"/>
      <c r="AL16" s="93"/>
      <c r="AM16" s="93"/>
      <c r="AN16" s="93"/>
      <c r="AO16" s="93"/>
      <c r="AP16" s="125">
        <f t="shared" si="11"/>
        <v>0</v>
      </c>
      <c r="AQ16" s="93"/>
      <c r="AR16" s="93"/>
      <c r="AS16" s="93"/>
      <c r="AT16" s="93"/>
      <c r="AU16" s="93"/>
      <c r="AV16" s="125">
        <f t="shared" si="12"/>
        <v>0</v>
      </c>
      <c r="AW16" s="93"/>
      <c r="AX16" s="93"/>
      <c r="AY16" s="93"/>
      <c r="AZ16" s="93"/>
      <c r="BA16" s="93"/>
      <c r="BB16" s="125">
        <f t="shared" si="13"/>
        <v>0</v>
      </c>
      <c r="BC16" s="93"/>
      <c r="BD16" s="93"/>
      <c r="BE16" s="93"/>
      <c r="BF16" s="93"/>
      <c r="BG16" s="93"/>
      <c r="BH16" s="125">
        <f t="shared" si="14"/>
        <v>0</v>
      </c>
      <c r="BI16" s="93"/>
      <c r="BJ16" s="93"/>
      <c r="BK16" s="93"/>
      <c r="BL16" s="93"/>
      <c r="BM16" s="93"/>
      <c r="BN16" s="125">
        <f t="shared" si="15"/>
        <v>0</v>
      </c>
      <c r="BO16" s="93"/>
      <c r="BP16" s="93"/>
      <c r="BQ16" s="93"/>
      <c r="BR16" s="93"/>
      <c r="BS16" s="93"/>
      <c r="BT16" s="125">
        <f t="shared" si="16"/>
        <v>0</v>
      </c>
      <c r="BU16" s="93"/>
      <c r="BV16" s="93"/>
      <c r="BW16" s="93"/>
      <c r="BX16" s="93"/>
      <c r="BY16" s="93"/>
      <c r="BZ16" s="91" t="s">
        <v>498</v>
      </c>
      <c r="CA16" s="364"/>
    </row>
    <row r="17" spans="1:79" s="89" customFormat="1" ht="26.1" customHeight="1">
      <c r="A17" s="185" t="s">
        <v>631</v>
      </c>
      <c r="B17" s="342" t="s">
        <v>7</v>
      </c>
      <c r="C17" s="90"/>
      <c r="D17" s="91"/>
      <c r="E17" s="91" t="s">
        <v>295</v>
      </c>
      <c r="F17" s="91"/>
      <c r="G17" s="91"/>
      <c r="H17" s="91"/>
      <c r="I17" s="93"/>
      <c r="J17" s="363">
        <v>117</v>
      </c>
      <c r="K17" s="92">
        <f t="shared" si="4"/>
        <v>234</v>
      </c>
      <c r="L17" s="92">
        <f t="shared" si="5"/>
        <v>117</v>
      </c>
      <c r="M17" s="92">
        <f t="shared" si="6"/>
        <v>117</v>
      </c>
      <c r="N17" s="92">
        <f t="shared" si="6"/>
        <v>0</v>
      </c>
      <c r="O17" s="92">
        <f t="shared" si="6"/>
        <v>0</v>
      </c>
      <c r="P17" s="92">
        <f t="shared" si="6"/>
        <v>0</v>
      </c>
      <c r="Q17" s="92">
        <f t="shared" si="6"/>
        <v>117</v>
      </c>
      <c r="R17" s="125">
        <f t="shared" si="7"/>
        <v>102</v>
      </c>
      <c r="S17" s="93">
        <v>51</v>
      </c>
      <c r="T17" s="93"/>
      <c r="U17" s="93"/>
      <c r="V17" s="93"/>
      <c r="W17" s="93">
        <v>51</v>
      </c>
      <c r="X17" s="125">
        <f t="shared" si="8"/>
        <v>132</v>
      </c>
      <c r="Y17" s="93">
        <v>66</v>
      </c>
      <c r="Z17" s="93"/>
      <c r="AA17" s="93"/>
      <c r="AB17" s="93"/>
      <c r="AC17" s="93">
        <v>66</v>
      </c>
      <c r="AD17" s="125">
        <f t="shared" si="9"/>
        <v>0</v>
      </c>
      <c r="AE17" s="93"/>
      <c r="AF17" s="93"/>
      <c r="AG17" s="93"/>
      <c r="AH17" s="93"/>
      <c r="AI17" s="93"/>
      <c r="AJ17" s="125">
        <f t="shared" si="10"/>
        <v>0</v>
      </c>
      <c r="AK17" s="93"/>
      <c r="AL17" s="93"/>
      <c r="AM17" s="93"/>
      <c r="AN17" s="93"/>
      <c r="AO17" s="93"/>
      <c r="AP17" s="125">
        <f t="shared" si="11"/>
        <v>0</v>
      </c>
      <c r="AQ17" s="93"/>
      <c r="AR17" s="93"/>
      <c r="AS17" s="93"/>
      <c r="AT17" s="93"/>
      <c r="AU17" s="93"/>
      <c r="AV17" s="125">
        <f t="shared" si="12"/>
        <v>0</v>
      </c>
      <c r="AW17" s="93"/>
      <c r="AX17" s="93"/>
      <c r="AY17" s="93"/>
      <c r="AZ17" s="93"/>
      <c r="BA17" s="93"/>
      <c r="BB17" s="125">
        <f t="shared" si="13"/>
        <v>0</v>
      </c>
      <c r="BC17" s="93"/>
      <c r="BD17" s="93"/>
      <c r="BE17" s="93"/>
      <c r="BF17" s="93"/>
      <c r="BG17" s="93"/>
      <c r="BH17" s="125">
        <f t="shared" si="14"/>
        <v>0</v>
      </c>
      <c r="BI17" s="93"/>
      <c r="BJ17" s="93"/>
      <c r="BK17" s="93"/>
      <c r="BL17" s="93"/>
      <c r="BM17" s="93"/>
      <c r="BN17" s="125">
        <f t="shared" si="15"/>
        <v>0</v>
      </c>
      <c r="BO17" s="93"/>
      <c r="BP17" s="93"/>
      <c r="BQ17" s="93"/>
      <c r="BR17" s="93"/>
      <c r="BS17" s="93"/>
      <c r="BT17" s="125">
        <f t="shared" si="16"/>
        <v>0</v>
      </c>
      <c r="BU17" s="93"/>
      <c r="BV17" s="93"/>
      <c r="BW17" s="93"/>
      <c r="BX17" s="93"/>
      <c r="BY17" s="93"/>
      <c r="BZ17" s="91" t="s">
        <v>500</v>
      </c>
      <c r="CA17" s="364"/>
    </row>
    <row r="18" spans="1:79" s="89" customFormat="1" ht="26.1" customHeight="1">
      <c r="A18" s="185" t="s">
        <v>632</v>
      </c>
      <c r="B18" s="286" t="s">
        <v>495</v>
      </c>
      <c r="C18" s="90"/>
      <c r="D18" s="91"/>
      <c r="E18" s="91" t="s">
        <v>31</v>
      </c>
      <c r="F18" s="91"/>
      <c r="G18" s="91"/>
      <c r="H18" s="91" t="s">
        <v>27</v>
      </c>
      <c r="I18" s="93"/>
      <c r="J18" s="363">
        <v>70</v>
      </c>
      <c r="K18" s="92">
        <f t="shared" si="4"/>
        <v>98</v>
      </c>
      <c r="L18" s="92">
        <f t="shared" si="5"/>
        <v>70</v>
      </c>
      <c r="M18" s="92">
        <f t="shared" si="6"/>
        <v>70</v>
      </c>
      <c r="N18" s="92">
        <f t="shared" si="6"/>
        <v>0</v>
      </c>
      <c r="O18" s="92">
        <f t="shared" si="6"/>
        <v>0</v>
      </c>
      <c r="P18" s="92">
        <f t="shared" si="6"/>
        <v>0</v>
      </c>
      <c r="Q18" s="92">
        <f t="shared" si="6"/>
        <v>28</v>
      </c>
      <c r="R18" s="125">
        <f t="shared" si="7"/>
        <v>42</v>
      </c>
      <c r="S18" s="93">
        <v>30</v>
      </c>
      <c r="T18" s="93"/>
      <c r="U18" s="93"/>
      <c r="V18" s="93"/>
      <c r="W18" s="93">
        <v>12</v>
      </c>
      <c r="X18" s="125">
        <f t="shared" si="8"/>
        <v>56</v>
      </c>
      <c r="Y18" s="93">
        <v>40</v>
      </c>
      <c r="Z18" s="93"/>
      <c r="AA18" s="93"/>
      <c r="AB18" s="93"/>
      <c r="AC18" s="93">
        <v>16</v>
      </c>
      <c r="AD18" s="125">
        <f t="shared" si="9"/>
        <v>0</v>
      </c>
      <c r="AE18" s="93"/>
      <c r="AF18" s="93"/>
      <c r="AG18" s="93"/>
      <c r="AH18" s="93"/>
      <c r="AI18" s="93"/>
      <c r="AJ18" s="125">
        <f t="shared" si="10"/>
        <v>0</v>
      </c>
      <c r="AK18" s="93"/>
      <c r="AL18" s="93"/>
      <c r="AM18" s="93"/>
      <c r="AN18" s="93"/>
      <c r="AO18" s="93"/>
      <c r="AP18" s="125">
        <f t="shared" si="11"/>
        <v>0</v>
      </c>
      <c r="AQ18" s="93"/>
      <c r="AR18" s="93"/>
      <c r="AS18" s="93"/>
      <c r="AT18" s="93"/>
      <c r="AU18" s="93"/>
      <c r="AV18" s="125">
        <f t="shared" si="12"/>
        <v>0</v>
      </c>
      <c r="AW18" s="93"/>
      <c r="AX18" s="93"/>
      <c r="AY18" s="93"/>
      <c r="AZ18" s="93"/>
      <c r="BA18" s="93"/>
      <c r="BB18" s="125">
        <f t="shared" si="13"/>
        <v>0</v>
      </c>
      <c r="BC18" s="93"/>
      <c r="BD18" s="93"/>
      <c r="BE18" s="93"/>
      <c r="BF18" s="93"/>
      <c r="BG18" s="93"/>
      <c r="BH18" s="125">
        <f t="shared" si="14"/>
        <v>0</v>
      </c>
      <c r="BI18" s="93"/>
      <c r="BJ18" s="93"/>
      <c r="BK18" s="93"/>
      <c r="BL18" s="93"/>
      <c r="BM18" s="93"/>
      <c r="BN18" s="125">
        <f t="shared" si="15"/>
        <v>0</v>
      </c>
      <c r="BO18" s="93"/>
      <c r="BP18" s="93"/>
      <c r="BQ18" s="93"/>
      <c r="BR18" s="93"/>
      <c r="BS18" s="93"/>
      <c r="BT18" s="125">
        <f t="shared" si="16"/>
        <v>0</v>
      </c>
      <c r="BU18" s="93"/>
      <c r="BV18" s="93"/>
      <c r="BW18" s="93"/>
      <c r="BX18" s="93"/>
      <c r="BY18" s="93"/>
      <c r="BZ18" s="91" t="s">
        <v>499</v>
      </c>
      <c r="CA18" s="364"/>
    </row>
    <row r="19" spans="1:79" s="117" customFormat="1" ht="26.1" customHeight="1">
      <c r="A19" s="360"/>
      <c r="B19" s="701" t="s">
        <v>641</v>
      </c>
      <c r="C19" s="701"/>
      <c r="D19" s="701"/>
      <c r="E19" s="701"/>
      <c r="F19" s="701"/>
      <c r="G19" s="701"/>
      <c r="H19" s="701"/>
      <c r="I19" s="362" t="s">
        <v>22</v>
      </c>
      <c r="J19" s="362">
        <f>SUM(J20:J26)</f>
        <v>515</v>
      </c>
      <c r="K19" s="362">
        <f t="shared" ref="K19:O19" si="17">SUM(K20:K26)</f>
        <v>792</v>
      </c>
      <c r="L19" s="362">
        <f t="shared" si="17"/>
        <v>528</v>
      </c>
      <c r="M19" s="362">
        <f t="shared" si="17"/>
        <v>430</v>
      </c>
      <c r="N19" s="362">
        <f t="shared" si="17"/>
        <v>98</v>
      </c>
      <c r="O19" s="362">
        <f t="shared" si="17"/>
        <v>0</v>
      </c>
      <c r="P19" s="362"/>
      <c r="Q19" s="362">
        <f t="shared" ref="Q19:BR19" si="18">SUM(Q20:Q26)</f>
        <v>264</v>
      </c>
      <c r="R19" s="362">
        <f t="shared" si="18"/>
        <v>389</v>
      </c>
      <c r="S19" s="362">
        <f t="shared" si="18"/>
        <v>223</v>
      </c>
      <c r="T19" s="362">
        <f t="shared" si="18"/>
        <v>36</v>
      </c>
      <c r="U19" s="362">
        <f t="shared" si="18"/>
        <v>0</v>
      </c>
      <c r="V19" s="362">
        <f t="shared" si="18"/>
        <v>0</v>
      </c>
      <c r="W19" s="362">
        <f t="shared" si="18"/>
        <v>130</v>
      </c>
      <c r="X19" s="362">
        <f t="shared" si="18"/>
        <v>403</v>
      </c>
      <c r="Y19" s="365">
        <f t="shared" si="18"/>
        <v>207</v>
      </c>
      <c r="Z19" s="365">
        <f t="shared" si="18"/>
        <v>62</v>
      </c>
      <c r="AA19" s="365">
        <f t="shared" si="18"/>
        <v>0</v>
      </c>
      <c r="AB19" s="362">
        <f t="shared" si="18"/>
        <v>0</v>
      </c>
      <c r="AC19" s="362">
        <f t="shared" si="18"/>
        <v>134</v>
      </c>
      <c r="AD19" s="362">
        <f t="shared" si="18"/>
        <v>0</v>
      </c>
      <c r="AE19" s="362">
        <f t="shared" si="18"/>
        <v>0</v>
      </c>
      <c r="AF19" s="362">
        <f t="shared" si="18"/>
        <v>0</v>
      </c>
      <c r="AG19" s="362">
        <f t="shared" si="18"/>
        <v>0</v>
      </c>
      <c r="AH19" s="362">
        <f t="shared" si="18"/>
        <v>0</v>
      </c>
      <c r="AI19" s="362">
        <f t="shared" si="18"/>
        <v>0</v>
      </c>
      <c r="AJ19" s="362">
        <f t="shared" si="18"/>
        <v>0</v>
      </c>
      <c r="AK19" s="362">
        <f t="shared" si="18"/>
        <v>0</v>
      </c>
      <c r="AL19" s="362">
        <f t="shared" si="18"/>
        <v>0</v>
      </c>
      <c r="AM19" s="362">
        <f t="shared" si="18"/>
        <v>0</v>
      </c>
      <c r="AN19" s="362">
        <f t="shared" si="18"/>
        <v>0</v>
      </c>
      <c r="AO19" s="362">
        <f t="shared" si="18"/>
        <v>0</v>
      </c>
      <c r="AP19" s="362">
        <f t="shared" si="18"/>
        <v>0</v>
      </c>
      <c r="AQ19" s="362">
        <f t="shared" si="18"/>
        <v>0</v>
      </c>
      <c r="AR19" s="362">
        <f t="shared" si="18"/>
        <v>0</v>
      </c>
      <c r="AS19" s="362">
        <f t="shared" si="18"/>
        <v>0</v>
      </c>
      <c r="AT19" s="362">
        <f t="shared" si="18"/>
        <v>0</v>
      </c>
      <c r="AU19" s="362">
        <f t="shared" si="18"/>
        <v>0</v>
      </c>
      <c r="AV19" s="362">
        <f t="shared" si="18"/>
        <v>0</v>
      </c>
      <c r="AW19" s="362">
        <f t="shared" si="18"/>
        <v>0</v>
      </c>
      <c r="AX19" s="362">
        <f t="shared" si="18"/>
        <v>0</v>
      </c>
      <c r="AY19" s="362">
        <f t="shared" si="18"/>
        <v>0</v>
      </c>
      <c r="AZ19" s="362">
        <f t="shared" si="18"/>
        <v>0</v>
      </c>
      <c r="BA19" s="362">
        <f t="shared" si="18"/>
        <v>0</v>
      </c>
      <c r="BB19" s="362">
        <f t="shared" si="18"/>
        <v>0</v>
      </c>
      <c r="BC19" s="362">
        <f t="shared" si="18"/>
        <v>0</v>
      </c>
      <c r="BD19" s="362">
        <f t="shared" si="18"/>
        <v>0</v>
      </c>
      <c r="BE19" s="362">
        <f t="shared" si="18"/>
        <v>0</v>
      </c>
      <c r="BF19" s="362">
        <f t="shared" si="18"/>
        <v>0</v>
      </c>
      <c r="BG19" s="362">
        <f t="shared" si="18"/>
        <v>0</v>
      </c>
      <c r="BH19" s="362">
        <f t="shared" si="18"/>
        <v>0</v>
      </c>
      <c r="BI19" s="362">
        <f t="shared" si="18"/>
        <v>0</v>
      </c>
      <c r="BJ19" s="362">
        <f t="shared" si="18"/>
        <v>0</v>
      </c>
      <c r="BK19" s="362">
        <f t="shared" si="18"/>
        <v>0</v>
      </c>
      <c r="BL19" s="362">
        <f t="shared" si="18"/>
        <v>0</v>
      </c>
      <c r="BM19" s="362">
        <f t="shared" si="18"/>
        <v>0</v>
      </c>
      <c r="BN19" s="362">
        <f t="shared" si="18"/>
        <v>0</v>
      </c>
      <c r="BO19" s="362">
        <f t="shared" si="18"/>
        <v>0</v>
      </c>
      <c r="BP19" s="362">
        <f t="shared" si="18"/>
        <v>0</v>
      </c>
      <c r="BQ19" s="362">
        <f t="shared" si="18"/>
        <v>0</v>
      </c>
      <c r="BR19" s="362">
        <f t="shared" si="18"/>
        <v>0</v>
      </c>
      <c r="BS19" s="362">
        <f t="shared" ref="BS19:BY19" si="19">SUM(BS20:BS26)</f>
        <v>0</v>
      </c>
      <c r="BT19" s="362">
        <f t="shared" si="19"/>
        <v>0</v>
      </c>
      <c r="BU19" s="362">
        <f t="shared" si="19"/>
        <v>0</v>
      </c>
      <c r="BV19" s="362">
        <f t="shared" si="19"/>
        <v>0</v>
      </c>
      <c r="BW19" s="362">
        <f t="shared" si="19"/>
        <v>0</v>
      </c>
      <c r="BX19" s="362">
        <f t="shared" si="19"/>
        <v>0</v>
      </c>
      <c r="BY19" s="362">
        <f t="shared" si="19"/>
        <v>0</v>
      </c>
      <c r="BZ19" s="361"/>
      <c r="CA19" s="445"/>
    </row>
    <row r="20" spans="1:79" s="89" customFormat="1" ht="26.1" customHeight="1">
      <c r="A20" s="185" t="s">
        <v>633</v>
      </c>
      <c r="B20" s="94" t="s">
        <v>144</v>
      </c>
      <c r="C20" s="94"/>
      <c r="D20" s="91"/>
      <c r="E20" s="91" t="s">
        <v>31</v>
      </c>
      <c r="F20" s="91"/>
      <c r="G20" s="91"/>
      <c r="H20" s="91" t="s">
        <v>27</v>
      </c>
      <c r="I20" s="93"/>
      <c r="J20" s="363">
        <v>100</v>
      </c>
      <c r="K20" s="92">
        <f t="shared" ref="K20:K26" si="20">L20+SUM(Q20:Q20)</f>
        <v>150</v>
      </c>
      <c r="L20" s="92">
        <f t="shared" ref="L20:L26" si="21">SUM(M20:P20)</f>
        <v>100</v>
      </c>
      <c r="M20" s="92">
        <f t="shared" ref="M20:Q26" si="22">S20+Y20+AE20+AK20+AQ20+AW20+BC20+BI20+BO20+BU20</f>
        <v>60</v>
      </c>
      <c r="N20" s="92">
        <f t="shared" si="22"/>
        <v>40</v>
      </c>
      <c r="O20" s="92">
        <f t="shared" si="22"/>
        <v>0</v>
      </c>
      <c r="P20" s="92">
        <f t="shared" si="22"/>
        <v>0</v>
      </c>
      <c r="Q20" s="92">
        <f t="shared" si="22"/>
        <v>50</v>
      </c>
      <c r="R20" s="125">
        <f t="shared" ref="R20:R26" si="23">SUM(S20:W20)</f>
        <v>51</v>
      </c>
      <c r="S20" s="93">
        <v>22</v>
      </c>
      <c r="T20" s="93">
        <v>12</v>
      </c>
      <c r="U20" s="93"/>
      <c r="V20" s="93"/>
      <c r="W20" s="93">
        <v>17</v>
      </c>
      <c r="X20" s="125">
        <f t="shared" ref="X20:X26" si="24">SUM(Y20:AC20)</f>
        <v>99</v>
      </c>
      <c r="Y20" s="93">
        <v>38</v>
      </c>
      <c r="Z20" s="93">
        <v>28</v>
      </c>
      <c r="AA20" s="93"/>
      <c r="AB20" s="93"/>
      <c r="AC20" s="93">
        <v>33</v>
      </c>
      <c r="AD20" s="125">
        <f>SUM(AE20:AI20)</f>
        <v>0</v>
      </c>
      <c r="AE20" s="93"/>
      <c r="AF20" s="93"/>
      <c r="AG20" s="93"/>
      <c r="AH20" s="93"/>
      <c r="AI20" s="93"/>
      <c r="AJ20" s="125">
        <f>SUM(AK20:AO20)</f>
        <v>0</v>
      </c>
      <c r="AK20" s="93"/>
      <c r="AL20" s="93"/>
      <c r="AM20" s="93"/>
      <c r="AN20" s="93"/>
      <c r="AO20" s="93"/>
      <c r="AP20" s="125">
        <f>SUM(AQ20:AU20)</f>
        <v>0</v>
      </c>
      <c r="AQ20" s="93"/>
      <c r="AR20" s="93"/>
      <c r="AS20" s="93"/>
      <c r="AT20" s="93"/>
      <c r="AU20" s="93"/>
      <c r="AV20" s="125">
        <f>SUM(AW20:BA20)</f>
        <v>0</v>
      </c>
      <c r="AW20" s="93"/>
      <c r="AX20" s="93"/>
      <c r="AY20" s="93"/>
      <c r="AZ20" s="93"/>
      <c r="BA20" s="93"/>
      <c r="BB20" s="125">
        <f>SUM(BC20:BG20)</f>
        <v>0</v>
      </c>
      <c r="BC20" s="93"/>
      <c r="BD20" s="93"/>
      <c r="BE20" s="93"/>
      <c r="BF20" s="93"/>
      <c r="BG20" s="93"/>
      <c r="BH20" s="125">
        <f>SUM(BI20:BM20)</f>
        <v>0</v>
      </c>
      <c r="BI20" s="93"/>
      <c r="BJ20" s="93"/>
      <c r="BK20" s="93"/>
      <c r="BL20" s="93"/>
      <c r="BM20" s="93"/>
      <c r="BN20" s="125">
        <f>SUM(BO20:BS20)</f>
        <v>0</v>
      </c>
      <c r="BO20" s="93"/>
      <c r="BP20" s="93"/>
      <c r="BQ20" s="93"/>
      <c r="BR20" s="93"/>
      <c r="BS20" s="93"/>
      <c r="BT20" s="125">
        <f>SUM(BU20:BY20)</f>
        <v>0</v>
      </c>
      <c r="BU20" s="93"/>
      <c r="BV20" s="93"/>
      <c r="BW20" s="93"/>
      <c r="BX20" s="93"/>
      <c r="BY20" s="93"/>
      <c r="BZ20" s="91" t="s">
        <v>499</v>
      </c>
      <c r="CA20" s="364"/>
    </row>
    <row r="21" spans="1:79" s="89" customFormat="1" ht="26.1" customHeight="1">
      <c r="A21" s="185" t="s">
        <v>634</v>
      </c>
      <c r="B21" s="94" t="s">
        <v>188</v>
      </c>
      <c r="C21" s="94"/>
      <c r="D21" s="91" t="s">
        <v>31</v>
      </c>
      <c r="E21" s="91"/>
      <c r="F21" s="91"/>
      <c r="G21" s="91"/>
      <c r="H21" s="91" t="s">
        <v>27</v>
      </c>
      <c r="I21" s="93"/>
      <c r="J21" s="363">
        <v>121</v>
      </c>
      <c r="K21" s="92">
        <f t="shared" si="20"/>
        <v>201</v>
      </c>
      <c r="L21" s="92">
        <f t="shared" si="21"/>
        <v>134</v>
      </c>
      <c r="M21" s="92">
        <f t="shared" si="22"/>
        <v>96</v>
      </c>
      <c r="N21" s="92">
        <f t="shared" si="22"/>
        <v>38</v>
      </c>
      <c r="O21" s="92">
        <f t="shared" si="22"/>
        <v>0</v>
      </c>
      <c r="P21" s="92">
        <f t="shared" si="22"/>
        <v>0</v>
      </c>
      <c r="Q21" s="92">
        <f t="shared" si="22"/>
        <v>67</v>
      </c>
      <c r="R21" s="125">
        <f t="shared" si="23"/>
        <v>102</v>
      </c>
      <c r="S21" s="93">
        <v>52</v>
      </c>
      <c r="T21" s="93">
        <v>16</v>
      </c>
      <c r="U21" s="93"/>
      <c r="V21" s="93"/>
      <c r="W21" s="93">
        <v>34</v>
      </c>
      <c r="X21" s="125">
        <f t="shared" si="24"/>
        <v>99</v>
      </c>
      <c r="Y21" s="93">
        <v>44</v>
      </c>
      <c r="Z21" s="93">
        <v>22</v>
      </c>
      <c r="AA21" s="93"/>
      <c r="AB21" s="93"/>
      <c r="AC21" s="93">
        <v>33</v>
      </c>
      <c r="AD21" s="125">
        <f>SUM(AE21:AI21)</f>
        <v>0</v>
      </c>
      <c r="AE21" s="93"/>
      <c r="AF21" s="93"/>
      <c r="AG21" s="93"/>
      <c r="AH21" s="93"/>
      <c r="AI21" s="93"/>
      <c r="AJ21" s="125">
        <f>SUM(AK21:AO21)</f>
        <v>0</v>
      </c>
      <c r="AK21" s="93"/>
      <c r="AL21" s="93"/>
      <c r="AM21" s="93"/>
      <c r="AN21" s="93"/>
      <c r="AO21" s="93"/>
      <c r="AP21" s="125">
        <f>SUM(AQ21:AU21)</f>
        <v>0</v>
      </c>
      <c r="AQ21" s="93"/>
      <c r="AR21" s="93"/>
      <c r="AS21" s="93"/>
      <c r="AT21" s="93"/>
      <c r="AU21" s="93"/>
      <c r="AV21" s="125">
        <f>SUM(AW21:BA21)</f>
        <v>0</v>
      </c>
      <c r="AW21" s="93"/>
      <c r="AX21" s="93"/>
      <c r="AY21" s="93"/>
      <c r="AZ21" s="93"/>
      <c r="BA21" s="93"/>
      <c r="BB21" s="125">
        <f>SUM(BC21:BG21)</f>
        <v>0</v>
      </c>
      <c r="BC21" s="93"/>
      <c r="BD21" s="93"/>
      <c r="BE21" s="93"/>
      <c r="BF21" s="93"/>
      <c r="BG21" s="93"/>
      <c r="BH21" s="125">
        <f>SUM(BI21:BM21)</f>
        <v>0</v>
      </c>
      <c r="BI21" s="93"/>
      <c r="BJ21" s="93"/>
      <c r="BK21" s="93"/>
      <c r="BL21" s="93"/>
      <c r="BM21" s="93"/>
      <c r="BN21" s="125">
        <f>SUM(BO21:BS21)</f>
        <v>0</v>
      </c>
      <c r="BO21" s="93"/>
      <c r="BP21" s="93"/>
      <c r="BQ21" s="93"/>
      <c r="BR21" s="93"/>
      <c r="BS21" s="93"/>
      <c r="BT21" s="125">
        <f>SUM(BU21:BY21)</f>
        <v>0</v>
      </c>
      <c r="BU21" s="93"/>
      <c r="BV21" s="93"/>
      <c r="BW21" s="93"/>
      <c r="BX21" s="93"/>
      <c r="BY21" s="93"/>
      <c r="BZ21" s="91" t="s">
        <v>499</v>
      </c>
      <c r="CA21" s="364"/>
    </row>
    <row r="22" spans="1:79" s="89" customFormat="1" ht="26.1" customHeight="1">
      <c r="A22" s="185" t="s">
        <v>635</v>
      </c>
      <c r="B22" s="186" t="s">
        <v>186</v>
      </c>
      <c r="C22" s="94"/>
      <c r="D22" s="91"/>
      <c r="E22" s="91" t="s">
        <v>31</v>
      </c>
      <c r="F22" s="91"/>
      <c r="G22" s="91"/>
      <c r="H22" s="91" t="s">
        <v>27</v>
      </c>
      <c r="I22" s="93"/>
      <c r="J22" s="363">
        <v>78</v>
      </c>
      <c r="K22" s="92">
        <f t="shared" si="20"/>
        <v>117</v>
      </c>
      <c r="L22" s="92">
        <f t="shared" si="21"/>
        <v>78</v>
      </c>
      <c r="M22" s="92">
        <f t="shared" si="22"/>
        <v>58</v>
      </c>
      <c r="N22" s="92">
        <f t="shared" si="22"/>
        <v>20</v>
      </c>
      <c r="O22" s="92">
        <f t="shared" si="22"/>
        <v>0</v>
      </c>
      <c r="P22" s="92">
        <f t="shared" si="22"/>
        <v>0</v>
      </c>
      <c r="Q22" s="92">
        <f t="shared" si="22"/>
        <v>39</v>
      </c>
      <c r="R22" s="125">
        <f t="shared" si="23"/>
        <v>51</v>
      </c>
      <c r="S22" s="93">
        <v>26</v>
      </c>
      <c r="T22" s="93">
        <v>8</v>
      </c>
      <c r="U22" s="93"/>
      <c r="V22" s="93"/>
      <c r="W22" s="93">
        <v>17</v>
      </c>
      <c r="X22" s="125">
        <f t="shared" si="24"/>
        <v>66</v>
      </c>
      <c r="Y22" s="93">
        <v>32</v>
      </c>
      <c r="Z22" s="93">
        <v>12</v>
      </c>
      <c r="AA22" s="93"/>
      <c r="AB22" s="93"/>
      <c r="AC22" s="93">
        <v>22</v>
      </c>
      <c r="AD22" s="125">
        <f>SUM(AE22:AI22)</f>
        <v>0</v>
      </c>
      <c r="AE22" s="93"/>
      <c r="AF22" s="93"/>
      <c r="AG22" s="93"/>
      <c r="AH22" s="93"/>
      <c r="AI22" s="93"/>
      <c r="AJ22" s="125">
        <f>SUM(AK22:AO22)</f>
        <v>0</v>
      </c>
      <c r="AK22" s="93"/>
      <c r="AL22" s="93"/>
      <c r="AM22" s="93"/>
      <c r="AN22" s="93"/>
      <c r="AO22" s="93"/>
      <c r="AP22" s="125">
        <f>SUM(AQ22:AU22)</f>
        <v>0</v>
      </c>
      <c r="AQ22" s="93"/>
      <c r="AR22" s="93"/>
      <c r="AS22" s="93"/>
      <c r="AT22" s="93"/>
      <c r="AU22" s="93"/>
      <c r="AV22" s="125">
        <f>SUM(AW22:BA22)</f>
        <v>0</v>
      </c>
      <c r="AW22" s="93"/>
      <c r="AX22" s="93"/>
      <c r="AY22" s="93"/>
      <c r="AZ22" s="93"/>
      <c r="BA22" s="93"/>
      <c r="BB22" s="125">
        <f>SUM(BC22:BG22)</f>
        <v>0</v>
      </c>
      <c r="BC22" s="93"/>
      <c r="BD22" s="93"/>
      <c r="BE22" s="93"/>
      <c r="BF22" s="93"/>
      <c r="BG22" s="93"/>
      <c r="BH22" s="125">
        <f>SUM(BI22:BM22)</f>
        <v>0</v>
      </c>
      <c r="BI22" s="93"/>
      <c r="BJ22" s="93"/>
      <c r="BK22" s="93"/>
      <c r="BL22" s="93"/>
      <c r="BM22" s="93"/>
      <c r="BN22" s="125">
        <f>SUM(BO22:BS22)</f>
        <v>0</v>
      </c>
      <c r="BO22" s="93"/>
      <c r="BP22" s="93"/>
      <c r="BQ22" s="93"/>
      <c r="BR22" s="93"/>
      <c r="BS22" s="93"/>
      <c r="BT22" s="125">
        <f>SUM(BU22:BY22)</f>
        <v>0</v>
      </c>
      <c r="BU22" s="93"/>
      <c r="BV22" s="93"/>
      <c r="BW22" s="93"/>
      <c r="BX22" s="93"/>
      <c r="BY22" s="93"/>
      <c r="BZ22" s="91" t="s">
        <v>499</v>
      </c>
      <c r="CA22" s="364"/>
    </row>
    <row r="23" spans="1:79" s="89" customFormat="1" ht="26.1" customHeight="1">
      <c r="A23" s="185" t="s">
        <v>636</v>
      </c>
      <c r="B23" s="186" t="s">
        <v>185</v>
      </c>
      <c r="C23" s="94"/>
      <c r="D23" s="91"/>
      <c r="E23" s="91" t="s">
        <v>31</v>
      </c>
      <c r="F23" s="91"/>
      <c r="G23" s="91"/>
      <c r="H23" s="91" t="s">
        <v>27</v>
      </c>
      <c r="I23" s="93"/>
      <c r="J23" s="363">
        <v>108</v>
      </c>
      <c r="K23" s="92">
        <f t="shared" si="20"/>
        <v>162</v>
      </c>
      <c r="L23" s="92">
        <f t="shared" si="21"/>
        <v>108</v>
      </c>
      <c r="M23" s="92">
        <f t="shared" si="22"/>
        <v>108</v>
      </c>
      <c r="N23" s="92">
        <f t="shared" si="22"/>
        <v>0</v>
      </c>
      <c r="O23" s="92">
        <f t="shared" si="22"/>
        <v>0</v>
      </c>
      <c r="P23" s="92">
        <f t="shared" si="22"/>
        <v>0</v>
      </c>
      <c r="Q23" s="92">
        <f t="shared" si="22"/>
        <v>54</v>
      </c>
      <c r="R23" s="125">
        <f t="shared" si="23"/>
        <v>77</v>
      </c>
      <c r="S23" s="93">
        <v>51</v>
      </c>
      <c r="T23" s="93"/>
      <c r="U23" s="93"/>
      <c r="V23" s="93"/>
      <c r="W23" s="93">
        <v>26</v>
      </c>
      <c r="X23" s="125">
        <f t="shared" si="24"/>
        <v>85</v>
      </c>
      <c r="Y23" s="93">
        <v>57</v>
      </c>
      <c r="Z23" s="93"/>
      <c r="AA23" s="93"/>
      <c r="AB23" s="93"/>
      <c r="AC23" s="93">
        <v>28</v>
      </c>
      <c r="AD23" s="125">
        <f>SUM(AE23:AI23)</f>
        <v>0</v>
      </c>
      <c r="AE23" s="93"/>
      <c r="AF23" s="93"/>
      <c r="AG23" s="93"/>
      <c r="AH23" s="93"/>
      <c r="AI23" s="93"/>
      <c r="AJ23" s="125">
        <f>SUM(AK23:AO23)</f>
        <v>0</v>
      </c>
      <c r="AK23" s="93"/>
      <c r="AL23" s="93"/>
      <c r="AM23" s="93"/>
      <c r="AN23" s="93"/>
      <c r="AO23" s="93"/>
      <c r="AP23" s="125">
        <f>SUM(AQ23:AU23)</f>
        <v>0</v>
      </c>
      <c r="AQ23" s="93"/>
      <c r="AR23" s="93"/>
      <c r="AS23" s="93"/>
      <c r="AT23" s="93"/>
      <c r="AU23" s="93"/>
      <c r="AV23" s="125">
        <f>SUM(AW23:BA23)</f>
        <v>0</v>
      </c>
      <c r="AW23" s="93"/>
      <c r="AX23" s="93"/>
      <c r="AY23" s="93"/>
      <c r="AZ23" s="93"/>
      <c r="BA23" s="93"/>
      <c r="BB23" s="125">
        <f>SUM(BC23:BG23)</f>
        <v>0</v>
      </c>
      <c r="BC23" s="93"/>
      <c r="BD23" s="93"/>
      <c r="BE23" s="93"/>
      <c r="BF23" s="93"/>
      <c r="BG23" s="93"/>
      <c r="BH23" s="125">
        <f>SUM(BI23:BM23)</f>
        <v>0</v>
      </c>
      <c r="BI23" s="93"/>
      <c r="BJ23" s="93"/>
      <c r="BK23" s="93"/>
      <c r="BL23" s="93"/>
      <c r="BM23" s="93"/>
      <c r="BN23" s="125">
        <f>SUM(BO23:BS23)</f>
        <v>0</v>
      </c>
      <c r="BO23" s="93"/>
      <c r="BP23" s="93"/>
      <c r="BQ23" s="93"/>
      <c r="BR23" s="93"/>
      <c r="BS23" s="93"/>
      <c r="BT23" s="125">
        <f>SUM(BU23:BY23)</f>
        <v>0</v>
      </c>
      <c r="BU23" s="93"/>
      <c r="BV23" s="93"/>
      <c r="BW23" s="93"/>
      <c r="BX23" s="93"/>
      <c r="BY23" s="93"/>
      <c r="BZ23" s="91" t="s">
        <v>498</v>
      </c>
      <c r="CA23" s="364"/>
    </row>
    <row r="24" spans="1:79" s="89" customFormat="1" ht="26.1" customHeight="1">
      <c r="A24" s="185" t="s">
        <v>637</v>
      </c>
      <c r="B24" s="186" t="s">
        <v>187</v>
      </c>
      <c r="C24" s="94"/>
      <c r="D24" s="91"/>
      <c r="E24" s="91" t="s">
        <v>27</v>
      </c>
      <c r="F24" s="91"/>
      <c r="G24" s="91"/>
      <c r="H24" s="91"/>
      <c r="I24" s="93"/>
      <c r="J24" s="363">
        <v>36</v>
      </c>
      <c r="K24" s="92">
        <f t="shared" si="20"/>
        <v>54</v>
      </c>
      <c r="L24" s="92">
        <f t="shared" si="21"/>
        <v>36</v>
      </c>
      <c r="M24" s="92">
        <f t="shared" si="22"/>
        <v>36</v>
      </c>
      <c r="N24" s="92">
        <f t="shared" si="22"/>
        <v>0</v>
      </c>
      <c r="O24" s="92">
        <f t="shared" si="22"/>
        <v>0</v>
      </c>
      <c r="P24" s="92">
        <f t="shared" si="22"/>
        <v>0</v>
      </c>
      <c r="Q24" s="92">
        <f t="shared" si="22"/>
        <v>18</v>
      </c>
      <c r="R24" s="125">
        <f t="shared" si="23"/>
        <v>54</v>
      </c>
      <c r="S24" s="93">
        <v>36</v>
      </c>
      <c r="T24" s="93"/>
      <c r="U24" s="93"/>
      <c r="V24" s="93"/>
      <c r="W24" s="93">
        <v>18</v>
      </c>
      <c r="X24" s="125">
        <f t="shared" si="24"/>
        <v>0</v>
      </c>
      <c r="Y24" s="93"/>
      <c r="Z24" s="93"/>
      <c r="AA24" s="93"/>
      <c r="AB24" s="93"/>
      <c r="AC24" s="93"/>
      <c r="AD24" s="125">
        <f>SUM(AE24:AI24)</f>
        <v>0</v>
      </c>
      <c r="AE24" s="93"/>
      <c r="AF24" s="93"/>
      <c r="AG24" s="93"/>
      <c r="AH24" s="93"/>
      <c r="AI24" s="93"/>
      <c r="AJ24" s="125">
        <f>SUM(AK24:AO24)</f>
        <v>0</v>
      </c>
      <c r="AK24" s="93"/>
      <c r="AL24" s="93"/>
      <c r="AM24" s="93"/>
      <c r="AN24" s="93"/>
      <c r="AO24" s="93"/>
      <c r="AP24" s="125">
        <f>SUM(AQ24:AU24)</f>
        <v>0</v>
      </c>
      <c r="AQ24" s="93"/>
      <c r="AR24" s="93"/>
      <c r="AS24" s="93"/>
      <c r="AT24" s="93"/>
      <c r="AU24" s="93"/>
      <c r="AV24" s="125">
        <f>SUM(AW24:BA24)</f>
        <v>0</v>
      </c>
      <c r="AW24" s="93"/>
      <c r="AX24" s="93"/>
      <c r="AY24" s="93"/>
      <c r="AZ24" s="93"/>
      <c r="BA24" s="93"/>
      <c r="BB24" s="125">
        <f>SUM(BC24:BG24)</f>
        <v>0</v>
      </c>
      <c r="BC24" s="93"/>
      <c r="BD24" s="93"/>
      <c r="BE24" s="93"/>
      <c r="BF24" s="93"/>
      <c r="BG24" s="93"/>
      <c r="BH24" s="125">
        <f>SUM(BI24:BM24)</f>
        <v>0</v>
      </c>
      <c r="BI24" s="93"/>
      <c r="BJ24" s="93"/>
      <c r="BK24" s="93"/>
      <c r="BL24" s="93"/>
      <c r="BM24" s="93"/>
      <c r="BN24" s="125">
        <f>SUM(BO24:BS24)</f>
        <v>0</v>
      </c>
      <c r="BO24" s="93"/>
      <c r="BP24" s="93"/>
      <c r="BQ24" s="93"/>
      <c r="BR24" s="93"/>
      <c r="BS24" s="93"/>
      <c r="BT24" s="125">
        <f>SUM(BU24:BY24)</f>
        <v>0</v>
      </c>
      <c r="BU24" s="93"/>
      <c r="BV24" s="93"/>
      <c r="BW24" s="93"/>
      <c r="BX24" s="93"/>
      <c r="BY24" s="93"/>
      <c r="BZ24" s="91" t="s">
        <v>499</v>
      </c>
      <c r="CA24" s="364"/>
    </row>
    <row r="25" spans="1:79" s="89" customFormat="1" ht="26.1" customHeight="1">
      <c r="A25" s="185" t="s">
        <v>638</v>
      </c>
      <c r="B25" s="186" t="s">
        <v>366</v>
      </c>
      <c r="C25" s="90"/>
      <c r="D25" s="91"/>
      <c r="E25" s="91" t="s">
        <v>31</v>
      </c>
      <c r="F25" s="91"/>
      <c r="G25" s="91"/>
      <c r="H25" s="91"/>
      <c r="I25" s="93"/>
      <c r="J25" s="363">
        <v>36</v>
      </c>
      <c r="K25" s="92">
        <f t="shared" si="20"/>
        <v>54</v>
      </c>
      <c r="L25" s="92">
        <f t="shared" si="21"/>
        <v>36</v>
      </c>
      <c r="M25" s="92">
        <f t="shared" si="22"/>
        <v>36</v>
      </c>
      <c r="N25" s="92">
        <f t="shared" si="22"/>
        <v>0</v>
      </c>
      <c r="O25" s="92">
        <f t="shared" si="22"/>
        <v>0</v>
      </c>
      <c r="P25" s="92">
        <f t="shared" si="22"/>
        <v>0</v>
      </c>
      <c r="Q25" s="92">
        <f t="shared" si="22"/>
        <v>18</v>
      </c>
      <c r="R25" s="125">
        <f t="shared" si="23"/>
        <v>0</v>
      </c>
      <c r="S25" s="93"/>
      <c r="T25" s="93"/>
      <c r="U25" s="93"/>
      <c r="V25" s="93"/>
      <c r="W25" s="93"/>
      <c r="X25" s="125">
        <f t="shared" si="24"/>
        <v>54</v>
      </c>
      <c r="Y25" s="93">
        <v>36</v>
      </c>
      <c r="Z25" s="93"/>
      <c r="AA25" s="93"/>
      <c r="AB25" s="93"/>
      <c r="AC25" s="93">
        <v>18</v>
      </c>
      <c r="AD25" s="125"/>
      <c r="AE25" s="93"/>
      <c r="AF25" s="93"/>
      <c r="AG25" s="93"/>
      <c r="AH25" s="93"/>
      <c r="AI25" s="93"/>
      <c r="AJ25" s="125"/>
      <c r="AK25" s="93"/>
      <c r="AL25" s="93"/>
      <c r="AM25" s="93"/>
      <c r="AN25" s="93"/>
      <c r="AO25" s="93"/>
      <c r="AP25" s="125"/>
      <c r="AQ25" s="93"/>
      <c r="AR25" s="93"/>
      <c r="AS25" s="93"/>
      <c r="AT25" s="93"/>
      <c r="AU25" s="93"/>
      <c r="AV25" s="125"/>
      <c r="AW25" s="93"/>
      <c r="AX25" s="93"/>
      <c r="AY25" s="93"/>
      <c r="AZ25" s="93"/>
      <c r="BA25" s="93"/>
      <c r="BB25" s="125"/>
      <c r="BC25" s="93"/>
      <c r="BD25" s="93"/>
      <c r="BE25" s="93"/>
      <c r="BF25" s="93"/>
      <c r="BG25" s="93"/>
      <c r="BH25" s="125"/>
      <c r="BI25" s="93"/>
      <c r="BJ25" s="93"/>
      <c r="BK25" s="93"/>
      <c r="BL25" s="93"/>
      <c r="BM25" s="93"/>
      <c r="BN25" s="125"/>
      <c r="BO25" s="93"/>
      <c r="BP25" s="93"/>
      <c r="BQ25" s="93"/>
      <c r="BR25" s="93"/>
      <c r="BS25" s="93"/>
      <c r="BT25" s="125"/>
      <c r="BU25" s="93"/>
      <c r="BV25" s="93"/>
      <c r="BW25" s="93"/>
      <c r="BX25" s="93"/>
      <c r="BY25" s="93"/>
      <c r="BZ25" s="91" t="s">
        <v>499</v>
      </c>
      <c r="CA25" s="364"/>
    </row>
    <row r="26" spans="1:79" s="89" customFormat="1" ht="26.1" customHeight="1">
      <c r="A26" s="185" t="s">
        <v>639</v>
      </c>
      <c r="B26" s="186" t="s">
        <v>367</v>
      </c>
      <c r="C26" s="90"/>
      <c r="D26" s="91"/>
      <c r="E26" s="91" t="s">
        <v>27</v>
      </c>
      <c r="F26" s="91"/>
      <c r="G26" s="91"/>
      <c r="H26" s="91"/>
      <c r="I26" s="93"/>
      <c r="J26" s="363">
        <v>36</v>
      </c>
      <c r="K26" s="92">
        <f t="shared" si="20"/>
        <v>54</v>
      </c>
      <c r="L26" s="92">
        <f t="shared" si="21"/>
        <v>36</v>
      </c>
      <c r="M26" s="92">
        <f t="shared" si="22"/>
        <v>36</v>
      </c>
      <c r="N26" s="92">
        <f t="shared" si="22"/>
        <v>0</v>
      </c>
      <c r="O26" s="92">
        <f t="shared" si="22"/>
        <v>0</v>
      </c>
      <c r="P26" s="92">
        <f t="shared" si="22"/>
        <v>0</v>
      </c>
      <c r="Q26" s="92">
        <f t="shared" si="22"/>
        <v>18</v>
      </c>
      <c r="R26" s="125">
        <f t="shared" si="23"/>
        <v>54</v>
      </c>
      <c r="S26" s="93">
        <v>36</v>
      </c>
      <c r="T26" s="93"/>
      <c r="U26" s="93"/>
      <c r="V26" s="93"/>
      <c r="W26" s="93">
        <v>18</v>
      </c>
      <c r="X26" s="125">
        <f t="shared" si="24"/>
        <v>0</v>
      </c>
      <c r="Y26" s="93"/>
      <c r="Z26" s="93"/>
      <c r="AA26" s="93"/>
      <c r="AB26" s="93"/>
      <c r="AC26" s="93"/>
      <c r="AD26" s="125"/>
      <c r="AE26" s="93"/>
      <c r="AF26" s="93"/>
      <c r="AG26" s="93"/>
      <c r="AH26" s="93"/>
      <c r="AI26" s="93"/>
      <c r="AJ26" s="125"/>
      <c r="AK26" s="93"/>
      <c r="AL26" s="93"/>
      <c r="AM26" s="93"/>
      <c r="AN26" s="93"/>
      <c r="AO26" s="93"/>
      <c r="AP26" s="125"/>
      <c r="AQ26" s="93"/>
      <c r="AR26" s="93"/>
      <c r="AS26" s="93"/>
      <c r="AT26" s="93"/>
      <c r="AU26" s="93"/>
      <c r="AV26" s="125"/>
      <c r="AW26" s="93"/>
      <c r="AX26" s="93"/>
      <c r="AY26" s="93"/>
      <c r="AZ26" s="93"/>
      <c r="BA26" s="93"/>
      <c r="BB26" s="125"/>
      <c r="BC26" s="93"/>
      <c r="BD26" s="93"/>
      <c r="BE26" s="93"/>
      <c r="BF26" s="93"/>
      <c r="BG26" s="93"/>
      <c r="BH26" s="125"/>
      <c r="BI26" s="93"/>
      <c r="BJ26" s="93"/>
      <c r="BK26" s="93"/>
      <c r="BL26" s="93"/>
      <c r="BM26" s="93"/>
      <c r="BN26" s="125"/>
      <c r="BO26" s="93"/>
      <c r="BP26" s="93"/>
      <c r="BQ26" s="93"/>
      <c r="BR26" s="93"/>
      <c r="BS26" s="93"/>
      <c r="BT26" s="125"/>
      <c r="BU26" s="93"/>
      <c r="BV26" s="93"/>
      <c r="BW26" s="93"/>
      <c r="BX26" s="93"/>
      <c r="BY26" s="93"/>
      <c r="BZ26" s="91" t="s">
        <v>499</v>
      </c>
      <c r="CA26" s="364"/>
    </row>
    <row r="27" spans="1:79" s="87" customFormat="1" ht="26.1" customHeight="1">
      <c r="A27" s="356"/>
      <c r="B27" s="716" t="s">
        <v>378</v>
      </c>
      <c r="C27" s="717"/>
      <c r="D27" s="717"/>
      <c r="E27" s="717"/>
      <c r="F27" s="717"/>
      <c r="G27" s="717"/>
      <c r="H27" s="718"/>
      <c r="I27" s="368">
        <f>Нормы!D9</f>
        <v>3942</v>
      </c>
      <c r="J27" s="368">
        <f>Нормы!E9</f>
        <v>2628</v>
      </c>
      <c r="K27" s="358">
        <f t="shared" ref="K27:AC27" si="25">K28+K34+K38</f>
        <v>5391</v>
      </c>
      <c r="L27" s="358">
        <f t="shared" si="25"/>
        <v>3594</v>
      </c>
      <c r="M27" s="358">
        <f t="shared" si="25"/>
        <v>2454</v>
      </c>
      <c r="N27" s="358">
        <f t="shared" si="25"/>
        <v>1050</v>
      </c>
      <c r="O27" s="358">
        <f t="shared" si="25"/>
        <v>90</v>
      </c>
      <c r="P27" s="358">
        <f t="shared" si="25"/>
        <v>0</v>
      </c>
      <c r="Q27" s="358">
        <f t="shared" si="25"/>
        <v>1797</v>
      </c>
      <c r="R27" s="358">
        <f t="shared" si="25"/>
        <v>0</v>
      </c>
      <c r="S27" s="358">
        <f t="shared" si="25"/>
        <v>0</v>
      </c>
      <c r="T27" s="358">
        <f t="shared" si="25"/>
        <v>0</v>
      </c>
      <c r="U27" s="358">
        <f t="shared" si="25"/>
        <v>0</v>
      </c>
      <c r="V27" s="358">
        <f t="shared" si="25"/>
        <v>0</v>
      </c>
      <c r="W27" s="358">
        <f t="shared" si="25"/>
        <v>0</v>
      </c>
      <c r="X27" s="358">
        <f t="shared" si="25"/>
        <v>0</v>
      </c>
      <c r="Y27" s="358">
        <f t="shared" si="25"/>
        <v>0</v>
      </c>
      <c r="Z27" s="358">
        <f t="shared" si="25"/>
        <v>0</v>
      </c>
      <c r="AA27" s="358">
        <f t="shared" si="25"/>
        <v>0</v>
      </c>
      <c r="AB27" s="358">
        <f t="shared" si="25"/>
        <v>0</v>
      </c>
      <c r="AC27" s="369">
        <f t="shared" si="25"/>
        <v>0</v>
      </c>
      <c r="AD27" s="358">
        <f t="shared" ref="AD27:AI27" si="26">AD28+AD34+AD38</f>
        <v>816</v>
      </c>
      <c r="AE27" s="358">
        <f t="shared" si="26"/>
        <v>390</v>
      </c>
      <c r="AF27" s="358">
        <f t="shared" si="26"/>
        <v>154</v>
      </c>
      <c r="AG27" s="358">
        <f t="shared" si="26"/>
        <v>0</v>
      </c>
      <c r="AH27" s="358">
        <f t="shared" si="26"/>
        <v>0</v>
      </c>
      <c r="AI27" s="369">
        <f t="shared" si="26"/>
        <v>272</v>
      </c>
      <c r="AJ27" s="358">
        <f t="shared" ref="AJ27:AO27" si="27">AJ28+AJ34+AJ38</f>
        <v>816</v>
      </c>
      <c r="AK27" s="358">
        <f t="shared" si="27"/>
        <v>430</v>
      </c>
      <c r="AL27" s="358">
        <f t="shared" si="27"/>
        <v>114</v>
      </c>
      <c r="AM27" s="358">
        <f t="shared" si="27"/>
        <v>0</v>
      </c>
      <c r="AN27" s="358">
        <f t="shared" si="27"/>
        <v>0</v>
      </c>
      <c r="AO27" s="358">
        <f t="shared" si="27"/>
        <v>272</v>
      </c>
      <c r="AP27" s="358">
        <f t="shared" ref="AP27:AU27" si="28">AP28+AP34+AP38</f>
        <v>864</v>
      </c>
      <c r="AQ27" s="358">
        <f t="shared" si="28"/>
        <v>454</v>
      </c>
      <c r="AR27" s="358">
        <f t="shared" si="28"/>
        <v>122</v>
      </c>
      <c r="AS27" s="358">
        <f t="shared" si="28"/>
        <v>0</v>
      </c>
      <c r="AT27" s="358">
        <f t="shared" si="28"/>
        <v>0</v>
      </c>
      <c r="AU27" s="358">
        <f t="shared" si="28"/>
        <v>288</v>
      </c>
      <c r="AV27" s="358">
        <f t="shared" ref="AV27:BA27" si="29">AV28+AV34+AV38</f>
        <v>594</v>
      </c>
      <c r="AW27" s="358">
        <f t="shared" si="29"/>
        <v>255</v>
      </c>
      <c r="AX27" s="358">
        <f t="shared" si="29"/>
        <v>141</v>
      </c>
      <c r="AY27" s="358">
        <f t="shared" si="29"/>
        <v>0</v>
      </c>
      <c r="AZ27" s="358">
        <f t="shared" si="29"/>
        <v>0</v>
      </c>
      <c r="BA27" s="358">
        <f t="shared" si="29"/>
        <v>198</v>
      </c>
      <c r="BB27" s="358">
        <f t="shared" ref="BB27:BG27" si="30">BB28+BB34+BB38</f>
        <v>594</v>
      </c>
      <c r="BC27" s="358">
        <f t="shared" si="30"/>
        <v>290</v>
      </c>
      <c r="BD27" s="358">
        <f t="shared" si="30"/>
        <v>106</v>
      </c>
      <c r="BE27" s="358">
        <f t="shared" si="30"/>
        <v>0</v>
      </c>
      <c r="BF27" s="358">
        <f t="shared" si="30"/>
        <v>0</v>
      </c>
      <c r="BG27" s="358">
        <f t="shared" si="30"/>
        <v>198</v>
      </c>
      <c r="BH27" s="358">
        <f t="shared" ref="BH27:BY27" si="31">BH28+BH34+BH38</f>
        <v>594</v>
      </c>
      <c r="BI27" s="358">
        <f t="shared" si="31"/>
        <v>308</v>
      </c>
      <c r="BJ27" s="358">
        <f t="shared" si="31"/>
        <v>33</v>
      </c>
      <c r="BK27" s="358">
        <f t="shared" si="31"/>
        <v>55</v>
      </c>
      <c r="BL27" s="358">
        <f t="shared" si="31"/>
        <v>0</v>
      </c>
      <c r="BM27" s="358">
        <f t="shared" si="31"/>
        <v>198</v>
      </c>
      <c r="BN27" s="358">
        <f t="shared" si="31"/>
        <v>192</v>
      </c>
      <c r="BO27" s="358">
        <f t="shared" si="31"/>
        <v>80</v>
      </c>
      <c r="BP27" s="358">
        <f t="shared" si="31"/>
        <v>48</v>
      </c>
      <c r="BQ27" s="358">
        <f t="shared" si="31"/>
        <v>0</v>
      </c>
      <c r="BR27" s="358">
        <f t="shared" si="31"/>
        <v>0</v>
      </c>
      <c r="BS27" s="358">
        <f t="shared" si="31"/>
        <v>64</v>
      </c>
      <c r="BT27" s="358">
        <f t="shared" si="31"/>
        <v>921</v>
      </c>
      <c r="BU27" s="358">
        <f t="shared" si="31"/>
        <v>247</v>
      </c>
      <c r="BV27" s="358">
        <f t="shared" si="31"/>
        <v>332</v>
      </c>
      <c r="BW27" s="358">
        <f t="shared" si="31"/>
        <v>35</v>
      </c>
      <c r="BX27" s="358">
        <f t="shared" si="31"/>
        <v>0</v>
      </c>
      <c r="BY27" s="358">
        <f t="shared" si="31"/>
        <v>307</v>
      </c>
      <c r="BZ27" s="367"/>
      <c r="CA27" s="370"/>
    </row>
    <row r="28" spans="1:79" s="88" customFormat="1" ht="26.1" customHeight="1">
      <c r="A28" s="360" t="s">
        <v>172</v>
      </c>
      <c r="B28" s="719" t="s">
        <v>173</v>
      </c>
      <c r="C28" s="720"/>
      <c r="D28" s="720"/>
      <c r="E28" s="720"/>
      <c r="F28" s="720"/>
      <c r="G28" s="720"/>
      <c r="H28" s="721"/>
      <c r="I28" s="362">
        <f>Нормы!D10</f>
        <v>944</v>
      </c>
      <c r="J28" s="362">
        <f>Нормы!E10</f>
        <v>560</v>
      </c>
      <c r="K28" s="371">
        <f t="shared" ref="K28:AC28" si="32">SUM(K29:K33)</f>
        <v>943</v>
      </c>
      <c r="L28" s="371">
        <f t="shared" si="32"/>
        <v>560</v>
      </c>
      <c r="M28" s="362">
        <f t="shared" si="32"/>
        <v>352</v>
      </c>
      <c r="N28" s="362">
        <f t="shared" si="32"/>
        <v>208</v>
      </c>
      <c r="O28" s="362">
        <f t="shared" si="32"/>
        <v>0</v>
      </c>
      <c r="P28" s="362">
        <f t="shared" si="32"/>
        <v>0</v>
      </c>
      <c r="Q28" s="362">
        <f t="shared" si="32"/>
        <v>383</v>
      </c>
      <c r="R28" s="362">
        <f t="shared" si="32"/>
        <v>0</v>
      </c>
      <c r="S28" s="362">
        <f t="shared" si="32"/>
        <v>0</v>
      </c>
      <c r="T28" s="362">
        <f t="shared" si="32"/>
        <v>0</v>
      </c>
      <c r="U28" s="362">
        <f t="shared" si="32"/>
        <v>0</v>
      </c>
      <c r="V28" s="362">
        <f t="shared" si="32"/>
        <v>0</v>
      </c>
      <c r="W28" s="372">
        <f t="shared" si="32"/>
        <v>0</v>
      </c>
      <c r="X28" s="362">
        <f t="shared" si="32"/>
        <v>0</v>
      </c>
      <c r="Y28" s="362">
        <f t="shared" si="32"/>
        <v>0</v>
      </c>
      <c r="Z28" s="362">
        <f t="shared" si="32"/>
        <v>0</v>
      </c>
      <c r="AA28" s="362">
        <f t="shared" si="32"/>
        <v>0</v>
      </c>
      <c r="AB28" s="362">
        <f t="shared" si="32"/>
        <v>0</v>
      </c>
      <c r="AC28" s="372">
        <f t="shared" si="32"/>
        <v>0</v>
      </c>
      <c r="AD28" s="362">
        <f t="shared" ref="AD28:AY28" si="33">SUM(AD29:AD33)</f>
        <v>256</v>
      </c>
      <c r="AE28" s="362">
        <f t="shared" si="33"/>
        <v>128</v>
      </c>
      <c r="AF28" s="362">
        <f t="shared" si="33"/>
        <v>32</v>
      </c>
      <c r="AG28" s="362">
        <f t="shared" si="33"/>
        <v>0</v>
      </c>
      <c r="AH28" s="362">
        <f t="shared" si="33"/>
        <v>0</v>
      </c>
      <c r="AI28" s="362">
        <f t="shared" si="33"/>
        <v>96</v>
      </c>
      <c r="AJ28" s="362">
        <f t="shared" si="33"/>
        <v>119</v>
      </c>
      <c r="AK28" s="362">
        <f t="shared" si="33"/>
        <v>34</v>
      </c>
      <c r="AL28" s="362">
        <f t="shared" si="33"/>
        <v>34</v>
      </c>
      <c r="AM28" s="362">
        <f t="shared" si="33"/>
        <v>0</v>
      </c>
      <c r="AN28" s="362">
        <f t="shared" si="33"/>
        <v>0</v>
      </c>
      <c r="AO28" s="362">
        <f t="shared" si="33"/>
        <v>51</v>
      </c>
      <c r="AP28" s="362">
        <f t="shared" si="33"/>
        <v>184</v>
      </c>
      <c r="AQ28" s="362">
        <f t="shared" si="33"/>
        <v>80</v>
      </c>
      <c r="AR28" s="362">
        <f t="shared" si="33"/>
        <v>32</v>
      </c>
      <c r="AS28" s="362">
        <f t="shared" si="33"/>
        <v>0</v>
      </c>
      <c r="AT28" s="362">
        <f t="shared" si="33"/>
        <v>0</v>
      </c>
      <c r="AU28" s="362">
        <f t="shared" si="33"/>
        <v>72</v>
      </c>
      <c r="AV28" s="362">
        <f t="shared" si="33"/>
        <v>77</v>
      </c>
      <c r="AW28" s="362">
        <f t="shared" si="33"/>
        <v>22</v>
      </c>
      <c r="AX28" s="362">
        <f t="shared" si="33"/>
        <v>22</v>
      </c>
      <c r="AY28" s="362">
        <f t="shared" si="33"/>
        <v>0</v>
      </c>
      <c r="AZ28" s="362">
        <f t="shared" ref="AZ28:BT28" si="34">SUM(AZ29:AZ33)</f>
        <v>0</v>
      </c>
      <c r="BA28" s="362">
        <f t="shared" si="34"/>
        <v>33</v>
      </c>
      <c r="BB28" s="362">
        <f t="shared" si="34"/>
        <v>76</v>
      </c>
      <c r="BC28" s="362">
        <f t="shared" si="34"/>
        <v>22</v>
      </c>
      <c r="BD28" s="362">
        <f t="shared" si="34"/>
        <v>22</v>
      </c>
      <c r="BE28" s="362">
        <f t="shared" si="34"/>
        <v>0</v>
      </c>
      <c r="BF28" s="362">
        <f t="shared" si="34"/>
        <v>0</v>
      </c>
      <c r="BG28" s="362">
        <f t="shared" si="34"/>
        <v>32</v>
      </c>
      <c r="BH28" s="362">
        <f t="shared" si="34"/>
        <v>77</v>
      </c>
      <c r="BI28" s="362">
        <f t="shared" si="34"/>
        <v>22</v>
      </c>
      <c r="BJ28" s="362">
        <f t="shared" si="34"/>
        <v>22</v>
      </c>
      <c r="BK28" s="362">
        <f t="shared" si="34"/>
        <v>0</v>
      </c>
      <c r="BL28" s="362">
        <f t="shared" si="34"/>
        <v>0</v>
      </c>
      <c r="BM28" s="362">
        <f t="shared" si="34"/>
        <v>33</v>
      </c>
      <c r="BN28" s="362">
        <f t="shared" si="34"/>
        <v>28</v>
      </c>
      <c r="BO28" s="362">
        <f t="shared" si="34"/>
        <v>8</v>
      </c>
      <c r="BP28" s="362">
        <f t="shared" si="34"/>
        <v>8</v>
      </c>
      <c r="BQ28" s="362">
        <f t="shared" si="34"/>
        <v>0</v>
      </c>
      <c r="BR28" s="362">
        <f t="shared" si="34"/>
        <v>0</v>
      </c>
      <c r="BS28" s="362">
        <f t="shared" si="34"/>
        <v>12</v>
      </c>
      <c r="BT28" s="362">
        <f t="shared" si="34"/>
        <v>126</v>
      </c>
      <c r="BU28" s="362">
        <f t="shared" ref="BU28:BY28" si="35">SUM(BU29:BU33)</f>
        <v>36</v>
      </c>
      <c r="BV28" s="362">
        <f t="shared" si="35"/>
        <v>36</v>
      </c>
      <c r="BW28" s="362">
        <f t="shared" si="35"/>
        <v>0</v>
      </c>
      <c r="BX28" s="362">
        <f t="shared" si="35"/>
        <v>0</v>
      </c>
      <c r="BY28" s="362">
        <f t="shared" si="35"/>
        <v>54</v>
      </c>
      <c r="BZ28" s="361"/>
      <c r="CA28" s="366"/>
    </row>
    <row r="29" spans="1:79" s="89" customFormat="1" ht="26.1" customHeight="1">
      <c r="A29" s="185" t="s">
        <v>174</v>
      </c>
      <c r="B29" s="219" t="s">
        <v>178</v>
      </c>
      <c r="C29" s="94"/>
      <c r="D29" s="130"/>
      <c r="E29" s="130" t="s">
        <v>30</v>
      </c>
      <c r="F29" s="130"/>
      <c r="G29" s="91"/>
      <c r="H29" s="91"/>
      <c r="I29" s="303"/>
      <c r="J29" s="93">
        <v>48</v>
      </c>
      <c r="K29" s="92">
        <f>L29+SUM(Q29:Q29)</f>
        <v>72</v>
      </c>
      <c r="L29" s="92">
        <f>SUM(M29:P29)</f>
        <v>48</v>
      </c>
      <c r="M29" s="92">
        <f t="shared" ref="M29:Q33" si="36">S29+Y29+AE29+AK29+AQ29+AW29+BC29+BI29+BO29+BU29</f>
        <v>48</v>
      </c>
      <c r="N29" s="92">
        <f t="shared" si="36"/>
        <v>0</v>
      </c>
      <c r="O29" s="92">
        <f t="shared" si="36"/>
        <v>0</v>
      </c>
      <c r="P29" s="92">
        <f t="shared" si="36"/>
        <v>0</v>
      </c>
      <c r="Q29" s="92">
        <f t="shared" si="36"/>
        <v>24</v>
      </c>
      <c r="R29" s="125">
        <f>SUM(S29:W29)</f>
        <v>0</v>
      </c>
      <c r="S29" s="93"/>
      <c r="T29" s="93"/>
      <c r="U29" s="93"/>
      <c r="V29" s="93"/>
      <c r="W29" s="93"/>
      <c r="X29" s="125">
        <f>SUM(Y29:AC29)</f>
        <v>0</v>
      </c>
      <c r="Y29" s="93"/>
      <c r="Z29" s="93"/>
      <c r="AA29" s="93"/>
      <c r="AB29" s="93"/>
      <c r="AC29" s="93"/>
      <c r="AD29" s="125">
        <f>SUM(AE29:AI29)</f>
        <v>72</v>
      </c>
      <c r="AE29" s="93">
        <v>48</v>
      </c>
      <c r="AF29" s="93"/>
      <c r="AG29" s="93"/>
      <c r="AH29" s="93"/>
      <c r="AI29" s="303">
        <v>24</v>
      </c>
      <c r="AJ29" s="125">
        <f>SUM(AK29:AO29)</f>
        <v>0</v>
      </c>
      <c r="AK29" s="93"/>
      <c r="AL29" s="93"/>
      <c r="AM29" s="93"/>
      <c r="AN29" s="93"/>
      <c r="AO29" s="93"/>
      <c r="AP29" s="397">
        <f>SUM(AQ29:AU29)</f>
        <v>0</v>
      </c>
      <c r="AQ29" s="195"/>
      <c r="AR29" s="195"/>
      <c r="AS29" s="195"/>
      <c r="AT29" s="195"/>
      <c r="AU29" s="195"/>
      <c r="AV29" s="397">
        <f>SUM(AW29:BA29)</f>
        <v>0</v>
      </c>
      <c r="AW29" s="195"/>
      <c r="AX29" s="195"/>
      <c r="AY29" s="195"/>
      <c r="AZ29" s="195"/>
      <c r="BA29" s="195"/>
      <c r="BB29" s="397">
        <f>SUM(BC29:BG29)</f>
        <v>0</v>
      </c>
      <c r="BC29" s="195"/>
      <c r="BD29" s="195"/>
      <c r="BE29" s="195"/>
      <c r="BF29" s="195"/>
      <c r="BG29" s="195"/>
      <c r="BH29" s="397">
        <f>SUM(BI29:BM29)</f>
        <v>0</v>
      </c>
      <c r="BI29" s="195"/>
      <c r="BJ29" s="195"/>
      <c r="BK29" s="195"/>
      <c r="BL29" s="195"/>
      <c r="BM29" s="195"/>
      <c r="BN29" s="397">
        <f>SUM(BO29:BS29)</f>
        <v>0</v>
      </c>
      <c r="BO29" s="195"/>
      <c r="BP29" s="195"/>
      <c r="BQ29" s="195"/>
      <c r="BR29" s="195"/>
      <c r="BS29" s="195"/>
      <c r="BT29" s="397">
        <f>SUM(BU29:BY29)</f>
        <v>0</v>
      </c>
      <c r="BU29" s="195"/>
      <c r="BV29" s="195"/>
      <c r="BW29" s="195"/>
      <c r="BX29" s="195"/>
      <c r="BY29" s="195"/>
      <c r="BZ29" s="91" t="s">
        <v>498</v>
      </c>
      <c r="CA29" s="495" t="s">
        <v>501</v>
      </c>
    </row>
    <row r="30" spans="1:79" s="89" customFormat="1" ht="26.1" customHeight="1">
      <c r="A30" s="185" t="s">
        <v>175</v>
      </c>
      <c r="B30" s="219" t="s">
        <v>141</v>
      </c>
      <c r="C30" s="94"/>
      <c r="D30" s="130"/>
      <c r="E30" s="130" t="s">
        <v>30</v>
      </c>
      <c r="F30" s="130"/>
      <c r="G30" s="91"/>
      <c r="H30" s="91"/>
      <c r="I30" s="93"/>
      <c r="J30" s="93">
        <v>48</v>
      </c>
      <c r="K30" s="92">
        <f>L30+SUM(Q30:Q30)</f>
        <v>72</v>
      </c>
      <c r="L30" s="92">
        <f>SUM(M30:P30)</f>
        <v>48</v>
      </c>
      <c r="M30" s="92">
        <f t="shared" si="36"/>
        <v>48</v>
      </c>
      <c r="N30" s="92">
        <f t="shared" si="36"/>
        <v>0</v>
      </c>
      <c r="O30" s="92">
        <f t="shared" si="36"/>
        <v>0</v>
      </c>
      <c r="P30" s="92">
        <f t="shared" si="36"/>
        <v>0</v>
      </c>
      <c r="Q30" s="92">
        <f t="shared" si="36"/>
        <v>24</v>
      </c>
      <c r="R30" s="125">
        <f>SUM(S30:W30)</f>
        <v>0</v>
      </c>
      <c r="S30" s="93"/>
      <c r="T30" s="93"/>
      <c r="U30" s="93"/>
      <c r="V30" s="93"/>
      <c r="W30" s="93"/>
      <c r="X30" s="125">
        <f>SUM(Y30:AC30)</f>
        <v>0</v>
      </c>
      <c r="Y30" s="93"/>
      <c r="Z30" s="93"/>
      <c r="AA30" s="93"/>
      <c r="AB30" s="93"/>
      <c r="AC30" s="93"/>
      <c r="AD30" s="125">
        <f>SUM(AE30:AI30)</f>
        <v>72</v>
      </c>
      <c r="AE30" s="93">
        <v>48</v>
      </c>
      <c r="AF30" s="93"/>
      <c r="AG30" s="93"/>
      <c r="AH30" s="93"/>
      <c r="AI30" s="303">
        <v>24</v>
      </c>
      <c r="AJ30" s="125">
        <f>SUM(AK30:AO30)</f>
        <v>0</v>
      </c>
      <c r="AK30" s="93"/>
      <c r="AL30" s="93"/>
      <c r="AM30" s="93"/>
      <c r="AN30" s="93"/>
      <c r="AO30" s="93"/>
      <c r="AP30" s="397">
        <f>SUM(AQ30:AU30)</f>
        <v>0</v>
      </c>
      <c r="AQ30" s="195"/>
      <c r="AR30" s="195"/>
      <c r="AS30" s="195"/>
      <c r="AT30" s="195"/>
      <c r="AU30" s="195"/>
      <c r="AV30" s="397">
        <f>SUM(AW30:BA30)</f>
        <v>0</v>
      </c>
      <c r="AW30" s="195"/>
      <c r="AX30" s="195"/>
      <c r="AY30" s="195"/>
      <c r="AZ30" s="195"/>
      <c r="BA30" s="195"/>
      <c r="BB30" s="397">
        <f>SUM(BC30:BG30)</f>
        <v>0</v>
      </c>
      <c r="BC30" s="195"/>
      <c r="BD30" s="195"/>
      <c r="BE30" s="195"/>
      <c r="BF30" s="195"/>
      <c r="BG30" s="195"/>
      <c r="BH30" s="397">
        <f>SUM(BI30:BM30)</f>
        <v>0</v>
      </c>
      <c r="BI30" s="195"/>
      <c r="BJ30" s="195"/>
      <c r="BK30" s="195"/>
      <c r="BL30" s="195"/>
      <c r="BM30" s="195"/>
      <c r="BN30" s="397">
        <f>SUM(BO30:BS30)</f>
        <v>0</v>
      </c>
      <c r="BO30" s="195"/>
      <c r="BP30" s="195"/>
      <c r="BQ30" s="195"/>
      <c r="BR30" s="195"/>
      <c r="BS30" s="195"/>
      <c r="BT30" s="397">
        <f>SUM(BU30:BY30)</f>
        <v>0</v>
      </c>
      <c r="BU30" s="195"/>
      <c r="BV30" s="195"/>
      <c r="BW30" s="195"/>
      <c r="BX30" s="195"/>
      <c r="BY30" s="195"/>
      <c r="BZ30" s="91" t="s">
        <v>498</v>
      </c>
      <c r="CA30" s="495" t="s">
        <v>502</v>
      </c>
    </row>
    <row r="31" spans="1:79" s="89" customFormat="1" ht="26.1" customHeight="1">
      <c r="A31" s="185" t="s">
        <v>176</v>
      </c>
      <c r="B31" s="219" t="s">
        <v>405</v>
      </c>
      <c r="C31" s="94"/>
      <c r="D31" s="130"/>
      <c r="E31" s="130" t="s">
        <v>41</v>
      </c>
      <c r="F31" s="130"/>
      <c r="G31" s="91"/>
      <c r="H31" s="91"/>
      <c r="I31" s="93"/>
      <c r="J31" s="93">
        <v>48</v>
      </c>
      <c r="K31" s="92">
        <f>L31+SUM(Q31:Q31)</f>
        <v>72</v>
      </c>
      <c r="L31" s="92">
        <f>SUM(M31:P31)</f>
        <v>48</v>
      </c>
      <c r="M31" s="92">
        <f t="shared" si="36"/>
        <v>48</v>
      </c>
      <c r="N31" s="92">
        <f t="shared" si="36"/>
        <v>0</v>
      </c>
      <c r="O31" s="92">
        <f t="shared" si="36"/>
        <v>0</v>
      </c>
      <c r="P31" s="92">
        <f t="shared" si="36"/>
        <v>0</v>
      </c>
      <c r="Q31" s="92">
        <f t="shared" si="36"/>
        <v>24</v>
      </c>
      <c r="R31" s="125"/>
      <c r="S31" s="93"/>
      <c r="T31" s="93"/>
      <c r="U31" s="93"/>
      <c r="V31" s="93"/>
      <c r="W31" s="93"/>
      <c r="X31" s="125"/>
      <c r="Y31" s="93"/>
      <c r="Z31" s="93"/>
      <c r="AA31" s="93"/>
      <c r="AB31" s="93"/>
      <c r="AC31" s="93"/>
      <c r="AD31" s="125"/>
      <c r="AE31" s="93"/>
      <c r="AF31" s="93"/>
      <c r="AG31" s="93"/>
      <c r="AH31" s="93"/>
      <c r="AI31" s="303"/>
      <c r="AJ31" s="125"/>
      <c r="AK31" s="93"/>
      <c r="AL31" s="93"/>
      <c r="AM31" s="93"/>
      <c r="AN31" s="93"/>
      <c r="AO31" s="93"/>
      <c r="AP31" s="397">
        <f>SUM(AQ31:AU31)</f>
        <v>72</v>
      </c>
      <c r="AQ31" s="195">
        <v>48</v>
      </c>
      <c r="AR31" s="195"/>
      <c r="AS31" s="195"/>
      <c r="AT31" s="195"/>
      <c r="AU31" s="195">
        <v>24</v>
      </c>
      <c r="AV31" s="397"/>
      <c r="AW31" s="195"/>
      <c r="AX31" s="195"/>
      <c r="AY31" s="195"/>
      <c r="AZ31" s="195"/>
      <c r="BA31" s="195"/>
      <c r="BB31" s="397"/>
      <c r="BC31" s="195"/>
      <c r="BD31" s="195"/>
      <c r="BE31" s="195"/>
      <c r="BF31" s="195"/>
      <c r="BG31" s="195"/>
      <c r="BH31" s="397"/>
      <c r="BI31" s="195"/>
      <c r="BJ31" s="195"/>
      <c r="BK31" s="195"/>
      <c r="BL31" s="195"/>
      <c r="BM31" s="195"/>
      <c r="BN31" s="397"/>
      <c r="BO31" s="195"/>
      <c r="BP31" s="195"/>
      <c r="BQ31" s="195"/>
      <c r="BR31" s="195"/>
      <c r="BS31" s="195"/>
      <c r="BT31" s="397"/>
      <c r="BU31" s="195"/>
      <c r="BV31" s="195"/>
      <c r="BW31" s="195"/>
      <c r="BX31" s="195"/>
      <c r="BY31" s="195"/>
      <c r="BZ31" s="91" t="s">
        <v>498</v>
      </c>
      <c r="CA31" s="495" t="s">
        <v>584</v>
      </c>
    </row>
    <row r="32" spans="1:79" s="89" customFormat="1" ht="26.1" customHeight="1">
      <c r="A32" s="185" t="s">
        <v>177</v>
      </c>
      <c r="B32" s="219" t="s">
        <v>142</v>
      </c>
      <c r="C32" s="94"/>
      <c r="D32" s="91" t="s">
        <v>41</v>
      </c>
      <c r="E32" s="91" t="s">
        <v>474</v>
      </c>
      <c r="F32" s="91"/>
      <c r="G32" s="91"/>
      <c r="H32" s="91"/>
      <c r="I32" s="93"/>
      <c r="J32" s="93">
        <v>208</v>
      </c>
      <c r="K32" s="92">
        <f>L32+SUM(Q32:Q32)</f>
        <v>311</v>
      </c>
      <c r="L32" s="92">
        <f>SUM(M32:P32)</f>
        <v>208</v>
      </c>
      <c r="M32" s="92">
        <f t="shared" si="36"/>
        <v>0</v>
      </c>
      <c r="N32" s="92">
        <f t="shared" si="36"/>
        <v>208</v>
      </c>
      <c r="O32" s="92">
        <f t="shared" si="36"/>
        <v>0</v>
      </c>
      <c r="P32" s="92">
        <f t="shared" si="36"/>
        <v>0</v>
      </c>
      <c r="Q32" s="92">
        <f t="shared" si="36"/>
        <v>103</v>
      </c>
      <c r="R32" s="125">
        <f>SUM(S32:W32)</f>
        <v>0</v>
      </c>
      <c r="S32" s="93"/>
      <c r="T32" s="93"/>
      <c r="U32" s="93"/>
      <c r="V32" s="93"/>
      <c r="W32" s="93"/>
      <c r="X32" s="125">
        <f>SUM(Y32:AC32)</f>
        <v>0</v>
      </c>
      <c r="Y32" s="93"/>
      <c r="Z32" s="93"/>
      <c r="AA32" s="93"/>
      <c r="AB32" s="93"/>
      <c r="AC32" s="93"/>
      <c r="AD32" s="125">
        <f>SUM(AE32:AI32)</f>
        <v>48</v>
      </c>
      <c r="AE32" s="93"/>
      <c r="AF32" s="93">
        <v>32</v>
      </c>
      <c r="AG32" s="93"/>
      <c r="AH32" s="93"/>
      <c r="AI32" s="93">
        <v>16</v>
      </c>
      <c r="AJ32" s="125">
        <f>SUM(AK32:AO32)</f>
        <v>51</v>
      </c>
      <c r="AK32" s="93"/>
      <c r="AL32" s="93">
        <v>34</v>
      </c>
      <c r="AM32" s="93"/>
      <c r="AN32" s="93"/>
      <c r="AO32" s="93">
        <v>17</v>
      </c>
      <c r="AP32" s="397">
        <f>SUM(AQ32:AU32)</f>
        <v>48</v>
      </c>
      <c r="AQ32" s="195"/>
      <c r="AR32" s="195">
        <v>32</v>
      </c>
      <c r="AS32" s="195"/>
      <c r="AT32" s="195"/>
      <c r="AU32" s="195">
        <v>16</v>
      </c>
      <c r="AV32" s="397">
        <f>SUM(AW32:BA32)</f>
        <v>33</v>
      </c>
      <c r="AW32" s="195"/>
      <c r="AX32" s="195">
        <v>22</v>
      </c>
      <c r="AY32" s="195"/>
      <c r="AZ32" s="195"/>
      <c r="BA32" s="195">
        <v>11</v>
      </c>
      <c r="BB32" s="397">
        <f>SUM(BC32:BG32)</f>
        <v>32</v>
      </c>
      <c r="BC32" s="195"/>
      <c r="BD32" s="195">
        <v>22</v>
      </c>
      <c r="BE32" s="195"/>
      <c r="BF32" s="195"/>
      <c r="BG32" s="195">
        <v>10</v>
      </c>
      <c r="BH32" s="397">
        <f>SUM(BI32:BM32)</f>
        <v>33</v>
      </c>
      <c r="BI32" s="195"/>
      <c r="BJ32" s="195">
        <v>22</v>
      </c>
      <c r="BK32" s="195"/>
      <c r="BL32" s="195"/>
      <c r="BM32" s="195">
        <v>11</v>
      </c>
      <c r="BN32" s="397">
        <f>SUM(BO32:BS32)</f>
        <v>12</v>
      </c>
      <c r="BO32" s="195"/>
      <c r="BP32" s="195">
        <v>8</v>
      </c>
      <c r="BQ32" s="195"/>
      <c r="BR32" s="195"/>
      <c r="BS32" s="195">
        <v>4</v>
      </c>
      <c r="BT32" s="397">
        <f>SUM(BU32:BY32)</f>
        <v>54</v>
      </c>
      <c r="BU32" s="195"/>
      <c r="BV32" s="195">
        <v>36</v>
      </c>
      <c r="BW32" s="195"/>
      <c r="BX32" s="195"/>
      <c r="BY32" s="195">
        <v>18</v>
      </c>
      <c r="BZ32" s="91" t="s">
        <v>498</v>
      </c>
      <c r="CA32" s="495" t="s">
        <v>503</v>
      </c>
    </row>
    <row r="33" spans="1:79" s="89" customFormat="1" ht="41.25" customHeight="1">
      <c r="A33" s="185" t="s">
        <v>549</v>
      </c>
      <c r="B33" s="219" t="s">
        <v>7</v>
      </c>
      <c r="C33" s="94"/>
      <c r="D33" s="91"/>
      <c r="E33" s="91"/>
      <c r="F33" s="91" t="s">
        <v>611</v>
      </c>
      <c r="G33" s="91"/>
      <c r="H33" s="91"/>
      <c r="I33" s="93">
        <v>416</v>
      </c>
      <c r="J33" s="93">
        <v>208</v>
      </c>
      <c r="K33" s="92">
        <f>L33+SUM(Q33:Q33)</f>
        <v>416</v>
      </c>
      <c r="L33" s="92">
        <f>SUM(M33:P33)</f>
        <v>208</v>
      </c>
      <c r="M33" s="92">
        <f t="shared" si="36"/>
        <v>208</v>
      </c>
      <c r="N33" s="92">
        <f t="shared" si="36"/>
        <v>0</v>
      </c>
      <c r="O33" s="92">
        <f t="shared" si="36"/>
        <v>0</v>
      </c>
      <c r="P33" s="92">
        <f t="shared" si="36"/>
        <v>0</v>
      </c>
      <c r="Q33" s="92">
        <f t="shared" si="36"/>
        <v>208</v>
      </c>
      <c r="R33" s="125">
        <f>SUM(S33:W33)</f>
        <v>0</v>
      </c>
      <c r="S33" s="93"/>
      <c r="T33" s="93"/>
      <c r="U33" s="93"/>
      <c r="V33" s="93"/>
      <c r="W33" s="93"/>
      <c r="X33" s="125">
        <f>SUM(Y33:AC33)</f>
        <v>0</v>
      </c>
      <c r="Y33" s="93"/>
      <c r="Z33" s="93"/>
      <c r="AA33" s="93"/>
      <c r="AB33" s="93"/>
      <c r="AC33" s="93"/>
      <c r="AD33" s="125">
        <f>SUM(AE33:AI33)</f>
        <v>64</v>
      </c>
      <c r="AE33" s="93">
        <v>32</v>
      </c>
      <c r="AF33" s="93"/>
      <c r="AG33" s="93"/>
      <c r="AH33" s="93"/>
      <c r="AI33" s="93">
        <v>32</v>
      </c>
      <c r="AJ33" s="125">
        <f>SUM(AK33:AO33)</f>
        <v>68</v>
      </c>
      <c r="AK33" s="93">
        <v>34</v>
      </c>
      <c r="AL33" s="93"/>
      <c r="AM33" s="93"/>
      <c r="AN33" s="93"/>
      <c r="AO33" s="93">
        <v>34</v>
      </c>
      <c r="AP33" s="397">
        <f>SUM(AQ33:AU33)</f>
        <v>64</v>
      </c>
      <c r="AQ33" s="195">
        <v>32</v>
      </c>
      <c r="AR33" s="195"/>
      <c r="AS33" s="195"/>
      <c r="AT33" s="195"/>
      <c r="AU33" s="195">
        <v>32</v>
      </c>
      <c r="AV33" s="397">
        <f>SUM(AW33:BA33)</f>
        <v>44</v>
      </c>
      <c r="AW33" s="195">
        <v>22</v>
      </c>
      <c r="AX33" s="195"/>
      <c r="AY33" s="195"/>
      <c r="AZ33" s="195"/>
      <c r="BA33" s="195">
        <v>22</v>
      </c>
      <c r="BB33" s="397">
        <f>SUM(BC33:BG33)</f>
        <v>44</v>
      </c>
      <c r="BC33" s="195">
        <v>22</v>
      </c>
      <c r="BD33" s="195"/>
      <c r="BE33" s="195"/>
      <c r="BF33" s="195"/>
      <c r="BG33" s="195">
        <v>22</v>
      </c>
      <c r="BH33" s="397">
        <f>SUM(BI33:BM33)</f>
        <v>44</v>
      </c>
      <c r="BI33" s="195">
        <v>22</v>
      </c>
      <c r="BJ33" s="195"/>
      <c r="BK33" s="195"/>
      <c r="BL33" s="195"/>
      <c r="BM33" s="195">
        <v>22</v>
      </c>
      <c r="BN33" s="397">
        <f>SUM(BO33:BS33)</f>
        <v>16</v>
      </c>
      <c r="BO33" s="195">
        <v>8</v>
      </c>
      <c r="BP33" s="195"/>
      <c r="BQ33" s="195"/>
      <c r="BR33" s="195"/>
      <c r="BS33" s="195">
        <v>8</v>
      </c>
      <c r="BT33" s="397">
        <f>SUM(BU33:BY33)</f>
        <v>72</v>
      </c>
      <c r="BU33" s="195">
        <v>36</v>
      </c>
      <c r="BV33" s="195"/>
      <c r="BW33" s="195"/>
      <c r="BX33" s="195"/>
      <c r="BY33" s="195">
        <v>36</v>
      </c>
      <c r="BZ33" s="91" t="s">
        <v>500</v>
      </c>
      <c r="CA33" s="495" t="s">
        <v>448</v>
      </c>
    </row>
    <row r="34" spans="1:79" s="88" customFormat="1" ht="26.1" customHeight="1">
      <c r="A34" s="360" t="s">
        <v>180</v>
      </c>
      <c r="B34" s="767" t="s">
        <v>290</v>
      </c>
      <c r="C34" s="768"/>
      <c r="D34" s="768"/>
      <c r="E34" s="768"/>
      <c r="F34" s="768"/>
      <c r="G34" s="768"/>
      <c r="H34" s="769"/>
      <c r="I34" s="362">
        <v>198</v>
      </c>
      <c r="J34" s="362">
        <v>132</v>
      </c>
      <c r="K34" s="371">
        <f t="shared" ref="K34:AF34" si="37">SUM(K35:K37)</f>
        <v>198</v>
      </c>
      <c r="L34" s="371">
        <f t="shared" si="37"/>
        <v>132</v>
      </c>
      <c r="M34" s="362">
        <f t="shared" si="37"/>
        <v>100</v>
      </c>
      <c r="N34" s="362">
        <f t="shared" si="37"/>
        <v>32</v>
      </c>
      <c r="O34" s="362">
        <f t="shared" si="37"/>
        <v>0</v>
      </c>
      <c r="P34" s="362">
        <f t="shared" si="37"/>
        <v>0</v>
      </c>
      <c r="Q34" s="373">
        <f t="shared" si="37"/>
        <v>66</v>
      </c>
      <c r="R34" s="362">
        <f t="shared" si="37"/>
        <v>0</v>
      </c>
      <c r="S34" s="362">
        <f t="shared" si="37"/>
        <v>0</v>
      </c>
      <c r="T34" s="362">
        <f t="shared" si="37"/>
        <v>0</v>
      </c>
      <c r="U34" s="362">
        <f t="shared" si="37"/>
        <v>0</v>
      </c>
      <c r="V34" s="362">
        <f t="shared" si="37"/>
        <v>0</v>
      </c>
      <c r="W34" s="373">
        <f t="shared" si="37"/>
        <v>0</v>
      </c>
      <c r="X34" s="362">
        <f t="shared" si="37"/>
        <v>0</v>
      </c>
      <c r="Y34" s="362">
        <f t="shared" si="37"/>
        <v>0</v>
      </c>
      <c r="Z34" s="362">
        <f t="shared" si="37"/>
        <v>0</v>
      </c>
      <c r="AA34" s="362">
        <f t="shared" si="37"/>
        <v>0</v>
      </c>
      <c r="AB34" s="362">
        <f t="shared" si="37"/>
        <v>0</v>
      </c>
      <c r="AC34" s="373">
        <f t="shared" si="37"/>
        <v>0</v>
      </c>
      <c r="AD34" s="362">
        <f t="shared" si="37"/>
        <v>198</v>
      </c>
      <c r="AE34" s="362">
        <f t="shared" si="37"/>
        <v>100</v>
      </c>
      <c r="AF34" s="362">
        <f t="shared" si="37"/>
        <v>32</v>
      </c>
      <c r="AG34" s="362">
        <f t="shared" ref="AG34:BM34" si="38">SUM(AG35:AG37)</f>
        <v>0</v>
      </c>
      <c r="AH34" s="362">
        <f t="shared" si="38"/>
        <v>0</v>
      </c>
      <c r="AI34" s="362">
        <f t="shared" si="38"/>
        <v>66</v>
      </c>
      <c r="AJ34" s="362">
        <f t="shared" si="38"/>
        <v>0</v>
      </c>
      <c r="AK34" s="362">
        <f t="shared" si="38"/>
        <v>0</v>
      </c>
      <c r="AL34" s="362">
        <f t="shared" si="38"/>
        <v>0</v>
      </c>
      <c r="AM34" s="362">
        <f t="shared" si="38"/>
        <v>0</v>
      </c>
      <c r="AN34" s="362">
        <f t="shared" si="38"/>
        <v>0</v>
      </c>
      <c r="AO34" s="362">
        <f t="shared" si="38"/>
        <v>0</v>
      </c>
      <c r="AP34" s="362">
        <f t="shared" si="38"/>
        <v>0</v>
      </c>
      <c r="AQ34" s="362">
        <f t="shared" si="38"/>
        <v>0</v>
      </c>
      <c r="AR34" s="362">
        <f t="shared" si="38"/>
        <v>0</v>
      </c>
      <c r="AS34" s="362">
        <f t="shared" si="38"/>
        <v>0</v>
      </c>
      <c r="AT34" s="362">
        <f t="shared" si="38"/>
        <v>0</v>
      </c>
      <c r="AU34" s="362">
        <f t="shared" si="38"/>
        <v>0</v>
      </c>
      <c r="AV34" s="362">
        <f t="shared" si="38"/>
        <v>0</v>
      </c>
      <c r="AW34" s="362">
        <f t="shared" si="38"/>
        <v>0</v>
      </c>
      <c r="AX34" s="362">
        <f t="shared" si="38"/>
        <v>0</v>
      </c>
      <c r="AY34" s="362">
        <f t="shared" si="38"/>
        <v>0</v>
      </c>
      <c r="AZ34" s="362">
        <f t="shared" si="38"/>
        <v>0</v>
      </c>
      <c r="BA34" s="362">
        <f t="shared" si="38"/>
        <v>0</v>
      </c>
      <c r="BB34" s="362">
        <f t="shared" si="38"/>
        <v>0</v>
      </c>
      <c r="BC34" s="362">
        <f t="shared" si="38"/>
        <v>0</v>
      </c>
      <c r="BD34" s="362">
        <f t="shared" si="38"/>
        <v>0</v>
      </c>
      <c r="BE34" s="362">
        <f t="shared" si="38"/>
        <v>0</v>
      </c>
      <c r="BF34" s="362">
        <f t="shared" si="38"/>
        <v>0</v>
      </c>
      <c r="BG34" s="362">
        <f t="shared" si="38"/>
        <v>0</v>
      </c>
      <c r="BH34" s="362">
        <f t="shared" si="38"/>
        <v>0</v>
      </c>
      <c r="BI34" s="362">
        <f t="shared" si="38"/>
        <v>0</v>
      </c>
      <c r="BJ34" s="362">
        <f t="shared" si="38"/>
        <v>0</v>
      </c>
      <c r="BK34" s="362">
        <f t="shared" si="38"/>
        <v>0</v>
      </c>
      <c r="BL34" s="362">
        <f t="shared" si="38"/>
        <v>0</v>
      </c>
      <c r="BM34" s="362">
        <f t="shared" si="38"/>
        <v>0</v>
      </c>
      <c r="BN34" s="362">
        <f t="shared" ref="BN34:BY34" si="39">SUM(BN35:BN37)</f>
        <v>0</v>
      </c>
      <c r="BO34" s="362">
        <f t="shared" si="39"/>
        <v>0</v>
      </c>
      <c r="BP34" s="362">
        <f t="shared" si="39"/>
        <v>0</v>
      </c>
      <c r="BQ34" s="362">
        <f t="shared" si="39"/>
        <v>0</v>
      </c>
      <c r="BR34" s="362">
        <f t="shared" si="39"/>
        <v>0</v>
      </c>
      <c r="BS34" s="362">
        <f t="shared" si="39"/>
        <v>0</v>
      </c>
      <c r="BT34" s="362">
        <f t="shared" si="39"/>
        <v>0</v>
      </c>
      <c r="BU34" s="362">
        <f t="shared" si="39"/>
        <v>0</v>
      </c>
      <c r="BV34" s="362">
        <f t="shared" si="39"/>
        <v>0</v>
      </c>
      <c r="BW34" s="362">
        <f t="shared" si="39"/>
        <v>0</v>
      </c>
      <c r="BX34" s="362">
        <f t="shared" si="39"/>
        <v>0</v>
      </c>
      <c r="BY34" s="362">
        <f t="shared" si="39"/>
        <v>0</v>
      </c>
      <c r="BZ34" s="361"/>
      <c r="CA34" s="366"/>
    </row>
    <row r="35" spans="1:79" s="89" customFormat="1" ht="26.1" customHeight="1">
      <c r="A35" s="185" t="s">
        <v>181</v>
      </c>
      <c r="B35" s="94" t="s">
        <v>143</v>
      </c>
      <c r="C35" s="94"/>
      <c r="D35" s="91" t="s">
        <v>30</v>
      </c>
      <c r="E35" s="91"/>
      <c r="F35" s="91"/>
      <c r="G35" s="91"/>
      <c r="H35" s="91"/>
      <c r="I35" s="303"/>
      <c r="J35" s="93"/>
      <c r="K35" s="92">
        <f>L35+SUM(Q35:Q35)</f>
        <v>90</v>
      </c>
      <c r="L35" s="92">
        <f>SUM(M35:P35)</f>
        <v>60</v>
      </c>
      <c r="M35" s="92">
        <f t="shared" ref="M35:Q37" si="40">S35+Y35+AE35+AK35+AQ35+AW35+BC35+BI35+BO35+BU35</f>
        <v>60</v>
      </c>
      <c r="N35" s="92">
        <f t="shared" si="40"/>
        <v>0</v>
      </c>
      <c r="O35" s="92">
        <f t="shared" si="40"/>
        <v>0</v>
      </c>
      <c r="P35" s="92">
        <f t="shared" si="40"/>
        <v>0</v>
      </c>
      <c r="Q35" s="92">
        <f t="shared" si="40"/>
        <v>30</v>
      </c>
      <c r="R35" s="125">
        <f>SUM(S35:W35)</f>
        <v>0</v>
      </c>
      <c r="S35" s="93"/>
      <c r="T35" s="93"/>
      <c r="U35" s="93"/>
      <c r="V35" s="93"/>
      <c r="W35" s="93"/>
      <c r="X35" s="125">
        <f>SUM(Y35:AC35)</f>
        <v>0</v>
      </c>
      <c r="Y35" s="93"/>
      <c r="Z35" s="93"/>
      <c r="AA35" s="93"/>
      <c r="AB35" s="93"/>
      <c r="AC35" s="93"/>
      <c r="AD35" s="125">
        <f>SUM(AE35:AI35)</f>
        <v>90</v>
      </c>
      <c r="AE35" s="93">
        <v>60</v>
      </c>
      <c r="AF35" s="93"/>
      <c r="AG35" s="93"/>
      <c r="AH35" s="93"/>
      <c r="AI35" s="93">
        <v>30</v>
      </c>
      <c r="AJ35" s="125">
        <f>SUM(AK35:AO35)</f>
        <v>0</v>
      </c>
      <c r="AK35" s="93"/>
      <c r="AL35" s="93"/>
      <c r="AM35" s="93"/>
      <c r="AN35" s="93"/>
      <c r="AO35" s="93"/>
      <c r="AP35" s="125">
        <f>SUM(AQ35:AU35)</f>
        <v>0</v>
      </c>
      <c r="AQ35" s="93"/>
      <c r="AR35" s="93"/>
      <c r="AS35" s="93"/>
      <c r="AT35" s="93"/>
      <c r="AU35" s="93"/>
      <c r="AV35" s="125">
        <f>SUM(AW35:BA35)</f>
        <v>0</v>
      </c>
      <c r="AW35" s="93"/>
      <c r="AX35" s="93"/>
      <c r="AY35" s="93"/>
      <c r="AZ35" s="93"/>
      <c r="BA35" s="93"/>
      <c r="BB35" s="125">
        <f>SUM(BC35:BG35)</f>
        <v>0</v>
      </c>
      <c r="BC35" s="93"/>
      <c r="BD35" s="93"/>
      <c r="BE35" s="93"/>
      <c r="BF35" s="93"/>
      <c r="BG35" s="93"/>
      <c r="BH35" s="125">
        <f>SUM(BI35:BM35)</f>
        <v>0</v>
      </c>
      <c r="BI35" s="93"/>
      <c r="BJ35" s="93"/>
      <c r="BK35" s="93"/>
      <c r="BL35" s="93"/>
      <c r="BM35" s="93"/>
      <c r="BN35" s="125">
        <f>SUM(BO35:BS35)</f>
        <v>0</v>
      </c>
      <c r="BO35" s="93"/>
      <c r="BP35" s="93"/>
      <c r="BQ35" s="93"/>
      <c r="BR35" s="93"/>
      <c r="BS35" s="93"/>
      <c r="BT35" s="125">
        <f>SUM(BU35:BY35)</f>
        <v>0</v>
      </c>
      <c r="BU35" s="93"/>
      <c r="BV35" s="93"/>
      <c r="BW35" s="93"/>
      <c r="BX35" s="93"/>
      <c r="BY35" s="93"/>
      <c r="BZ35" s="91" t="s">
        <v>499</v>
      </c>
      <c r="CA35" s="495" t="s">
        <v>504</v>
      </c>
    </row>
    <row r="36" spans="1:79" s="89" customFormat="1" ht="26.1" customHeight="1">
      <c r="A36" s="185" t="s">
        <v>182</v>
      </c>
      <c r="B36" s="94" t="s">
        <v>144</v>
      </c>
      <c r="C36" s="94"/>
      <c r="D36" s="91"/>
      <c r="E36" s="130" t="s">
        <v>30</v>
      </c>
      <c r="F36" s="130"/>
      <c r="G36" s="91"/>
      <c r="H36" s="91"/>
      <c r="I36" s="303"/>
      <c r="J36" s="93"/>
      <c r="K36" s="92">
        <f>L36+SUM(Q36:Q36)</f>
        <v>54</v>
      </c>
      <c r="L36" s="92">
        <f>SUM(M36:P36)</f>
        <v>36</v>
      </c>
      <c r="M36" s="92">
        <f t="shared" si="40"/>
        <v>4</v>
      </c>
      <c r="N36" s="92">
        <f t="shared" si="40"/>
        <v>32</v>
      </c>
      <c r="O36" s="92">
        <f t="shared" si="40"/>
        <v>0</v>
      </c>
      <c r="P36" s="92">
        <f t="shared" si="40"/>
        <v>0</v>
      </c>
      <c r="Q36" s="92">
        <f t="shared" si="40"/>
        <v>18</v>
      </c>
      <c r="R36" s="125">
        <f>SUM(S36:W36)</f>
        <v>0</v>
      </c>
      <c r="S36" s="93"/>
      <c r="T36" s="93"/>
      <c r="U36" s="93"/>
      <c r="V36" s="93"/>
      <c r="W36" s="93"/>
      <c r="X36" s="125">
        <f>SUM(Y36:AC36)</f>
        <v>0</v>
      </c>
      <c r="Y36" s="93"/>
      <c r="Z36" s="93"/>
      <c r="AA36" s="93"/>
      <c r="AB36" s="93"/>
      <c r="AC36" s="93"/>
      <c r="AD36" s="125">
        <f>SUM(AE36:AI36)</f>
        <v>54</v>
      </c>
      <c r="AE36" s="303">
        <v>4</v>
      </c>
      <c r="AF36" s="303">
        <v>32</v>
      </c>
      <c r="AG36" s="303"/>
      <c r="AH36" s="93"/>
      <c r="AI36" s="93">
        <v>18</v>
      </c>
      <c r="AJ36" s="125">
        <f>SUM(AK36:AO36)</f>
        <v>0</v>
      </c>
      <c r="AK36" s="93"/>
      <c r="AL36" s="93"/>
      <c r="AM36" s="93"/>
      <c r="AN36" s="93"/>
      <c r="AO36" s="93"/>
      <c r="AP36" s="125">
        <f>SUM(AQ36:AU36)</f>
        <v>0</v>
      </c>
      <c r="AQ36" s="93"/>
      <c r="AR36" s="93"/>
      <c r="AS36" s="93"/>
      <c r="AT36" s="93"/>
      <c r="AU36" s="93"/>
      <c r="AV36" s="125">
        <f>SUM(AW36:BA36)</f>
        <v>0</v>
      </c>
      <c r="AW36" s="93"/>
      <c r="AX36" s="93"/>
      <c r="AY36" s="93"/>
      <c r="AZ36" s="93"/>
      <c r="BA36" s="93"/>
      <c r="BB36" s="125">
        <f>SUM(BC36:BG36)</f>
        <v>0</v>
      </c>
      <c r="BC36" s="93"/>
      <c r="BD36" s="93"/>
      <c r="BE36" s="93"/>
      <c r="BF36" s="93"/>
      <c r="BG36" s="93"/>
      <c r="BH36" s="125">
        <f>SUM(BI36:BM36)</f>
        <v>0</v>
      </c>
      <c r="BI36" s="93"/>
      <c r="BJ36" s="93"/>
      <c r="BK36" s="93"/>
      <c r="BL36" s="93"/>
      <c r="BM36" s="93"/>
      <c r="BN36" s="125">
        <f>SUM(BO36:BS36)</f>
        <v>0</v>
      </c>
      <c r="BO36" s="93"/>
      <c r="BP36" s="93"/>
      <c r="BQ36" s="93"/>
      <c r="BR36" s="93"/>
      <c r="BS36" s="93"/>
      <c r="BT36" s="125">
        <f>SUM(BU36:BY36)</f>
        <v>0</v>
      </c>
      <c r="BU36" s="93"/>
      <c r="BV36" s="93"/>
      <c r="BW36" s="93"/>
      <c r="BX36" s="93"/>
      <c r="BY36" s="93"/>
      <c r="BZ36" s="91" t="s">
        <v>499</v>
      </c>
      <c r="CA36" s="495" t="s">
        <v>505</v>
      </c>
    </row>
    <row r="37" spans="1:79" s="89" customFormat="1" ht="26.1" customHeight="1">
      <c r="A37" s="185" t="s">
        <v>183</v>
      </c>
      <c r="B37" s="94" t="s">
        <v>375</v>
      </c>
      <c r="C37" s="94"/>
      <c r="D37" s="374"/>
      <c r="E37" s="130" t="s">
        <v>30</v>
      </c>
      <c r="F37" s="130"/>
      <c r="G37" s="91"/>
      <c r="H37" s="91"/>
      <c r="I37" s="303"/>
      <c r="J37" s="93"/>
      <c r="K37" s="92">
        <f>L37+SUM(Q37:Q37)</f>
        <v>54</v>
      </c>
      <c r="L37" s="92">
        <f>SUM(M37:P37)</f>
        <v>36</v>
      </c>
      <c r="M37" s="92">
        <f t="shared" si="40"/>
        <v>36</v>
      </c>
      <c r="N37" s="92">
        <f t="shared" si="40"/>
        <v>0</v>
      </c>
      <c r="O37" s="92">
        <f t="shared" si="40"/>
        <v>0</v>
      </c>
      <c r="P37" s="92">
        <f t="shared" si="40"/>
        <v>0</v>
      </c>
      <c r="Q37" s="92">
        <f t="shared" si="40"/>
        <v>18</v>
      </c>
      <c r="R37" s="125">
        <f>SUM(S37:W37)</f>
        <v>0</v>
      </c>
      <c r="S37" s="93"/>
      <c r="T37" s="93"/>
      <c r="U37" s="93"/>
      <c r="V37" s="93"/>
      <c r="W37" s="93"/>
      <c r="X37" s="125">
        <f>SUM(Y37:AC37)</f>
        <v>0</v>
      </c>
      <c r="Y37" s="93"/>
      <c r="Z37" s="93"/>
      <c r="AA37" s="93"/>
      <c r="AB37" s="93"/>
      <c r="AC37" s="93"/>
      <c r="AD37" s="125">
        <f>SUM(AE37:AI37)</f>
        <v>54</v>
      </c>
      <c r="AE37" s="93">
        <v>36</v>
      </c>
      <c r="AF37" s="93"/>
      <c r="AG37" s="93"/>
      <c r="AH37" s="93"/>
      <c r="AI37" s="93">
        <v>18</v>
      </c>
      <c r="AJ37" s="125">
        <f>SUM(AK37:AO37)</f>
        <v>0</v>
      </c>
      <c r="AK37" s="93"/>
      <c r="AL37" s="93"/>
      <c r="AM37" s="93"/>
      <c r="AN37" s="93"/>
      <c r="AO37" s="93"/>
      <c r="AP37" s="125">
        <f>SUM(AQ37:AU37)</f>
        <v>0</v>
      </c>
      <c r="AQ37" s="93"/>
      <c r="AR37" s="93"/>
      <c r="AS37" s="93"/>
      <c r="AT37" s="93"/>
      <c r="AU37" s="93"/>
      <c r="AV37" s="125">
        <f>SUM(AW37:BA37)</f>
        <v>0</v>
      </c>
      <c r="AW37" s="93"/>
      <c r="AX37" s="93"/>
      <c r="AY37" s="93"/>
      <c r="AZ37" s="93"/>
      <c r="BA37" s="93"/>
      <c r="BB37" s="125">
        <f>SUM(BC37:BG37)</f>
        <v>0</v>
      </c>
      <c r="BC37" s="93"/>
      <c r="BD37" s="93"/>
      <c r="BE37" s="93"/>
      <c r="BF37" s="93"/>
      <c r="BG37" s="93"/>
      <c r="BH37" s="125">
        <f>SUM(BI37:BM37)</f>
        <v>0</v>
      </c>
      <c r="BI37" s="93"/>
      <c r="BJ37" s="93"/>
      <c r="BK37" s="93"/>
      <c r="BL37" s="93"/>
      <c r="BM37" s="93"/>
      <c r="BN37" s="125">
        <f>SUM(BO37:BS37)</f>
        <v>0</v>
      </c>
      <c r="BO37" s="93"/>
      <c r="BP37" s="93"/>
      <c r="BQ37" s="93"/>
      <c r="BR37" s="93"/>
      <c r="BS37" s="93"/>
      <c r="BT37" s="125">
        <f>SUM(BU37:BY37)</f>
        <v>0</v>
      </c>
      <c r="BU37" s="93"/>
      <c r="BV37" s="93"/>
      <c r="BW37" s="93"/>
      <c r="BX37" s="93"/>
      <c r="BY37" s="93"/>
      <c r="BZ37" s="91" t="s">
        <v>499</v>
      </c>
      <c r="CA37" s="495" t="s">
        <v>506</v>
      </c>
    </row>
    <row r="38" spans="1:79" s="87" customFormat="1" ht="26.1" customHeight="1">
      <c r="A38" s="375"/>
      <c r="B38" s="770" t="s">
        <v>76</v>
      </c>
      <c r="C38" s="771"/>
      <c r="D38" s="771"/>
      <c r="E38" s="771"/>
      <c r="F38" s="771"/>
      <c r="G38" s="771"/>
      <c r="H38" s="772"/>
      <c r="I38" s="362">
        <f>Нормы!D12</f>
        <v>2800</v>
      </c>
      <c r="J38" s="362">
        <f>Нормы!E12</f>
        <v>1936</v>
      </c>
      <c r="K38" s="377">
        <f>K39+K47</f>
        <v>4250</v>
      </c>
      <c r="L38" s="377">
        <f>L39+L47</f>
        <v>2902</v>
      </c>
      <c r="M38" s="365">
        <f t="shared" ref="M38:AF38" si="41">M39+M47</f>
        <v>2002</v>
      </c>
      <c r="N38" s="365">
        <f t="shared" si="41"/>
        <v>810</v>
      </c>
      <c r="O38" s="365">
        <f t="shared" si="41"/>
        <v>90</v>
      </c>
      <c r="P38" s="365">
        <f t="shared" si="41"/>
        <v>0</v>
      </c>
      <c r="Q38" s="365">
        <f t="shared" si="41"/>
        <v>1348</v>
      </c>
      <c r="R38" s="365">
        <f t="shared" si="41"/>
        <v>0</v>
      </c>
      <c r="S38" s="365">
        <f t="shared" si="41"/>
        <v>0</v>
      </c>
      <c r="T38" s="365">
        <f t="shared" si="41"/>
        <v>0</v>
      </c>
      <c r="U38" s="365">
        <f t="shared" si="41"/>
        <v>0</v>
      </c>
      <c r="V38" s="365">
        <f t="shared" si="41"/>
        <v>0</v>
      </c>
      <c r="W38" s="378">
        <f t="shared" si="41"/>
        <v>0</v>
      </c>
      <c r="X38" s="365">
        <f t="shared" si="41"/>
        <v>0</v>
      </c>
      <c r="Y38" s="365">
        <f t="shared" si="41"/>
        <v>0</v>
      </c>
      <c r="Z38" s="365">
        <f t="shared" si="41"/>
        <v>0</v>
      </c>
      <c r="AA38" s="365">
        <f t="shared" si="41"/>
        <v>0</v>
      </c>
      <c r="AB38" s="365">
        <f t="shared" si="41"/>
        <v>0</v>
      </c>
      <c r="AC38" s="378">
        <f t="shared" si="41"/>
        <v>0</v>
      </c>
      <c r="AD38" s="365">
        <f t="shared" si="41"/>
        <v>362</v>
      </c>
      <c r="AE38" s="365">
        <f t="shared" si="41"/>
        <v>162</v>
      </c>
      <c r="AF38" s="365">
        <f t="shared" si="41"/>
        <v>90</v>
      </c>
      <c r="AG38" s="365">
        <f t="shared" ref="AG38:AO38" si="42">AG39+AG47</f>
        <v>0</v>
      </c>
      <c r="AH38" s="365">
        <f t="shared" si="42"/>
        <v>0</v>
      </c>
      <c r="AI38" s="365">
        <f t="shared" si="42"/>
        <v>110</v>
      </c>
      <c r="AJ38" s="365">
        <f t="shared" si="42"/>
        <v>697</v>
      </c>
      <c r="AK38" s="365">
        <f t="shared" si="42"/>
        <v>396</v>
      </c>
      <c r="AL38" s="365">
        <f t="shared" si="42"/>
        <v>80</v>
      </c>
      <c r="AM38" s="365">
        <f t="shared" si="42"/>
        <v>0</v>
      </c>
      <c r="AN38" s="365">
        <f t="shared" si="42"/>
        <v>0</v>
      </c>
      <c r="AO38" s="365">
        <f t="shared" si="42"/>
        <v>221</v>
      </c>
      <c r="AP38" s="365">
        <f t="shared" ref="AP38:AU38" si="43">AP39+AP47</f>
        <v>680</v>
      </c>
      <c r="AQ38" s="365">
        <f>AQ39+AQ47</f>
        <v>374</v>
      </c>
      <c r="AR38" s="365">
        <f t="shared" si="43"/>
        <v>90</v>
      </c>
      <c r="AS38" s="365">
        <f t="shared" si="43"/>
        <v>0</v>
      </c>
      <c r="AT38" s="365">
        <f t="shared" si="43"/>
        <v>0</v>
      </c>
      <c r="AU38" s="365">
        <f t="shared" si="43"/>
        <v>216</v>
      </c>
      <c r="AV38" s="365">
        <f t="shared" ref="AV38:BA38" si="44">AV39+AV47</f>
        <v>517</v>
      </c>
      <c r="AW38" s="365">
        <f t="shared" si="44"/>
        <v>233</v>
      </c>
      <c r="AX38" s="365">
        <f t="shared" si="44"/>
        <v>119</v>
      </c>
      <c r="AY38" s="365">
        <f t="shared" si="44"/>
        <v>0</v>
      </c>
      <c r="AZ38" s="365">
        <f t="shared" si="44"/>
        <v>0</v>
      </c>
      <c r="BA38" s="365">
        <f t="shared" si="44"/>
        <v>165</v>
      </c>
      <c r="BB38" s="365">
        <f t="shared" ref="BB38:BG38" si="45">BB39+BB47</f>
        <v>518</v>
      </c>
      <c r="BC38" s="365">
        <f t="shared" si="45"/>
        <v>268</v>
      </c>
      <c r="BD38" s="365">
        <f t="shared" si="45"/>
        <v>84</v>
      </c>
      <c r="BE38" s="365">
        <f t="shared" si="45"/>
        <v>0</v>
      </c>
      <c r="BF38" s="365">
        <f t="shared" si="45"/>
        <v>0</v>
      </c>
      <c r="BG38" s="365">
        <f t="shared" si="45"/>
        <v>166</v>
      </c>
      <c r="BH38" s="365">
        <f t="shared" ref="BH38:BM38" si="46">BH39+BH47</f>
        <v>517</v>
      </c>
      <c r="BI38" s="365">
        <f t="shared" si="46"/>
        <v>286</v>
      </c>
      <c r="BJ38" s="365">
        <f t="shared" si="46"/>
        <v>11</v>
      </c>
      <c r="BK38" s="365">
        <f t="shared" si="46"/>
        <v>55</v>
      </c>
      <c r="BL38" s="365">
        <f t="shared" si="46"/>
        <v>0</v>
      </c>
      <c r="BM38" s="365">
        <f t="shared" si="46"/>
        <v>165</v>
      </c>
      <c r="BN38" s="365">
        <f t="shared" ref="BN38:BY38" si="47">BN39+BN47</f>
        <v>164</v>
      </c>
      <c r="BO38" s="365">
        <f t="shared" si="47"/>
        <v>72</v>
      </c>
      <c r="BP38" s="365">
        <f t="shared" si="47"/>
        <v>40</v>
      </c>
      <c r="BQ38" s="365">
        <f t="shared" si="47"/>
        <v>0</v>
      </c>
      <c r="BR38" s="365">
        <f t="shared" si="47"/>
        <v>0</v>
      </c>
      <c r="BS38" s="365">
        <f t="shared" si="47"/>
        <v>52</v>
      </c>
      <c r="BT38" s="365">
        <f t="shared" si="47"/>
        <v>795</v>
      </c>
      <c r="BU38" s="365">
        <f t="shared" si="47"/>
        <v>211</v>
      </c>
      <c r="BV38" s="365">
        <f t="shared" si="47"/>
        <v>296</v>
      </c>
      <c r="BW38" s="365">
        <f t="shared" si="47"/>
        <v>35</v>
      </c>
      <c r="BX38" s="365">
        <f t="shared" si="47"/>
        <v>0</v>
      </c>
      <c r="BY38" s="365">
        <f t="shared" si="47"/>
        <v>253</v>
      </c>
      <c r="BZ38" s="376"/>
      <c r="CA38" s="379"/>
    </row>
    <row r="39" spans="1:79" s="95" customFormat="1" ht="26.1" customHeight="1">
      <c r="A39" s="380" t="s">
        <v>204</v>
      </c>
      <c r="B39" s="773" t="s">
        <v>191</v>
      </c>
      <c r="C39" s="774"/>
      <c r="D39" s="774"/>
      <c r="E39" s="774"/>
      <c r="F39" s="774"/>
      <c r="G39" s="774"/>
      <c r="H39" s="775"/>
      <c r="I39" s="382">
        <v>552</v>
      </c>
      <c r="J39" s="382">
        <v>368</v>
      </c>
      <c r="K39" s="383">
        <f t="shared" ref="K39:AF39" si="48">SUM(K40:K46)</f>
        <v>620</v>
      </c>
      <c r="L39" s="383">
        <f t="shared" si="48"/>
        <v>413</v>
      </c>
      <c r="M39" s="383">
        <f t="shared" si="48"/>
        <v>347</v>
      </c>
      <c r="N39" s="383">
        <f t="shared" si="48"/>
        <v>66</v>
      </c>
      <c r="O39" s="383">
        <f t="shared" si="48"/>
        <v>0</v>
      </c>
      <c r="P39" s="383">
        <f t="shared" si="48"/>
        <v>0</v>
      </c>
      <c r="Q39" s="383">
        <f t="shared" si="48"/>
        <v>207</v>
      </c>
      <c r="R39" s="383">
        <f t="shared" si="48"/>
        <v>0</v>
      </c>
      <c r="S39" s="383">
        <f t="shared" si="48"/>
        <v>0</v>
      </c>
      <c r="T39" s="383">
        <f t="shared" si="48"/>
        <v>0</v>
      </c>
      <c r="U39" s="383">
        <f t="shared" si="48"/>
        <v>0</v>
      </c>
      <c r="V39" s="383">
        <f t="shared" si="48"/>
        <v>0</v>
      </c>
      <c r="W39" s="384">
        <f t="shared" si="48"/>
        <v>0</v>
      </c>
      <c r="X39" s="383">
        <f t="shared" si="48"/>
        <v>0</v>
      </c>
      <c r="Y39" s="383">
        <f t="shared" si="48"/>
        <v>0</v>
      </c>
      <c r="Z39" s="383">
        <f t="shared" si="48"/>
        <v>0</v>
      </c>
      <c r="AA39" s="383">
        <f t="shared" si="48"/>
        <v>0</v>
      </c>
      <c r="AB39" s="383">
        <f t="shared" si="48"/>
        <v>0</v>
      </c>
      <c r="AC39" s="384">
        <f t="shared" si="48"/>
        <v>0</v>
      </c>
      <c r="AD39" s="383">
        <f t="shared" si="48"/>
        <v>292</v>
      </c>
      <c r="AE39" s="383">
        <f t="shared" si="48"/>
        <v>162</v>
      </c>
      <c r="AF39" s="383">
        <f t="shared" si="48"/>
        <v>32</v>
      </c>
      <c r="AG39" s="383">
        <f t="shared" ref="AG39:AO39" si="49">SUM(AG40:AG46)</f>
        <v>0</v>
      </c>
      <c r="AH39" s="383">
        <f t="shared" si="49"/>
        <v>0</v>
      </c>
      <c r="AI39" s="383">
        <f t="shared" si="49"/>
        <v>98</v>
      </c>
      <c r="AJ39" s="383">
        <f t="shared" si="49"/>
        <v>229</v>
      </c>
      <c r="AK39" s="383">
        <f t="shared" si="49"/>
        <v>119</v>
      </c>
      <c r="AL39" s="383">
        <f t="shared" si="49"/>
        <v>34</v>
      </c>
      <c r="AM39" s="383">
        <f t="shared" si="49"/>
        <v>0</v>
      </c>
      <c r="AN39" s="383">
        <f t="shared" si="49"/>
        <v>0</v>
      </c>
      <c r="AO39" s="383">
        <f t="shared" si="49"/>
        <v>76</v>
      </c>
      <c r="AP39" s="383">
        <f t="shared" ref="AP39:AU39" si="50">SUM(AP40:AP46)</f>
        <v>0</v>
      </c>
      <c r="AQ39" s="383">
        <f t="shared" si="50"/>
        <v>0</v>
      </c>
      <c r="AR39" s="383">
        <f t="shared" si="50"/>
        <v>0</v>
      </c>
      <c r="AS39" s="383">
        <f t="shared" si="50"/>
        <v>0</v>
      </c>
      <c r="AT39" s="383">
        <f t="shared" si="50"/>
        <v>0</v>
      </c>
      <c r="AU39" s="383">
        <f t="shared" si="50"/>
        <v>0</v>
      </c>
      <c r="AV39" s="383">
        <f t="shared" ref="AV39:BA39" si="51">SUM(AV40:AV46)</f>
        <v>0</v>
      </c>
      <c r="AW39" s="383">
        <f t="shared" si="51"/>
        <v>0</v>
      </c>
      <c r="AX39" s="383">
        <f t="shared" si="51"/>
        <v>0</v>
      </c>
      <c r="AY39" s="383">
        <f t="shared" si="51"/>
        <v>0</v>
      </c>
      <c r="AZ39" s="383">
        <f t="shared" si="51"/>
        <v>0</v>
      </c>
      <c r="BA39" s="383">
        <f t="shared" si="51"/>
        <v>0</v>
      </c>
      <c r="BB39" s="383">
        <f t="shared" ref="BB39:BG39" si="52">SUM(BB40:BB46)</f>
        <v>33</v>
      </c>
      <c r="BC39" s="383">
        <f t="shared" si="52"/>
        <v>22</v>
      </c>
      <c r="BD39" s="383">
        <f t="shared" si="52"/>
        <v>0</v>
      </c>
      <c r="BE39" s="383">
        <f t="shared" si="52"/>
        <v>0</v>
      </c>
      <c r="BF39" s="383">
        <f t="shared" si="52"/>
        <v>0</v>
      </c>
      <c r="BG39" s="383">
        <f t="shared" si="52"/>
        <v>11</v>
      </c>
      <c r="BH39" s="383">
        <f t="shared" ref="BH39:BM39" si="53">SUM(BH40:BH46)</f>
        <v>66</v>
      </c>
      <c r="BI39" s="383">
        <f t="shared" si="53"/>
        <v>44</v>
      </c>
      <c r="BJ39" s="383">
        <f t="shared" si="53"/>
        <v>0</v>
      </c>
      <c r="BK39" s="383">
        <f t="shared" si="53"/>
        <v>0</v>
      </c>
      <c r="BL39" s="383">
        <f t="shared" si="53"/>
        <v>0</v>
      </c>
      <c r="BM39" s="383">
        <f t="shared" si="53"/>
        <v>22</v>
      </c>
      <c r="BN39" s="383">
        <f t="shared" ref="BN39:BY39" si="54">SUM(BN40:BN46)</f>
        <v>0</v>
      </c>
      <c r="BO39" s="383">
        <f t="shared" si="54"/>
        <v>0</v>
      </c>
      <c r="BP39" s="383">
        <f t="shared" si="54"/>
        <v>0</v>
      </c>
      <c r="BQ39" s="383">
        <f t="shared" si="54"/>
        <v>0</v>
      </c>
      <c r="BR39" s="383">
        <f t="shared" si="54"/>
        <v>0</v>
      </c>
      <c r="BS39" s="383">
        <f t="shared" si="54"/>
        <v>0</v>
      </c>
      <c r="BT39" s="383">
        <f t="shared" si="54"/>
        <v>0</v>
      </c>
      <c r="BU39" s="383">
        <f t="shared" si="54"/>
        <v>0</v>
      </c>
      <c r="BV39" s="383">
        <f t="shared" si="54"/>
        <v>0</v>
      </c>
      <c r="BW39" s="383">
        <f t="shared" si="54"/>
        <v>0</v>
      </c>
      <c r="BX39" s="383">
        <f t="shared" si="54"/>
        <v>0</v>
      </c>
      <c r="BY39" s="383">
        <f t="shared" si="54"/>
        <v>0</v>
      </c>
      <c r="BZ39" s="381"/>
      <c r="CA39" s="385"/>
    </row>
    <row r="40" spans="1:79" s="89" customFormat="1" ht="26.1" customHeight="1">
      <c r="A40" s="533" t="s">
        <v>192</v>
      </c>
      <c r="B40" s="219" t="s">
        <v>193</v>
      </c>
      <c r="C40" s="219"/>
      <c r="D40" s="405"/>
      <c r="E40" s="405" t="s">
        <v>40</v>
      </c>
      <c r="F40" s="405"/>
      <c r="G40" s="405"/>
      <c r="H40" s="405" t="s">
        <v>30</v>
      </c>
      <c r="I40" s="303"/>
      <c r="J40" s="386"/>
      <c r="K40" s="92">
        <f t="shared" ref="K40:K46" si="55">L40+SUM(Q40:Q40)</f>
        <v>76</v>
      </c>
      <c r="L40" s="92">
        <f t="shared" ref="L40:L46" si="56">SUM(M40:P40)</f>
        <v>50</v>
      </c>
      <c r="M40" s="92">
        <f t="shared" ref="M40:Q46" si="57">S40+Y40+AE40+AK40+AQ40+AW40+BC40+BI40+BO40+BU40</f>
        <v>0</v>
      </c>
      <c r="N40" s="92">
        <f t="shared" si="57"/>
        <v>50</v>
      </c>
      <c r="O40" s="92">
        <f t="shared" si="57"/>
        <v>0</v>
      </c>
      <c r="P40" s="92">
        <f t="shared" si="57"/>
        <v>0</v>
      </c>
      <c r="Q40" s="92">
        <f t="shared" si="57"/>
        <v>26</v>
      </c>
      <c r="R40" s="125">
        <f t="shared" ref="R40:R46" si="58">SUM(S40:W40)</f>
        <v>0</v>
      </c>
      <c r="S40" s="93"/>
      <c r="T40" s="93"/>
      <c r="U40" s="93"/>
      <c r="V40" s="93"/>
      <c r="W40" s="93"/>
      <c r="X40" s="125">
        <f t="shared" ref="X40:X46" si="59">SUM(Y40:AC40)</f>
        <v>0</v>
      </c>
      <c r="Y40" s="93"/>
      <c r="Z40" s="93"/>
      <c r="AA40" s="93"/>
      <c r="AB40" s="93"/>
      <c r="AC40" s="93"/>
      <c r="AD40" s="125">
        <f t="shared" ref="AD40:AD46" si="60">SUM(AE40:AI40)</f>
        <v>25</v>
      </c>
      <c r="AE40" s="93"/>
      <c r="AF40" s="93">
        <v>16</v>
      </c>
      <c r="AG40" s="93"/>
      <c r="AH40" s="93"/>
      <c r="AI40" s="93">
        <v>9</v>
      </c>
      <c r="AJ40" s="125">
        <f t="shared" ref="AJ40:AJ46" si="61">SUM(AK40:AO40)</f>
        <v>51</v>
      </c>
      <c r="AK40" s="93"/>
      <c r="AL40" s="93">
        <v>34</v>
      </c>
      <c r="AM40" s="93"/>
      <c r="AN40" s="93"/>
      <c r="AO40" s="93">
        <v>17</v>
      </c>
      <c r="AP40" s="125">
        <f t="shared" ref="AP40:AP46" si="62">SUM(AQ40:AU40)</f>
        <v>0</v>
      </c>
      <c r="AQ40" s="93"/>
      <c r="AR40" s="93"/>
      <c r="AS40" s="93"/>
      <c r="AT40" s="93"/>
      <c r="AU40" s="93"/>
      <c r="AV40" s="125">
        <f t="shared" ref="AV40:AV46" si="63">SUM(AW40:BA40)</f>
        <v>0</v>
      </c>
      <c r="AW40" s="93"/>
      <c r="AX40" s="93"/>
      <c r="AY40" s="93"/>
      <c r="AZ40" s="93"/>
      <c r="BA40" s="93"/>
      <c r="BB40" s="125">
        <f t="shared" ref="BB40:BB46" si="64">SUM(BC40:BG40)</f>
        <v>0</v>
      </c>
      <c r="BC40" s="93"/>
      <c r="BD40" s="93"/>
      <c r="BE40" s="93"/>
      <c r="BF40" s="93"/>
      <c r="BG40" s="93"/>
      <c r="BH40" s="125">
        <f t="shared" ref="BH40:BH46" si="65">SUM(BI40:BM40)</f>
        <v>0</v>
      </c>
      <c r="BI40" s="93"/>
      <c r="BJ40" s="93"/>
      <c r="BK40" s="93"/>
      <c r="BL40" s="93"/>
      <c r="BM40" s="93"/>
      <c r="BN40" s="125">
        <f t="shared" ref="BN40:BN46" si="66">SUM(BO40:BS40)</f>
        <v>0</v>
      </c>
      <c r="BO40" s="93"/>
      <c r="BP40" s="93"/>
      <c r="BQ40" s="93"/>
      <c r="BR40" s="93"/>
      <c r="BS40" s="93"/>
      <c r="BT40" s="125">
        <f t="shared" ref="BT40:BT46" si="67">SUM(BU40:BY40)</f>
        <v>0</v>
      </c>
      <c r="BU40" s="93"/>
      <c r="BV40" s="93"/>
      <c r="BW40" s="93"/>
      <c r="BX40" s="93"/>
      <c r="BY40" s="93"/>
      <c r="BZ40" s="91" t="s">
        <v>499</v>
      </c>
      <c r="CA40" s="495" t="s">
        <v>583</v>
      </c>
    </row>
    <row r="41" spans="1:79" s="89" customFormat="1" ht="26.1" customHeight="1">
      <c r="A41" s="533" t="s">
        <v>194</v>
      </c>
      <c r="B41" s="219" t="s">
        <v>195</v>
      </c>
      <c r="C41" s="219"/>
      <c r="D41" s="405"/>
      <c r="E41" s="405" t="s">
        <v>40</v>
      </c>
      <c r="F41" s="405"/>
      <c r="G41" s="405"/>
      <c r="H41" s="405"/>
      <c r="I41" s="93"/>
      <c r="J41" s="386"/>
      <c r="K41" s="92">
        <f t="shared" si="55"/>
        <v>76</v>
      </c>
      <c r="L41" s="92">
        <f t="shared" si="56"/>
        <v>51</v>
      </c>
      <c r="M41" s="92">
        <f t="shared" si="57"/>
        <v>51</v>
      </c>
      <c r="N41" s="92">
        <f t="shared" si="57"/>
        <v>0</v>
      </c>
      <c r="O41" s="92">
        <f t="shared" si="57"/>
        <v>0</v>
      </c>
      <c r="P41" s="92">
        <f t="shared" si="57"/>
        <v>0</v>
      </c>
      <c r="Q41" s="92">
        <f t="shared" si="57"/>
        <v>25</v>
      </c>
      <c r="R41" s="125">
        <f t="shared" si="58"/>
        <v>0</v>
      </c>
      <c r="S41" s="93"/>
      <c r="T41" s="93"/>
      <c r="U41" s="93"/>
      <c r="V41" s="93"/>
      <c r="W41" s="93"/>
      <c r="X41" s="125">
        <f t="shared" si="59"/>
        <v>0</v>
      </c>
      <c r="Y41" s="93"/>
      <c r="Z41" s="93"/>
      <c r="AA41" s="93"/>
      <c r="AB41" s="93"/>
      <c r="AC41" s="93"/>
      <c r="AD41" s="125">
        <f t="shared" si="60"/>
        <v>0</v>
      </c>
      <c r="AE41" s="303"/>
      <c r="AF41" s="303"/>
      <c r="AG41" s="303"/>
      <c r="AH41" s="93"/>
      <c r="AI41" s="303"/>
      <c r="AJ41" s="125">
        <f t="shared" si="61"/>
        <v>76</v>
      </c>
      <c r="AK41" s="303">
        <v>51</v>
      </c>
      <c r="AL41" s="303"/>
      <c r="AM41" s="303"/>
      <c r="AN41" s="303"/>
      <c r="AO41" s="303">
        <v>25</v>
      </c>
      <c r="AP41" s="125">
        <f t="shared" si="62"/>
        <v>0</v>
      </c>
      <c r="AQ41" s="93"/>
      <c r="AR41" s="93"/>
      <c r="AS41" s="93"/>
      <c r="AT41" s="93"/>
      <c r="AU41" s="93"/>
      <c r="AV41" s="125">
        <f t="shared" si="63"/>
        <v>0</v>
      </c>
      <c r="AW41" s="93"/>
      <c r="AX41" s="93"/>
      <c r="AY41" s="93"/>
      <c r="AZ41" s="93"/>
      <c r="BA41" s="93"/>
      <c r="BB41" s="125">
        <f t="shared" si="64"/>
        <v>0</v>
      </c>
      <c r="BC41" s="93"/>
      <c r="BD41" s="93"/>
      <c r="BE41" s="93"/>
      <c r="BF41" s="93"/>
      <c r="BG41" s="93"/>
      <c r="BH41" s="125">
        <f t="shared" si="65"/>
        <v>0</v>
      </c>
      <c r="BI41" s="93"/>
      <c r="BJ41" s="93"/>
      <c r="BK41" s="93"/>
      <c r="BL41" s="93"/>
      <c r="BM41" s="93"/>
      <c r="BN41" s="125">
        <f t="shared" si="66"/>
        <v>0</v>
      </c>
      <c r="BO41" s="93"/>
      <c r="BP41" s="93"/>
      <c r="BQ41" s="93"/>
      <c r="BR41" s="93"/>
      <c r="BS41" s="93"/>
      <c r="BT41" s="125">
        <f t="shared" si="67"/>
        <v>0</v>
      </c>
      <c r="BU41" s="93"/>
      <c r="BV41" s="93"/>
      <c r="BW41" s="93"/>
      <c r="BX41" s="93"/>
      <c r="BY41" s="93"/>
      <c r="BZ41" s="91" t="s">
        <v>499</v>
      </c>
      <c r="CA41" s="195" t="s">
        <v>507</v>
      </c>
    </row>
    <row r="42" spans="1:79" s="89" customFormat="1" ht="26.1" customHeight="1">
      <c r="A42" s="533" t="s">
        <v>196</v>
      </c>
      <c r="B42" s="219" t="s">
        <v>197</v>
      </c>
      <c r="C42" s="219" t="s">
        <v>585</v>
      </c>
      <c r="D42" s="405"/>
      <c r="E42" s="534" t="s">
        <v>30</v>
      </c>
      <c r="F42" s="534"/>
      <c r="G42" s="405"/>
      <c r="H42" s="405"/>
      <c r="I42" s="93"/>
      <c r="J42" s="386"/>
      <c r="K42" s="92">
        <f t="shared" si="55"/>
        <v>66</v>
      </c>
      <c r="L42" s="92">
        <f t="shared" si="56"/>
        <v>44</v>
      </c>
      <c r="M42" s="92">
        <f t="shared" si="57"/>
        <v>28</v>
      </c>
      <c r="N42" s="92">
        <f t="shared" si="57"/>
        <v>16</v>
      </c>
      <c r="O42" s="92">
        <f t="shared" si="57"/>
        <v>0</v>
      </c>
      <c r="P42" s="92">
        <f t="shared" si="57"/>
        <v>0</v>
      </c>
      <c r="Q42" s="92">
        <f t="shared" si="57"/>
        <v>22</v>
      </c>
      <c r="R42" s="125">
        <f t="shared" si="58"/>
        <v>0</v>
      </c>
      <c r="S42" s="93"/>
      <c r="T42" s="93"/>
      <c r="U42" s="93"/>
      <c r="V42" s="93"/>
      <c r="W42" s="93"/>
      <c r="X42" s="125">
        <f t="shared" si="59"/>
        <v>0</v>
      </c>
      <c r="Y42" s="93"/>
      <c r="Z42" s="93"/>
      <c r="AA42" s="93"/>
      <c r="AB42" s="93"/>
      <c r="AC42" s="93"/>
      <c r="AD42" s="125">
        <f t="shared" si="60"/>
        <v>66</v>
      </c>
      <c r="AE42" s="303">
        <v>28</v>
      </c>
      <c r="AF42" s="303">
        <v>16</v>
      </c>
      <c r="AG42" s="303"/>
      <c r="AH42" s="93"/>
      <c r="AI42" s="93">
        <v>22</v>
      </c>
      <c r="AJ42" s="125">
        <f t="shared" si="61"/>
        <v>0</v>
      </c>
      <c r="AK42" s="303"/>
      <c r="AL42" s="303"/>
      <c r="AM42" s="303"/>
      <c r="AN42" s="303"/>
      <c r="AO42" s="303"/>
      <c r="AP42" s="125">
        <f t="shared" si="62"/>
        <v>0</v>
      </c>
      <c r="AQ42" s="93"/>
      <c r="AR42" s="93"/>
      <c r="AS42" s="93"/>
      <c r="AT42" s="93"/>
      <c r="AU42" s="93"/>
      <c r="AV42" s="125">
        <f t="shared" si="63"/>
        <v>0</v>
      </c>
      <c r="AW42" s="93"/>
      <c r="AX42" s="93"/>
      <c r="AY42" s="93"/>
      <c r="AZ42" s="93"/>
      <c r="BA42" s="93"/>
      <c r="BB42" s="125">
        <f t="shared" si="64"/>
        <v>0</v>
      </c>
      <c r="BC42" s="93"/>
      <c r="BD42" s="93"/>
      <c r="BE42" s="93"/>
      <c r="BF42" s="93"/>
      <c r="BG42" s="93"/>
      <c r="BH42" s="125">
        <f t="shared" si="65"/>
        <v>0</v>
      </c>
      <c r="BI42" s="93"/>
      <c r="BJ42" s="93"/>
      <c r="BK42" s="93"/>
      <c r="BL42" s="93"/>
      <c r="BM42" s="93"/>
      <c r="BN42" s="125">
        <f t="shared" si="66"/>
        <v>0</v>
      </c>
      <c r="BO42" s="93"/>
      <c r="BP42" s="93"/>
      <c r="BQ42" s="93"/>
      <c r="BR42" s="93"/>
      <c r="BS42" s="93"/>
      <c r="BT42" s="125">
        <f t="shared" si="67"/>
        <v>0</v>
      </c>
      <c r="BU42" s="93"/>
      <c r="BV42" s="93"/>
      <c r="BW42" s="93"/>
      <c r="BX42" s="93"/>
      <c r="BY42" s="93"/>
      <c r="BZ42" s="91" t="s">
        <v>508</v>
      </c>
      <c r="CA42" s="195" t="s">
        <v>449</v>
      </c>
    </row>
    <row r="43" spans="1:79" s="89" customFormat="1" ht="26.1" customHeight="1">
      <c r="A43" s="533" t="s">
        <v>198</v>
      </c>
      <c r="B43" s="219" t="s">
        <v>550</v>
      </c>
      <c r="C43" s="219" t="s">
        <v>566</v>
      </c>
      <c r="D43" s="534" t="s">
        <v>38</v>
      </c>
      <c r="E43" s="534"/>
      <c r="F43" s="534"/>
      <c r="G43" s="405"/>
      <c r="H43" s="405" t="s">
        <v>43</v>
      </c>
      <c r="I43" s="93"/>
      <c r="J43" s="386"/>
      <c r="K43" s="92">
        <f t="shared" si="55"/>
        <v>99</v>
      </c>
      <c r="L43" s="92">
        <f t="shared" si="56"/>
        <v>66</v>
      </c>
      <c r="M43" s="92">
        <f t="shared" si="57"/>
        <v>66</v>
      </c>
      <c r="N43" s="92">
        <f t="shared" si="57"/>
        <v>0</v>
      </c>
      <c r="O43" s="92">
        <f t="shared" si="57"/>
        <v>0</v>
      </c>
      <c r="P43" s="92">
        <f t="shared" si="57"/>
        <v>0</v>
      </c>
      <c r="Q43" s="92">
        <f t="shared" si="57"/>
        <v>33</v>
      </c>
      <c r="R43" s="125">
        <f t="shared" si="58"/>
        <v>0</v>
      </c>
      <c r="S43" s="93"/>
      <c r="T43" s="93"/>
      <c r="U43" s="93"/>
      <c r="V43" s="93"/>
      <c r="W43" s="93"/>
      <c r="X43" s="125">
        <f t="shared" si="59"/>
        <v>0</v>
      </c>
      <c r="Y43" s="93"/>
      <c r="Z43" s="93"/>
      <c r="AA43" s="93"/>
      <c r="AB43" s="93"/>
      <c r="AC43" s="93"/>
      <c r="AD43" s="125">
        <f t="shared" si="60"/>
        <v>0</v>
      </c>
      <c r="AE43" s="303"/>
      <c r="AF43" s="303"/>
      <c r="AG43" s="303"/>
      <c r="AH43" s="93"/>
      <c r="AI43" s="93"/>
      <c r="AJ43" s="125">
        <f t="shared" si="61"/>
        <v>0</v>
      </c>
      <c r="AK43" s="303"/>
      <c r="AL43" s="303"/>
      <c r="AM43" s="303"/>
      <c r="AN43" s="303"/>
      <c r="AO43" s="303"/>
      <c r="AP43" s="125">
        <f t="shared" si="62"/>
        <v>0</v>
      </c>
      <c r="AQ43" s="93"/>
      <c r="AR43" s="93"/>
      <c r="AS43" s="93"/>
      <c r="AT43" s="93"/>
      <c r="AU43" s="93"/>
      <c r="AV43" s="125">
        <f t="shared" si="63"/>
        <v>0</v>
      </c>
      <c r="AW43" s="93"/>
      <c r="AX43" s="93"/>
      <c r="AY43" s="93"/>
      <c r="AZ43" s="93"/>
      <c r="BA43" s="93"/>
      <c r="BB43" s="125">
        <f t="shared" si="64"/>
        <v>33</v>
      </c>
      <c r="BC43" s="129">
        <v>22</v>
      </c>
      <c r="BD43" s="129"/>
      <c r="BE43" s="93"/>
      <c r="BF43" s="93"/>
      <c r="BG43" s="93">
        <v>11</v>
      </c>
      <c r="BH43" s="125">
        <f t="shared" si="65"/>
        <v>66</v>
      </c>
      <c r="BI43" s="93">
        <v>44</v>
      </c>
      <c r="BJ43" s="93"/>
      <c r="BK43" s="93"/>
      <c r="BL43" s="93"/>
      <c r="BM43" s="303">
        <v>22</v>
      </c>
      <c r="BN43" s="125">
        <f t="shared" si="66"/>
        <v>0</v>
      </c>
      <c r="BO43" s="93"/>
      <c r="BP43" s="93"/>
      <c r="BQ43" s="93"/>
      <c r="BR43" s="93"/>
      <c r="BS43" s="93"/>
      <c r="BT43" s="125">
        <f t="shared" si="67"/>
        <v>0</v>
      </c>
      <c r="BU43" s="93"/>
      <c r="BV43" s="93"/>
      <c r="BW43" s="93"/>
      <c r="BX43" s="93"/>
      <c r="BY43" s="93"/>
      <c r="BZ43" s="91" t="s">
        <v>509</v>
      </c>
      <c r="CA43" s="195" t="s">
        <v>510</v>
      </c>
    </row>
    <row r="44" spans="1:79" s="89" customFormat="1" ht="26.1" customHeight="1">
      <c r="A44" s="533" t="s">
        <v>199</v>
      </c>
      <c r="B44" s="219" t="s">
        <v>200</v>
      </c>
      <c r="C44" s="219"/>
      <c r="D44" s="534"/>
      <c r="E44" s="534" t="s">
        <v>30</v>
      </c>
      <c r="F44" s="534"/>
      <c r="G44" s="405"/>
      <c r="H44" s="405"/>
      <c r="I44" s="93"/>
      <c r="J44" s="386"/>
      <c r="K44" s="92">
        <f t="shared" si="55"/>
        <v>54</v>
      </c>
      <c r="L44" s="92">
        <f t="shared" si="56"/>
        <v>36</v>
      </c>
      <c r="M44" s="92">
        <f t="shared" si="57"/>
        <v>36</v>
      </c>
      <c r="N44" s="92">
        <f t="shared" si="57"/>
        <v>0</v>
      </c>
      <c r="O44" s="92">
        <f t="shared" si="57"/>
        <v>0</v>
      </c>
      <c r="P44" s="92">
        <f t="shared" si="57"/>
        <v>0</v>
      </c>
      <c r="Q44" s="92">
        <f t="shared" si="57"/>
        <v>18</v>
      </c>
      <c r="R44" s="125">
        <f t="shared" si="58"/>
        <v>0</v>
      </c>
      <c r="S44" s="93"/>
      <c r="T44" s="93"/>
      <c r="U44" s="93"/>
      <c r="V44" s="93"/>
      <c r="W44" s="93"/>
      <c r="X44" s="125">
        <f t="shared" si="59"/>
        <v>0</v>
      </c>
      <c r="Y44" s="93"/>
      <c r="Z44" s="93"/>
      <c r="AA44" s="93"/>
      <c r="AB44" s="93"/>
      <c r="AC44" s="93"/>
      <c r="AD44" s="125">
        <f t="shared" si="60"/>
        <v>54</v>
      </c>
      <c r="AE44" s="303">
        <v>36</v>
      </c>
      <c r="AF44" s="303"/>
      <c r="AG44" s="303"/>
      <c r="AH44" s="93"/>
      <c r="AI44" s="93">
        <v>18</v>
      </c>
      <c r="AJ44" s="125">
        <f t="shared" si="61"/>
        <v>0</v>
      </c>
      <c r="AK44" s="303"/>
      <c r="AL44" s="303"/>
      <c r="AM44" s="303"/>
      <c r="AN44" s="303"/>
      <c r="AO44" s="303"/>
      <c r="AP44" s="125">
        <f t="shared" si="62"/>
        <v>0</v>
      </c>
      <c r="AQ44" s="93"/>
      <c r="AR44" s="93"/>
      <c r="AS44" s="93"/>
      <c r="AT44" s="93"/>
      <c r="AU44" s="93"/>
      <c r="AV44" s="125">
        <f t="shared" si="63"/>
        <v>0</v>
      </c>
      <c r="AW44" s="93"/>
      <c r="AX44" s="93"/>
      <c r="AY44" s="93"/>
      <c r="AZ44" s="93"/>
      <c r="BA44" s="93"/>
      <c r="BB44" s="125">
        <f t="shared" si="64"/>
        <v>0</v>
      </c>
      <c r="BC44" s="93"/>
      <c r="BD44" s="93"/>
      <c r="BE44" s="93"/>
      <c r="BF44" s="93"/>
      <c r="BG44" s="93"/>
      <c r="BH44" s="125">
        <f t="shared" si="65"/>
        <v>0</v>
      </c>
      <c r="BI44" s="93"/>
      <c r="BJ44" s="93"/>
      <c r="BK44" s="93"/>
      <c r="BL44" s="93"/>
      <c r="BM44" s="93"/>
      <c r="BN44" s="125">
        <f t="shared" si="66"/>
        <v>0</v>
      </c>
      <c r="BO44" s="93"/>
      <c r="BP44" s="93"/>
      <c r="BQ44" s="93"/>
      <c r="BR44" s="93"/>
      <c r="BS44" s="93"/>
      <c r="BT44" s="125">
        <f t="shared" si="67"/>
        <v>0</v>
      </c>
      <c r="BU44" s="93"/>
      <c r="BV44" s="93"/>
      <c r="BW44" s="93"/>
      <c r="BX44" s="93"/>
      <c r="BY44" s="93"/>
      <c r="BZ44" s="91" t="s">
        <v>511</v>
      </c>
      <c r="CA44" s="195" t="s">
        <v>512</v>
      </c>
    </row>
    <row r="45" spans="1:79" s="89" customFormat="1" ht="26.1" customHeight="1">
      <c r="A45" s="533" t="s">
        <v>201</v>
      </c>
      <c r="B45" s="219" t="s">
        <v>202</v>
      </c>
      <c r="C45" s="219" t="s">
        <v>567</v>
      </c>
      <c r="D45" s="405" t="s">
        <v>40</v>
      </c>
      <c r="E45" s="405"/>
      <c r="F45" s="405"/>
      <c r="G45" s="405"/>
      <c r="H45" s="405" t="s">
        <v>30</v>
      </c>
      <c r="I45" s="93"/>
      <c r="J45" s="386"/>
      <c r="K45" s="92">
        <f t="shared" si="55"/>
        <v>147</v>
      </c>
      <c r="L45" s="92">
        <f t="shared" si="56"/>
        <v>98</v>
      </c>
      <c r="M45" s="92">
        <f t="shared" si="57"/>
        <v>98</v>
      </c>
      <c r="N45" s="92">
        <f t="shared" si="57"/>
        <v>0</v>
      </c>
      <c r="O45" s="92">
        <f t="shared" si="57"/>
        <v>0</v>
      </c>
      <c r="P45" s="92">
        <f t="shared" si="57"/>
        <v>0</v>
      </c>
      <c r="Q45" s="92">
        <f t="shared" si="57"/>
        <v>49</v>
      </c>
      <c r="R45" s="125">
        <f t="shared" si="58"/>
        <v>0</v>
      </c>
      <c r="S45" s="93"/>
      <c r="T45" s="93"/>
      <c r="U45" s="93"/>
      <c r="V45" s="93"/>
      <c r="W45" s="93"/>
      <c r="X45" s="125">
        <f t="shared" si="59"/>
        <v>0</v>
      </c>
      <c r="Y45" s="93"/>
      <c r="Z45" s="93"/>
      <c r="AA45" s="93"/>
      <c r="AB45" s="93"/>
      <c r="AC45" s="93"/>
      <c r="AD45" s="125">
        <f t="shared" si="60"/>
        <v>45</v>
      </c>
      <c r="AE45" s="303">
        <v>30</v>
      </c>
      <c r="AF45" s="303"/>
      <c r="AG45" s="303"/>
      <c r="AH45" s="93"/>
      <c r="AI45" s="93">
        <v>15</v>
      </c>
      <c r="AJ45" s="125">
        <f t="shared" si="61"/>
        <v>102</v>
      </c>
      <c r="AK45" s="303">
        <v>68</v>
      </c>
      <c r="AL45" s="303"/>
      <c r="AM45" s="303"/>
      <c r="AN45" s="303"/>
      <c r="AO45" s="303">
        <v>34</v>
      </c>
      <c r="AP45" s="125">
        <f t="shared" si="62"/>
        <v>0</v>
      </c>
      <c r="AQ45" s="93"/>
      <c r="AR45" s="93"/>
      <c r="AS45" s="93"/>
      <c r="AT45" s="93"/>
      <c r="AU45" s="93"/>
      <c r="AV45" s="125">
        <f t="shared" si="63"/>
        <v>0</v>
      </c>
      <c r="AW45" s="93"/>
      <c r="AX45" s="93"/>
      <c r="AY45" s="93"/>
      <c r="AZ45" s="93"/>
      <c r="BA45" s="93"/>
      <c r="BB45" s="125">
        <f t="shared" si="64"/>
        <v>0</v>
      </c>
      <c r="BC45" s="93"/>
      <c r="BD45" s="93"/>
      <c r="BE45" s="93"/>
      <c r="BF45" s="93"/>
      <c r="BG45" s="93"/>
      <c r="BH45" s="125">
        <f t="shared" si="65"/>
        <v>0</v>
      </c>
      <c r="BI45" s="93"/>
      <c r="BJ45" s="93"/>
      <c r="BK45" s="93"/>
      <c r="BL45" s="93"/>
      <c r="BM45" s="93"/>
      <c r="BN45" s="125">
        <f t="shared" si="66"/>
        <v>0</v>
      </c>
      <c r="BO45" s="93"/>
      <c r="BP45" s="93"/>
      <c r="BQ45" s="93"/>
      <c r="BR45" s="93"/>
      <c r="BS45" s="93"/>
      <c r="BT45" s="125">
        <f t="shared" si="67"/>
        <v>0</v>
      </c>
      <c r="BU45" s="93"/>
      <c r="BV45" s="93"/>
      <c r="BW45" s="93"/>
      <c r="BX45" s="93"/>
      <c r="BY45" s="93"/>
      <c r="BZ45" s="91" t="s">
        <v>509</v>
      </c>
      <c r="CA45" s="195" t="s">
        <v>513</v>
      </c>
    </row>
    <row r="46" spans="1:79" s="89" customFormat="1" ht="26.1" customHeight="1">
      <c r="A46" s="533" t="s">
        <v>203</v>
      </c>
      <c r="B46" s="219" t="s">
        <v>145</v>
      </c>
      <c r="C46" s="219"/>
      <c r="D46" s="405" t="s">
        <v>30</v>
      </c>
      <c r="E46" s="534"/>
      <c r="F46" s="534"/>
      <c r="G46" s="405"/>
      <c r="H46" s="405"/>
      <c r="I46" s="303"/>
      <c r="J46" s="303">
        <v>68</v>
      </c>
      <c r="K46" s="92">
        <f t="shared" si="55"/>
        <v>102</v>
      </c>
      <c r="L46" s="92">
        <f t="shared" si="56"/>
        <v>68</v>
      </c>
      <c r="M46" s="92">
        <f t="shared" si="57"/>
        <v>68</v>
      </c>
      <c r="N46" s="92">
        <f t="shared" si="57"/>
        <v>0</v>
      </c>
      <c r="O46" s="92">
        <f t="shared" si="57"/>
        <v>0</v>
      </c>
      <c r="P46" s="92">
        <f t="shared" si="57"/>
        <v>0</v>
      </c>
      <c r="Q46" s="92">
        <f t="shared" si="57"/>
        <v>34</v>
      </c>
      <c r="R46" s="125">
        <f t="shared" si="58"/>
        <v>0</v>
      </c>
      <c r="S46" s="93"/>
      <c r="T46" s="93"/>
      <c r="U46" s="93"/>
      <c r="V46" s="93"/>
      <c r="W46" s="93"/>
      <c r="X46" s="125">
        <f t="shared" si="59"/>
        <v>0</v>
      </c>
      <c r="Y46" s="93"/>
      <c r="Z46" s="93"/>
      <c r="AA46" s="93"/>
      <c r="AB46" s="93"/>
      <c r="AC46" s="93"/>
      <c r="AD46" s="125">
        <f t="shared" si="60"/>
        <v>102</v>
      </c>
      <c r="AE46" s="303">
        <v>68</v>
      </c>
      <c r="AF46" s="303"/>
      <c r="AG46" s="303"/>
      <c r="AH46" s="93"/>
      <c r="AI46" s="93">
        <v>34</v>
      </c>
      <c r="AJ46" s="125">
        <f t="shared" si="61"/>
        <v>0</v>
      </c>
      <c r="AK46" s="303"/>
      <c r="AL46" s="303"/>
      <c r="AM46" s="303"/>
      <c r="AN46" s="303"/>
      <c r="AO46" s="303"/>
      <c r="AP46" s="125">
        <f t="shared" si="62"/>
        <v>0</v>
      </c>
      <c r="AQ46" s="93"/>
      <c r="AR46" s="93"/>
      <c r="AS46" s="93"/>
      <c r="AT46" s="93"/>
      <c r="AU46" s="93"/>
      <c r="AV46" s="125">
        <f t="shared" si="63"/>
        <v>0</v>
      </c>
      <c r="AW46" s="93"/>
      <c r="AX46" s="93"/>
      <c r="AY46" s="93"/>
      <c r="AZ46" s="93"/>
      <c r="BA46" s="93"/>
      <c r="BB46" s="125">
        <f t="shared" si="64"/>
        <v>0</v>
      </c>
      <c r="BC46" s="93"/>
      <c r="BD46" s="93"/>
      <c r="BE46" s="93"/>
      <c r="BF46" s="93"/>
      <c r="BG46" s="93"/>
      <c r="BH46" s="125">
        <f t="shared" si="65"/>
        <v>0</v>
      </c>
      <c r="BI46" s="93"/>
      <c r="BJ46" s="93"/>
      <c r="BK46" s="93"/>
      <c r="BL46" s="93"/>
      <c r="BM46" s="93"/>
      <c r="BN46" s="125">
        <f t="shared" si="66"/>
        <v>0</v>
      </c>
      <c r="BO46" s="93"/>
      <c r="BP46" s="93"/>
      <c r="BQ46" s="93"/>
      <c r="BR46" s="93"/>
      <c r="BS46" s="93"/>
      <c r="BT46" s="125">
        <f t="shared" si="67"/>
        <v>0</v>
      </c>
      <c r="BU46" s="93"/>
      <c r="BV46" s="93"/>
      <c r="BW46" s="93"/>
      <c r="BX46" s="93"/>
      <c r="BY46" s="93"/>
      <c r="BZ46" s="91" t="s">
        <v>509</v>
      </c>
      <c r="CA46" s="195" t="s">
        <v>514</v>
      </c>
    </row>
    <row r="47" spans="1:79" s="96" customFormat="1" ht="26.1" customHeight="1">
      <c r="A47" s="387" t="s">
        <v>184</v>
      </c>
      <c r="B47" s="773" t="s">
        <v>189</v>
      </c>
      <c r="C47" s="774"/>
      <c r="D47" s="774"/>
      <c r="E47" s="774"/>
      <c r="F47" s="774"/>
      <c r="G47" s="774"/>
      <c r="H47" s="775"/>
      <c r="I47" s="382">
        <v>2248</v>
      </c>
      <c r="J47" s="382">
        <v>1568</v>
      </c>
      <c r="K47" s="389">
        <f t="shared" ref="K47:Q47" si="68">SUM(K48,K74,K80,K85,K88)</f>
        <v>3630</v>
      </c>
      <c r="L47" s="389">
        <f t="shared" si="68"/>
        <v>2489</v>
      </c>
      <c r="M47" s="389">
        <f t="shared" si="68"/>
        <v>1655</v>
      </c>
      <c r="N47" s="389">
        <f t="shared" si="68"/>
        <v>744</v>
      </c>
      <c r="O47" s="389">
        <f t="shared" si="68"/>
        <v>90</v>
      </c>
      <c r="P47" s="389">
        <f t="shared" si="68"/>
        <v>0</v>
      </c>
      <c r="Q47" s="389">
        <f t="shared" si="68"/>
        <v>1141</v>
      </c>
      <c r="R47" s="389">
        <f t="shared" ref="R47:AC47" si="69">SUM(R48+R74+R80+R88)</f>
        <v>0</v>
      </c>
      <c r="S47" s="389">
        <f t="shared" si="69"/>
        <v>0</v>
      </c>
      <c r="T47" s="389">
        <f t="shared" si="69"/>
        <v>0</v>
      </c>
      <c r="U47" s="389">
        <f t="shared" si="69"/>
        <v>0</v>
      </c>
      <c r="V47" s="389">
        <f t="shared" si="69"/>
        <v>0</v>
      </c>
      <c r="W47" s="389">
        <f t="shared" si="69"/>
        <v>0</v>
      </c>
      <c r="X47" s="389">
        <f t="shared" si="69"/>
        <v>0</v>
      </c>
      <c r="Y47" s="389">
        <f t="shared" si="69"/>
        <v>0</v>
      </c>
      <c r="Z47" s="389">
        <f t="shared" si="69"/>
        <v>0</v>
      </c>
      <c r="AA47" s="389">
        <f t="shared" si="69"/>
        <v>0</v>
      </c>
      <c r="AB47" s="389">
        <f t="shared" si="69"/>
        <v>0</v>
      </c>
      <c r="AC47" s="389">
        <f t="shared" si="69"/>
        <v>0</v>
      </c>
      <c r="AD47" s="389">
        <f t="shared" ref="AD47:BY47" si="70">SUM(AD48+AD74+AD80+AD88+AD85)</f>
        <v>70</v>
      </c>
      <c r="AE47" s="389">
        <f t="shared" si="70"/>
        <v>0</v>
      </c>
      <c r="AF47" s="389">
        <f t="shared" si="70"/>
        <v>58</v>
      </c>
      <c r="AG47" s="389">
        <f t="shared" si="70"/>
        <v>0</v>
      </c>
      <c r="AH47" s="389">
        <f t="shared" si="70"/>
        <v>0</v>
      </c>
      <c r="AI47" s="389">
        <f t="shared" si="70"/>
        <v>12</v>
      </c>
      <c r="AJ47" s="389">
        <f t="shared" si="70"/>
        <v>468</v>
      </c>
      <c r="AK47" s="389">
        <f t="shared" si="70"/>
        <v>277</v>
      </c>
      <c r="AL47" s="389">
        <f t="shared" si="70"/>
        <v>46</v>
      </c>
      <c r="AM47" s="389">
        <f t="shared" si="70"/>
        <v>0</v>
      </c>
      <c r="AN47" s="389">
        <f t="shared" si="70"/>
        <v>0</v>
      </c>
      <c r="AO47" s="389">
        <f t="shared" si="70"/>
        <v>145</v>
      </c>
      <c r="AP47" s="389">
        <f t="shared" si="70"/>
        <v>680</v>
      </c>
      <c r="AQ47" s="389">
        <f t="shared" si="70"/>
        <v>374</v>
      </c>
      <c r="AR47" s="389">
        <f t="shared" si="70"/>
        <v>90</v>
      </c>
      <c r="AS47" s="389">
        <f t="shared" si="70"/>
        <v>0</v>
      </c>
      <c r="AT47" s="389">
        <f t="shared" si="70"/>
        <v>0</v>
      </c>
      <c r="AU47" s="389">
        <f t="shared" si="70"/>
        <v>216</v>
      </c>
      <c r="AV47" s="389">
        <f t="shared" si="70"/>
        <v>517</v>
      </c>
      <c r="AW47" s="389">
        <f t="shared" si="70"/>
        <v>233</v>
      </c>
      <c r="AX47" s="389">
        <f t="shared" si="70"/>
        <v>119</v>
      </c>
      <c r="AY47" s="389">
        <f t="shared" si="70"/>
        <v>0</v>
      </c>
      <c r="AZ47" s="389">
        <f t="shared" si="70"/>
        <v>0</v>
      </c>
      <c r="BA47" s="389">
        <f t="shared" si="70"/>
        <v>165</v>
      </c>
      <c r="BB47" s="389">
        <f t="shared" si="70"/>
        <v>485</v>
      </c>
      <c r="BC47" s="389">
        <f t="shared" si="70"/>
        <v>246</v>
      </c>
      <c r="BD47" s="389">
        <f t="shared" si="70"/>
        <v>84</v>
      </c>
      <c r="BE47" s="389">
        <f t="shared" si="70"/>
        <v>0</v>
      </c>
      <c r="BF47" s="389">
        <f t="shared" si="70"/>
        <v>0</v>
      </c>
      <c r="BG47" s="389">
        <f t="shared" si="70"/>
        <v>155</v>
      </c>
      <c r="BH47" s="389">
        <f t="shared" si="70"/>
        <v>451</v>
      </c>
      <c r="BI47" s="389">
        <f t="shared" si="70"/>
        <v>242</v>
      </c>
      <c r="BJ47" s="389">
        <f t="shared" si="70"/>
        <v>11</v>
      </c>
      <c r="BK47" s="389">
        <f t="shared" si="70"/>
        <v>55</v>
      </c>
      <c r="BL47" s="389">
        <f t="shared" si="70"/>
        <v>0</v>
      </c>
      <c r="BM47" s="389">
        <f t="shared" si="70"/>
        <v>143</v>
      </c>
      <c r="BN47" s="389">
        <f t="shared" si="70"/>
        <v>164</v>
      </c>
      <c r="BO47" s="389">
        <f t="shared" si="70"/>
        <v>72</v>
      </c>
      <c r="BP47" s="389">
        <f t="shared" si="70"/>
        <v>40</v>
      </c>
      <c r="BQ47" s="389">
        <f t="shared" si="70"/>
        <v>0</v>
      </c>
      <c r="BR47" s="389">
        <f t="shared" si="70"/>
        <v>0</v>
      </c>
      <c r="BS47" s="389">
        <f t="shared" si="70"/>
        <v>52</v>
      </c>
      <c r="BT47" s="389">
        <f t="shared" si="70"/>
        <v>795</v>
      </c>
      <c r="BU47" s="389">
        <f t="shared" si="70"/>
        <v>211</v>
      </c>
      <c r="BV47" s="389">
        <f t="shared" si="70"/>
        <v>296</v>
      </c>
      <c r="BW47" s="389">
        <f t="shared" si="70"/>
        <v>35</v>
      </c>
      <c r="BX47" s="389">
        <f t="shared" si="70"/>
        <v>0</v>
      </c>
      <c r="BY47" s="389">
        <f t="shared" si="70"/>
        <v>253</v>
      </c>
      <c r="BZ47" s="388"/>
      <c r="CA47" s="390"/>
    </row>
    <row r="48" spans="1:79" s="97" customFormat="1" ht="26.1" customHeight="1">
      <c r="A48" s="422" t="s">
        <v>205</v>
      </c>
      <c r="B48" s="776" t="s">
        <v>406</v>
      </c>
      <c r="C48" s="777"/>
      <c r="D48" s="777"/>
      <c r="E48" s="777"/>
      <c r="F48" s="777"/>
      <c r="G48" s="777"/>
      <c r="H48" s="778"/>
      <c r="I48" s="424"/>
      <c r="J48" s="424"/>
      <c r="K48" s="392">
        <f t="shared" ref="K48:AL48" si="71">SUM(K49+K55+K62+K69)</f>
        <v>2856</v>
      </c>
      <c r="L48" s="392">
        <f t="shared" si="71"/>
        <v>1951</v>
      </c>
      <c r="M48" s="392">
        <f t="shared" si="71"/>
        <v>1349</v>
      </c>
      <c r="N48" s="392">
        <f t="shared" si="71"/>
        <v>534</v>
      </c>
      <c r="O48" s="392">
        <f t="shared" si="71"/>
        <v>68</v>
      </c>
      <c r="P48" s="392">
        <f t="shared" si="71"/>
        <v>0</v>
      </c>
      <c r="Q48" s="392">
        <f t="shared" si="71"/>
        <v>905</v>
      </c>
      <c r="R48" s="392">
        <f t="shared" si="71"/>
        <v>0</v>
      </c>
      <c r="S48" s="392">
        <f t="shared" si="71"/>
        <v>0</v>
      </c>
      <c r="T48" s="392">
        <f t="shared" si="71"/>
        <v>0</v>
      </c>
      <c r="U48" s="392">
        <f t="shared" si="71"/>
        <v>0</v>
      </c>
      <c r="V48" s="392">
        <f t="shared" si="71"/>
        <v>0</v>
      </c>
      <c r="W48" s="392">
        <f t="shared" si="71"/>
        <v>0</v>
      </c>
      <c r="X48" s="392">
        <f t="shared" si="71"/>
        <v>0</v>
      </c>
      <c r="Y48" s="392">
        <f t="shared" si="71"/>
        <v>0</v>
      </c>
      <c r="Z48" s="392">
        <f t="shared" si="71"/>
        <v>0</v>
      </c>
      <c r="AA48" s="392">
        <f t="shared" si="71"/>
        <v>0</v>
      </c>
      <c r="AB48" s="392">
        <f t="shared" si="71"/>
        <v>0</v>
      </c>
      <c r="AC48" s="392">
        <f t="shared" si="71"/>
        <v>0</v>
      </c>
      <c r="AD48" s="392">
        <f t="shared" si="71"/>
        <v>0</v>
      </c>
      <c r="AE48" s="392">
        <f t="shared" si="71"/>
        <v>0</v>
      </c>
      <c r="AF48" s="392">
        <f t="shared" si="71"/>
        <v>0</v>
      </c>
      <c r="AG48" s="392">
        <f t="shared" si="71"/>
        <v>0</v>
      </c>
      <c r="AH48" s="392">
        <f t="shared" si="71"/>
        <v>0</v>
      </c>
      <c r="AI48" s="392">
        <f t="shared" si="71"/>
        <v>0</v>
      </c>
      <c r="AJ48" s="392">
        <f t="shared" si="71"/>
        <v>330</v>
      </c>
      <c r="AK48" s="392">
        <f t="shared" si="71"/>
        <v>209</v>
      </c>
      <c r="AL48" s="392">
        <f t="shared" si="71"/>
        <v>22</v>
      </c>
      <c r="AM48" s="392">
        <f t="shared" ref="AM48:BM48" si="72">SUM(AM49+AM55+AM62+AM69)</f>
        <v>0</v>
      </c>
      <c r="AN48" s="392">
        <f t="shared" si="72"/>
        <v>0</v>
      </c>
      <c r="AO48" s="392">
        <f t="shared" si="72"/>
        <v>99</v>
      </c>
      <c r="AP48" s="392">
        <f t="shared" si="72"/>
        <v>630</v>
      </c>
      <c r="AQ48" s="392">
        <f t="shared" si="72"/>
        <v>338</v>
      </c>
      <c r="AR48" s="392">
        <f t="shared" si="72"/>
        <v>90</v>
      </c>
      <c r="AS48" s="392">
        <f t="shared" si="72"/>
        <v>0</v>
      </c>
      <c r="AT48" s="392">
        <f t="shared" si="72"/>
        <v>0</v>
      </c>
      <c r="AU48" s="392">
        <f t="shared" si="72"/>
        <v>202</v>
      </c>
      <c r="AV48" s="392">
        <f t="shared" si="72"/>
        <v>517</v>
      </c>
      <c r="AW48" s="392">
        <f t="shared" si="72"/>
        <v>233</v>
      </c>
      <c r="AX48" s="392">
        <f t="shared" si="72"/>
        <v>119</v>
      </c>
      <c r="AY48" s="392">
        <f t="shared" si="72"/>
        <v>0</v>
      </c>
      <c r="AZ48" s="392">
        <f t="shared" si="72"/>
        <v>0</v>
      </c>
      <c r="BA48" s="392">
        <f t="shared" si="72"/>
        <v>165</v>
      </c>
      <c r="BB48" s="392">
        <f t="shared" si="72"/>
        <v>389</v>
      </c>
      <c r="BC48" s="392">
        <f t="shared" si="72"/>
        <v>180</v>
      </c>
      <c r="BD48" s="392">
        <f t="shared" si="72"/>
        <v>84</v>
      </c>
      <c r="BE48" s="392">
        <f t="shared" si="72"/>
        <v>0</v>
      </c>
      <c r="BF48" s="392">
        <f t="shared" si="72"/>
        <v>0</v>
      </c>
      <c r="BG48" s="392">
        <f t="shared" si="72"/>
        <v>125</v>
      </c>
      <c r="BH48" s="392">
        <f t="shared" si="72"/>
        <v>319</v>
      </c>
      <c r="BI48" s="392">
        <f t="shared" si="72"/>
        <v>176</v>
      </c>
      <c r="BJ48" s="392">
        <f t="shared" si="72"/>
        <v>11</v>
      </c>
      <c r="BK48" s="392">
        <f t="shared" si="72"/>
        <v>33</v>
      </c>
      <c r="BL48" s="392">
        <f t="shared" si="72"/>
        <v>0</v>
      </c>
      <c r="BM48" s="392">
        <f t="shared" si="72"/>
        <v>99</v>
      </c>
      <c r="BN48" s="392">
        <f t="shared" ref="BN48:BY48" si="73">SUM(BN49+BN55+BN62+BN69)</f>
        <v>140</v>
      </c>
      <c r="BO48" s="392">
        <f t="shared" si="73"/>
        <v>56</v>
      </c>
      <c r="BP48" s="392">
        <f t="shared" si="73"/>
        <v>40</v>
      </c>
      <c r="BQ48" s="392">
        <f t="shared" si="73"/>
        <v>0</v>
      </c>
      <c r="BR48" s="392">
        <f t="shared" si="73"/>
        <v>0</v>
      </c>
      <c r="BS48" s="392">
        <f t="shared" si="73"/>
        <v>44</v>
      </c>
      <c r="BT48" s="392">
        <f t="shared" si="73"/>
        <v>531</v>
      </c>
      <c r="BU48" s="392">
        <f t="shared" si="73"/>
        <v>157</v>
      </c>
      <c r="BV48" s="392">
        <f t="shared" si="73"/>
        <v>168</v>
      </c>
      <c r="BW48" s="392">
        <f t="shared" si="73"/>
        <v>35</v>
      </c>
      <c r="BX48" s="392">
        <f t="shared" si="73"/>
        <v>0</v>
      </c>
      <c r="BY48" s="392">
        <f t="shared" si="73"/>
        <v>171</v>
      </c>
      <c r="BZ48" s="391"/>
      <c r="CA48" s="591" t="s">
        <v>618</v>
      </c>
    </row>
    <row r="49" spans="1:129" s="89" customFormat="1" ht="26.1" customHeight="1">
      <c r="A49" s="393" t="s">
        <v>379</v>
      </c>
      <c r="B49" s="704" t="s">
        <v>344</v>
      </c>
      <c r="C49" s="705"/>
      <c r="D49" s="705"/>
      <c r="E49" s="705"/>
      <c r="F49" s="705"/>
      <c r="G49" s="705"/>
      <c r="H49" s="706"/>
      <c r="I49" s="395"/>
      <c r="J49" s="395"/>
      <c r="K49" s="396">
        <f t="shared" ref="K49" si="74">SUM(K50:K54)</f>
        <v>726</v>
      </c>
      <c r="L49" s="396">
        <f t="shared" ref="L49" si="75">SUM(L50:L54)</f>
        <v>484</v>
      </c>
      <c r="M49" s="396">
        <f t="shared" ref="M49" si="76">SUM(M50:M54)</f>
        <v>376</v>
      </c>
      <c r="N49" s="396">
        <f t="shared" ref="N49" si="77">SUM(N50:N54)</f>
        <v>73</v>
      </c>
      <c r="O49" s="396">
        <f t="shared" ref="O49" si="78">SUM(O50:O54)</f>
        <v>35</v>
      </c>
      <c r="P49" s="396">
        <f t="shared" ref="P49" si="79">SUM(P50:P54)</f>
        <v>0</v>
      </c>
      <c r="Q49" s="396">
        <f t="shared" ref="Q49" si="80">SUM(Q50:Q54)</f>
        <v>242</v>
      </c>
      <c r="R49" s="396">
        <f t="shared" ref="R49" si="81">SUM(R50:R54)</f>
        <v>0</v>
      </c>
      <c r="S49" s="396">
        <f t="shared" ref="S49" si="82">SUM(S50:S54)</f>
        <v>0</v>
      </c>
      <c r="T49" s="396">
        <f t="shared" ref="T49" si="83">SUM(T50:T54)</f>
        <v>0</v>
      </c>
      <c r="U49" s="396">
        <f t="shared" ref="U49" si="84">SUM(U50:U54)</f>
        <v>0</v>
      </c>
      <c r="V49" s="396">
        <f t="shared" ref="V49" si="85">SUM(V50:V54)</f>
        <v>0</v>
      </c>
      <c r="W49" s="396">
        <f t="shared" ref="W49" si="86">SUM(W50:W54)</f>
        <v>0</v>
      </c>
      <c r="X49" s="396">
        <f t="shared" ref="X49" si="87">SUM(X50:X54)</f>
        <v>0</v>
      </c>
      <c r="Y49" s="396">
        <f t="shared" ref="Y49" si="88">SUM(Y50:Y54)</f>
        <v>0</v>
      </c>
      <c r="Z49" s="396">
        <f t="shared" ref="Z49" si="89">SUM(Z50:Z54)</f>
        <v>0</v>
      </c>
      <c r="AA49" s="396">
        <f t="shared" ref="AA49" si="90">SUM(AA50:AA54)</f>
        <v>0</v>
      </c>
      <c r="AB49" s="396">
        <f t="shared" ref="AB49" si="91">SUM(AB50:AB54)</f>
        <v>0</v>
      </c>
      <c r="AC49" s="396">
        <f t="shared" ref="AC49" si="92">SUM(AC50:AC54)</f>
        <v>0</v>
      </c>
      <c r="AD49" s="396">
        <f t="shared" ref="AD49" si="93">SUM(AD50:AD54)</f>
        <v>0</v>
      </c>
      <c r="AE49" s="396">
        <f t="shared" ref="AE49" si="94">SUM(AE50:AE54)</f>
        <v>0</v>
      </c>
      <c r="AF49" s="396">
        <f t="shared" ref="AF49" si="95">SUM(AF50:AF54)</f>
        <v>0</v>
      </c>
      <c r="AG49" s="396">
        <f t="shared" ref="AG49" si="96">SUM(AG50:AG54)</f>
        <v>0</v>
      </c>
      <c r="AH49" s="396">
        <f t="shared" ref="AH49" si="97">SUM(AH50:AH54)</f>
        <v>0</v>
      </c>
      <c r="AI49" s="396">
        <f t="shared" ref="AI49" si="98">SUM(AI50:AI54)</f>
        <v>0</v>
      </c>
      <c r="AJ49" s="396">
        <f t="shared" ref="AJ49" si="99">SUM(AJ50:AJ54)</f>
        <v>48</v>
      </c>
      <c r="AK49" s="396">
        <f t="shared" ref="AK49" si="100">SUM(AK50:AK54)</f>
        <v>28</v>
      </c>
      <c r="AL49" s="396">
        <f t="shared" ref="AL49" si="101">SUM(AL50:AL54)</f>
        <v>6</v>
      </c>
      <c r="AM49" s="396">
        <f t="shared" ref="AM49" si="102">SUM(AM50:AM54)</f>
        <v>0</v>
      </c>
      <c r="AN49" s="396">
        <f t="shared" ref="AN49" si="103">SUM(AN50:AN54)</f>
        <v>0</v>
      </c>
      <c r="AO49" s="396">
        <f t="shared" ref="AO49" si="104">SUM(AO50:AO54)</f>
        <v>14</v>
      </c>
      <c r="AP49" s="396">
        <f t="shared" ref="AP49" si="105">SUM(AP50:AP54)</f>
        <v>122</v>
      </c>
      <c r="AQ49" s="396">
        <f t="shared" ref="AQ49" si="106">SUM(AQ50:AQ54)</f>
        <v>60</v>
      </c>
      <c r="AR49" s="396">
        <f t="shared" ref="AR49" si="107">SUM(AR50:AR54)</f>
        <v>16</v>
      </c>
      <c r="AS49" s="396">
        <f t="shared" ref="AS49" si="108">SUM(AS50:AS54)</f>
        <v>0</v>
      </c>
      <c r="AT49" s="396">
        <f t="shared" ref="AT49" si="109">SUM(AT50:AT54)</f>
        <v>0</v>
      </c>
      <c r="AU49" s="396">
        <f t="shared" ref="AU49" si="110">SUM(AU50:AU54)</f>
        <v>46</v>
      </c>
      <c r="AV49" s="396">
        <f t="shared" ref="AV49" si="111">SUM(AV50:AV54)</f>
        <v>99</v>
      </c>
      <c r="AW49" s="396">
        <f t="shared" ref="AW49" si="112">SUM(AW50:AW54)</f>
        <v>55</v>
      </c>
      <c r="AX49" s="396">
        <f t="shared" ref="AX49" si="113">SUM(AX50:AX54)</f>
        <v>11</v>
      </c>
      <c r="AY49" s="396">
        <f t="shared" ref="AY49" si="114">SUM(AY50:AY54)</f>
        <v>0</v>
      </c>
      <c r="AZ49" s="396">
        <f t="shared" ref="AZ49" si="115">SUM(AZ50:AZ54)</f>
        <v>0</v>
      </c>
      <c r="BA49" s="396">
        <f t="shared" ref="BA49" si="116">SUM(BA50:BA54)</f>
        <v>33</v>
      </c>
      <c r="BB49" s="396">
        <f t="shared" ref="BB49" si="117">SUM(BB50:BB54)</f>
        <v>198</v>
      </c>
      <c r="BC49" s="396">
        <f t="shared" ref="BC49" si="118">SUM(BC50:BC54)</f>
        <v>92</v>
      </c>
      <c r="BD49" s="396">
        <f t="shared" ref="BD49" si="119">SUM(BD50:BD54)</f>
        <v>40</v>
      </c>
      <c r="BE49" s="396">
        <f t="shared" ref="BE49" si="120">SUM(BE50:BE54)</f>
        <v>0</v>
      </c>
      <c r="BF49" s="396">
        <f t="shared" ref="BF49" si="121">SUM(BF50:BF54)</f>
        <v>0</v>
      </c>
      <c r="BG49" s="396">
        <f t="shared" ref="BG49" si="122">SUM(BG50:BG54)</f>
        <v>66</v>
      </c>
      <c r="BH49" s="396">
        <f t="shared" ref="BH49" si="123">SUM(BH50:BH54)</f>
        <v>129</v>
      </c>
      <c r="BI49" s="396">
        <f t="shared" ref="BI49" si="124">SUM(BI50:BI54)</f>
        <v>88</v>
      </c>
      <c r="BJ49" s="396">
        <f t="shared" ref="BJ49" si="125">SUM(BJ50:BJ54)</f>
        <v>0</v>
      </c>
      <c r="BK49" s="396">
        <f t="shared" ref="BK49" si="126">SUM(BK50:BK54)</f>
        <v>0</v>
      </c>
      <c r="BL49" s="396">
        <f t="shared" ref="BL49" si="127">SUM(BL50:BL54)</f>
        <v>0</v>
      </c>
      <c r="BM49" s="396">
        <f t="shared" ref="BM49" si="128">SUM(BM50:BM54)</f>
        <v>41</v>
      </c>
      <c r="BN49" s="396">
        <f t="shared" ref="BN49" si="129">SUM(BN50:BN54)</f>
        <v>24</v>
      </c>
      <c r="BO49" s="396">
        <f>SUM(BO50:BO54)</f>
        <v>16</v>
      </c>
      <c r="BP49" s="396">
        <f t="shared" ref="BP49" si="130">SUM(BP50:BP54)</f>
        <v>0</v>
      </c>
      <c r="BQ49" s="396">
        <f t="shared" ref="BQ49" si="131">SUM(BQ50:BQ54)</f>
        <v>0</v>
      </c>
      <c r="BR49" s="396">
        <f t="shared" ref="BR49" si="132">SUM(BR50:BR54)</f>
        <v>0</v>
      </c>
      <c r="BS49" s="396">
        <f t="shared" ref="BS49" si="133">SUM(BS50:BS54)</f>
        <v>8</v>
      </c>
      <c r="BT49" s="396">
        <f t="shared" ref="BT49" si="134">SUM(BT50:BT54)</f>
        <v>106</v>
      </c>
      <c r="BU49" s="396">
        <f>SUM(BU50:BU54)</f>
        <v>37</v>
      </c>
      <c r="BV49" s="396">
        <f t="shared" ref="BV49" si="135">SUM(BV50:BV54)</f>
        <v>0</v>
      </c>
      <c r="BW49" s="396">
        <f t="shared" ref="BW49" si="136">SUM(BW50:BW54)</f>
        <v>35</v>
      </c>
      <c r="BX49" s="396">
        <f t="shared" ref="BX49" si="137">SUM(BX50:BX54)</f>
        <v>0</v>
      </c>
      <c r="BY49" s="396">
        <f t="shared" ref="BY49" si="138">SUM(BY50:BY54)</f>
        <v>34</v>
      </c>
      <c r="BZ49" s="394"/>
      <c r="CA49" s="592" t="s">
        <v>450</v>
      </c>
    </row>
    <row r="50" spans="1:129" s="98" customFormat="1" ht="26.1" customHeight="1">
      <c r="A50" s="533"/>
      <c r="B50" s="219" t="s">
        <v>345</v>
      </c>
      <c r="C50" s="219"/>
      <c r="D50" s="405"/>
      <c r="E50" s="405" t="s">
        <v>601</v>
      </c>
      <c r="F50" s="405"/>
      <c r="G50" s="405" t="s">
        <v>417</v>
      </c>
      <c r="H50" s="405" t="s">
        <v>602</v>
      </c>
      <c r="I50" s="102"/>
      <c r="J50" s="102"/>
      <c r="K50" s="92">
        <f>L50+SUM(Q50:Q50)</f>
        <v>312</v>
      </c>
      <c r="L50" s="101">
        <f>SUM(M50:P50)</f>
        <v>204</v>
      </c>
      <c r="M50" s="101">
        <f t="shared" ref="M50:Q54" si="139">S50+Y50+AE50+AK50+AQ50+AW50+BC50+BI50+BO50+BU50</f>
        <v>169</v>
      </c>
      <c r="N50" s="92">
        <f t="shared" si="139"/>
        <v>0</v>
      </c>
      <c r="O50" s="92">
        <f t="shared" si="139"/>
        <v>35</v>
      </c>
      <c r="P50" s="92">
        <f t="shared" si="139"/>
        <v>0</v>
      </c>
      <c r="Q50" s="101">
        <f t="shared" si="139"/>
        <v>108</v>
      </c>
      <c r="R50" s="126">
        <f>SUM(S50:W50)</f>
        <v>0</v>
      </c>
      <c r="S50" s="102"/>
      <c r="T50" s="102"/>
      <c r="U50" s="102"/>
      <c r="V50" s="102"/>
      <c r="W50" s="102"/>
      <c r="X50" s="126">
        <f>SUM(Y50:AC50)</f>
        <v>0</v>
      </c>
      <c r="Y50" s="102"/>
      <c r="Z50" s="102"/>
      <c r="AA50" s="102"/>
      <c r="AB50" s="102"/>
      <c r="AC50" s="102"/>
      <c r="AD50" s="126">
        <f>SUM(AE50:AI50)</f>
        <v>0</v>
      </c>
      <c r="AE50" s="102"/>
      <c r="AF50" s="102"/>
      <c r="AG50" s="102"/>
      <c r="AH50" s="102"/>
      <c r="AI50" s="102"/>
      <c r="AJ50" s="125">
        <f>SUM(AK50:AO50)</f>
        <v>0</v>
      </c>
      <c r="AK50" s="102"/>
      <c r="AL50" s="102"/>
      <c r="AM50" s="102"/>
      <c r="AN50" s="102"/>
      <c r="AO50" s="102"/>
      <c r="AP50" s="397">
        <f>SUM(AQ50:AU50)</f>
        <v>50</v>
      </c>
      <c r="AQ50" s="195">
        <v>28</v>
      </c>
      <c r="AR50" s="195"/>
      <c r="AS50" s="195"/>
      <c r="AT50" s="195"/>
      <c r="AU50" s="195">
        <v>22</v>
      </c>
      <c r="AV50" s="397">
        <f>SUM(AW50:BA50)</f>
        <v>33</v>
      </c>
      <c r="AW50" s="195">
        <v>22</v>
      </c>
      <c r="AX50" s="195"/>
      <c r="AY50" s="195"/>
      <c r="AZ50" s="195"/>
      <c r="BA50" s="195">
        <v>11</v>
      </c>
      <c r="BB50" s="397">
        <f>SUM(BC50:BG50)</f>
        <v>66</v>
      </c>
      <c r="BC50" s="195">
        <v>44</v>
      </c>
      <c r="BD50" s="195"/>
      <c r="BE50" s="195"/>
      <c r="BF50" s="195"/>
      <c r="BG50" s="195">
        <v>22</v>
      </c>
      <c r="BH50" s="397">
        <f>SUM(BI50:BM50)</f>
        <v>33</v>
      </c>
      <c r="BI50" s="195">
        <v>22</v>
      </c>
      <c r="BJ50" s="195"/>
      <c r="BK50" s="195"/>
      <c r="BL50" s="195"/>
      <c r="BM50" s="195">
        <v>11</v>
      </c>
      <c r="BN50" s="397">
        <f>SUM(BO50:BS50)</f>
        <v>24</v>
      </c>
      <c r="BO50" s="195">
        <v>16</v>
      </c>
      <c r="BP50" s="195"/>
      <c r="BQ50" s="195"/>
      <c r="BR50" s="195"/>
      <c r="BS50" s="195">
        <v>8</v>
      </c>
      <c r="BT50" s="397">
        <f>SUM(BU50:BY50)</f>
        <v>106</v>
      </c>
      <c r="BU50" s="195">
        <v>37</v>
      </c>
      <c r="BV50" s="195"/>
      <c r="BW50" s="195">
        <v>35</v>
      </c>
      <c r="BX50" s="195"/>
      <c r="BY50" s="195">
        <v>34</v>
      </c>
      <c r="BZ50" s="91" t="s">
        <v>509</v>
      </c>
      <c r="CA50" s="195" t="s">
        <v>450</v>
      </c>
    </row>
    <row r="51" spans="1:129" s="98" customFormat="1" ht="26.1" customHeight="1">
      <c r="A51" s="533"/>
      <c r="B51" s="556" t="s">
        <v>407</v>
      </c>
      <c r="C51" s="219"/>
      <c r="D51" s="534"/>
      <c r="E51" s="534" t="s">
        <v>41</v>
      </c>
      <c r="F51" s="534"/>
      <c r="G51" s="405"/>
      <c r="H51" s="405" t="s">
        <v>40</v>
      </c>
      <c r="I51" s="102"/>
      <c r="J51" s="102"/>
      <c r="K51" s="92">
        <f>L51+SUM(Q51:Q51)</f>
        <v>120</v>
      </c>
      <c r="L51" s="101">
        <f>SUM(M51:P51)</f>
        <v>82</v>
      </c>
      <c r="M51" s="101">
        <f t="shared" si="139"/>
        <v>60</v>
      </c>
      <c r="N51" s="92">
        <f t="shared" si="139"/>
        <v>22</v>
      </c>
      <c r="O51" s="92">
        <f t="shared" si="139"/>
        <v>0</v>
      </c>
      <c r="P51" s="92">
        <f t="shared" si="139"/>
        <v>0</v>
      </c>
      <c r="Q51" s="398">
        <f t="shared" si="139"/>
        <v>38</v>
      </c>
      <c r="R51" s="125">
        <f>SUM(S51:W51)</f>
        <v>0</v>
      </c>
      <c r="S51" s="102"/>
      <c r="T51" s="102"/>
      <c r="U51" s="102"/>
      <c r="V51" s="102"/>
      <c r="W51" s="102"/>
      <c r="X51" s="126"/>
      <c r="Y51" s="102"/>
      <c r="Z51" s="102"/>
      <c r="AA51" s="102"/>
      <c r="AB51" s="102"/>
      <c r="AC51" s="102"/>
      <c r="AD51" s="126"/>
      <c r="AE51" s="102"/>
      <c r="AF51" s="102"/>
      <c r="AG51" s="102"/>
      <c r="AH51" s="102"/>
      <c r="AI51" s="102"/>
      <c r="AJ51" s="125">
        <f>SUM(AK51:AO51)</f>
        <v>48</v>
      </c>
      <c r="AK51" s="102">
        <v>28</v>
      </c>
      <c r="AL51" s="102">
        <v>6</v>
      </c>
      <c r="AM51" s="102"/>
      <c r="AN51" s="102"/>
      <c r="AO51" s="102">
        <v>14</v>
      </c>
      <c r="AP51" s="397">
        <f>SUM(AQ51:AU51)</f>
        <v>72</v>
      </c>
      <c r="AQ51" s="195">
        <v>32</v>
      </c>
      <c r="AR51" s="195">
        <v>16</v>
      </c>
      <c r="AS51" s="195"/>
      <c r="AT51" s="195"/>
      <c r="AU51" s="195">
        <v>24</v>
      </c>
      <c r="AV51" s="397"/>
      <c r="AW51" s="195"/>
      <c r="AX51" s="195"/>
      <c r="AY51" s="195"/>
      <c r="AZ51" s="195"/>
      <c r="BA51" s="195"/>
      <c r="BB51" s="397">
        <f t="shared" ref="BB51:BB54" si="140">SUM(BC51:BG51)</f>
        <v>0</v>
      </c>
      <c r="BC51" s="195"/>
      <c r="BD51" s="195"/>
      <c r="BE51" s="195"/>
      <c r="BF51" s="195"/>
      <c r="BG51" s="195"/>
      <c r="BH51" s="397"/>
      <c r="BI51" s="195"/>
      <c r="BJ51" s="195"/>
      <c r="BK51" s="195"/>
      <c r="BL51" s="195"/>
      <c r="BM51" s="195"/>
      <c r="BN51" s="397"/>
      <c r="BO51" s="195"/>
      <c r="BP51" s="195"/>
      <c r="BQ51" s="195"/>
      <c r="BR51" s="195"/>
      <c r="BS51" s="195"/>
      <c r="BT51" s="397"/>
      <c r="BU51" s="195"/>
      <c r="BV51" s="195"/>
      <c r="BW51" s="195"/>
      <c r="BX51" s="195"/>
      <c r="BY51" s="195"/>
      <c r="BZ51" s="91" t="s">
        <v>509</v>
      </c>
      <c r="CA51" s="195" t="s">
        <v>450</v>
      </c>
    </row>
    <row r="52" spans="1:129" s="98" customFormat="1" ht="26.1" customHeight="1">
      <c r="A52" s="533"/>
      <c r="B52" s="399" t="s">
        <v>323</v>
      </c>
      <c r="C52" s="219"/>
      <c r="D52" s="405"/>
      <c r="E52" s="405" t="s">
        <v>38</v>
      </c>
      <c r="F52" s="405"/>
      <c r="G52" s="405"/>
      <c r="H52" s="405" t="s">
        <v>582</v>
      </c>
      <c r="I52" s="102"/>
      <c r="J52" s="102"/>
      <c r="K52" s="92">
        <f>L52+SUM(Q52:Q52)</f>
        <v>98</v>
      </c>
      <c r="L52" s="101">
        <f>SUM(M52:P52)</f>
        <v>66</v>
      </c>
      <c r="M52" s="101">
        <f t="shared" si="139"/>
        <v>66</v>
      </c>
      <c r="N52" s="92">
        <f t="shared" si="139"/>
        <v>0</v>
      </c>
      <c r="O52" s="92">
        <f t="shared" si="139"/>
        <v>0</v>
      </c>
      <c r="P52" s="92">
        <f t="shared" si="139"/>
        <v>0</v>
      </c>
      <c r="Q52" s="101">
        <f t="shared" si="139"/>
        <v>32</v>
      </c>
      <c r="R52" s="125">
        <f>SUM(S52:W52)</f>
        <v>0</v>
      </c>
      <c r="S52" s="102"/>
      <c r="T52" s="102"/>
      <c r="U52" s="102"/>
      <c r="V52" s="102"/>
      <c r="W52" s="102"/>
      <c r="X52" s="126"/>
      <c r="Y52" s="102"/>
      <c r="Z52" s="102"/>
      <c r="AA52" s="102"/>
      <c r="AB52" s="102"/>
      <c r="AC52" s="102"/>
      <c r="AD52" s="126">
        <f>SUM(AE52:AI52)</f>
        <v>0</v>
      </c>
      <c r="AE52" s="102"/>
      <c r="AF52" s="102"/>
      <c r="AG52" s="102"/>
      <c r="AH52" s="102"/>
      <c r="AI52" s="102"/>
      <c r="AJ52" s="125">
        <f>SUM(AK52:AO52)</f>
        <v>0</v>
      </c>
      <c r="AK52" s="102"/>
      <c r="AL52" s="102"/>
      <c r="AM52" s="102"/>
      <c r="AN52" s="102"/>
      <c r="AO52" s="102"/>
      <c r="AP52" s="397">
        <f>SUM(AQ52:AU52)</f>
        <v>0</v>
      </c>
      <c r="AQ52" s="195"/>
      <c r="AR52" s="195"/>
      <c r="AS52" s="195"/>
      <c r="AT52" s="195"/>
      <c r="AU52" s="195"/>
      <c r="AV52" s="397">
        <f>SUM(AW52:BA52)</f>
        <v>33</v>
      </c>
      <c r="AW52" s="195">
        <v>22</v>
      </c>
      <c r="AX52" s="195"/>
      <c r="AY52" s="195"/>
      <c r="AZ52" s="195"/>
      <c r="BA52" s="195">
        <v>11</v>
      </c>
      <c r="BB52" s="397">
        <f t="shared" si="140"/>
        <v>33</v>
      </c>
      <c r="BC52" s="195">
        <v>22</v>
      </c>
      <c r="BD52" s="195"/>
      <c r="BE52" s="195"/>
      <c r="BF52" s="195"/>
      <c r="BG52" s="195">
        <v>11</v>
      </c>
      <c r="BH52" s="397">
        <f>SUM(BI52:BM52)</f>
        <v>32</v>
      </c>
      <c r="BI52" s="195">
        <v>22</v>
      </c>
      <c r="BJ52" s="195"/>
      <c r="BK52" s="195"/>
      <c r="BL52" s="195"/>
      <c r="BM52" s="195">
        <v>10</v>
      </c>
      <c r="BN52" s="397"/>
      <c r="BO52" s="195"/>
      <c r="BP52" s="195"/>
      <c r="BQ52" s="195"/>
      <c r="BR52" s="195"/>
      <c r="BS52" s="195"/>
      <c r="BT52" s="397"/>
      <c r="BU52" s="195"/>
      <c r="BV52" s="195"/>
      <c r="BW52" s="195"/>
      <c r="BX52" s="195"/>
      <c r="BY52" s="195"/>
      <c r="BZ52" s="91" t="s">
        <v>509</v>
      </c>
      <c r="CA52" s="195" t="s">
        <v>450</v>
      </c>
    </row>
    <row r="53" spans="1:129" s="98" customFormat="1" ht="26.1" customHeight="1">
      <c r="A53" s="533"/>
      <c r="B53" s="219" t="s">
        <v>324</v>
      </c>
      <c r="C53" s="219"/>
      <c r="D53" s="405" t="s">
        <v>38</v>
      </c>
      <c r="E53" s="405"/>
      <c r="F53" s="405"/>
      <c r="G53" s="405"/>
      <c r="H53" s="405" t="s">
        <v>582</v>
      </c>
      <c r="I53" s="102"/>
      <c r="J53" s="102"/>
      <c r="K53" s="92">
        <f>L53+SUM(Q53:Q53)</f>
        <v>130</v>
      </c>
      <c r="L53" s="101">
        <f>SUM(M53:P53)</f>
        <v>88</v>
      </c>
      <c r="M53" s="101">
        <f t="shared" si="139"/>
        <v>77</v>
      </c>
      <c r="N53" s="92">
        <f t="shared" si="139"/>
        <v>11</v>
      </c>
      <c r="O53" s="92">
        <f t="shared" si="139"/>
        <v>0</v>
      </c>
      <c r="P53" s="92">
        <f t="shared" si="139"/>
        <v>0</v>
      </c>
      <c r="Q53" s="398">
        <f t="shared" si="139"/>
        <v>42</v>
      </c>
      <c r="R53" s="126">
        <f>SUM(S53:W53)</f>
        <v>0</v>
      </c>
      <c r="S53" s="102"/>
      <c r="T53" s="102"/>
      <c r="U53" s="102"/>
      <c r="V53" s="102"/>
      <c r="W53" s="102"/>
      <c r="X53" s="126">
        <f>SUM(Y53:AC53)</f>
        <v>0</v>
      </c>
      <c r="Y53" s="102"/>
      <c r="Z53" s="102"/>
      <c r="AA53" s="102"/>
      <c r="AB53" s="102"/>
      <c r="AC53" s="102"/>
      <c r="AD53" s="126">
        <f>SUM(AE53:AI53)</f>
        <v>0</v>
      </c>
      <c r="AE53" s="102"/>
      <c r="AF53" s="102"/>
      <c r="AG53" s="102"/>
      <c r="AH53" s="102"/>
      <c r="AI53" s="102"/>
      <c r="AJ53" s="125">
        <f>SUM(AK53:AO53)</f>
        <v>0</v>
      </c>
      <c r="AK53" s="102"/>
      <c r="AL53" s="102"/>
      <c r="AM53" s="102"/>
      <c r="AN53" s="102"/>
      <c r="AO53" s="102"/>
      <c r="AP53" s="397">
        <f>SUM(AQ53:AU53)</f>
        <v>0</v>
      </c>
      <c r="AQ53" s="195"/>
      <c r="AR53" s="195"/>
      <c r="AS53" s="195"/>
      <c r="AT53" s="195"/>
      <c r="AU53" s="195"/>
      <c r="AV53" s="397">
        <f>SUM(AW53:BA53)</f>
        <v>33</v>
      </c>
      <c r="AW53" s="195">
        <v>11</v>
      </c>
      <c r="AX53" s="195">
        <v>11</v>
      </c>
      <c r="AY53" s="195"/>
      <c r="AZ53" s="195"/>
      <c r="BA53" s="195">
        <v>11</v>
      </c>
      <c r="BB53" s="397">
        <f t="shared" si="140"/>
        <v>33</v>
      </c>
      <c r="BC53" s="195">
        <v>22</v>
      </c>
      <c r="BD53" s="195"/>
      <c r="BE53" s="195"/>
      <c r="BF53" s="195"/>
      <c r="BG53" s="195">
        <v>11</v>
      </c>
      <c r="BH53" s="397">
        <f>SUM(BI53:BM53)</f>
        <v>64</v>
      </c>
      <c r="BI53" s="195">
        <v>44</v>
      </c>
      <c r="BJ53" s="195"/>
      <c r="BK53" s="195"/>
      <c r="BL53" s="195"/>
      <c r="BM53" s="195">
        <v>20</v>
      </c>
      <c r="BN53" s="397">
        <f>SUM(BO53:BS53)</f>
        <v>0</v>
      </c>
      <c r="BO53" s="195"/>
      <c r="BP53" s="195"/>
      <c r="BQ53" s="195"/>
      <c r="BR53" s="195"/>
      <c r="BS53" s="195"/>
      <c r="BT53" s="397">
        <f>SUM(BU53:BY53)</f>
        <v>0</v>
      </c>
      <c r="BU53" s="195"/>
      <c r="BV53" s="195"/>
      <c r="BW53" s="195"/>
      <c r="BX53" s="195"/>
      <c r="BY53" s="195"/>
      <c r="BZ53" s="91" t="s">
        <v>509</v>
      </c>
      <c r="CA53" s="195" t="s">
        <v>450</v>
      </c>
    </row>
    <row r="54" spans="1:129" s="98" customFormat="1" ht="26.1" customHeight="1">
      <c r="A54" s="533"/>
      <c r="B54" s="219" t="s">
        <v>457</v>
      </c>
      <c r="C54" s="219" t="s">
        <v>568</v>
      </c>
      <c r="D54" s="405"/>
      <c r="E54" s="405"/>
      <c r="F54" s="128" t="s">
        <v>43</v>
      </c>
      <c r="G54" s="405"/>
      <c r="H54" s="405"/>
      <c r="I54" s="102"/>
      <c r="J54" s="102"/>
      <c r="K54" s="92">
        <f>L54+SUM(Q54:Q54)</f>
        <v>66</v>
      </c>
      <c r="L54" s="101">
        <f>SUM(M54:P54)</f>
        <v>44</v>
      </c>
      <c r="M54" s="101">
        <f t="shared" si="139"/>
        <v>4</v>
      </c>
      <c r="N54" s="92">
        <f t="shared" si="139"/>
        <v>40</v>
      </c>
      <c r="O54" s="92">
        <f t="shared" si="139"/>
        <v>0</v>
      </c>
      <c r="P54" s="92">
        <f t="shared" si="139"/>
        <v>0</v>
      </c>
      <c r="Q54" s="398">
        <f t="shared" si="139"/>
        <v>22</v>
      </c>
      <c r="R54" s="126"/>
      <c r="S54" s="102"/>
      <c r="T54" s="102"/>
      <c r="U54" s="102"/>
      <c r="V54" s="102"/>
      <c r="W54" s="102"/>
      <c r="X54" s="126"/>
      <c r="Y54" s="102"/>
      <c r="Z54" s="102"/>
      <c r="AA54" s="102"/>
      <c r="AB54" s="102"/>
      <c r="AC54" s="102"/>
      <c r="AD54" s="126"/>
      <c r="AE54" s="102"/>
      <c r="AF54" s="102"/>
      <c r="AG54" s="102"/>
      <c r="AH54" s="102"/>
      <c r="AI54" s="102"/>
      <c r="AJ54" s="125"/>
      <c r="AK54" s="102"/>
      <c r="AL54" s="102"/>
      <c r="AM54" s="102"/>
      <c r="AN54" s="102"/>
      <c r="AO54" s="102"/>
      <c r="AP54" s="397"/>
      <c r="AQ54" s="195"/>
      <c r="AR54" s="195"/>
      <c r="AS54" s="195"/>
      <c r="AT54" s="195"/>
      <c r="AU54" s="195"/>
      <c r="AV54" s="397">
        <f>SUM(AW54:BA54)</f>
        <v>0</v>
      </c>
      <c r="AW54" s="198"/>
      <c r="AX54" s="198"/>
      <c r="AY54" s="195"/>
      <c r="AZ54" s="195"/>
      <c r="BA54" s="195"/>
      <c r="BB54" s="397">
        <f t="shared" si="140"/>
        <v>66</v>
      </c>
      <c r="BC54" s="195">
        <v>4</v>
      </c>
      <c r="BD54" s="195">
        <v>40</v>
      </c>
      <c r="BE54" s="195"/>
      <c r="BF54" s="195"/>
      <c r="BG54" s="195">
        <v>22</v>
      </c>
      <c r="BH54" s="397"/>
      <c r="BI54" s="195"/>
      <c r="BJ54" s="195"/>
      <c r="BK54" s="195"/>
      <c r="BL54" s="195"/>
      <c r="BM54" s="195"/>
      <c r="BN54" s="397"/>
      <c r="BO54" s="195"/>
      <c r="BP54" s="195"/>
      <c r="BQ54" s="195"/>
      <c r="BR54" s="195"/>
      <c r="BS54" s="195"/>
      <c r="BT54" s="397"/>
      <c r="BU54" s="195"/>
      <c r="BV54" s="195"/>
      <c r="BW54" s="195"/>
      <c r="BX54" s="195"/>
      <c r="BY54" s="195"/>
      <c r="BZ54" s="91" t="s">
        <v>509</v>
      </c>
      <c r="CA54" s="593" t="s">
        <v>642</v>
      </c>
    </row>
    <row r="55" spans="1:129" s="98" customFormat="1" ht="26.1" customHeight="1">
      <c r="A55" s="393" t="s">
        <v>380</v>
      </c>
      <c r="B55" s="704" t="s">
        <v>346</v>
      </c>
      <c r="C55" s="705"/>
      <c r="D55" s="705"/>
      <c r="E55" s="705"/>
      <c r="F55" s="705"/>
      <c r="G55" s="705"/>
      <c r="H55" s="706"/>
      <c r="I55" s="395"/>
      <c r="J55" s="395"/>
      <c r="K55" s="396">
        <f t="shared" ref="K55:Q55" si="141">SUM(K56:K61)</f>
        <v>700</v>
      </c>
      <c r="L55" s="396">
        <f t="shared" si="141"/>
        <v>481</v>
      </c>
      <c r="M55" s="396">
        <f t="shared" si="141"/>
        <v>268</v>
      </c>
      <c r="N55" s="396">
        <f t="shared" si="141"/>
        <v>213</v>
      </c>
      <c r="O55" s="396">
        <f t="shared" si="141"/>
        <v>0</v>
      </c>
      <c r="P55" s="396">
        <f t="shared" si="141"/>
        <v>0</v>
      </c>
      <c r="Q55" s="396">
        <f t="shared" si="141"/>
        <v>219</v>
      </c>
      <c r="R55" s="396">
        <f t="shared" ref="R55:W55" si="142">SUM(R56:R61)</f>
        <v>0</v>
      </c>
      <c r="S55" s="396">
        <f t="shared" si="142"/>
        <v>0</v>
      </c>
      <c r="T55" s="396">
        <f t="shared" si="142"/>
        <v>0</v>
      </c>
      <c r="U55" s="396">
        <f t="shared" si="142"/>
        <v>0</v>
      </c>
      <c r="V55" s="396">
        <f t="shared" si="142"/>
        <v>0</v>
      </c>
      <c r="W55" s="396">
        <f t="shared" si="142"/>
        <v>0</v>
      </c>
      <c r="X55" s="396">
        <f t="shared" ref="X55:AC55" si="143">SUM(X56:X61)</f>
        <v>0</v>
      </c>
      <c r="Y55" s="396">
        <f t="shared" si="143"/>
        <v>0</v>
      </c>
      <c r="Z55" s="396">
        <f t="shared" si="143"/>
        <v>0</v>
      </c>
      <c r="AA55" s="396">
        <f t="shared" si="143"/>
        <v>0</v>
      </c>
      <c r="AB55" s="396">
        <f t="shared" si="143"/>
        <v>0</v>
      </c>
      <c r="AC55" s="396">
        <f t="shared" si="143"/>
        <v>0</v>
      </c>
      <c r="AD55" s="396">
        <f t="shared" ref="AD55:AI55" si="144">SUM(AD56:AD61)</f>
        <v>0</v>
      </c>
      <c r="AE55" s="396">
        <f t="shared" si="144"/>
        <v>0</v>
      </c>
      <c r="AF55" s="396">
        <f t="shared" si="144"/>
        <v>0</v>
      </c>
      <c r="AG55" s="396">
        <f t="shared" si="144"/>
        <v>0</v>
      </c>
      <c r="AH55" s="396">
        <f t="shared" si="144"/>
        <v>0</v>
      </c>
      <c r="AI55" s="396">
        <f t="shared" si="144"/>
        <v>0</v>
      </c>
      <c r="AJ55" s="396">
        <f t="shared" ref="AJ55:BY55" si="145">SUM(AJ56:AJ61)</f>
        <v>96</v>
      </c>
      <c r="AK55" s="396">
        <f t="shared" si="145"/>
        <v>52</v>
      </c>
      <c r="AL55" s="396">
        <f t="shared" si="145"/>
        <v>16</v>
      </c>
      <c r="AM55" s="396">
        <f t="shared" si="145"/>
        <v>0</v>
      </c>
      <c r="AN55" s="396">
        <f t="shared" si="145"/>
        <v>0</v>
      </c>
      <c r="AO55" s="396">
        <f t="shared" si="145"/>
        <v>28</v>
      </c>
      <c r="AP55" s="559">
        <f t="shared" si="145"/>
        <v>146</v>
      </c>
      <c r="AQ55" s="559">
        <f t="shared" si="145"/>
        <v>84</v>
      </c>
      <c r="AR55" s="559">
        <f t="shared" si="145"/>
        <v>16</v>
      </c>
      <c r="AS55" s="559">
        <f t="shared" si="145"/>
        <v>0</v>
      </c>
      <c r="AT55" s="559">
        <f t="shared" si="145"/>
        <v>0</v>
      </c>
      <c r="AU55" s="559">
        <f t="shared" si="145"/>
        <v>46</v>
      </c>
      <c r="AV55" s="559">
        <f t="shared" si="145"/>
        <v>128</v>
      </c>
      <c r="AW55" s="559">
        <f t="shared" si="145"/>
        <v>50</v>
      </c>
      <c r="AX55" s="559">
        <f t="shared" si="145"/>
        <v>38</v>
      </c>
      <c r="AY55" s="559">
        <f t="shared" si="145"/>
        <v>0</v>
      </c>
      <c r="AZ55" s="559">
        <f t="shared" si="145"/>
        <v>0</v>
      </c>
      <c r="BA55" s="559">
        <f t="shared" si="145"/>
        <v>40</v>
      </c>
      <c r="BB55" s="559">
        <f t="shared" si="145"/>
        <v>66</v>
      </c>
      <c r="BC55" s="559">
        <f t="shared" si="145"/>
        <v>22</v>
      </c>
      <c r="BD55" s="559">
        <f t="shared" si="145"/>
        <v>22</v>
      </c>
      <c r="BE55" s="559">
        <f t="shared" si="145"/>
        <v>0</v>
      </c>
      <c r="BF55" s="559">
        <f t="shared" si="145"/>
        <v>0</v>
      </c>
      <c r="BG55" s="559">
        <f t="shared" si="145"/>
        <v>22</v>
      </c>
      <c r="BH55" s="559">
        <f t="shared" si="145"/>
        <v>47</v>
      </c>
      <c r="BI55" s="559">
        <f>SUM(BI56:BI61)</f>
        <v>22</v>
      </c>
      <c r="BJ55" s="559">
        <f t="shared" si="145"/>
        <v>11</v>
      </c>
      <c r="BK55" s="559">
        <f t="shared" si="145"/>
        <v>0</v>
      </c>
      <c r="BL55" s="559">
        <f t="shared" si="145"/>
        <v>0</v>
      </c>
      <c r="BM55" s="559">
        <f t="shared" si="145"/>
        <v>14</v>
      </c>
      <c r="BN55" s="559">
        <f t="shared" si="145"/>
        <v>58</v>
      </c>
      <c r="BO55" s="559">
        <f t="shared" si="145"/>
        <v>8</v>
      </c>
      <c r="BP55" s="559">
        <f t="shared" si="145"/>
        <v>32</v>
      </c>
      <c r="BQ55" s="559">
        <f t="shared" si="145"/>
        <v>0</v>
      </c>
      <c r="BR55" s="559">
        <f t="shared" si="145"/>
        <v>0</v>
      </c>
      <c r="BS55" s="559">
        <f t="shared" si="145"/>
        <v>18</v>
      </c>
      <c r="BT55" s="559">
        <f t="shared" si="145"/>
        <v>159</v>
      </c>
      <c r="BU55" s="559">
        <f t="shared" si="145"/>
        <v>30</v>
      </c>
      <c r="BV55" s="559">
        <f t="shared" si="145"/>
        <v>78</v>
      </c>
      <c r="BW55" s="559">
        <f t="shared" si="145"/>
        <v>0</v>
      </c>
      <c r="BX55" s="559">
        <f t="shared" si="145"/>
        <v>0</v>
      </c>
      <c r="BY55" s="559">
        <f t="shared" si="145"/>
        <v>51</v>
      </c>
      <c r="BZ55" s="400"/>
      <c r="CA55" s="395"/>
    </row>
    <row r="56" spans="1:129" s="98" customFormat="1" ht="26.1" customHeight="1">
      <c r="A56" s="533"/>
      <c r="B56" s="557" t="s">
        <v>484</v>
      </c>
      <c r="C56" s="219"/>
      <c r="D56" s="534"/>
      <c r="E56" s="534" t="s">
        <v>43</v>
      </c>
      <c r="F56" s="534"/>
      <c r="G56" s="534"/>
      <c r="H56" s="534" t="s">
        <v>42</v>
      </c>
      <c r="I56" s="102"/>
      <c r="J56" s="401"/>
      <c r="K56" s="92">
        <f t="shared" ref="K56:K61" si="146">L56+SUM(Q56:Q56)</f>
        <v>161</v>
      </c>
      <c r="L56" s="101">
        <f>SUM(M56:P56)</f>
        <v>110</v>
      </c>
      <c r="M56" s="101">
        <f t="shared" ref="M56:Q61" si="147">S56+Y56+AE56+AK56+AQ56+AW56+BC56+BI56+BO56+BU56</f>
        <v>58</v>
      </c>
      <c r="N56" s="92">
        <f t="shared" si="147"/>
        <v>52</v>
      </c>
      <c r="O56" s="92">
        <f t="shared" si="147"/>
        <v>0</v>
      </c>
      <c r="P56" s="92">
        <f t="shared" si="147"/>
        <v>0</v>
      </c>
      <c r="Q56" s="398">
        <f t="shared" si="147"/>
        <v>51</v>
      </c>
      <c r="R56" s="125">
        <f>SUM(S56:W56)</f>
        <v>0</v>
      </c>
      <c r="S56" s="102"/>
      <c r="T56" s="102"/>
      <c r="U56" s="102"/>
      <c r="V56" s="102"/>
      <c r="W56" s="102"/>
      <c r="X56" s="126"/>
      <c r="Y56" s="102"/>
      <c r="Z56" s="102"/>
      <c r="AA56" s="102"/>
      <c r="AB56" s="102"/>
      <c r="AC56" s="102"/>
      <c r="AD56" s="126">
        <f>SUM(AE56:AI56)</f>
        <v>0</v>
      </c>
      <c r="AE56" s="102"/>
      <c r="AF56" s="102"/>
      <c r="AG56" s="102"/>
      <c r="AH56" s="102"/>
      <c r="AI56" s="102"/>
      <c r="AJ56" s="125">
        <f>SUM(AK56:AO56)</f>
        <v>0</v>
      </c>
      <c r="AK56" s="102"/>
      <c r="AL56" s="102"/>
      <c r="AM56" s="102"/>
      <c r="AN56" s="102"/>
      <c r="AO56" s="102"/>
      <c r="AP56" s="397">
        <f t="shared" ref="AP56:AP61" si="148">SUM(AQ56:AU56)</f>
        <v>0</v>
      </c>
      <c r="AQ56" s="195"/>
      <c r="AR56" s="195"/>
      <c r="AS56" s="195"/>
      <c r="AT56" s="195"/>
      <c r="AU56" s="195"/>
      <c r="AV56" s="397">
        <f t="shared" ref="AV56:AV61" si="149">SUM(AW56:BA56)</f>
        <v>95</v>
      </c>
      <c r="AW56" s="195">
        <v>36</v>
      </c>
      <c r="AX56" s="195">
        <v>30</v>
      </c>
      <c r="AY56" s="195"/>
      <c r="AZ56" s="195"/>
      <c r="BA56" s="195">
        <v>29</v>
      </c>
      <c r="BB56" s="397">
        <f t="shared" ref="BB56:BB61" si="150">SUM(BC56:BG56)</f>
        <v>66</v>
      </c>
      <c r="BC56" s="195">
        <v>22</v>
      </c>
      <c r="BD56" s="195">
        <v>22</v>
      </c>
      <c r="BE56" s="195"/>
      <c r="BF56" s="195"/>
      <c r="BG56" s="195">
        <v>22</v>
      </c>
      <c r="BH56" s="397">
        <f>SUM(BI56:BM56)</f>
        <v>0</v>
      </c>
      <c r="BI56" s="195"/>
      <c r="BJ56" s="195"/>
      <c r="BK56" s="195"/>
      <c r="BL56" s="195"/>
      <c r="BM56" s="195"/>
      <c r="BN56" s="397"/>
      <c r="BO56" s="195"/>
      <c r="BP56" s="195"/>
      <c r="BQ56" s="195"/>
      <c r="BR56" s="195"/>
      <c r="BS56" s="195"/>
      <c r="BT56" s="397"/>
      <c r="BU56" s="195"/>
      <c r="BV56" s="195"/>
      <c r="BW56" s="195"/>
      <c r="BX56" s="195"/>
      <c r="BY56" s="195"/>
      <c r="BZ56" s="91" t="s">
        <v>509</v>
      </c>
      <c r="CA56" s="93" t="s">
        <v>451</v>
      </c>
    </row>
    <row r="57" spans="1:129" s="98" customFormat="1" ht="26.1" customHeight="1">
      <c r="A57" s="533"/>
      <c r="B57" s="556" t="s">
        <v>572</v>
      </c>
      <c r="C57" s="219" t="s">
        <v>573</v>
      </c>
      <c r="D57" s="534"/>
      <c r="E57" s="534" t="s">
        <v>41</v>
      </c>
      <c r="F57" s="534"/>
      <c r="G57" s="534"/>
      <c r="H57" s="534" t="s">
        <v>40</v>
      </c>
      <c r="I57" s="102"/>
      <c r="J57" s="401"/>
      <c r="K57" s="92">
        <f t="shared" si="146"/>
        <v>95</v>
      </c>
      <c r="L57" s="101">
        <f>SUM(M57:P57)</f>
        <v>66</v>
      </c>
      <c r="M57" s="101">
        <f t="shared" si="147"/>
        <v>50</v>
      </c>
      <c r="N57" s="92">
        <f t="shared" si="147"/>
        <v>16</v>
      </c>
      <c r="O57" s="92">
        <f t="shared" si="147"/>
        <v>0</v>
      </c>
      <c r="P57" s="92">
        <f t="shared" si="147"/>
        <v>0</v>
      </c>
      <c r="Q57" s="398">
        <f t="shared" si="147"/>
        <v>29</v>
      </c>
      <c r="R57" s="125">
        <f>SUM(S57:W57)</f>
        <v>0</v>
      </c>
      <c r="S57" s="102"/>
      <c r="T57" s="102"/>
      <c r="U57" s="102"/>
      <c r="V57" s="102"/>
      <c r="W57" s="102"/>
      <c r="X57" s="126"/>
      <c r="Y57" s="102"/>
      <c r="Z57" s="102"/>
      <c r="AA57" s="102"/>
      <c r="AB57" s="102"/>
      <c r="AC57" s="102"/>
      <c r="AD57" s="126">
        <f>SUM(AE57:AI57)</f>
        <v>0</v>
      </c>
      <c r="AE57" s="102"/>
      <c r="AF57" s="102"/>
      <c r="AG57" s="102"/>
      <c r="AH57" s="102"/>
      <c r="AI57" s="102"/>
      <c r="AJ57" s="125">
        <f>SUM(AK57:AO57)</f>
        <v>48</v>
      </c>
      <c r="AK57" s="102">
        <v>26</v>
      </c>
      <c r="AL57" s="102">
        <v>8</v>
      </c>
      <c r="AM57" s="102"/>
      <c r="AN57" s="102"/>
      <c r="AO57" s="102">
        <v>14</v>
      </c>
      <c r="AP57" s="397">
        <f t="shared" si="148"/>
        <v>47</v>
      </c>
      <c r="AQ57" s="195">
        <v>24</v>
      </c>
      <c r="AR57" s="195">
        <v>8</v>
      </c>
      <c r="AS57" s="195"/>
      <c r="AT57" s="195"/>
      <c r="AU57" s="195">
        <v>15</v>
      </c>
      <c r="AV57" s="397">
        <f t="shared" si="149"/>
        <v>0</v>
      </c>
      <c r="AW57" s="195"/>
      <c r="AX57" s="195"/>
      <c r="AY57" s="195"/>
      <c r="AZ57" s="195"/>
      <c r="BA57" s="195"/>
      <c r="BB57" s="397">
        <f t="shared" si="150"/>
        <v>0</v>
      </c>
      <c r="BC57" s="195"/>
      <c r="BD57" s="195"/>
      <c r="BE57" s="195"/>
      <c r="BF57" s="195"/>
      <c r="BG57" s="195"/>
      <c r="BH57" s="397">
        <f>SUM(BI57:BM57)</f>
        <v>0</v>
      </c>
      <c r="BI57" s="195"/>
      <c r="BJ57" s="195"/>
      <c r="BK57" s="195"/>
      <c r="BL57" s="195"/>
      <c r="BM57" s="195"/>
      <c r="BN57" s="397"/>
      <c r="BO57" s="195"/>
      <c r="BP57" s="195"/>
      <c r="BQ57" s="195"/>
      <c r="BR57" s="195"/>
      <c r="BS57" s="195"/>
      <c r="BT57" s="397"/>
      <c r="BU57" s="195"/>
      <c r="BV57" s="195"/>
      <c r="BW57" s="195"/>
      <c r="BX57" s="195"/>
      <c r="BY57" s="195"/>
      <c r="BZ57" s="91" t="s">
        <v>509</v>
      </c>
      <c r="CA57" s="93" t="s">
        <v>454</v>
      </c>
    </row>
    <row r="58" spans="1:129" s="98" customFormat="1" ht="26.1" customHeight="1">
      <c r="A58" s="533"/>
      <c r="B58" s="219" t="s">
        <v>408</v>
      </c>
      <c r="C58" s="219" t="s">
        <v>571</v>
      </c>
      <c r="D58" s="405" t="s">
        <v>42</v>
      </c>
      <c r="E58" s="405"/>
      <c r="F58" s="405"/>
      <c r="G58" s="405"/>
      <c r="H58" s="405" t="s">
        <v>562</v>
      </c>
      <c r="I58" s="102"/>
      <c r="J58" s="401"/>
      <c r="K58" s="92">
        <f t="shared" si="146"/>
        <v>128</v>
      </c>
      <c r="L58" s="101">
        <f>SUM(M58:P58)</f>
        <v>88</v>
      </c>
      <c r="M58" s="101">
        <f t="shared" si="147"/>
        <v>64</v>
      </c>
      <c r="N58" s="92">
        <f t="shared" si="147"/>
        <v>24</v>
      </c>
      <c r="O58" s="92">
        <f t="shared" si="147"/>
        <v>0</v>
      </c>
      <c r="P58" s="92">
        <f t="shared" si="147"/>
        <v>0</v>
      </c>
      <c r="Q58" s="398">
        <f t="shared" si="147"/>
        <v>40</v>
      </c>
      <c r="R58" s="125">
        <f>SUM(S58:W58)</f>
        <v>0</v>
      </c>
      <c r="S58" s="102"/>
      <c r="T58" s="102"/>
      <c r="U58" s="102"/>
      <c r="V58" s="102"/>
      <c r="W58" s="102"/>
      <c r="X58" s="126"/>
      <c r="Y58" s="102"/>
      <c r="Z58" s="102"/>
      <c r="AA58" s="102"/>
      <c r="AB58" s="102"/>
      <c r="AC58" s="102"/>
      <c r="AD58" s="126">
        <f>SUM(AE58:AI58)</f>
        <v>0</v>
      </c>
      <c r="AE58" s="102"/>
      <c r="AF58" s="102"/>
      <c r="AG58" s="102"/>
      <c r="AH58" s="102"/>
      <c r="AI58" s="102"/>
      <c r="AJ58" s="125">
        <f>SUM(AK58:AO58)</f>
        <v>48</v>
      </c>
      <c r="AK58" s="102">
        <v>26</v>
      </c>
      <c r="AL58" s="102">
        <v>8</v>
      </c>
      <c r="AM58" s="102"/>
      <c r="AN58" s="102"/>
      <c r="AO58" s="102">
        <v>14</v>
      </c>
      <c r="AP58" s="397">
        <f t="shared" si="148"/>
        <v>47</v>
      </c>
      <c r="AQ58" s="195">
        <v>24</v>
      </c>
      <c r="AR58" s="195">
        <v>8</v>
      </c>
      <c r="AS58" s="195"/>
      <c r="AT58" s="195"/>
      <c r="AU58" s="195">
        <v>15</v>
      </c>
      <c r="AV58" s="397">
        <f t="shared" si="149"/>
        <v>33</v>
      </c>
      <c r="AW58" s="195">
        <v>14</v>
      </c>
      <c r="AX58" s="195">
        <v>8</v>
      </c>
      <c r="AY58" s="195"/>
      <c r="AZ58" s="195"/>
      <c r="BA58" s="195">
        <v>11</v>
      </c>
      <c r="BB58" s="397">
        <f t="shared" si="150"/>
        <v>0</v>
      </c>
      <c r="BC58" s="195"/>
      <c r="BD58" s="195"/>
      <c r="BE58" s="195"/>
      <c r="BF58" s="195"/>
      <c r="BG58" s="195"/>
      <c r="BH58" s="397">
        <f t="shared" ref="BH58:BH61" si="151">SUM(BI58:BM58)</f>
        <v>0</v>
      </c>
      <c r="BI58" s="195"/>
      <c r="BJ58" s="195"/>
      <c r="BK58" s="195"/>
      <c r="BL58" s="195"/>
      <c r="BM58" s="195"/>
      <c r="BN58" s="397">
        <f>SUM(BO58:BS58)</f>
        <v>0</v>
      </c>
      <c r="BO58" s="195"/>
      <c r="BP58" s="195"/>
      <c r="BQ58" s="195"/>
      <c r="BR58" s="195"/>
      <c r="BS58" s="195"/>
      <c r="BT58" s="397"/>
      <c r="BU58" s="195"/>
      <c r="BV58" s="195"/>
      <c r="BW58" s="195"/>
      <c r="BX58" s="195"/>
      <c r="BY58" s="195"/>
      <c r="BZ58" s="91" t="s">
        <v>509</v>
      </c>
      <c r="CA58" s="93" t="s">
        <v>454</v>
      </c>
    </row>
    <row r="59" spans="1:129" s="104" customFormat="1" ht="26.1" customHeight="1">
      <c r="A59" s="533"/>
      <c r="B59" s="556" t="s">
        <v>483</v>
      </c>
      <c r="C59" s="529" t="s">
        <v>569</v>
      </c>
      <c r="D59" s="105"/>
      <c r="E59" s="405"/>
      <c r="F59" s="99" t="s">
        <v>417</v>
      </c>
      <c r="G59" s="105"/>
      <c r="H59" s="405" t="s">
        <v>39</v>
      </c>
      <c r="I59" s="180"/>
      <c r="J59" s="402"/>
      <c r="K59" s="92">
        <f t="shared" si="146"/>
        <v>140</v>
      </c>
      <c r="L59" s="92">
        <f>SUM(M59:P59)</f>
        <v>96</v>
      </c>
      <c r="M59" s="92">
        <f t="shared" si="147"/>
        <v>38</v>
      </c>
      <c r="N59" s="92">
        <f t="shared" si="147"/>
        <v>58</v>
      </c>
      <c r="O59" s="92">
        <f t="shared" si="147"/>
        <v>0</v>
      </c>
      <c r="P59" s="92">
        <f t="shared" si="147"/>
        <v>0</v>
      </c>
      <c r="Q59" s="92">
        <f t="shared" si="147"/>
        <v>44</v>
      </c>
      <c r="R59" s="125">
        <f>SUM(S59:W59)</f>
        <v>0</v>
      </c>
      <c r="S59" s="180"/>
      <c r="T59" s="180"/>
      <c r="U59" s="180"/>
      <c r="V59" s="180"/>
      <c r="W59" s="180"/>
      <c r="X59" s="403"/>
      <c r="Y59" s="180"/>
      <c r="Z59" s="180"/>
      <c r="AA59" s="180"/>
      <c r="AB59" s="180"/>
      <c r="AC59" s="180"/>
      <c r="AD59" s="126">
        <f>SUM(AE59:AI59)</f>
        <v>0</v>
      </c>
      <c r="AE59" s="180"/>
      <c r="AF59" s="180"/>
      <c r="AG59" s="180"/>
      <c r="AH59" s="180"/>
      <c r="AI59" s="404"/>
      <c r="AJ59" s="125">
        <f>SUM(AK59:AO59)</f>
        <v>0</v>
      </c>
      <c r="AK59" s="180"/>
      <c r="AL59" s="180"/>
      <c r="AM59" s="180"/>
      <c r="AN59" s="180"/>
      <c r="AO59" s="180"/>
      <c r="AP59" s="397">
        <f t="shared" si="148"/>
        <v>0</v>
      </c>
      <c r="AQ59" s="180"/>
      <c r="AR59" s="180"/>
      <c r="AS59" s="180"/>
      <c r="AT59" s="180"/>
      <c r="AU59" s="180"/>
      <c r="AV59" s="397">
        <f t="shared" si="149"/>
        <v>0</v>
      </c>
      <c r="AW59" s="180"/>
      <c r="AX59" s="180"/>
      <c r="AY59" s="180"/>
      <c r="AZ59" s="180"/>
      <c r="BA59" s="180"/>
      <c r="BB59" s="397">
        <f t="shared" si="150"/>
        <v>0</v>
      </c>
      <c r="BC59" s="180"/>
      <c r="BD59" s="180"/>
      <c r="BE59" s="180"/>
      <c r="BF59" s="180"/>
      <c r="BG59" s="180"/>
      <c r="BH59" s="397">
        <f t="shared" si="151"/>
        <v>0</v>
      </c>
      <c r="BI59" s="180"/>
      <c r="BJ59" s="180"/>
      <c r="BK59" s="180"/>
      <c r="BL59" s="180"/>
      <c r="BM59" s="180"/>
      <c r="BN59" s="397">
        <f>SUM(BO59:BS59)</f>
        <v>34</v>
      </c>
      <c r="BO59" s="180">
        <v>8</v>
      </c>
      <c r="BP59" s="180">
        <v>16</v>
      </c>
      <c r="BQ59" s="180"/>
      <c r="BR59" s="180"/>
      <c r="BS59" s="180">
        <v>10</v>
      </c>
      <c r="BT59" s="397">
        <f>SUM(BU59:BY59)</f>
        <v>106</v>
      </c>
      <c r="BU59" s="180">
        <v>30</v>
      </c>
      <c r="BV59" s="180">
        <v>42</v>
      </c>
      <c r="BW59" s="180"/>
      <c r="BX59" s="180"/>
      <c r="BY59" s="180">
        <v>34</v>
      </c>
      <c r="BZ59" s="91" t="s">
        <v>509</v>
      </c>
      <c r="CA59" s="93" t="s">
        <v>452</v>
      </c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</row>
    <row r="60" spans="1:129" s="104" customFormat="1" ht="26.1" customHeight="1">
      <c r="A60" s="533"/>
      <c r="B60" s="529" t="s">
        <v>600</v>
      </c>
      <c r="C60" s="529"/>
      <c r="D60" s="105"/>
      <c r="E60" s="405" t="s">
        <v>41</v>
      </c>
      <c r="F60" s="405"/>
      <c r="G60" s="105"/>
      <c r="H60" s="405"/>
      <c r="I60" s="180"/>
      <c r="J60" s="402"/>
      <c r="K60" s="92">
        <f t="shared" si="146"/>
        <v>52</v>
      </c>
      <c r="L60" s="92">
        <f t="shared" ref="L60" si="152">SUM(M60:P60)</f>
        <v>36</v>
      </c>
      <c r="M60" s="92">
        <f t="shared" si="147"/>
        <v>36</v>
      </c>
      <c r="N60" s="92">
        <f t="shared" si="147"/>
        <v>0</v>
      </c>
      <c r="O60" s="92">
        <f t="shared" si="147"/>
        <v>0</v>
      </c>
      <c r="P60" s="92">
        <f t="shared" si="147"/>
        <v>0</v>
      </c>
      <c r="Q60" s="92">
        <f t="shared" si="147"/>
        <v>16</v>
      </c>
      <c r="R60" s="125">
        <f t="shared" ref="R60" si="153">SUM(S60:W60)</f>
        <v>0</v>
      </c>
      <c r="S60" s="180"/>
      <c r="T60" s="180"/>
      <c r="U60" s="180"/>
      <c r="V60" s="180"/>
      <c r="W60" s="180"/>
      <c r="X60" s="403"/>
      <c r="Y60" s="180"/>
      <c r="Z60" s="180"/>
      <c r="AA60" s="180"/>
      <c r="AB60" s="180"/>
      <c r="AC60" s="180"/>
      <c r="AD60" s="126">
        <f t="shared" ref="AD60" si="154">SUM(AE60:AI60)</f>
        <v>0</v>
      </c>
      <c r="AE60" s="180"/>
      <c r="AF60" s="180"/>
      <c r="AG60" s="180"/>
      <c r="AH60" s="180"/>
      <c r="AI60" s="404"/>
      <c r="AJ60" s="125">
        <f t="shared" ref="AJ60" si="155">SUM(AK60:AO60)</f>
        <v>0</v>
      </c>
      <c r="AK60" s="180"/>
      <c r="AL60" s="180"/>
      <c r="AM60" s="180"/>
      <c r="AN60" s="180"/>
      <c r="AO60" s="180"/>
      <c r="AP60" s="397">
        <f t="shared" si="148"/>
        <v>52</v>
      </c>
      <c r="AQ60" s="195">
        <v>36</v>
      </c>
      <c r="AR60" s="195"/>
      <c r="AS60" s="195"/>
      <c r="AT60" s="195"/>
      <c r="AU60" s="195">
        <v>16</v>
      </c>
      <c r="AV60" s="397">
        <f t="shared" si="149"/>
        <v>0</v>
      </c>
      <c r="AW60" s="180"/>
      <c r="AX60" s="180"/>
      <c r="AY60" s="180"/>
      <c r="AZ60" s="180"/>
      <c r="BA60" s="180"/>
      <c r="BB60" s="397">
        <f t="shared" si="150"/>
        <v>0</v>
      </c>
      <c r="BC60" s="180"/>
      <c r="BD60" s="180"/>
      <c r="BE60" s="180"/>
      <c r="BF60" s="180"/>
      <c r="BG60" s="180"/>
      <c r="BH60" s="397">
        <f t="shared" si="151"/>
        <v>0</v>
      </c>
      <c r="BI60" s="180"/>
      <c r="BJ60" s="180"/>
      <c r="BK60" s="180"/>
      <c r="BL60" s="180"/>
      <c r="BM60" s="180"/>
      <c r="BN60" s="397">
        <f>SUM(BO60:BS60)</f>
        <v>0</v>
      </c>
      <c r="BO60" s="180"/>
      <c r="BP60" s="180"/>
      <c r="BQ60" s="180"/>
      <c r="BR60" s="180"/>
      <c r="BS60" s="180"/>
      <c r="BT60" s="397">
        <f>SUM(BU60:BY60)</f>
        <v>0</v>
      </c>
      <c r="BU60" s="180"/>
      <c r="BV60" s="180"/>
      <c r="BW60" s="180"/>
      <c r="BX60" s="180"/>
      <c r="BY60" s="180"/>
      <c r="BZ60" s="91" t="s">
        <v>509</v>
      </c>
      <c r="CA60" s="93" t="s">
        <v>453</v>
      </c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</row>
    <row r="61" spans="1:129" s="104" customFormat="1" ht="26.1" customHeight="1">
      <c r="A61" s="533"/>
      <c r="B61" s="564" t="s">
        <v>623</v>
      </c>
      <c r="C61" s="529" t="s">
        <v>570</v>
      </c>
      <c r="D61" s="105"/>
      <c r="E61" s="405"/>
      <c r="F61" s="99" t="s">
        <v>417</v>
      </c>
      <c r="G61" s="105"/>
      <c r="H61" s="99" t="s">
        <v>622</v>
      </c>
      <c r="I61" s="180"/>
      <c r="J61" s="402"/>
      <c r="K61" s="92">
        <f t="shared" si="146"/>
        <v>124</v>
      </c>
      <c r="L61" s="92">
        <f>SUM(M61:P61)</f>
        <v>85</v>
      </c>
      <c r="M61" s="92">
        <f t="shared" si="147"/>
        <v>22</v>
      </c>
      <c r="N61" s="92">
        <f t="shared" si="147"/>
        <v>63</v>
      </c>
      <c r="O61" s="92">
        <f t="shared" si="147"/>
        <v>0</v>
      </c>
      <c r="P61" s="92">
        <f t="shared" si="147"/>
        <v>0</v>
      </c>
      <c r="Q61" s="92">
        <f t="shared" si="147"/>
        <v>39</v>
      </c>
      <c r="R61" s="125">
        <f>SUM(S61:W61)</f>
        <v>0</v>
      </c>
      <c r="S61" s="180"/>
      <c r="T61" s="180"/>
      <c r="U61" s="180"/>
      <c r="V61" s="180"/>
      <c r="W61" s="180"/>
      <c r="X61" s="403"/>
      <c r="Y61" s="180"/>
      <c r="Z61" s="180"/>
      <c r="AA61" s="180"/>
      <c r="AB61" s="180"/>
      <c r="AC61" s="180"/>
      <c r="AD61" s="126">
        <f>SUM(AE61:AI61)</f>
        <v>0</v>
      </c>
      <c r="AE61" s="180"/>
      <c r="AF61" s="180"/>
      <c r="AG61" s="180"/>
      <c r="AH61" s="180"/>
      <c r="AI61" s="404"/>
      <c r="AJ61" s="125">
        <f>SUM(AK61:AO61)</f>
        <v>0</v>
      </c>
      <c r="AK61" s="180"/>
      <c r="AL61" s="180"/>
      <c r="AM61" s="180"/>
      <c r="AN61" s="180"/>
      <c r="AO61" s="180"/>
      <c r="AP61" s="397">
        <f t="shared" si="148"/>
        <v>0</v>
      </c>
      <c r="AQ61" s="180"/>
      <c r="AR61" s="180"/>
      <c r="AS61" s="180"/>
      <c r="AT61" s="180"/>
      <c r="AU61" s="180"/>
      <c r="AV61" s="397">
        <f t="shared" si="149"/>
        <v>0</v>
      </c>
      <c r="AW61" s="180"/>
      <c r="AX61" s="180"/>
      <c r="AY61" s="180"/>
      <c r="AZ61" s="180"/>
      <c r="BA61" s="180"/>
      <c r="BB61" s="397">
        <f t="shared" si="150"/>
        <v>0</v>
      </c>
      <c r="BC61" s="180"/>
      <c r="BD61" s="180"/>
      <c r="BE61" s="180"/>
      <c r="BF61" s="180"/>
      <c r="BG61" s="180"/>
      <c r="BH61" s="397">
        <f t="shared" si="151"/>
        <v>47</v>
      </c>
      <c r="BI61" s="180">
        <v>22</v>
      </c>
      <c r="BJ61" s="180">
        <v>11</v>
      </c>
      <c r="BK61" s="180"/>
      <c r="BL61" s="180"/>
      <c r="BM61" s="180">
        <v>14</v>
      </c>
      <c r="BN61" s="397">
        <f>SUM(BO61:BS61)</f>
        <v>24</v>
      </c>
      <c r="BO61" s="180"/>
      <c r="BP61" s="180">
        <v>16</v>
      </c>
      <c r="BQ61" s="180"/>
      <c r="BR61" s="180"/>
      <c r="BS61" s="180">
        <v>8</v>
      </c>
      <c r="BT61" s="397">
        <f>SUM(BU61:BY61)</f>
        <v>53</v>
      </c>
      <c r="BU61" s="180"/>
      <c r="BV61" s="180">
        <v>36</v>
      </c>
      <c r="BW61" s="180"/>
      <c r="BX61" s="180"/>
      <c r="BY61" s="180">
        <v>17</v>
      </c>
      <c r="BZ61" s="91" t="s">
        <v>509</v>
      </c>
      <c r="CA61" s="93" t="s">
        <v>453</v>
      </c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</row>
    <row r="62" spans="1:129" s="98" customFormat="1" ht="26.1" customHeight="1">
      <c r="A62" s="393" t="s">
        <v>409</v>
      </c>
      <c r="B62" s="707" t="s">
        <v>416</v>
      </c>
      <c r="C62" s="708"/>
      <c r="D62" s="708"/>
      <c r="E62" s="708"/>
      <c r="F62" s="708"/>
      <c r="G62" s="708"/>
      <c r="H62" s="709"/>
      <c r="I62" s="395"/>
      <c r="J62" s="395"/>
      <c r="K62" s="396">
        <f>SUM(K63:K68)</f>
        <v>874</v>
      </c>
      <c r="L62" s="396">
        <f t="shared" ref="L62:P62" si="156">SUM(L63:L68)</f>
        <v>613</v>
      </c>
      <c r="M62" s="396">
        <f>SUM(M63:M68)</f>
        <v>430</v>
      </c>
      <c r="N62" s="396">
        <f t="shared" si="156"/>
        <v>183</v>
      </c>
      <c r="O62" s="396">
        <f t="shared" si="156"/>
        <v>0</v>
      </c>
      <c r="P62" s="396">
        <f t="shared" si="156"/>
        <v>0</v>
      </c>
      <c r="Q62" s="396">
        <f>SUM(Q63:Q68)</f>
        <v>261</v>
      </c>
      <c r="R62" s="396">
        <f t="shared" ref="R62:W62" si="157">SUM(R63:R73)</f>
        <v>0</v>
      </c>
      <c r="S62" s="396">
        <f t="shared" si="157"/>
        <v>0</v>
      </c>
      <c r="T62" s="396">
        <f t="shared" si="157"/>
        <v>0</v>
      </c>
      <c r="U62" s="396">
        <f t="shared" si="157"/>
        <v>0</v>
      </c>
      <c r="V62" s="396">
        <f t="shared" si="157"/>
        <v>0</v>
      </c>
      <c r="W62" s="396">
        <f t="shared" si="157"/>
        <v>0</v>
      </c>
      <c r="X62" s="396">
        <f t="shared" ref="X62:AC62" si="158">SUM(X63:X73)</f>
        <v>0</v>
      </c>
      <c r="Y62" s="396">
        <f t="shared" si="158"/>
        <v>0</v>
      </c>
      <c r="Z62" s="396">
        <f t="shared" si="158"/>
        <v>0</v>
      </c>
      <c r="AA62" s="396">
        <f t="shared" si="158"/>
        <v>0</v>
      </c>
      <c r="AB62" s="396">
        <f t="shared" si="158"/>
        <v>0</v>
      </c>
      <c r="AC62" s="396">
        <f t="shared" si="158"/>
        <v>0</v>
      </c>
      <c r="AD62" s="396">
        <f>SUM(AD63:AD68)</f>
        <v>0</v>
      </c>
      <c r="AE62" s="396">
        <f t="shared" ref="AE62:BT62" si="159">SUM(AE63:AE68)</f>
        <v>0</v>
      </c>
      <c r="AF62" s="396">
        <f t="shared" si="159"/>
        <v>0</v>
      </c>
      <c r="AG62" s="396">
        <f t="shared" si="159"/>
        <v>0</v>
      </c>
      <c r="AH62" s="396">
        <f t="shared" si="159"/>
        <v>0</v>
      </c>
      <c r="AI62" s="396">
        <f t="shared" si="159"/>
        <v>0</v>
      </c>
      <c r="AJ62" s="396">
        <f t="shared" si="159"/>
        <v>48</v>
      </c>
      <c r="AK62" s="396">
        <f t="shared" si="159"/>
        <v>34</v>
      </c>
      <c r="AL62" s="396">
        <f t="shared" si="159"/>
        <v>0</v>
      </c>
      <c r="AM62" s="396">
        <f t="shared" si="159"/>
        <v>0</v>
      </c>
      <c r="AN62" s="396">
        <f t="shared" si="159"/>
        <v>0</v>
      </c>
      <c r="AO62" s="396">
        <f t="shared" si="159"/>
        <v>14</v>
      </c>
      <c r="AP62" s="559">
        <f t="shared" si="159"/>
        <v>182</v>
      </c>
      <c r="AQ62" s="559">
        <f>SUM(AQ63:AQ68)</f>
        <v>102</v>
      </c>
      <c r="AR62" s="559">
        <f t="shared" si="159"/>
        <v>26</v>
      </c>
      <c r="AS62" s="559">
        <f t="shared" si="159"/>
        <v>0</v>
      </c>
      <c r="AT62" s="559">
        <f t="shared" si="159"/>
        <v>0</v>
      </c>
      <c r="AU62" s="559">
        <f t="shared" si="159"/>
        <v>54</v>
      </c>
      <c r="AV62" s="559">
        <f t="shared" si="159"/>
        <v>195</v>
      </c>
      <c r="AW62" s="559">
        <f t="shared" si="159"/>
        <v>106</v>
      </c>
      <c r="AX62" s="559">
        <f t="shared" si="159"/>
        <v>37</v>
      </c>
      <c r="AY62" s="559">
        <f t="shared" si="159"/>
        <v>0</v>
      </c>
      <c r="AZ62" s="559">
        <f t="shared" si="159"/>
        <v>0</v>
      </c>
      <c r="BA62" s="559">
        <f t="shared" si="159"/>
        <v>52</v>
      </c>
      <c r="BB62" s="559">
        <f t="shared" si="159"/>
        <v>92</v>
      </c>
      <c r="BC62" s="559">
        <f t="shared" si="159"/>
        <v>44</v>
      </c>
      <c r="BD62" s="559">
        <f t="shared" si="159"/>
        <v>22</v>
      </c>
      <c r="BE62" s="559">
        <f t="shared" si="159"/>
        <v>0</v>
      </c>
      <c r="BF62" s="559">
        <f t="shared" si="159"/>
        <v>0</v>
      </c>
      <c r="BG62" s="559">
        <f t="shared" si="159"/>
        <v>26</v>
      </c>
      <c r="BH62" s="559">
        <f t="shared" si="159"/>
        <v>33</v>
      </c>
      <c r="BI62" s="559">
        <f t="shared" si="159"/>
        <v>22</v>
      </c>
      <c r="BJ62" s="559">
        <f t="shared" si="159"/>
        <v>0</v>
      </c>
      <c r="BK62" s="559">
        <f t="shared" si="159"/>
        <v>0</v>
      </c>
      <c r="BL62" s="559">
        <f t="shared" si="159"/>
        <v>0</v>
      </c>
      <c r="BM62" s="559">
        <f t="shared" si="159"/>
        <v>11</v>
      </c>
      <c r="BN62" s="559">
        <f t="shared" si="159"/>
        <v>58</v>
      </c>
      <c r="BO62" s="559">
        <f>SUM(BO63:BO68)</f>
        <v>32</v>
      </c>
      <c r="BP62" s="559">
        <f t="shared" si="159"/>
        <v>8</v>
      </c>
      <c r="BQ62" s="559">
        <f t="shared" si="159"/>
        <v>0</v>
      </c>
      <c r="BR62" s="559">
        <f t="shared" si="159"/>
        <v>0</v>
      </c>
      <c r="BS62" s="559">
        <f t="shared" si="159"/>
        <v>18</v>
      </c>
      <c r="BT62" s="559">
        <f t="shared" si="159"/>
        <v>266</v>
      </c>
      <c r="BU62" s="559">
        <f>SUM(BU63:BU68)</f>
        <v>90</v>
      </c>
      <c r="BV62" s="559">
        <f t="shared" ref="BV62:BY62" si="160">SUM(BV63:BV68)</f>
        <v>90</v>
      </c>
      <c r="BW62" s="559">
        <f t="shared" si="160"/>
        <v>0</v>
      </c>
      <c r="BX62" s="559">
        <f t="shared" si="160"/>
        <v>0</v>
      </c>
      <c r="BY62" s="559">
        <f t="shared" si="160"/>
        <v>86</v>
      </c>
      <c r="BZ62" s="400"/>
      <c r="CA62" s="395"/>
    </row>
    <row r="63" spans="1:129" s="197" customFormat="1" ht="26.1" customHeight="1">
      <c r="A63" s="533"/>
      <c r="B63" s="219" t="s">
        <v>410</v>
      </c>
      <c r="C63" s="556" t="s">
        <v>574</v>
      </c>
      <c r="D63" s="405"/>
      <c r="E63" s="534" t="s">
        <v>41</v>
      </c>
      <c r="F63" s="534"/>
      <c r="G63" s="199"/>
      <c r="H63" s="405" t="s">
        <v>40</v>
      </c>
      <c r="I63" s="196"/>
      <c r="J63" s="196"/>
      <c r="K63" s="92">
        <f t="shared" ref="K63:K68" si="161">L63+SUM(Q63:Q63)</f>
        <v>142</v>
      </c>
      <c r="L63" s="101">
        <f t="shared" ref="L63:L68" si="162">SUM(M63:P63)</f>
        <v>98</v>
      </c>
      <c r="M63" s="101">
        <f t="shared" ref="M63:Q68" si="163">S63+Y63+AE63+AK63+AQ63+AW63+BC63+BI63+BO63+BU63</f>
        <v>82</v>
      </c>
      <c r="N63" s="92">
        <f t="shared" si="163"/>
        <v>16</v>
      </c>
      <c r="O63" s="92">
        <f t="shared" si="163"/>
        <v>0</v>
      </c>
      <c r="P63" s="92">
        <f t="shared" si="163"/>
        <v>0</v>
      </c>
      <c r="Q63" s="398">
        <f t="shared" si="163"/>
        <v>44</v>
      </c>
      <c r="R63" s="125">
        <f>SUM(S63:W63)</f>
        <v>0</v>
      </c>
      <c r="S63" s="181"/>
      <c r="T63" s="181"/>
      <c r="U63" s="181"/>
      <c r="V63" s="181"/>
      <c r="W63" s="181"/>
      <c r="X63" s="125">
        <f>SUM(Y63:AC63)</f>
        <v>0</v>
      </c>
      <c r="Y63" s="181"/>
      <c r="Z63" s="181"/>
      <c r="AA63" s="181"/>
      <c r="AB63" s="181"/>
      <c r="AC63" s="181"/>
      <c r="AD63" s="125">
        <f>SUM(AE63:AI63)</f>
        <v>0</v>
      </c>
      <c r="AE63" s="181"/>
      <c r="AF63" s="181"/>
      <c r="AG63" s="181"/>
      <c r="AH63" s="181"/>
      <c r="AI63" s="181"/>
      <c r="AJ63" s="397">
        <f t="shared" ref="AJ63:AJ68" si="164">SUM(AK63:AO63)</f>
        <v>48</v>
      </c>
      <c r="AK63" s="180">
        <v>34</v>
      </c>
      <c r="AL63" s="180"/>
      <c r="AM63" s="180"/>
      <c r="AN63" s="180"/>
      <c r="AO63" s="180">
        <v>14</v>
      </c>
      <c r="AP63" s="397">
        <f t="shared" ref="AP63:AP68" si="165">SUM(AQ63:AU63)</f>
        <v>94</v>
      </c>
      <c r="AQ63" s="195">
        <v>48</v>
      </c>
      <c r="AR63" s="195">
        <v>16</v>
      </c>
      <c r="AS63" s="180"/>
      <c r="AT63" s="180"/>
      <c r="AU63" s="180">
        <v>30</v>
      </c>
      <c r="AV63" s="397">
        <f t="shared" ref="AV63:AV68" si="166">SUM(AW63:BA63)</f>
        <v>0</v>
      </c>
      <c r="AW63" s="180"/>
      <c r="AX63" s="180"/>
      <c r="AY63" s="180"/>
      <c r="AZ63" s="180"/>
      <c r="BA63" s="180"/>
      <c r="BB63" s="397">
        <f t="shared" ref="BB63:BB68" si="167">SUM(BC63:BG63)</f>
        <v>0</v>
      </c>
      <c r="BC63" s="180"/>
      <c r="BD63" s="180"/>
      <c r="BE63" s="180"/>
      <c r="BF63" s="180"/>
      <c r="BG63" s="180"/>
      <c r="BH63" s="397">
        <f t="shared" ref="BH63:BH68" si="168">SUM(BI63:BM63)</f>
        <v>0</v>
      </c>
      <c r="BI63" s="180"/>
      <c r="BJ63" s="180"/>
      <c r="BK63" s="180"/>
      <c r="BL63" s="180"/>
      <c r="BM63" s="180"/>
      <c r="BN63" s="397">
        <f t="shared" ref="BN63:BN68" si="169">SUM(BO63:BS63)</f>
        <v>0</v>
      </c>
      <c r="BO63" s="198"/>
      <c r="BP63" s="198"/>
      <c r="BQ63" s="198"/>
      <c r="BR63" s="198"/>
      <c r="BS63" s="198"/>
      <c r="BT63" s="397">
        <f t="shared" ref="BT63:BT68" si="170">SUM(BU63:BY63)</f>
        <v>0</v>
      </c>
      <c r="BU63" s="198"/>
      <c r="BV63" s="198"/>
      <c r="BW63" s="198"/>
      <c r="BX63" s="198"/>
      <c r="BY63" s="198"/>
      <c r="BZ63" s="91" t="s">
        <v>508</v>
      </c>
      <c r="CA63" s="198" t="s">
        <v>455</v>
      </c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</row>
    <row r="64" spans="1:129" s="89" customFormat="1" ht="26.1" customHeight="1">
      <c r="A64" s="533"/>
      <c r="B64" s="219" t="s">
        <v>475</v>
      </c>
      <c r="C64" s="219" t="s">
        <v>575</v>
      </c>
      <c r="D64" s="534"/>
      <c r="E64" s="99" t="s">
        <v>615</v>
      </c>
      <c r="F64" s="405"/>
      <c r="G64" s="405"/>
      <c r="H64" s="99" t="s">
        <v>616</v>
      </c>
      <c r="I64" s="93"/>
      <c r="J64" s="401"/>
      <c r="K64" s="92">
        <f t="shared" si="161"/>
        <v>414</v>
      </c>
      <c r="L64" s="92">
        <f t="shared" si="162"/>
        <v>285</v>
      </c>
      <c r="M64" s="92">
        <f t="shared" si="163"/>
        <v>186</v>
      </c>
      <c r="N64" s="92">
        <f t="shared" si="163"/>
        <v>99</v>
      </c>
      <c r="O64" s="92">
        <f t="shared" si="163"/>
        <v>0</v>
      </c>
      <c r="P64" s="92">
        <f t="shared" si="163"/>
        <v>0</v>
      </c>
      <c r="Q64" s="92">
        <f t="shared" si="163"/>
        <v>129</v>
      </c>
      <c r="R64" s="125">
        <f>SUM(S64:W64)</f>
        <v>0</v>
      </c>
      <c r="S64" s="93"/>
      <c r="T64" s="93"/>
      <c r="U64" s="93"/>
      <c r="V64" s="93"/>
      <c r="W64" s="93"/>
      <c r="X64" s="125"/>
      <c r="Y64" s="93"/>
      <c r="Z64" s="93"/>
      <c r="AA64" s="93"/>
      <c r="AB64" s="93"/>
      <c r="AC64" s="93"/>
      <c r="AD64" s="126">
        <f>SUM(AE64:AI64)</f>
        <v>0</v>
      </c>
      <c r="AE64" s="303"/>
      <c r="AF64" s="303"/>
      <c r="AG64" s="93"/>
      <c r="AH64" s="93"/>
      <c r="AI64" s="93"/>
      <c r="AJ64" s="125">
        <f t="shared" si="164"/>
        <v>0</v>
      </c>
      <c r="AK64" s="406"/>
      <c r="AL64" s="303"/>
      <c r="AM64" s="93"/>
      <c r="AN64" s="93"/>
      <c r="AO64" s="93"/>
      <c r="AP64" s="397">
        <f t="shared" si="165"/>
        <v>44</v>
      </c>
      <c r="AQ64" s="195">
        <v>28</v>
      </c>
      <c r="AR64" s="195">
        <v>4</v>
      </c>
      <c r="AS64" s="195"/>
      <c r="AT64" s="195"/>
      <c r="AU64" s="195">
        <v>12</v>
      </c>
      <c r="AV64" s="397">
        <f t="shared" si="166"/>
        <v>98</v>
      </c>
      <c r="AW64" s="198">
        <v>44</v>
      </c>
      <c r="AX64" s="195">
        <v>22</v>
      </c>
      <c r="AY64" s="195"/>
      <c r="AZ64" s="195"/>
      <c r="BA64" s="195">
        <v>32</v>
      </c>
      <c r="BB64" s="397">
        <f t="shared" si="167"/>
        <v>43</v>
      </c>
      <c r="BC64" s="198">
        <v>22</v>
      </c>
      <c r="BD64" s="195">
        <v>11</v>
      </c>
      <c r="BE64" s="195"/>
      <c r="BF64" s="195"/>
      <c r="BG64" s="195">
        <v>10</v>
      </c>
      <c r="BH64" s="397">
        <f t="shared" si="168"/>
        <v>33</v>
      </c>
      <c r="BI64" s="195">
        <v>22</v>
      </c>
      <c r="BJ64" s="195"/>
      <c r="BK64" s="195"/>
      <c r="BL64" s="195"/>
      <c r="BM64" s="195">
        <v>11</v>
      </c>
      <c r="BN64" s="397">
        <f t="shared" si="169"/>
        <v>36</v>
      </c>
      <c r="BO64" s="195">
        <v>16</v>
      </c>
      <c r="BP64" s="195">
        <v>8</v>
      </c>
      <c r="BQ64" s="195"/>
      <c r="BR64" s="195"/>
      <c r="BS64" s="195">
        <v>12</v>
      </c>
      <c r="BT64" s="397">
        <f t="shared" si="170"/>
        <v>160</v>
      </c>
      <c r="BU64" s="195">
        <v>54</v>
      </c>
      <c r="BV64" s="195">
        <v>54</v>
      </c>
      <c r="BW64" s="195"/>
      <c r="BX64" s="195"/>
      <c r="BY64" s="195">
        <v>52</v>
      </c>
      <c r="BZ64" s="91" t="s">
        <v>508</v>
      </c>
      <c r="CA64" s="198" t="s">
        <v>455</v>
      </c>
    </row>
    <row r="65" spans="1:129" s="197" customFormat="1" ht="26.1" customHeight="1">
      <c r="A65" s="533"/>
      <c r="B65" s="219" t="s">
        <v>458</v>
      </c>
      <c r="C65" s="556" t="s">
        <v>576</v>
      </c>
      <c r="D65" s="405"/>
      <c r="E65" s="405" t="s">
        <v>42</v>
      </c>
      <c r="F65" s="405"/>
      <c r="G65" s="199"/>
      <c r="H65" s="405" t="s">
        <v>41</v>
      </c>
      <c r="I65" s="196"/>
      <c r="J65" s="196"/>
      <c r="K65" s="92">
        <f t="shared" si="161"/>
        <v>76</v>
      </c>
      <c r="L65" s="101">
        <f t="shared" si="162"/>
        <v>54</v>
      </c>
      <c r="M65" s="101">
        <f t="shared" si="163"/>
        <v>44</v>
      </c>
      <c r="N65" s="92">
        <f t="shared" si="163"/>
        <v>10</v>
      </c>
      <c r="O65" s="92">
        <f t="shared" si="163"/>
        <v>0</v>
      </c>
      <c r="P65" s="92">
        <f t="shared" si="163"/>
        <v>0</v>
      </c>
      <c r="Q65" s="398">
        <f t="shared" si="163"/>
        <v>22</v>
      </c>
      <c r="R65" s="125">
        <f>SUM(S65:W65)</f>
        <v>0</v>
      </c>
      <c r="S65" s="181"/>
      <c r="T65" s="181"/>
      <c r="U65" s="181"/>
      <c r="V65" s="181"/>
      <c r="W65" s="181"/>
      <c r="X65" s="125">
        <f>SUM(Y65:AC65)</f>
        <v>0</v>
      </c>
      <c r="Y65" s="181"/>
      <c r="Z65" s="181"/>
      <c r="AA65" s="181"/>
      <c r="AB65" s="181"/>
      <c r="AC65" s="181"/>
      <c r="AD65" s="125">
        <f>SUM(AE65:AI65)</f>
        <v>0</v>
      </c>
      <c r="AE65" s="181"/>
      <c r="AF65" s="181"/>
      <c r="AG65" s="181"/>
      <c r="AH65" s="181"/>
      <c r="AI65" s="181"/>
      <c r="AJ65" s="397">
        <f t="shared" si="164"/>
        <v>0</v>
      </c>
      <c r="AK65" s="180"/>
      <c r="AL65" s="180"/>
      <c r="AM65" s="180"/>
      <c r="AN65" s="180"/>
      <c r="AO65" s="180"/>
      <c r="AP65" s="397">
        <f t="shared" si="165"/>
        <v>44</v>
      </c>
      <c r="AQ65" s="180">
        <v>26</v>
      </c>
      <c r="AR65" s="180">
        <v>6</v>
      </c>
      <c r="AS65" s="180"/>
      <c r="AT65" s="180"/>
      <c r="AU65" s="180">
        <v>12</v>
      </c>
      <c r="AV65" s="397">
        <f t="shared" si="166"/>
        <v>32</v>
      </c>
      <c r="AW65" s="180">
        <v>18</v>
      </c>
      <c r="AX65" s="180">
        <v>4</v>
      </c>
      <c r="AY65" s="180"/>
      <c r="AZ65" s="180"/>
      <c r="BA65" s="180">
        <v>10</v>
      </c>
      <c r="BB65" s="397">
        <f t="shared" si="167"/>
        <v>0</v>
      </c>
      <c r="BC65" s="180"/>
      <c r="BD65" s="180"/>
      <c r="BE65" s="180"/>
      <c r="BF65" s="180"/>
      <c r="BG65" s="180"/>
      <c r="BH65" s="397">
        <f t="shared" si="168"/>
        <v>0</v>
      </c>
      <c r="BI65" s="180"/>
      <c r="BJ65" s="180"/>
      <c r="BK65" s="180"/>
      <c r="BL65" s="180"/>
      <c r="BM65" s="180"/>
      <c r="BN65" s="397">
        <f t="shared" si="169"/>
        <v>0</v>
      </c>
      <c r="BO65" s="198"/>
      <c r="BP65" s="198"/>
      <c r="BQ65" s="198"/>
      <c r="BR65" s="198"/>
      <c r="BS65" s="198"/>
      <c r="BT65" s="397">
        <f t="shared" si="170"/>
        <v>0</v>
      </c>
      <c r="BU65" s="198"/>
      <c r="BV65" s="198"/>
      <c r="BW65" s="198"/>
      <c r="BX65" s="198"/>
      <c r="BY65" s="198"/>
      <c r="BZ65" s="91" t="s">
        <v>515</v>
      </c>
      <c r="CA65" s="594" t="s">
        <v>455</v>
      </c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</row>
    <row r="66" spans="1:129" s="197" customFormat="1" ht="26.1" customHeight="1">
      <c r="A66" s="533"/>
      <c r="B66" s="219" t="s">
        <v>459</v>
      </c>
      <c r="C66" s="556"/>
      <c r="D66" s="405"/>
      <c r="E66" s="405" t="s">
        <v>417</v>
      </c>
      <c r="F66" s="405"/>
      <c r="G66" s="199"/>
      <c r="H66" s="405" t="s">
        <v>39</v>
      </c>
      <c r="I66" s="196"/>
      <c r="J66" s="196"/>
      <c r="K66" s="92">
        <f t="shared" si="161"/>
        <v>128</v>
      </c>
      <c r="L66" s="101">
        <f t="shared" si="162"/>
        <v>88</v>
      </c>
      <c r="M66" s="101">
        <f t="shared" si="163"/>
        <v>52</v>
      </c>
      <c r="N66" s="92">
        <f t="shared" si="163"/>
        <v>36</v>
      </c>
      <c r="O66" s="92">
        <f t="shared" si="163"/>
        <v>0</v>
      </c>
      <c r="P66" s="92">
        <f t="shared" si="163"/>
        <v>0</v>
      </c>
      <c r="Q66" s="398">
        <f t="shared" si="163"/>
        <v>40</v>
      </c>
      <c r="R66" s="125"/>
      <c r="S66" s="181"/>
      <c r="T66" s="181"/>
      <c r="U66" s="181"/>
      <c r="V66" s="181"/>
      <c r="W66" s="181"/>
      <c r="X66" s="125"/>
      <c r="Y66" s="181"/>
      <c r="Z66" s="181"/>
      <c r="AA66" s="181"/>
      <c r="AB66" s="181"/>
      <c r="AC66" s="181"/>
      <c r="AD66" s="125"/>
      <c r="AE66" s="181"/>
      <c r="AF66" s="181"/>
      <c r="AG66" s="181"/>
      <c r="AH66" s="181"/>
      <c r="AI66" s="181"/>
      <c r="AJ66" s="397">
        <f t="shared" si="164"/>
        <v>0</v>
      </c>
      <c r="AK66" s="180"/>
      <c r="AL66" s="180"/>
      <c r="AM66" s="180"/>
      <c r="AN66" s="180"/>
      <c r="AO66" s="180"/>
      <c r="AP66" s="397">
        <f t="shared" si="165"/>
        <v>0</v>
      </c>
      <c r="AQ66" s="180"/>
      <c r="AR66" s="180"/>
      <c r="AS66" s="180"/>
      <c r="AT66" s="180"/>
      <c r="AU66" s="180"/>
      <c r="AV66" s="397">
        <f t="shared" si="166"/>
        <v>0</v>
      </c>
      <c r="AW66" s="180"/>
      <c r="AX66" s="180"/>
      <c r="AY66" s="180"/>
      <c r="AZ66" s="180"/>
      <c r="BA66" s="180"/>
      <c r="BB66" s="397">
        <f t="shared" si="167"/>
        <v>0</v>
      </c>
      <c r="BC66" s="180"/>
      <c r="BD66" s="180"/>
      <c r="BE66" s="180"/>
      <c r="BF66" s="180"/>
      <c r="BG66" s="180"/>
      <c r="BH66" s="397">
        <f t="shared" si="168"/>
        <v>0</v>
      </c>
      <c r="BI66" s="180"/>
      <c r="BJ66" s="180"/>
      <c r="BK66" s="180"/>
      <c r="BL66" s="180"/>
      <c r="BM66" s="180"/>
      <c r="BN66" s="397">
        <f t="shared" si="169"/>
        <v>22</v>
      </c>
      <c r="BO66" s="198">
        <v>16</v>
      </c>
      <c r="BP66" s="198"/>
      <c r="BQ66" s="198"/>
      <c r="BR66" s="198"/>
      <c r="BS66" s="198">
        <v>6</v>
      </c>
      <c r="BT66" s="397">
        <f t="shared" si="170"/>
        <v>106</v>
      </c>
      <c r="BU66" s="198">
        <v>36</v>
      </c>
      <c r="BV66" s="198">
        <v>36</v>
      </c>
      <c r="BW66" s="198"/>
      <c r="BX66" s="198"/>
      <c r="BY66" s="198">
        <v>34</v>
      </c>
      <c r="BZ66" s="91" t="s">
        <v>508</v>
      </c>
      <c r="CA66" s="198" t="s">
        <v>455</v>
      </c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</row>
    <row r="67" spans="1:129" s="197" customFormat="1" ht="26.1" customHeight="1">
      <c r="A67" s="533"/>
      <c r="B67" s="219" t="s">
        <v>411</v>
      </c>
      <c r="C67" s="556"/>
      <c r="D67" s="304"/>
      <c r="E67" s="405" t="s">
        <v>42</v>
      </c>
      <c r="F67" s="405"/>
      <c r="G67" s="199"/>
      <c r="H67" s="405"/>
      <c r="I67" s="196"/>
      <c r="J67" s="196"/>
      <c r="K67" s="92">
        <f t="shared" si="161"/>
        <v>65</v>
      </c>
      <c r="L67" s="101">
        <f t="shared" si="162"/>
        <v>55</v>
      </c>
      <c r="M67" s="101">
        <f t="shared" si="163"/>
        <v>44</v>
      </c>
      <c r="N67" s="92">
        <f t="shared" si="163"/>
        <v>11</v>
      </c>
      <c r="O67" s="92">
        <f t="shared" si="163"/>
        <v>0</v>
      </c>
      <c r="P67" s="92">
        <f t="shared" si="163"/>
        <v>0</v>
      </c>
      <c r="Q67" s="398">
        <f t="shared" si="163"/>
        <v>10</v>
      </c>
      <c r="R67" s="125">
        <f>SUM(S67:W67)</f>
        <v>0</v>
      </c>
      <c r="S67" s="181"/>
      <c r="T67" s="181"/>
      <c r="U67" s="181"/>
      <c r="V67" s="181"/>
      <c r="W67" s="181"/>
      <c r="X67" s="125">
        <f>SUM(Y67:AC67)</f>
        <v>0</v>
      </c>
      <c r="Y67" s="181"/>
      <c r="Z67" s="181"/>
      <c r="AA67" s="181"/>
      <c r="AB67" s="181"/>
      <c r="AC67" s="181"/>
      <c r="AD67" s="125">
        <f>SUM(AE67:AI67)</f>
        <v>0</v>
      </c>
      <c r="AE67" s="181"/>
      <c r="AF67" s="181"/>
      <c r="AG67" s="181"/>
      <c r="AH67" s="181"/>
      <c r="AI67" s="181"/>
      <c r="AJ67" s="397">
        <f t="shared" si="164"/>
        <v>0</v>
      </c>
      <c r="AK67" s="180"/>
      <c r="AL67" s="180"/>
      <c r="AM67" s="180"/>
      <c r="AN67" s="180"/>
      <c r="AO67" s="180"/>
      <c r="AP67" s="397">
        <f t="shared" si="165"/>
        <v>0</v>
      </c>
      <c r="AQ67" s="180"/>
      <c r="AR67" s="180"/>
      <c r="AS67" s="180"/>
      <c r="AT67" s="180"/>
      <c r="AU67" s="180"/>
      <c r="AV67" s="397">
        <f t="shared" si="166"/>
        <v>65</v>
      </c>
      <c r="AW67" s="180">
        <v>44</v>
      </c>
      <c r="AX67" s="180">
        <v>11</v>
      </c>
      <c r="AY67" s="180"/>
      <c r="AZ67" s="180"/>
      <c r="BA67" s="180">
        <v>10</v>
      </c>
      <c r="BB67" s="397">
        <f t="shared" si="167"/>
        <v>0</v>
      </c>
      <c r="BC67" s="180"/>
      <c r="BD67" s="180"/>
      <c r="BE67" s="180"/>
      <c r="BF67" s="180"/>
      <c r="BG67" s="180"/>
      <c r="BH67" s="397">
        <f t="shared" si="168"/>
        <v>0</v>
      </c>
      <c r="BI67" s="180"/>
      <c r="BJ67" s="180"/>
      <c r="BK67" s="180"/>
      <c r="BL67" s="180"/>
      <c r="BM67" s="180"/>
      <c r="BN67" s="397">
        <f t="shared" si="169"/>
        <v>0</v>
      </c>
      <c r="BO67" s="198"/>
      <c r="BP67" s="198"/>
      <c r="BQ67" s="198"/>
      <c r="BR67" s="198"/>
      <c r="BS67" s="198"/>
      <c r="BT67" s="397">
        <f t="shared" si="170"/>
        <v>0</v>
      </c>
      <c r="BU67" s="198"/>
      <c r="BV67" s="198"/>
      <c r="BW67" s="198"/>
      <c r="BX67" s="198"/>
      <c r="BY67" s="198"/>
      <c r="BZ67" s="91" t="s">
        <v>515</v>
      </c>
      <c r="CA67" s="195" t="s">
        <v>516</v>
      </c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</row>
    <row r="68" spans="1:129" s="197" customFormat="1" ht="26.1" customHeight="1">
      <c r="A68" s="533"/>
      <c r="B68" s="219" t="s">
        <v>482</v>
      </c>
      <c r="C68" s="556"/>
      <c r="D68" s="304"/>
      <c r="E68" s="405" t="s">
        <v>43</v>
      </c>
      <c r="F68" s="405"/>
      <c r="G68" s="199"/>
      <c r="H68" s="405"/>
      <c r="I68" s="196"/>
      <c r="J68" s="196"/>
      <c r="K68" s="92">
        <f t="shared" si="161"/>
        <v>49</v>
      </c>
      <c r="L68" s="101">
        <f t="shared" si="162"/>
        <v>33</v>
      </c>
      <c r="M68" s="101">
        <f t="shared" si="163"/>
        <v>22</v>
      </c>
      <c r="N68" s="92">
        <f t="shared" si="163"/>
        <v>11</v>
      </c>
      <c r="O68" s="92">
        <f t="shared" si="163"/>
        <v>0</v>
      </c>
      <c r="P68" s="92">
        <f t="shared" si="163"/>
        <v>0</v>
      </c>
      <c r="Q68" s="398">
        <f t="shared" si="163"/>
        <v>16</v>
      </c>
      <c r="R68" s="125">
        <f>SUM(S68:W68)</f>
        <v>0</v>
      </c>
      <c r="S68" s="181"/>
      <c r="T68" s="181"/>
      <c r="U68" s="181"/>
      <c r="V68" s="181"/>
      <c r="W68" s="181"/>
      <c r="X68" s="125">
        <f>SUM(Y68:AC68)</f>
        <v>0</v>
      </c>
      <c r="Y68" s="181"/>
      <c r="Z68" s="181"/>
      <c r="AA68" s="181"/>
      <c r="AB68" s="181"/>
      <c r="AC68" s="181"/>
      <c r="AD68" s="125">
        <f>SUM(AE68:AI68)</f>
        <v>0</v>
      </c>
      <c r="AE68" s="181"/>
      <c r="AF68" s="181"/>
      <c r="AG68" s="181"/>
      <c r="AH68" s="181"/>
      <c r="AI68" s="181"/>
      <c r="AJ68" s="397">
        <f t="shared" si="164"/>
        <v>0</v>
      </c>
      <c r="AK68" s="180"/>
      <c r="AL68" s="180"/>
      <c r="AM68" s="180"/>
      <c r="AN68" s="180"/>
      <c r="AO68" s="180"/>
      <c r="AP68" s="397">
        <f t="shared" si="165"/>
        <v>0</v>
      </c>
      <c r="AQ68" s="180"/>
      <c r="AR68" s="180"/>
      <c r="AS68" s="180"/>
      <c r="AT68" s="180"/>
      <c r="AU68" s="180"/>
      <c r="AV68" s="397">
        <f t="shared" si="166"/>
        <v>0</v>
      </c>
      <c r="AW68" s="180"/>
      <c r="AX68" s="180"/>
      <c r="AY68" s="180"/>
      <c r="AZ68" s="180"/>
      <c r="BA68" s="180"/>
      <c r="BB68" s="397">
        <f t="shared" si="167"/>
        <v>49</v>
      </c>
      <c r="BC68" s="180">
        <v>22</v>
      </c>
      <c r="BD68" s="180">
        <v>11</v>
      </c>
      <c r="BE68" s="180"/>
      <c r="BF68" s="180"/>
      <c r="BG68" s="180">
        <v>16</v>
      </c>
      <c r="BH68" s="397">
        <f t="shared" si="168"/>
        <v>0</v>
      </c>
      <c r="BI68" s="180"/>
      <c r="BJ68" s="180"/>
      <c r="BK68" s="180"/>
      <c r="BL68" s="180"/>
      <c r="BM68" s="180"/>
      <c r="BN68" s="397">
        <f t="shared" si="169"/>
        <v>0</v>
      </c>
      <c r="BO68" s="198"/>
      <c r="BP68" s="198"/>
      <c r="BQ68" s="198"/>
      <c r="BR68" s="198"/>
      <c r="BS68" s="198"/>
      <c r="BT68" s="397">
        <f t="shared" si="170"/>
        <v>0</v>
      </c>
      <c r="BU68" s="198"/>
      <c r="BV68" s="198"/>
      <c r="BW68" s="198"/>
      <c r="BX68" s="198"/>
      <c r="BY68" s="198"/>
      <c r="BZ68" s="91" t="s">
        <v>515</v>
      </c>
      <c r="CA68" s="195" t="s">
        <v>517</v>
      </c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</row>
    <row r="69" spans="1:129" s="197" customFormat="1" ht="26.1" customHeight="1">
      <c r="A69" s="407" t="s">
        <v>557</v>
      </c>
      <c r="B69" s="707" t="s">
        <v>460</v>
      </c>
      <c r="C69" s="708"/>
      <c r="D69" s="708"/>
      <c r="E69" s="708"/>
      <c r="F69" s="708"/>
      <c r="G69" s="708"/>
      <c r="H69" s="709"/>
      <c r="I69" s="408"/>
      <c r="J69" s="408"/>
      <c r="K69" s="409">
        <f>SUM(K70:K72)</f>
        <v>556</v>
      </c>
      <c r="L69" s="409">
        <f t="shared" ref="L69:Q69" si="171">SUM(L70:L72)</f>
        <v>373</v>
      </c>
      <c r="M69" s="409">
        <f t="shared" si="171"/>
        <v>275</v>
      </c>
      <c r="N69" s="409">
        <f t="shared" si="171"/>
        <v>65</v>
      </c>
      <c r="O69" s="409">
        <f t="shared" si="171"/>
        <v>33</v>
      </c>
      <c r="P69" s="409">
        <f t="shared" si="171"/>
        <v>0</v>
      </c>
      <c r="Q69" s="409">
        <f t="shared" si="171"/>
        <v>183</v>
      </c>
      <c r="R69" s="409">
        <f>SUM(R70:R72)</f>
        <v>0</v>
      </c>
      <c r="S69" s="409">
        <f t="shared" ref="S69:BY69" si="172">SUM(S70:S72)</f>
        <v>0</v>
      </c>
      <c r="T69" s="409">
        <f t="shared" si="172"/>
        <v>0</v>
      </c>
      <c r="U69" s="409">
        <f t="shared" si="172"/>
        <v>0</v>
      </c>
      <c r="V69" s="409">
        <f t="shared" si="172"/>
        <v>0</v>
      </c>
      <c r="W69" s="409">
        <f t="shared" si="172"/>
        <v>0</v>
      </c>
      <c r="X69" s="409">
        <f t="shared" si="172"/>
        <v>0</v>
      </c>
      <c r="Y69" s="409">
        <f t="shared" si="172"/>
        <v>0</v>
      </c>
      <c r="Z69" s="409">
        <f t="shared" si="172"/>
        <v>0</v>
      </c>
      <c r="AA69" s="409">
        <f t="shared" si="172"/>
        <v>0</v>
      </c>
      <c r="AB69" s="409">
        <f t="shared" si="172"/>
        <v>0</v>
      </c>
      <c r="AC69" s="409">
        <f t="shared" si="172"/>
        <v>0</v>
      </c>
      <c r="AD69" s="409">
        <f t="shared" si="172"/>
        <v>0</v>
      </c>
      <c r="AE69" s="409">
        <f t="shared" si="172"/>
        <v>0</v>
      </c>
      <c r="AF69" s="409">
        <f t="shared" si="172"/>
        <v>0</v>
      </c>
      <c r="AG69" s="409">
        <f t="shared" si="172"/>
        <v>0</v>
      </c>
      <c r="AH69" s="409">
        <f t="shared" si="172"/>
        <v>0</v>
      </c>
      <c r="AI69" s="409">
        <f t="shared" si="172"/>
        <v>0</v>
      </c>
      <c r="AJ69" s="409">
        <f t="shared" si="172"/>
        <v>138</v>
      </c>
      <c r="AK69" s="409">
        <f t="shared" si="172"/>
        <v>95</v>
      </c>
      <c r="AL69" s="409">
        <f t="shared" si="172"/>
        <v>0</v>
      </c>
      <c r="AM69" s="409">
        <f t="shared" si="172"/>
        <v>0</v>
      </c>
      <c r="AN69" s="409">
        <f t="shared" si="172"/>
        <v>0</v>
      </c>
      <c r="AO69" s="409">
        <f t="shared" si="172"/>
        <v>43</v>
      </c>
      <c r="AP69" s="560">
        <f t="shared" si="172"/>
        <v>180</v>
      </c>
      <c r="AQ69" s="560">
        <f>SUM(AQ70:AQ72)</f>
        <v>92</v>
      </c>
      <c r="AR69" s="560">
        <f t="shared" si="172"/>
        <v>32</v>
      </c>
      <c r="AS69" s="560">
        <f t="shared" si="172"/>
        <v>0</v>
      </c>
      <c r="AT69" s="560">
        <f t="shared" si="172"/>
        <v>0</v>
      </c>
      <c r="AU69" s="560">
        <f t="shared" si="172"/>
        <v>56</v>
      </c>
      <c r="AV69" s="560">
        <f t="shared" si="172"/>
        <v>95</v>
      </c>
      <c r="AW69" s="560">
        <f t="shared" si="172"/>
        <v>22</v>
      </c>
      <c r="AX69" s="560">
        <f t="shared" si="172"/>
        <v>33</v>
      </c>
      <c r="AY69" s="560">
        <f t="shared" si="172"/>
        <v>0</v>
      </c>
      <c r="AZ69" s="560">
        <f t="shared" si="172"/>
        <v>0</v>
      </c>
      <c r="BA69" s="560">
        <f t="shared" si="172"/>
        <v>40</v>
      </c>
      <c r="BB69" s="560">
        <f t="shared" si="172"/>
        <v>33</v>
      </c>
      <c r="BC69" s="560">
        <f t="shared" si="172"/>
        <v>22</v>
      </c>
      <c r="BD69" s="560">
        <f t="shared" si="172"/>
        <v>0</v>
      </c>
      <c r="BE69" s="560">
        <f t="shared" si="172"/>
        <v>0</v>
      </c>
      <c r="BF69" s="560">
        <f t="shared" si="172"/>
        <v>0</v>
      </c>
      <c r="BG69" s="560">
        <f t="shared" si="172"/>
        <v>11</v>
      </c>
      <c r="BH69" s="560">
        <f t="shared" si="172"/>
        <v>110</v>
      </c>
      <c r="BI69" s="560">
        <f t="shared" si="172"/>
        <v>44</v>
      </c>
      <c r="BJ69" s="560">
        <f t="shared" si="172"/>
        <v>0</v>
      </c>
      <c r="BK69" s="560">
        <f t="shared" si="172"/>
        <v>33</v>
      </c>
      <c r="BL69" s="560">
        <f t="shared" si="172"/>
        <v>0</v>
      </c>
      <c r="BM69" s="560">
        <f t="shared" si="172"/>
        <v>33</v>
      </c>
      <c r="BN69" s="560">
        <f>SUM(BN70:BN72)</f>
        <v>0</v>
      </c>
      <c r="BO69" s="560">
        <f>SUM(BO70:BO72)</f>
        <v>0</v>
      </c>
      <c r="BP69" s="560">
        <f t="shared" si="172"/>
        <v>0</v>
      </c>
      <c r="BQ69" s="560">
        <f t="shared" si="172"/>
        <v>0</v>
      </c>
      <c r="BR69" s="560">
        <f t="shared" si="172"/>
        <v>0</v>
      </c>
      <c r="BS69" s="560">
        <f t="shared" si="172"/>
        <v>0</v>
      </c>
      <c r="BT69" s="560">
        <f t="shared" si="172"/>
        <v>0</v>
      </c>
      <c r="BU69" s="560">
        <f>SUM(BU70:BU72)</f>
        <v>0</v>
      </c>
      <c r="BV69" s="560">
        <f t="shared" si="172"/>
        <v>0</v>
      </c>
      <c r="BW69" s="560">
        <f t="shared" si="172"/>
        <v>0</v>
      </c>
      <c r="BX69" s="560">
        <f t="shared" si="172"/>
        <v>0</v>
      </c>
      <c r="BY69" s="560">
        <f t="shared" si="172"/>
        <v>0</v>
      </c>
      <c r="BZ69" s="410"/>
      <c r="CA69" s="40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</row>
    <row r="70" spans="1:129" s="197" customFormat="1" ht="26.1" customHeight="1">
      <c r="A70" s="558"/>
      <c r="B70" s="219" t="s">
        <v>461</v>
      </c>
      <c r="C70" s="556"/>
      <c r="D70" s="405" t="s">
        <v>42</v>
      </c>
      <c r="E70" s="99" t="s">
        <v>38</v>
      </c>
      <c r="F70" s="405"/>
      <c r="G70" s="99" t="s">
        <v>38</v>
      </c>
      <c r="H70" s="99" t="s">
        <v>621</v>
      </c>
      <c r="I70" s="196"/>
      <c r="J70" s="196"/>
      <c r="K70" s="92">
        <f>L70+SUM(Q70:Q70)</f>
        <v>297</v>
      </c>
      <c r="L70" s="101">
        <f>SUM(M70:P70)</f>
        <v>204</v>
      </c>
      <c r="M70" s="101">
        <f t="shared" ref="M70:Q72" si="173">S70+Y70+AE70+AK70+AQ70+AW70+BC70+BI70+BO70+BU70</f>
        <v>171</v>
      </c>
      <c r="N70" s="92">
        <f t="shared" si="173"/>
        <v>0</v>
      </c>
      <c r="O70" s="92">
        <f t="shared" si="173"/>
        <v>33</v>
      </c>
      <c r="P70" s="92">
        <f t="shared" si="173"/>
        <v>0</v>
      </c>
      <c r="Q70" s="398">
        <f t="shared" si="173"/>
        <v>93</v>
      </c>
      <c r="R70" s="125">
        <f>SUM(S70:W70)</f>
        <v>0</v>
      </c>
      <c r="S70" s="181"/>
      <c r="T70" s="181"/>
      <c r="U70" s="181"/>
      <c r="V70" s="181"/>
      <c r="W70" s="181"/>
      <c r="X70" s="125">
        <f>SUM(Y70:AC70)</f>
        <v>0</v>
      </c>
      <c r="Y70" s="181"/>
      <c r="Z70" s="181"/>
      <c r="AA70" s="181"/>
      <c r="AB70" s="181"/>
      <c r="AC70" s="181"/>
      <c r="AD70" s="125">
        <f>SUM(AE70:AI70)</f>
        <v>0</v>
      </c>
      <c r="AE70" s="181"/>
      <c r="AF70" s="181"/>
      <c r="AG70" s="181"/>
      <c r="AH70" s="181"/>
      <c r="AI70" s="181"/>
      <c r="AJ70" s="125">
        <f>SUM(AK70:AO70)</f>
        <v>76</v>
      </c>
      <c r="AK70" s="180">
        <v>51</v>
      </c>
      <c r="AL70" s="180"/>
      <c r="AM70" s="180"/>
      <c r="AN70" s="180"/>
      <c r="AO70" s="180">
        <v>25</v>
      </c>
      <c r="AP70" s="397">
        <f>SUM(AQ70:AU70)</f>
        <v>46</v>
      </c>
      <c r="AQ70" s="180">
        <v>32</v>
      </c>
      <c r="AR70" s="180"/>
      <c r="AS70" s="180"/>
      <c r="AT70" s="180"/>
      <c r="AU70" s="180">
        <v>14</v>
      </c>
      <c r="AV70" s="397">
        <f>SUM(AW70:BA70)</f>
        <v>32</v>
      </c>
      <c r="AW70" s="180">
        <v>22</v>
      </c>
      <c r="AX70" s="180"/>
      <c r="AY70" s="180"/>
      <c r="AZ70" s="180"/>
      <c r="BA70" s="180">
        <v>10</v>
      </c>
      <c r="BB70" s="397">
        <f>SUM(BC70:BG70)</f>
        <v>33</v>
      </c>
      <c r="BC70" s="180">
        <v>22</v>
      </c>
      <c r="BD70" s="180"/>
      <c r="BE70" s="180"/>
      <c r="BF70" s="180"/>
      <c r="BG70" s="180">
        <v>11</v>
      </c>
      <c r="BH70" s="397">
        <f>SUM(BI70:BM70)</f>
        <v>110</v>
      </c>
      <c r="BI70" s="180">
        <v>44</v>
      </c>
      <c r="BJ70" s="180"/>
      <c r="BK70" s="180">
        <v>33</v>
      </c>
      <c r="BL70" s="180"/>
      <c r="BM70" s="180">
        <v>33</v>
      </c>
      <c r="BN70" s="397">
        <f>SUM(BO70:BS70)</f>
        <v>0</v>
      </c>
      <c r="BO70" s="198"/>
      <c r="BP70" s="198"/>
      <c r="BQ70" s="198"/>
      <c r="BR70" s="198"/>
      <c r="BS70" s="198"/>
      <c r="BT70" s="397">
        <f>SUM(BU70:BY70)</f>
        <v>0</v>
      </c>
      <c r="BU70" s="198"/>
      <c r="BV70" s="198"/>
      <c r="BW70" s="198"/>
      <c r="BX70" s="198"/>
      <c r="BY70" s="198"/>
      <c r="BZ70" s="91" t="s">
        <v>509</v>
      </c>
      <c r="CA70" s="198" t="s">
        <v>455</v>
      </c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</row>
    <row r="71" spans="1:129" s="197" customFormat="1" ht="26.1" customHeight="1">
      <c r="A71" s="558"/>
      <c r="B71" s="219" t="s">
        <v>462</v>
      </c>
      <c r="C71" s="556" t="s">
        <v>578</v>
      </c>
      <c r="D71" s="304"/>
      <c r="E71" s="534" t="s">
        <v>41</v>
      </c>
      <c r="F71" s="534"/>
      <c r="G71" s="405"/>
      <c r="H71" s="405" t="s">
        <v>40</v>
      </c>
      <c r="I71" s="196"/>
      <c r="J71" s="196"/>
      <c r="K71" s="92">
        <f>L71+SUM(Q71:Q71)</f>
        <v>126</v>
      </c>
      <c r="L71" s="101">
        <f>SUM(M71:P71)</f>
        <v>88</v>
      </c>
      <c r="M71" s="101">
        <f t="shared" si="173"/>
        <v>88</v>
      </c>
      <c r="N71" s="92">
        <f t="shared" si="173"/>
        <v>0</v>
      </c>
      <c r="O71" s="92">
        <f t="shared" si="173"/>
        <v>0</v>
      </c>
      <c r="P71" s="92">
        <f t="shared" si="173"/>
        <v>0</v>
      </c>
      <c r="Q71" s="398">
        <f t="shared" si="173"/>
        <v>38</v>
      </c>
      <c r="R71" s="125">
        <f>SUM(S71:W71)</f>
        <v>0</v>
      </c>
      <c r="S71" s="181"/>
      <c r="T71" s="181"/>
      <c r="U71" s="181"/>
      <c r="V71" s="181"/>
      <c r="W71" s="181"/>
      <c r="X71" s="125">
        <f>SUM(Y71:AC71)</f>
        <v>0</v>
      </c>
      <c r="Y71" s="181"/>
      <c r="Z71" s="181"/>
      <c r="AA71" s="181"/>
      <c r="AB71" s="181"/>
      <c r="AC71" s="181"/>
      <c r="AD71" s="125">
        <f>SUM(AE71:AI71)</f>
        <v>0</v>
      </c>
      <c r="AE71" s="180"/>
      <c r="AF71" s="180"/>
      <c r="AG71" s="180"/>
      <c r="AH71" s="180"/>
      <c r="AI71" s="180"/>
      <c r="AJ71" s="125">
        <f>SUM(AK71:AO71)</f>
        <v>62</v>
      </c>
      <c r="AK71" s="180">
        <v>44</v>
      </c>
      <c r="AL71" s="180"/>
      <c r="AM71" s="180"/>
      <c r="AN71" s="180"/>
      <c r="AO71" s="180">
        <v>18</v>
      </c>
      <c r="AP71" s="397">
        <f>SUM(AQ71:AU71)</f>
        <v>64</v>
      </c>
      <c r="AQ71" s="180">
        <v>44</v>
      </c>
      <c r="AR71" s="180"/>
      <c r="AS71" s="180"/>
      <c r="AT71" s="180"/>
      <c r="AU71" s="180">
        <v>20</v>
      </c>
      <c r="AV71" s="397">
        <f>SUM(AW71:BA71)</f>
        <v>0</v>
      </c>
      <c r="AW71" s="180"/>
      <c r="AX71" s="180"/>
      <c r="AY71" s="180"/>
      <c r="AZ71" s="180"/>
      <c r="BA71" s="180"/>
      <c r="BB71" s="397">
        <f>SUM(BC71:BG71)</f>
        <v>0</v>
      </c>
      <c r="BC71" s="180"/>
      <c r="BD71" s="180"/>
      <c r="BE71" s="180"/>
      <c r="BF71" s="180"/>
      <c r="BG71" s="180"/>
      <c r="BH71" s="397">
        <f>SUM(BI71:BM71)</f>
        <v>0</v>
      </c>
      <c r="BI71" s="180"/>
      <c r="BJ71" s="180"/>
      <c r="BK71" s="180"/>
      <c r="BL71" s="180"/>
      <c r="BM71" s="180"/>
      <c r="BN71" s="397">
        <f>SUM(BO71:BS71)</f>
        <v>0</v>
      </c>
      <c r="BO71" s="198"/>
      <c r="BP71" s="198"/>
      <c r="BQ71" s="198"/>
      <c r="BR71" s="198"/>
      <c r="BS71" s="198"/>
      <c r="BT71" s="397">
        <f>SUM(BU71:BY71)</f>
        <v>0</v>
      </c>
      <c r="BU71" s="198"/>
      <c r="BV71" s="198"/>
      <c r="BW71" s="198"/>
      <c r="BX71" s="198"/>
      <c r="BY71" s="198"/>
      <c r="BZ71" s="91" t="s">
        <v>509</v>
      </c>
      <c r="CA71" s="198" t="s">
        <v>455</v>
      </c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</row>
    <row r="72" spans="1:129" s="197" customFormat="1" ht="26.1" customHeight="1">
      <c r="A72" s="558"/>
      <c r="B72" s="556" t="s">
        <v>372</v>
      </c>
      <c r="C72" s="556" t="s">
        <v>577</v>
      </c>
      <c r="D72" s="304"/>
      <c r="E72" s="99"/>
      <c r="F72" s="128" t="s">
        <v>42</v>
      </c>
      <c r="G72" s="405"/>
      <c r="H72" s="99" t="s">
        <v>41</v>
      </c>
      <c r="I72" s="196"/>
      <c r="J72" s="196"/>
      <c r="K72" s="92">
        <f>L72+SUM(Q72:Q72)</f>
        <v>133</v>
      </c>
      <c r="L72" s="101">
        <f>SUM(M72:P72)</f>
        <v>81</v>
      </c>
      <c r="M72" s="101">
        <f t="shared" si="173"/>
        <v>16</v>
      </c>
      <c r="N72" s="92">
        <f t="shared" si="173"/>
        <v>65</v>
      </c>
      <c r="O72" s="92">
        <f t="shared" si="173"/>
        <v>0</v>
      </c>
      <c r="P72" s="92">
        <f t="shared" si="173"/>
        <v>0</v>
      </c>
      <c r="Q72" s="398">
        <f t="shared" si="173"/>
        <v>52</v>
      </c>
      <c r="R72" s="125">
        <f>SUM(S72:W72)</f>
        <v>0</v>
      </c>
      <c r="S72" s="181"/>
      <c r="T72" s="181"/>
      <c r="U72" s="181"/>
      <c r="V72" s="181"/>
      <c r="W72" s="181"/>
      <c r="X72" s="125">
        <f>SUM(Y72:AC72)</f>
        <v>0</v>
      </c>
      <c r="Y72" s="181"/>
      <c r="Z72" s="181"/>
      <c r="AA72" s="181"/>
      <c r="AB72" s="181"/>
      <c r="AC72" s="181"/>
      <c r="AD72" s="125">
        <f>SUM(AE72:AI72)</f>
        <v>0</v>
      </c>
      <c r="AE72" s="181"/>
      <c r="AF72" s="181"/>
      <c r="AG72" s="181"/>
      <c r="AH72" s="181"/>
      <c r="AI72" s="181"/>
      <c r="AJ72" s="125">
        <f>SUM(AK72:AO72)</f>
        <v>0</v>
      </c>
      <c r="AK72" s="180"/>
      <c r="AL72" s="180"/>
      <c r="AM72" s="180"/>
      <c r="AN72" s="180"/>
      <c r="AO72" s="180"/>
      <c r="AP72" s="397">
        <f>SUM(AQ72:AU72)</f>
        <v>70</v>
      </c>
      <c r="AQ72" s="180">
        <v>16</v>
      </c>
      <c r="AR72" s="180">
        <v>32</v>
      </c>
      <c r="AS72" s="180"/>
      <c r="AT72" s="180"/>
      <c r="AU72" s="180">
        <v>22</v>
      </c>
      <c r="AV72" s="397">
        <f>SUM(AW72:BA72)</f>
        <v>63</v>
      </c>
      <c r="AW72" s="180"/>
      <c r="AX72" s="180">
        <v>33</v>
      </c>
      <c r="AY72" s="180"/>
      <c r="AZ72" s="180"/>
      <c r="BA72" s="180">
        <v>30</v>
      </c>
      <c r="BB72" s="397">
        <f>SUM(BC72:BG72)</f>
        <v>0</v>
      </c>
      <c r="BC72" s="180"/>
      <c r="BD72" s="180"/>
      <c r="BE72" s="180"/>
      <c r="BF72" s="180"/>
      <c r="BG72" s="180"/>
      <c r="BH72" s="397">
        <f>SUM(BI72:BM72)</f>
        <v>0</v>
      </c>
      <c r="BI72" s="180"/>
      <c r="BJ72" s="180"/>
      <c r="BK72" s="180"/>
      <c r="BL72" s="180"/>
      <c r="BM72" s="180"/>
      <c r="BN72" s="397">
        <f>SUM(BO72:BS72)</f>
        <v>0</v>
      </c>
      <c r="BO72" s="198"/>
      <c r="BP72" s="198"/>
      <c r="BQ72" s="198"/>
      <c r="BR72" s="198"/>
      <c r="BS72" s="198"/>
      <c r="BT72" s="397">
        <f>SUM(BU72:BY72)</f>
        <v>0</v>
      </c>
      <c r="BU72" s="198"/>
      <c r="BV72" s="198"/>
      <c r="BW72" s="198"/>
      <c r="BX72" s="198"/>
      <c r="BY72" s="198"/>
      <c r="BZ72" s="91" t="s">
        <v>509</v>
      </c>
      <c r="CA72" s="198" t="s">
        <v>455</v>
      </c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</row>
    <row r="73" spans="1:129" s="98" customFormat="1" ht="26.1" customHeight="1">
      <c r="A73" s="412" t="s">
        <v>385</v>
      </c>
      <c r="B73" s="412"/>
      <c r="C73" s="412"/>
      <c r="D73" s="413" t="s">
        <v>417</v>
      </c>
      <c r="E73" s="414"/>
      <c r="F73" s="414"/>
      <c r="G73" s="412"/>
      <c r="H73" s="415"/>
      <c r="I73" s="416"/>
      <c r="J73" s="416"/>
      <c r="K73" s="417"/>
      <c r="L73" s="418"/>
      <c r="M73" s="418"/>
      <c r="N73" s="417"/>
      <c r="O73" s="417"/>
      <c r="P73" s="417"/>
      <c r="Q73" s="419"/>
      <c r="R73" s="417"/>
      <c r="S73" s="418"/>
      <c r="T73" s="418"/>
      <c r="U73" s="417"/>
      <c r="V73" s="417"/>
      <c r="W73" s="418"/>
      <c r="X73" s="416"/>
      <c r="Y73" s="416"/>
      <c r="Z73" s="416"/>
      <c r="AA73" s="416"/>
      <c r="AB73" s="416"/>
      <c r="AC73" s="416"/>
      <c r="AD73" s="416"/>
      <c r="AE73" s="416"/>
      <c r="AF73" s="416"/>
      <c r="AG73" s="416"/>
      <c r="AH73" s="416"/>
      <c r="AI73" s="416"/>
      <c r="AJ73" s="416"/>
      <c r="AK73" s="416"/>
      <c r="AL73" s="416"/>
      <c r="AM73" s="416"/>
      <c r="AN73" s="416"/>
      <c r="AO73" s="416"/>
      <c r="AP73" s="416"/>
      <c r="AQ73" s="416"/>
      <c r="AR73" s="416"/>
      <c r="AS73" s="416"/>
      <c r="AT73" s="416"/>
      <c r="AU73" s="416"/>
      <c r="AV73" s="416"/>
      <c r="AW73" s="416"/>
      <c r="AX73" s="416"/>
      <c r="AY73" s="416"/>
      <c r="AZ73" s="416"/>
      <c r="BA73" s="416"/>
      <c r="BB73" s="416"/>
      <c r="BC73" s="416"/>
      <c r="BD73" s="416"/>
      <c r="BE73" s="416"/>
      <c r="BF73" s="416"/>
      <c r="BG73" s="416"/>
      <c r="BH73" s="416"/>
      <c r="BI73" s="416"/>
      <c r="BJ73" s="416"/>
      <c r="BK73" s="416"/>
      <c r="BL73" s="416"/>
      <c r="BM73" s="416"/>
      <c r="BN73" s="416"/>
      <c r="BO73" s="416"/>
      <c r="BP73" s="416"/>
      <c r="BQ73" s="416"/>
      <c r="BR73" s="416"/>
      <c r="BS73" s="416"/>
      <c r="BT73" s="416"/>
      <c r="BU73" s="416"/>
      <c r="BV73" s="416"/>
      <c r="BW73" s="416"/>
      <c r="BX73" s="416"/>
      <c r="BY73" s="416"/>
      <c r="BZ73" s="420"/>
      <c r="CA73" s="421"/>
    </row>
    <row r="74" spans="1:129" s="97" customFormat="1" ht="26.1" customHeight="1">
      <c r="A74" s="422" t="s">
        <v>206</v>
      </c>
      <c r="B74" s="710" t="s">
        <v>207</v>
      </c>
      <c r="C74" s="711"/>
      <c r="D74" s="711"/>
      <c r="E74" s="711"/>
      <c r="F74" s="711"/>
      <c r="G74" s="711"/>
      <c r="H74" s="712"/>
      <c r="I74" s="424"/>
      <c r="J74" s="424"/>
      <c r="K74" s="425">
        <f>K75</f>
        <v>420</v>
      </c>
      <c r="L74" s="425">
        <f>L75</f>
        <v>300</v>
      </c>
      <c r="M74" s="425">
        <f t="shared" ref="M74:Q74" si="174">M75</f>
        <v>90</v>
      </c>
      <c r="N74" s="425">
        <f t="shared" si="174"/>
        <v>210</v>
      </c>
      <c r="O74" s="425">
        <f t="shared" si="174"/>
        <v>0</v>
      </c>
      <c r="P74" s="425">
        <f t="shared" si="174"/>
        <v>0</v>
      </c>
      <c r="Q74" s="425">
        <f t="shared" si="174"/>
        <v>120</v>
      </c>
      <c r="R74" s="425">
        <f t="shared" ref="R74" si="175">SUM(R75)</f>
        <v>0</v>
      </c>
      <c r="S74" s="425">
        <f t="shared" ref="S74" si="176">SUM(S75)</f>
        <v>0</v>
      </c>
      <c r="T74" s="425">
        <f t="shared" ref="T74" si="177">SUM(T75)</f>
        <v>0</v>
      </c>
      <c r="U74" s="425">
        <f t="shared" ref="U74" si="178">SUM(U75)</f>
        <v>0</v>
      </c>
      <c r="V74" s="425">
        <f t="shared" ref="V74" si="179">SUM(V75)</f>
        <v>0</v>
      </c>
      <c r="W74" s="425">
        <f t="shared" ref="W74" si="180">SUM(W75)</f>
        <v>0</v>
      </c>
      <c r="X74" s="425">
        <f t="shared" ref="X74" si="181">SUM(X75)</f>
        <v>0</v>
      </c>
      <c r="Y74" s="425">
        <f t="shared" ref="Y74" si="182">SUM(Y75)</f>
        <v>0</v>
      </c>
      <c r="Z74" s="425">
        <f t="shared" ref="Z74" si="183">SUM(Z75)</f>
        <v>0</v>
      </c>
      <c r="AA74" s="425">
        <f t="shared" ref="AA74" si="184">SUM(AA75)</f>
        <v>0</v>
      </c>
      <c r="AB74" s="425">
        <f t="shared" ref="AB74" si="185">SUM(AB75)</f>
        <v>0</v>
      </c>
      <c r="AC74" s="425">
        <f t="shared" ref="AC74" si="186">SUM(AC75)</f>
        <v>0</v>
      </c>
      <c r="AD74" s="425">
        <f t="shared" ref="AD74" si="187">SUM(AD75)</f>
        <v>70</v>
      </c>
      <c r="AE74" s="425">
        <f t="shared" ref="AE74" si="188">SUM(AE75)</f>
        <v>0</v>
      </c>
      <c r="AF74" s="425">
        <f t="shared" ref="AF74" si="189">SUM(AF75)</f>
        <v>58</v>
      </c>
      <c r="AG74" s="425">
        <f t="shared" ref="AG74" si="190">SUM(AG75)</f>
        <v>0</v>
      </c>
      <c r="AH74" s="425">
        <f t="shared" ref="AH74" si="191">SUM(AH75)</f>
        <v>0</v>
      </c>
      <c r="AI74" s="425">
        <f t="shared" ref="AI74" si="192">SUM(AI75)</f>
        <v>12</v>
      </c>
      <c r="AJ74" s="425">
        <f t="shared" ref="AJ74" si="193">SUM(AJ75)</f>
        <v>36</v>
      </c>
      <c r="AK74" s="425">
        <f t="shared" ref="AK74" si="194">SUM(AK75)</f>
        <v>0</v>
      </c>
      <c r="AL74" s="425">
        <f t="shared" ref="AL74" si="195">SUM(AL75)</f>
        <v>24</v>
      </c>
      <c r="AM74" s="425">
        <f t="shared" ref="AM74" si="196">SUM(AM75)</f>
        <v>0</v>
      </c>
      <c r="AN74" s="425">
        <f t="shared" ref="AN74" si="197">SUM(AN75)</f>
        <v>0</v>
      </c>
      <c r="AO74" s="425">
        <f t="shared" ref="AO74" si="198">SUM(AO75)</f>
        <v>12</v>
      </c>
      <c r="AP74" s="425">
        <f t="shared" ref="AP74" si="199">SUM(AP75)</f>
        <v>50</v>
      </c>
      <c r="AQ74" s="425">
        <f>SUM(AQ75)</f>
        <v>36</v>
      </c>
      <c r="AR74" s="425">
        <f t="shared" ref="AR74" si="200">SUM(AR75)</f>
        <v>0</v>
      </c>
      <c r="AS74" s="425">
        <f t="shared" ref="AS74" si="201">SUM(AS75)</f>
        <v>0</v>
      </c>
      <c r="AT74" s="425">
        <f t="shared" ref="AT74" si="202">SUM(AT75)</f>
        <v>0</v>
      </c>
      <c r="AU74" s="425">
        <f t="shared" ref="AU74" si="203">SUM(AU75)</f>
        <v>14</v>
      </c>
      <c r="AV74" s="425">
        <f t="shared" ref="AV74" si="204">SUM(AV75)</f>
        <v>0</v>
      </c>
      <c r="AW74" s="425">
        <f t="shared" ref="AW74" si="205">SUM(AW75)</f>
        <v>0</v>
      </c>
      <c r="AX74" s="425">
        <f t="shared" ref="AX74" si="206">SUM(AX75)</f>
        <v>0</v>
      </c>
      <c r="AY74" s="425">
        <f t="shared" ref="AY74" si="207">SUM(AY75)</f>
        <v>0</v>
      </c>
      <c r="AZ74" s="425">
        <f t="shared" ref="AZ74" si="208">SUM(AZ75)</f>
        <v>0</v>
      </c>
      <c r="BA74" s="425">
        <f t="shared" ref="BA74" si="209">SUM(BA75)</f>
        <v>0</v>
      </c>
      <c r="BB74" s="425">
        <f t="shared" ref="BB74" si="210">SUM(BB75)</f>
        <v>0</v>
      </c>
      <c r="BC74" s="425">
        <f t="shared" ref="BC74" si="211">SUM(BC75)</f>
        <v>0</v>
      </c>
      <c r="BD74" s="425">
        <f t="shared" ref="BD74" si="212">SUM(BD75)</f>
        <v>0</v>
      </c>
      <c r="BE74" s="425">
        <f t="shared" ref="BE74" si="213">SUM(BE75)</f>
        <v>0</v>
      </c>
      <c r="BF74" s="425">
        <f t="shared" ref="BF74" si="214">SUM(BF75)</f>
        <v>0</v>
      </c>
      <c r="BG74" s="425">
        <f t="shared" ref="BG74" si="215">SUM(BG75)</f>
        <v>0</v>
      </c>
      <c r="BH74" s="425">
        <f>SUM(BH75)</f>
        <v>0</v>
      </c>
      <c r="BI74" s="425">
        <f>SUM(BI75)</f>
        <v>0</v>
      </c>
      <c r="BJ74" s="425">
        <f t="shared" ref="BJ74" si="216">SUM(BJ75)</f>
        <v>0</v>
      </c>
      <c r="BK74" s="425">
        <f t="shared" ref="BK74" si="217">SUM(BK75)</f>
        <v>0</v>
      </c>
      <c r="BL74" s="425">
        <f t="shared" ref="BL74" si="218">SUM(BL75)</f>
        <v>0</v>
      </c>
      <c r="BM74" s="425">
        <f t="shared" ref="BM74" si="219">SUM(BM75)</f>
        <v>0</v>
      </c>
      <c r="BN74" s="425">
        <f t="shared" ref="BN74" si="220">BN75</f>
        <v>0</v>
      </c>
      <c r="BO74" s="425">
        <f>BO75</f>
        <v>0</v>
      </c>
      <c r="BP74" s="425">
        <f t="shared" ref="BP74:BS74" si="221">BP75</f>
        <v>0</v>
      </c>
      <c r="BQ74" s="425">
        <f t="shared" si="221"/>
        <v>0</v>
      </c>
      <c r="BR74" s="425">
        <f t="shared" si="221"/>
        <v>0</v>
      </c>
      <c r="BS74" s="425">
        <f t="shared" si="221"/>
        <v>0</v>
      </c>
      <c r="BT74" s="425">
        <f t="shared" ref="BT74" si="222">BT75</f>
        <v>264</v>
      </c>
      <c r="BU74" s="425">
        <f>BU75</f>
        <v>54</v>
      </c>
      <c r="BV74" s="425">
        <f t="shared" ref="BV74" si="223">BV75</f>
        <v>128</v>
      </c>
      <c r="BW74" s="425">
        <f t="shared" ref="BW74" si="224">BW75</f>
        <v>0</v>
      </c>
      <c r="BX74" s="425">
        <f t="shared" ref="BX74" si="225">BX75</f>
        <v>0</v>
      </c>
      <c r="BY74" s="425">
        <f t="shared" ref="BY74" si="226">BY75</f>
        <v>82</v>
      </c>
      <c r="BZ74" s="423"/>
      <c r="CA74" s="424" t="s">
        <v>381</v>
      </c>
    </row>
    <row r="75" spans="1:129" s="98" customFormat="1" ht="26.1" customHeight="1">
      <c r="A75" s="393" t="s">
        <v>208</v>
      </c>
      <c r="B75" s="704" t="s">
        <v>368</v>
      </c>
      <c r="C75" s="705"/>
      <c r="D75" s="705"/>
      <c r="E75" s="705"/>
      <c r="F75" s="705"/>
      <c r="G75" s="705"/>
      <c r="H75" s="706"/>
      <c r="I75" s="395"/>
      <c r="J75" s="395"/>
      <c r="K75" s="396">
        <f>L75+SUM(Q75:Q75)</f>
        <v>420</v>
      </c>
      <c r="L75" s="396">
        <f>SUM(M75:P75)</f>
        <v>300</v>
      </c>
      <c r="M75" s="396">
        <f t="shared" ref="M75:Q78" si="227">S75+Y75+AE75+AK75+AQ75+AW75+BC75+BI75+BO75+BU75</f>
        <v>90</v>
      </c>
      <c r="N75" s="396">
        <f t="shared" si="227"/>
        <v>210</v>
      </c>
      <c r="O75" s="396">
        <f t="shared" si="227"/>
        <v>0</v>
      </c>
      <c r="P75" s="396">
        <f t="shared" si="227"/>
        <v>0</v>
      </c>
      <c r="Q75" s="396">
        <f t="shared" si="227"/>
        <v>120</v>
      </c>
      <c r="R75" s="396">
        <f t="shared" ref="R75:AW75" si="228">SUM(R76:R78)</f>
        <v>0</v>
      </c>
      <c r="S75" s="396">
        <f t="shared" si="228"/>
        <v>0</v>
      </c>
      <c r="T75" s="396">
        <f t="shared" si="228"/>
        <v>0</v>
      </c>
      <c r="U75" s="396">
        <f t="shared" si="228"/>
        <v>0</v>
      </c>
      <c r="V75" s="396">
        <f t="shared" si="228"/>
        <v>0</v>
      </c>
      <c r="W75" s="396">
        <f t="shared" si="228"/>
        <v>0</v>
      </c>
      <c r="X75" s="396">
        <f t="shared" si="228"/>
        <v>0</v>
      </c>
      <c r="Y75" s="396">
        <f t="shared" si="228"/>
        <v>0</v>
      </c>
      <c r="Z75" s="396">
        <f t="shared" si="228"/>
        <v>0</v>
      </c>
      <c r="AA75" s="396">
        <f t="shared" si="228"/>
        <v>0</v>
      </c>
      <c r="AB75" s="396">
        <f t="shared" si="228"/>
        <v>0</v>
      </c>
      <c r="AC75" s="396">
        <f t="shared" si="228"/>
        <v>0</v>
      </c>
      <c r="AD75" s="396">
        <f t="shared" si="228"/>
        <v>70</v>
      </c>
      <c r="AE75" s="396">
        <f t="shared" si="228"/>
        <v>0</v>
      </c>
      <c r="AF75" s="396">
        <f t="shared" si="228"/>
        <v>58</v>
      </c>
      <c r="AG75" s="396">
        <f t="shared" si="228"/>
        <v>0</v>
      </c>
      <c r="AH75" s="396">
        <f t="shared" si="228"/>
        <v>0</v>
      </c>
      <c r="AI75" s="396">
        <f t="shared" si="228"/>
        <v>12</v>
      </c>
      <c r="AJ75" s="396">
        <f t="shared" si="228"/>
        <v>36</v>
      </c>
      <c r="AK75" s="396">
        <f t="shared" si="228"/>
        <v>0</v>
      </c>
      <c r="AL75" s="396">
        <f t="shared" si="228"/>
        <v>24</v>
      </c>
      <c r="AM75" s="396">
        <f t="shared" si="228"/>
        <v>0</v>
      </c>
      <c r="AN75" s="396">
        <f t="shared" si="228"/>
        <v>0</v>
      </c>
      <c r="AO75" s="396">
        <f t="shared" si="228"/>
        <v>12</v>
      </c>
      <c r="AP75" s="396">
        <f t="shared" si="228"/>
        <v>50</v>
      </c>
      <c r="AQ75" s="396">
        <f t="shared" si="228"/>
        <v>36</v>
      </c>
      <c r="AR75" s="396">
        <f t="shared" si="228"/>
        <v>0</v>
      </c>
      <c r="AS75" s="396">
        <f t="shared" si="228"/>
        <v>0</v>
      </c>
      <c r="AT75" s="396">
        <f t="shared" si="228"/>
        <v>0</v>
      </c>
      <c r="AU75" s="396">
        <f t="shared" si="228"/>
        <v>14</v>
      </c>
      <c r="AV75" s="396">
        <f t="shared" si="228"/>
        <v>0</v>
      </c>
      <c r="AW75" s="396">
        <f t="shared" si="228"/>
        <v>0</v>
      </c>
      <c r="AX75" s="396">
        <f t="shared" ref="AX75:BY75" si="229">SUM(AX76:AX78)</f>
        <v>0</v>
      </c>
      <c r="AY75" s="396">
        <f t="shared" si="229"/>
        <v>0</v>
      </c>
      <c r="AZ75" s="396">
        <f t="shared" si="229"/>
        <v>0</v>
      </c>
      <c r="BA75" s="396">
        <f t="shared" si="229"/>
        <v>0</v>
      </c>
      <c r="BB75" s="396">
        <f t="shared" si="229"/>
        <v>0</v>
      </c>
      <c r="BC75" s="396">
        <f t="shared" si="229"/>
        <v>0</v>
      </c>
      <c r="BD75" s="396">
        <f t="shared" si="229"/>
        <v>0</v>
      </c>
      <c r="BE75" s="396">
        <f t="shared" si="229"/>
        <v>0</v>
      </c>
      <c r="BF75" s="396">
        <f t="shared" si="229"/>
        <v>0</v>
      </c>
      <c r="BG75" s="396">
        <f t="shared" si="229"/>
        <v>0</v>
      </c>
      <c r="BH75" s="396">
        <f t="shared" si="229"/>
        <v>0</v>
      </c>
      <c r="BI75" s="396">
        <f t="shared" si="229"/>
        <v>0</v>
      </c>
      <c r="BJ75" s="396">
        <f t="shared" si="229"/>
        <v>0</v>
      </c>
      <c r="BK75" s="396">
        <f t="shared" si="229"/>
        <v>0</v>
      </c>
      <c r="BL75" s="396">
        <f t="shared" si="229"/>
        <v>0</v>
      </c>
      <c r="BM75" s="396">
        <f t="shared" si="229"/>
        <v>0</v>
      </c>
      <c r="BN75" s="396">
        <f t="shared" si="229"/>
        <v>0</v>
      </c>
      <c r="BO75" s="396">
        <f t="shared" si="229"/>
        <v>0</v>
      </c>
      <c r="BP75" s="396">
        <f t="shared" si="229"/>
        <v>0</v>
      </c>
      <c r="BQ75" s="396">
        <f t="shared" si="229"/>
        <v>0</v>
      </c>
      <c r="BR75" s="396">
        <f t="shared" si="229"/>
        <v>0</v>
      </c>
      <c r="BS75" s="396">
        <f t="shared" si="229"/>
        <v>0</v>
      </c>
      <c r="BT75" s="396">
        <f t="shared" si="229"/>
        <v>264</v>
      </c>
      <c r="BU75" s="396">
        <f t="shared" si="229"/>
        <v>54</v>
      </c>
      <c r="BV75" s="396">
        <f t="shared" si="229"/>
        <v>128</v>
      </c>
      <c r="BW75" s="396">
        <f t="shared" si="229"/>
        <v>0</v>
      </c>
      <c r="BX75" s="396">
        <f t="shared" si="229"/>
        <v>0</v>
      </c>
      <c r="BY75" s="396">
        <f t="shared" si="229"/>
        <v>82</v>
      </c>
      <c r="BZ75" s="396"/>
      <c r="CA75" s="396"/>
    </row>
    <row r="76" spans="1:129" s="98" customFormat="1" ht="26.1" customHeight="1">
      <c r="A76" s="533"/>
      <c r="B76" s="562" t="s">
        <v>463</v>
      </c>
      <c r="C76" s="219" t="s">
        <v>579</v>
      </c>
      <c r="D76" s="304"/>
      <c r="E76" s="405"/>
      <c r="F76" s="99" t="s">
        <v>617</v>
      </c>
      <c r="G76" s="405"/>
      <c r="H76" s="99" t="s">
        <v>30</v>
      </c>
      <c r="I76" s="102"/>
      <c r="J76" s="102"/>
      <c r="K76" s="92">
        <f>L76+SUM(Q76:Q76)</f>
        <v>291</v>
      </c>
      <c r="L76" s="92">
        <f>SUM(M76:P76)</f>
        <v>210</v>
      </c>
      <c r="M76" s="101">
        <f t="shared" si="227"/>
        <v>0</v>
      </c>
      <c r="N76" s="92">
        <f t="shared" si="227"/>
        <v>210</v>
      </c>
      <c r="O76" s="92">
        <f t="shared" si="227"/>
        <v>0</v>
      </c>
      <c r="P76" s="92">
        <f t="shared" si="227"/>
        <v>0</v>
      </c>
      <c r="Q76" s="92">
        <f t="shared" si="227"/>
        <v>81</v>
      </c>
      <c r="R76" s="125">
        <f>SUM(S76:W76)</f>
        <v>0</v>
      </c>
      <c r="S76" s="102"/>
      <c r="T76" s="102"/>
      <c r="U76" s="102"/>
      <c r="V76" s="102"/>
      <c r="W76" s="102"/>
      <c r="X76" s="126"/>
      <c r="Y76" s="102"/>
      <c r="Z76" s="102"/>
      <c r="AA76" s="102"/>
      <c r="AB76" s="102"/>
      <c r="AC76" s="102"/>
      <c r="AD76" s="131">
        <f>SUM(AE76:AI76)</f>
        <v>70</v>
      </c>
      <c r="AE76" s="102"/>
      <c r="AF76" s="102">
        <v>58</v>
      </c>
      <c r="AG76" s="102"/>
      <c r="AH76" s="102"/>
      <c r="AI76" s="102">
        <v>12</v>
      </c>
      <c r="AJ76" s="125">
        <f>SUM(AK76:AO76)</f>
        <v>36</v>
      </c>
      <c r="AK76" s="102"/>
      <c r="AL76" s="102">
        <v>24</v>
      </c>
      <c r="AM76" s="102"/>
      <c r="AN76" s="102"/>
      <c r="AO76" s="102">
        <v>12</v>
      </c>
      <c r="AP76" s="397">
        <f>SUM(AQ76:AU76)</f>
        <v>0</v>
      </c>
      <c r="AQ76" s="195"/>
      <c r="AR76" s="195"/>
      <c r="AS76" s="195"/>
      <c r="AT76" s="195"/>
      <c r="AU76" s="195"/>
      <c r="AV76" s="397">
        <f>SUM(AW76:BA76)</f>
        <v>0</v>
      </c>
      <c r="AW76" s="195"/>
      <c r="AX76" s="195"/>
      <c r="AY76" s="195"/>
      <c r="AZ76" s="195"/>
      <c r="BA76" s="195"/>
      <c r="BB76" s="397">
        <f>SUM(BC76:BG76)</f>
        <v>0</v>
      </c>
      <c r="BC76" s="195"/>
      <c r="BD76" s="195"/>
      <c r="BE76" s="195"/>
      <c r="BF76" s="195"/>
      <c r="BG76" s="195"/>
      <c r="BH76" s="397">
        <f>SUM(BI76:BM76)</f>
        <v>0</v>
      </c>
      <c r="BI76" s="195"/>
      <c r="BJ76" s="195"/>
      <c r="BK76" s="195"/>
      <c r="BL76" s="195"/>
      <c r="BM76" s="195"/>
      <c r="BN76" s="397">
        <f>SUM(BO76:BS76)</f>
        <v>0</v>
      </c>
      <c r="BO76" s="195"/>
      <c r="BP76" s="195"/>
      <c r="BQ76" s="195"/>
      <c r="BR76" s="195"/>
      <c r="BS76" s="195"/>
      <c r="BT76" s="397">
        <f t="shared" ref="BT76:BT78" si="230">SUM(BU76:BY76)</f>
        <v>185</v>
      </c>
      <c r="BU76" s="195"/>
      <c r="BV76" s="195">
        <v>128</v>
      </c>
      <c r="BW76" s="195"/>
      <c r="BX76" s="195"/>
      <c r="BY76" s="195">
        <v>57</v>
      </c>
      <c r="BZ76" s="91" t="s">
        <v>41</v>
      </c>
      <c r="CA76" s="593" t="s">
        <v>643</v>
      </c>
    </row>
    <row r="77" spans="1:129" s="98" customFormat="1" ht="26.1" customHeight="1">
      <c r="A77" s="533"/>
      <c r="B77" s="563" t="s">
        <v>464</v>
      </c>
      <c r="C77" s="219"/>
      <c r="D77" s="304"/>
      <c r="E77" s="99" t="s">
        <v>417</v>
      </c>
      <c r="F77" s="405"/>
      <c r="G77" s="405"/>
      <c r="H77" s="405"/>
      <c r="I77" s="102"/>
      <c r="J77" s="102"/>
      <c r="K77" s="92">
        <f>L77+SUM(Q77:Q77)</f>
        <v>79</v>
      </c>
      <c r="L77" s="92">
        <f>SUM(M77:P77)</f>
        <v>54</v>
      </c>
      <c r="M77" s="101">
        <f t="shared" si="227"/>
        <v>54</v>
      </c>
      <c r="N77" s="92">
        <f t="shared" si="227"/>
        <v>0</v>
      </c>
      <c r="O77" s="92">
        <f t="shared" si="227"/>
        <v>0</v>
      </c>
      <c r="P77" s="92">
        <f t="shared" si="227"/>
        <v>0</v>
      </c>
      <c r="Q77" s="92">
        <f t="shared" si="227"/>
        <v>25</v>
      </c>
      <c r="R77" s="125">
        <f>SUM(S77:W77)</f>
        <v>0</v>
      </c>
      <c r="S77" s="102"/>
      <c r="T77" s="102"/>
      <c r="U77" s="102"/>
      <c r="V77" s="102"/>
      <c r="W77" s="102"/>
      <c r="X77" s="126"/>
      <c r="Y77" s="102"/>
      <c r="Z77" s="102"/>
      <c r="AA77" s="102"/>
      <c r="AB77" s="102"/>
      <c r="AC77" s="102"/>
      <c r="AD77" s="131"/>
      <c r="AE77" s="102"/>
      <c r="AF77" s="102"/>
      <c r="AG77" s="102"/>
      <c r="AH77" s="102"/>
      <c r="AI77" s="102"/>
      <c r="AJ77" s="125"/>
      <c r="AK77" s="102"/>
      <c r="AL77" s="102"/>
      <c r="AM77" s="102"/>
      <c r="AN77" s="102"/>
      <c r="AO77" s="102"/>
      <c r="AP77" s="397"/>
      <c r="AQ77" s="195"/>
      <c r="AR77" s="195"/>
      <c r="AS77" s="195"/>
      <c r="AT77" s="195"/>
      <c r="AU77" s="195"/>
      <c r="AV77" s="397"/>
      <c r="AW77" s="195"/>
      <c r="AX77" s="195"/>
      <c r="AY77" s="195"/>
      <c r="AZ77" s="195"/>
      <c r="BA77" s="195"/>
      <c r="BB77" s="397">
        <f>SUM(BC77:BG77)</f>
        <v>0</v>
      </c>
      <c r="BC77" s="198"/>
      <c r="BD77" s="198"/>
      <c r="BE77" s="198"/>
      <c r="BF77" s="198"/>
      <c r="BG77" s="198"/>
      <c r="BH77" s="397">
        <f>SUM(BI77:BM77)</f>
        <v>0</v>
      </c>
      <c r="BI77" s="195"/>
      <c r="BJ77" s="195"/>
      <c r="BK77" s="195"/>
      <c r="BL77" s="195"/>
      <c r="BM77" s="195"/>
      <c r="BN77" s="397">
        <f>SUM(BO77:BS77)</f>
        <v>0</v>
      </c>
      <c r="BO77" s="195"/>
      <c r="BP77" s="195"/>
      <c r="BQ77" s="195"/>
      <c r="BR77" s="195"/>
      <c r="BS77" s="195"/>
      <c r="BT77" s="397">
        <f t="shared" si="230"/>
        <v>79</v>
      </c>
      <c r="BU77" s="195">
        <v>54</v>
      </c>
      <c r="BV77" s="195"/>
      <c r="BW77" s="195"/>
      <c r="BX77" s="195"/>
      <c r="BY77" s="195">
        <v>25</v>
      </c>
      <c r="BZ77" s="91" t="s">
        <v>509</v>
      </c>
      <c r="CA77" s="195" t="s">
        <v>456</v>
      </c>
    </row>
    <row r="78" spans="1:129" s="98" customFormat="1" ht="26.1" customHeight="1">
      <c r="A78" s="533"/>
      <c r="B78" s="219" t="s">
        <v>325</v>
      </c>
      <c r="C78" s="219"/>
      <c r="D78" s="405" t="s">
        <v>41</v>
      </c>
      <c r="E78" s="405"/>
      <c r="F78" s="405"/>
      <c r="G78" s="405"/>
      <c r="H78" s="405"/>
      <c r="I78" s="102"/>
      <c r="J78" s="129"/>
      <c r="K78" s="92">
        <f>L78+SUM(Q78:Q78)</f>
        <v>50</v>
      </c>
      <c r="L78" s="92">
        <f>SUM(M78:P78)</f>
        <v>36</v>
      </c>
      <c r="M78" s="92">
        <f t="shared" si="227"/>
        <v>36</v>
      </c>
      <c r="N78" s="92">
        <f t="shared" si="227"/>
        <v>0</v>
      </c>
      <c r="O78" s="92">
        <f t="shared" si="227"/>
        <v>0</v>
      </c>
      <c r="P78" s="92">
        <f t="shared" si="227"/>
        <v>0</v>
      </c>
      <c r="Q78" s="92">
        <f t="shared" si="227"/>
        <v>14</v>
      </c>
      <c r="R78" s="125">
        <f>SUM(S78:W78)</f>
        <v>0</v>
      </c>
      <c r="S78" s="102"/>
      <c r="T78" s="102"/>
      <c r="U78" s="102"/>
      <c r="V78" s="102"/>
      <c r="W78" s="102"/>
      <c r="X78" s="126"/>
      <c r="Y78" s="102"/>
      <c r="Z78" s="102"/>
      <c r="AA78" s="102"/>
      <c r="AB78" s="102"/>
      <c r="AC78" s="102"/>
      <c r="AD78" s="131">
        <f>SUM(AE78:AI78)</f>
        <v>0</v>
      </c>
      <c r="AE78" s="102"/>
      <c r="AF78" s="102"/>
      <c r="AG78" s="102"/>
      <c r="AH78" s="102"/>
      <c r="AI78" s="102"/>
      <c r="AJ78" s="125">
        <f>SUM(AK78:AO78)</f>
        <v>0</v>
      </c>
      <c r="AK78" s="102"/>
      <c r="AL78" s="102"/>
      <c r="AM78" s="102"/>
      <c r="AN78" s="102"/>
      <c r="AO78" s="102"/>
      <c r="AP78" s="397">
        <f>SUM(AQ78:AU78)</f>
        <v>50</v>
      </c>
      <c r="AQ78" s="195">
        <v>36</v>
      </c>
      <c r="AR78" s="195"/>
      <c r="AS78" s="195"/>
      <c r="AT78" s="195"/>
      <c r="AU78" s="195">
        <v>14</v>
      </c>
      <c r="AV78" s="397">
        <f>SUM(AW78:BA78)</f>
        <v>0</v>
      </c>
      <c r="AW78" s="195"/>
      <c r="AX78" s="195"/>
      <c r="AY78" s="195"/>
      <c r="AZ78" s="195"/>
      <c r="BA78" s="195"/>
      <c r="BB78" s="397">
        <f>SUM(BC78:BG78)</f>
        <v>0</v>
      </c>
      <c r="BC78" s="195"/>
      <c r="BD78" s="195"/>
      <c r="BE78" s="195"/>
      <c r="BF78" s="195"/>
      <c r="BG78" s="195"/>
      <c r="BH78" s="397">
        <f>SUM(BI78:BM78)</f>
        <v>0</v>
      </c>
      <c r="BI78" s="195"/>
      <c r="BJ78" s="195"/>
      <c r="BK78" s="195"/>
      <c r="BL78" s="195"/>
      <c r="BM78" s="195"/>
      <c r="BN78" s="397">
        <f>SUM(BO78:BS78)</f>
        <v>0</v>
      </c>
      <c r="BO78" s="195"/>
      <c r="BP78" s="195"/>
      <c r="BQ78" s="195"/>
      <c r="BR78" s="195"/>
      <c r="BS78" s="195"/>
      <c r="BT78" s="397">
        <f t="shared" si="230"/>
        <v>0</v>
      </c>
      <c r="BU78" s="195"/>
      <c r="BV78" s="195"/>
      <c r="BW78" s="195"/>
      <c r="BX78" s="195"/>
      <c r="BY78" s="195"/>
      <c r="BZ78" s="91" t="s">
        <v>509</v>
      </c>
      <c r="CA78" s="195" t="s">
        <v>381</v>
      </c>
    </row>
    <row r="79" spans="1:129" s="98" customFormat="1" ht="26.1" customHeight="1">
      <c r="A79" s="412" t="s">
        <v>385</v>
      </c>
      <c r="B79" s="412"/>
      <c r="C79" s="412"/>
      <c r="D79" s="426" t="s">
        <v>417</v>
      </c>
      <c r="E79" s="427"/>
      <c r="F79" s="427"/>
      <c r="G79" s="412"/>
      <c r="H79" s="415"/>
      <c r="I79" s="416"/>
      <c r="J79" s="416"/>
      <c r="K79" s="417"/>
      <c r="L79" s="418"/>
      <c r="M79" s="418"/>
      <c r="N79" s="417"/>
      <c r="O79" s="417"/>
      <c r="P79" s="417"/>
      <c r="Q79" s="419"/>
      <c r="R79" s="417"/>
      <c r="S79" s="416"/>
      <c r="T79" s="416"/>
      <c r="U79" s="416"/>
      <c r="V79" s="416"/>
      <c r="W79" s="416"/>
      <c r="X79" s="418"/>
      <c r="Y79" s="416"/>
      <c r="Z79" s="416"/>
      <c r="AA79" s="416"/>
      <c r="AB79" s="416"/>
      <c r="AC79" s="416"/>
      <c r="AD79" s="418"/>
      <c r="AE79" s="416"/>
      <c r="AF79" s="416"/>
      <c r="AG79" s="416"/>
      <c r="AH79" s="416"/>
      <c r="AI79" s="416"/>
      <c r="AJ79" s="417"/>
      <c r="AK79" s="416"/>
      <c r="AL79" s="416"/>
      <c r="AM79" s="416"/>
      <c r="AN79" s="416"/>
      <c r="AO79" s="416"/>
      <c r="AP79" s="428"/>
      <c r="AQ79" s="416"/>
      <c r="AR79" s="416"/>
      <c r="AS79" s="416"/>
      <c r="AT79" s="416"/>
      <c r="AU79" s="416"/>
      <c r="AV79" s="428"/>
      <c r="AW79" s="416"/>
      <c r="AX79" s="416"/>
      <c r="AY79" s="416"/>
      <c r="AZ79" s="416"/>
      <c r="BA79" s="416"/>
      <c r="BB79" s="418"/>
      <c r="BC79" s="416"/>
      <c r="BD79" s="416"/>
      <c r="BE79" s="416"/>
      <c r="BF79" s="416"/>
      <c r="BG79" s="416"/>
      <c r="BH79" s="418"/>
      <c r="BI79" s="416"/>
      <c r="BJ79" s="416"/>
      <c r="BK79" s="416"/>
      <c r="BL79" s="416"/>
      <c r="BM79" s="416"/>
      <c r="BN79" s="418"/>
      <c r="BO79" s="416"/>
      <c r="BP79" s="416"/>
      <c r="BQ79" s="416"/>
      <c r="BR79" s="416"/>
      <c r="BS79" s="416"/>
      <c r="BT79" s="418"/>
      <c r="BU79" s="416"/>
      <c r="BV79" s="416"/>
      <c r="BW79" s="416"/>
      <c r="BX79" s="416"/>
      <c r="BY79" s="416"/>
      <c r="BZ79" s="420"/>
      <c r="CA79" s="421"/>
    </row>
    <row r="80" spans="1:129" s="97" customFormat="1" ht="26.1" customHeight="1">
      <c r="A80" s="422" t="s">
        <v>209</v>
      </c>
      <c r="B80" s="710" t="s">
        <v>210</v>
      </c>
      <c r="C80" s="711"/>
      <c r="D80" s="711"/>
      <c r="E80" s="711"/>
      <c r="F80" s="711"/>
      <c r="G80" s="711"/>
      <c r="H80" s="712"/>
      <c r="I80" s="424"/>
      <c r="J80" s="424"/>
      <c r="K80" s="425">
        <f>SUM(K82:K83)</f>
        <v>163</v>
      </c>
      <c r="L80" s="425">
        <f t="shared" ref="L80:Q80" si="231">SUM(L82:L83)</f>
        <v>110</v>
      </c>
      <c r="M80" s="425">
        <f t="shared" si="231"/>
        <v>88</v>
      </c>
      <c r="N80" s="425">
        <f t="shared" si="231"/>
        <v>0</v>
      </c>
      <c r="O80" s="425">
        <f t="shared" si="231"/>
        <v>22</v>
      </c>
      <c r="P80" s="425">
        <f t="shared" si="231"/>
        <v>0</v>
      </c>
      <c r="Q80" s="425">
        <f t="shared" si="231"/>
        <v>53</v>
      </c>
      <c r="R80" s="425">
        <f>SUM(R81)</f>
        <v>0</v>
      </c>
      <c r="S80" s="425">
        <f t="shared" ref="S80" si="232">SUM(S81)</f>
        <v>0</v>
      </c>
      <c r="T80" s="425">
        <f t="shared" ref="T80" si="233">SUM(T81)</f>
        <v>0</v>
      </c>
      <c r="U80" s="425">
        <f t="shared" ref="U80" si="234">SUM(U81)</f>
        <v>0</v>
      </c>
      <c r="V80" s="425">
        <f t="shared" ref="V80" si="235">SUM(V81)</f>
        <v>0</v>
      </c>
      <c r="W80" s="425">
        <f t="shared" ref="W80" si="236">SUM(W81)</f>
        <v>0</v>
      </c>
      <c r="X80" s="425">
        <f>SUM(X81)</f>
        <v>0</v>
      </c>
      <c r="Y80" s="425">
        <f t="shared" ref="Y80" si="237">SUM(Y81)</f>
        <v>0</v>
      </c>
      <c r="Z80" s="425">
        <f t="shared" ref="Z80" si="238">SUM(Z81)</f>
        <v>0</v>
      </c>
      <c r="AA80" s="425">
        <f t="shared" ref="AA80" si="239">SUM(AA81)</f>
        <v>0</v>
      </c>
      <c r="AB80" s="425">
        <f t="shared" ref="AB80" si="240">SUM(AB81)</f>
        <v>0</v>
      </c>
      <c r="AC80" s="425">
        <f t="shared" ref="AC80" si="241">SUM(AC81)</f>
        <v>0</v>
      </c>
      <c r="AD80" s="425">
        <f>SUM(AD81)</f>
        <v>0</v>
      </c>
      <c r="AE80" s="425">
        <f t="shared" ref="AE80:AI80" si="242">SUM(AE81)</f>
        <v>0</v>
      </c>
      <c r="AF80" s="425">
        <f t="shared" si="242"/>
        <v>0</v>
      </c>
      <c r="AG80" s="425">
        <f t="shared" si="242"/>
        <v>0</v>
      </c>
      <c r="AH80" s="425">
        <f t="shared" si="242"/>
        <v>0</v>
      </c>
      <c r="AI80" s="425">
        <f t="shared" si="242"/>
        <v>0</v>
      </c>
      <c r="AJ80" s="425">
        <f>SUM(AJ81)</f>
        <v>0</v>
      </c>
      <c r="AK80" s="425">
        <f t="shared" ref="AK80" si="243">SUM(AK81)</f>
        <v>0</v>
      </c>
      <c r="AL80" s="425">
        <f t="shared" ref="AL80" si="244">SUM(AL81)</f>
        <v>0</v>
      </c>
      <c r="AM80" s="425">
        <f t="shared" ref="AM80" si="245">SUM(AM81)</f>
        <v>0</v>
      </c>
      <c r="AN80" s="425">
        <f t="shared" ref="AN80" si="246">SUM(AN81)</f>
        <v>0</v>
      </c>
      <c r="AO80" s="425">
        <f t="shared" ref="AO80" si="247">SUM(AO81)</f>
        <v>0</v>
      </c>
      <c r="AP80" s="425">
        <f>SUM(AP81)</f>
        <v>0</v>
      </c>
      <c r="AQ80" s="425">
        <f t="shared" ref="AQ80" si="248">SUM(AQ81)</f>
        <v>0</v>
      </c>
      <c r="AR80" s="425">
        <f t="shared" ref="AR80" si="249">SUM(AR81)</f>
        <v>0</v>
      </c>
      <c r="AS80" s="425">
        <f t="shared" ref="AS80" si="250">SUM(AS81)</f>
        <v>0</v>
      </c>
      <c r="AT80" s="425">
        <f t="shared" ref="AT80" si="251">SUM(AT81)</f>
        <v>0</v>
      </c>
      <c r="AU80" s="425">
        <f t="shared" ref="AU80" si="252">SUM(AU81)</f>
        <v>0</v>
      </c>
      <c r="AV80" s="425">
        <f>SUM(AV81)</f>
        <v>0</v>
      </c>
      <c r="AW80" s="425">
        <f>SUM(AW81)</f>
        <v>0</v>
      </c>
      <c r="AX80" s="425">
        <f t="shared" ref="AX80" si="253">SUM(AX81)</f>
        <v>0</v>
      </c>
      <c r="AY80" s="425">
        <f t="shared" ref="AY80" si="254">SUM(AY81)</f>
        <v>0</v>
      </c>
      <c r="AZ80" s="425">
        <f t="shared" ref="AZ80" si="255">SUM(AZ81)</f>
        <v>0</v>
      </c>
      <c r="BA80" s="425">
        <f t="shared" ref="BA80" si="256">SUM(BA81)</f>
        <v>0</v>
      </c>
      <c r="BB80" s="425">
        <f>SUM(BB81)</f>
        <v>64</v>
      </c>
      <c r="BC80" s="425">
        <f t="shared" ref="BC80" si="257">SUM(BC81)</f>
        <v>44</v>
      </c>
      <c r="BD80" s="425">
        <f t="shared" ref="BD80" si="258">SUM(BD81)</f>
        <v>0</v>
      </c>
      <c r="BE80" s="425">
        <f t="shared" ref="BE80" si="259">SUM(BE81)</f>
        <v>0</v>
      </c>
      <c r="BF80" s="425">
        <f t="shared" ref="BF80" si="260">SUM(BF81)</f>
        <v>0</v>
      </c>
      <c r="BG80" s="425">
        <f t="shared" ref="BG80" si="261">SUM(BG81)</f>
        <v>20</v>
      </c>
      <c r="BH80" s="425">
        <f>SUM(BH81)</f>
        <v>99</v>
      </c>
      <c r="BI80" s="425">
        <f t="shared" ref="BI80" si="262">SUM(BI81)</f>
        <v>44</v>
      </c>
      <c r="BJ80" s="425">
        <f t="shared" ref="BJ80" si="263">SUM(BJ81)</f>
        <v>0</v>
      </c>
      <c r="BK80" s="425">
        <f t="shared" ref="BK80" si="264">SUM(BK81)</f>
        <v>22</v>
      </c>
      <c r="BL80" s="425">
        <f t="shared" ref="BL80" si="265">SUM(BL81)</f>
        <v>0</v>
      </c>
      <c r="BM80" s="425">
        <f t="shared" ref="BM80" si="266">SUM(BM81)</f>
        <v>33</v>
      </c>
      <c r="BN80" s="425">
        <f>SUM(BO80:BS80)</f>
        <v>0</v>
      </c>
      <c r="BO80" s="425">
        <f t="shared" ref="BO80:BS80" si="267">SUM(BO82:BO82)</f>
        <v>0</v>
      </c>
      <c r="BP80" s="425">
        <f t="shared" si="267"/>
        <v>0</v>
      </c>
      <c r="BQ80" s="425">
        <f t="shared" si="267"/>
        <v>0</v>
      </c>
      <c r="BR80" s="425">
        <f t="shared" si="267"/>
        <v>0</v>
      </c>
      <c r="BS80" s="425">
        <f t="shared" si="267"/>
        <v>0</v>
      </c>
      <c r="BT80" s="425">
        <f>SUM(BU80:BY80)</f>
        <v>0</v>
      </c>
      <c r="BU80" s="425">
        <f t="shared" ref="BU80:BY80" si="268">SUM(BU82:BU82)</f>
        <v>0</v>
      </c>
      <c r="BV80" s="425">
        <f t="shared" si="268"/>
        <v>0</v>
      </c>
      <c r="BW80" s="425">
        <f t="shared" si="268"/>
        <v>0</v>
      </c>
      <c r="BX80" s="425">
        <f t="shared" si="268"/>
        <v>0</v>
      </c>
      <c r="BY80" s="425">
        <f t="shared" si="268"/>
        <v>0</v>
      </c>
      <c r="BZ80" s="423"/>
      <c r="CA80" s="429" t="s">
        <v>382</v>
      </c>
    </row>
    <row r="81" spans="1:531" s="97" customFormat="1" ht="26.1" customHeight="1">
      <c r="A81" s="393" t="s">
        <v>369</v>
      </c>
      <c r="B81" s="430" t="s">
        <v>370</v>
      </c>
      <c r="C81" s="549"/>
      <c r="D81" s="430"/>
      <c r="E81" s="431"/>
      <c r="F81" s="431"/>
      <c r="G81" s="430"/>
      <c r="H81" s="394"/>
      <c r="I81" s="395"/>
      <c r="J81" s="395"/>
      <c r="K81" s="396">
        <f>SUM(K82,K83)</f>
        <v>163</v>
      </c>
      <c r="L81" s="396">
        <f t="shared" ref="L81:Q81" si="269">SUM(L82,L83)</f>
        <v>110</v>
      </c>
      <c r="M81" s="396">
        <f t="shared" si="269"/>
        <v>88</v>
      </c>
      <c r="N81" s="396">
        <f t="shared" si="269"/>
        <v>0</v>
      </c>
      <c r="O81" s="396">
        <f t="shared" si="269"/>
        <v>22</v>
      </c>
      <c r="P81" s="396">
        <f t="shared" si="269"/>
        <v>0</v>
      </c>
      <c r="Q81" s="396">
        <f t="shared" si="269"/>
        <v>53</v>
      </c>
      <c r="R81" s="396">
        <f>SUM(R82,R83)</f>
        <v>0</v>
      </c>
      <c r="S81" s="396">
        <f t="shared" ref="S81:W81" si="270">SUM(S82,S83)</f>
        <v>0</v>
      </c>
      <c r="T81" s="396">
        <f t="shared" si="270"/>
        <v>0</v>
      </c>
      <c r="U81" s="396">
        <f t="shared" si="270"/>
        <v>0</v>
      </c>
      <c r="V81" s="396">
        <f t="shared" si="270"/>
        <v>0</v>
      </c>
      <c r="W81" s="396">
        <f t="shared" si="270"/>
        <v>0</v>
      </c>
      <c r="X81" s="396">
        <f>SUM(X82,X83)</f>
        <v>0</v>
      </c>
      <c r="Y81" s="396">
        <f t="shared" ref="Y81" si="271">SUM(Y82,Y83)</f>
        <v>0</v>
      </c>
      <c r="Z81" s="396">
        <f t="shared" ref="Z81" si="272">SUM(Z82,Z83)</f>
        <v>0</v>
      </c>
      <c r="AA81" s="396">
        <f t="shared" ref="AA81" si="273">SUM(AA82,AA83)</f>
        <v>0</v>
      </c>
      <c r="AB81" s="396">
        <f t="shared" ref="AB81" si="274">SUM(AB82,AB83)</f>
        <v>0</v>
      </c>
      <c r="AC81" s="396">
        <f t="shared" ref="AC81" si="275">SUM(AC82,AC83)</f>
        <v>0</v>
      </c>
      <c r="AD81" s="396">
        <f>SUM(AD82,AD83)</f>
        <v>0</v>
      </c>
      <c r="AE81" s="396">
        <f t="shared" ref="AE81" si="276">SUM(AE82,AE83)</f>
        <v>0</v>
      </c>
      <c r="AF81" s="396">
        <f t="shared" ref="AF81" si="277">SUM(AF82,AF83)</f>
        <v>0</v>
      </c>
      <c r="AG81" s="396">
        <f t="shared" ref="AG81" si="278">SUM(AG82,AG83)</f>
        <v>0</v>
      </c>
      <c r="AH81" s="396">
        <f t="shared" ref="AH81" si="279">SUM(AH82,AH83)</f>
        <v>0</v>
      </c>
      <c r="AI81" s="396">
        <f t="shared" ref="AI81" si="280">SUM(AI82,AI83)</f>
        <v>0</v>
      </c>
      <c r="AJ81" s="396">
        <f>SUM(AJ82,AJ83)</f>
        <v>0</v>
      </c>
      <c r="AK81" s="396">
        <f t="shared" ref="AK81" si="281">SUM(AK82,AK83)</f>
        <v>0</v>
      </c>
      <c r="AL81" s="396">
        <f t="shared" ref="AL81" si="282">SUM(AL82,AL83)</f>
        <v>0</v>
      </c>
      <c r="AM81" s="396">
        <f t="shared" ref="AM81" si="283">SUM(AM82,AM83)</f>
        <v>0</v>
      </c>
      <c r="AN81" s="396">
        <f t="shared" ref="AN81" si="284">SUM(AN82,AN83)</f>
        <v>0</v>
      </c>
      <c r="AO81" s="396">
        <f t="shared" ref="AO81" si="285">SUM(AO82,AO83)</f>
        <v>0</v>
      </c>
      <c r="AP81" s="396">
        <f>SUM(AP82,AP83)</f>
        <v>0</v>
      </c>
      <c r="AQ81" s="396">
        <f t="shared" ref="AQ81" si="286">SUM(AQ82,AQ83)</f>
        <v>0</v>
      </c>
      <c r="AR81" s="396">
        <f t="shared" ref="AR81" si="287">SUM(AR82,AR83)</f>
        <v>0</v>
      </c>
      <c r="AS81" s="396">
        <f t="shared" ref="AS81" si="288">SUM(AS82,AS83)</f>
        <v>0</v>
      </c>
      <c r="AT81" s="396">
        <f t="shared" ref="AT81" si="289">SUM(AT82,AT83)</f>
        <v>0</v>
      </c>
      <c r="AU81" s="396">
        <f t="shared" ref="AU81" si="290">SUM(AU82,AU83)</f>
        <v>0</v>
      </c>
      <c r="AV81" s="396">
        <f>SUM(AV82,AV83)</f>
        <v>0</v>
      </c>
      <c r="AW81" s="396">
        <f>SUM(AW82,AW83)</f>
        <v>0</v>
      </c>
      <c r="AX81" s="396">
        <f t="shared" ref="AX81" si="291">SUM(AX82,AX83)</f>
        <v>0</v>
      </c>
      <c r="AY81" s="396">
        <f t="shared" ref="AY81" si="292">SUM(AY82,AY83)</f>
        <v>0</v>
      </c>
      <c r="AZ81" s="396">
        <f t="shared" ref="AZ81" si="293">SUM(AZ82,AZ83)</f>
        <v>0</v>
      </c>
      <c r="BA81" s="396">
        <f t="shared" ref="BA81" si="294">SUM(BA82,BA83)</f>
        <v>0</v>
      </c>
      <c r="BB81" s="396">
        <f>SUM(BB82,BB83)</f>
        <v>64</v>
      </c>
      <c r="BC81" s="396">
        <f t="shared" ref="BC81" si="295">SUM(BC82,BC83)</f>
        <v>44</v>
      </c>
      <c r="BD81" s="396">
        <f t="shared" ref="BD81" si="296">SUM(BD82,BD83)</f>
        <v>0</v>
      </c>
      <c r="BE81" s="396">
        <f t="shared" ref="BE81" si="297">SUM(BE82,BE83)</f>
        <v>0</v>
      </c>
      <c r="BF81" s="396">
        <f t="shared" ref="BF81" si="298">SUM(BF82,BF83)</f>
        <v>0</v>
      </c>
      <c r="BG81" s="396">
        <f t="shared" ref="BG81" si="299">SUM(BG82,BG83)</f>
        <v>20</v>
      </c>
      <c r="BH81" s="396">
        <f>SUM(BH82,BH83)</f>
        <v>99</v>
      </c>
      <c r="BI81" s="396">
        <f t="shared" ref="BI81" si="300">SUM(BI82,BI83)</f>
        <v>44</v>
      </c>
      <c r="BJ81" s="396">
        <f t="shared" ref="BJ81" si="301">SUM(BJ82,BJ83)</f>
        <v>0</v>
      </c>
      <c r="BK81" s="396">
        <f t="shared" ref="BK81" si="302">SUM(BK82,BK83)</f>
        <v>22</v>
      </c>
      <c r="BL81" s="396">
        <f t="shared" ref="BL81" si="303">SUM(BL82,BL83)</f>
        <v>0</v>
      </c>
      <c r="BM81" s="396">
        <f t="shared" ref="BM81" si="304">SUM(BM82,BM83)</f>
        <v>33</v>
      </c>
      <c r="BN81" s="396"/>
      <c r="BO81" s="396"/>
      <c r="BP81" s="396"/>
      <c r="BQ81" s="396"/>
      <c r="BR81" s="396"/>
      <c r="BS81" s="396"/>
      <c r="BT81" s="396"/>
      <c r="BU81" s="396"/>
      <c r="BV81" s="396"/>
      <c r="BW81" s="396"/>
      <c r="BX81" s="396"/>
      <c r="BY81" s="396"/>
      <c r="BZ81" s="394"/>
      <c r="CA81" s="432"/>
    </row>
    <row r="82" spans="1:531" s="98" customFormat="1" ht="26.1" customHeight="1">
      <c r="A82" s="533"/>
      <c r="B82" s="219" t="s">
        <v>349</v>
      </c>
      <c r="C82" s="219"/>
      <c r="D82" s="405"/>
      <c r="E82" s="405" t="s">
        <v>38</v>
      </c>
      <c r="F82" s="405"/>
      <c r="G82" s="405"/>
      <c r="H82" s="405" t="s">
        <v>43</v>
      </c>
      <c r="I82" s="102"/>
      <c r="J82" s="102"/>
      <c r="K82" s="92">
        <f>L82+SUM(Q82:Q82)</f>
        <v>65</v>
      </c>
      <c r="L82" s="101">
        <f>SUM(M82:P82)</f>
        <v>44</v>
      </c>
      <c r="M82" s="101">
        <f t="shared" ref="M82:Q83" si="305">S82+Y82+AE82+AK82+AQ82+AW82+BC82+BI82+BO82+BU82</f>
        <v>44</v>
      </c>
      <c r="N82" s="101">
        <f t="shared" si="305"/>
        <v>0</v>
      </c>
      <c r="O82" s="101">
        <f t="shared" si="305"/>
        <v>0</v>
      </c>
      <c r="P82" s="101">
        <f t="shared" si="305"/>
        <v>0</v>
      </c>
      <c r="Q82" s="101">
        <f t="shared" si="305"/>
        <v>21</v>
      </c>
      <c r="R82" s="125">
        <f>SUM(S82:W82)</f>
        <v>0</v>
      </c>
      <c r="S82" s="102"/>
      <c r="T82" s="102"/>
      <c r="U82" s="102"/>
      <c r="V82" s="102"/>
      <c r="W82" s="102"/>
      <c r="X82" s="126">
        <f>SUM(Y82:AC82)</f>
        <v>0</v>
      </c>
      <c r="Y82" s="102"/>
      <c r="Z82" s="102"/>
      <c r="AA82" s="102"/>
      <c r="AB82" s="102"/>
      <c r="AC82" s="102"/>
      <c r="AD82" s="131">
        <f>SUM(AE82:AI82)</f>
        <v>0</v>
      </c>
      <c r="AE82" s="102"/>
      <c r="AF82" s="102"/>
      <c r="AG82" s="102"/>
      <c r="AH82" s="102"/>
      <c r="AI82" s="102"/>
      <c r="AJ82" s="125">
        <f>SUM(AK82:AO82)</f>
        <v>0</v>
      </c>
      <c r="AK82" s="102"/>
      <c r="AL82" s="102"/>
      <c r="AM82" s="102"/>
      <c r="AN82" s="102"/>
      <c r="AO82" s="102"/>
      <c r="AP82" s="397">
        <f>SUM(AQ82:AU82)</f>
        <v>0</v>
      </c>
      <c r="AQ82" s="195"/>
      <c r="AR82" s="195"/>
      <c r="AS82" s="195"/>
      <c r="AT82" s="195"/>
      <c r="AU82" s="195"/>
      <c r="AV82" s="397">
        <f>SUM(AW82:BA82)</f>
        <v>0</v>
      </c>
      <c r="AW82" s="195"/>
      <c r="AX82" s="195"/>
      <c r="AY82" s="195"/>
      <c r="AZ82" s="195"/>
      <c r="BA82" s="195"/>
      <c r="BB82" s="397">
        <f>SUM(BC82:BG82)</f>
        <v>32</v>
      </c>
      <c r="BC82" s="195">
        <v>22</v>
      </c>
      <c r="BD82" s="195"/>
      <c r="BE82" s="195"/>
      <c r="BF82" s="195"/>
      <c r="BG82" s="195">
        <v>10</v>
      </c>
      <c r="BH82" s="397">
        <f>SUM(BI82:BM82)</f>
        <v>33</v>
      </c>
      <c r="BI82" s="195">
        <v>22</v>
      </c>
      <c r="BJ82" s="195"/>
      <c r="BK82" s="195"/>
      <c r="BL82" s="195"/>
      <c r="BM82" s="195">
        <v>11</v>
      </c>
      <c r="BN82" s="397">
        <f>SUM(BO82:BS82)</f>
        <v>0</v>
      </c>
      <c r="BO82" s="195"/>
      <c r="BP82" s="195"/>
      <c r="BQ82" s="195"/>
      <c r="BR82" s="195"/>
      <c r="BS82" s="195"/>
      <c r="BT82" s="397">
        <f>SUM(BU82:BY82)</f>
        <v>0</v>
      </c>
      <c r="BU82" s="195"/>
      <c r="BV82" s="195"/>
      <c r="BW82" s="195"/>
      <c r="BX82" s="195"/>
      <c r="BY82" s="195"/>
      <c r="BZ82" s="91" t="s">
        <v>518</v>
      </c>
      <c r="CA82" s="593" t="s">
        <v>382</v>
      </c>
    </row>
    <row r="83" spans="1:531" s="98" customFormat="1" ht="26.1" customHeight="1">
      <c r="A83" s="533"/>
      <c r="B83" s="219" t="s">
        <v>371</v>
      </c>
      <c r="C83" s="219"/>
      <c r="D83" s="534"/>
      <c r="E83" s="534" t="s">
        <v>38</v>
      </c>
      <c r="F83" s="534"/>
      <c r="G83" s="405" t="s">
        <v>38</v>
      </c>
      <c r="H83" s="405" t="s">
        <v>43</v>
      </c>
      <c r="I83" s="102"/>
      <c r="J83" s="401"/>
      <c r="K83" s="92">
        <f>L83+SUM(Q83:Q83)</f>
        <v>98</v>
      </c>
      <c r="L83" s="101">
        <f>SUM(M83:P83)</f>
        <v>66</v>
      </c>
      <c r="M83" s="101">
        <f t="shared" si="305"/>
        <v>44</v>
      </c>
      <c r="N83" s="101">
        <f t="shared" si="305"/>
        <v>0</v>
      </c>
      <c r="O83" s="101">
        <f t="shared" si="305"/>
        <v>22</v>
      </c>
      <c r="P83" s="101">
        <f t="shared" si="305"/>
        <v>0</v>
      </c>
      <c r="Q83" s="101">
        <f t="shared" si="305"/>
        <v>32</v>
      </c>
      <c r="R83" s="125">
        <f>SUM(S83:W83)</f>
        <v>0</v>
      </c>
      <c r="S83" s="102"/>
      <c r="T83" s="102"/>
      <c r="U83" s="102"/>
      <c r="V83" s="102"/>
      <c r="W83" s="102"/>
      <c r="X83" s="126">
        <f>SUM(Y83:AC83)</f>
        <v>0</v>
      </c>
      <c r="Y83" s="102"/>
      <c r="Z83" s="102"/>
      <c r="AA83" s="102"/>
      <c r="AB83" s="102"/>
      <c r="AC83" s="102"/>
      <c r="AD83" s="131">
        <f>SUM(AE83:AI83)</f>
        <v>0</v>
      </c>
      <c r="AE83" s="102"/>
      <c r="AF83" s="102"/>
      <c r="AG83" s="102"/>
      <c r="AH83" s="102"/>
      <c r="AI83" s="102"/>
      <c r="AJ83" s="125">
        <f>SUM(AK83:AO83)</f>
        <v>0</v>
      </c>
      <c r="AK83" s="102"/>
      <c r="AL83" s="102"/>
      <c r="AM83" s="102"/>
      <c r="AN83" s="102"/>
      <c r="AO83" s="102"/>
      <c r="AP83" s="397">
        <f>SUM(AQ83:AU83)</f>
        <v>0</v>
      </c>
      <c r="AQ83" s="195"/>
      <c r="AR83" s="198"/>
      <c r="AS83" s="195"/>
      <c r="AT83" s="195"/>
      <c r="AU83" s="195"/>
      <c r="AV83" s="397">
        <f>SUM(AW83:BA83)</f>
        <v>0</v>
      </c>
      <c r="AW83" s="195"/>
      <c r="AX83" s="198"/>
      <c r="AY83" s="198"/>
      <c r="AZ83" s="195"/>
      <c r="BA83" s="195"/>
      <c r="BB83" s="397">
        <f>SUM(BC83:BG83)</f>
        <v>32</v>
      </c>
      <c r="BC83" s="195">
        <v>22</v>
      </c>
      <c r="BD83" s="195"/>
      <c r="BE83" s="195"/>
      <c r="BF83" s="195"/>
      <c r="BG83" s="195">
        <v>10</v>
      </c>
      <c r="BH83" s="397">
        <f>SUM(BI83:BM83)</f>
        <v>66</v>
      </c>
      <c r="BI83" s="195">
        <v>22</v>
      </c>
      <c r="BJ83" s="195"/>
      <c r="BK83" s="195">
        <v>22</v>
      </c>
      <c r="BL83" s="195"/>
      <c r="BM83" s="195">
        <v>22</v>
      </c>
      <c r="BN83" s="397"/>
      <c r="BO83" s="195"/>
      <c r="BP83" s="195"/>
      <c r="BQ83" s="195"/>
      <c r="BR83" s="195"/>
      <c r="BS83" s="195"/>
      <c r="BT83" s="397"/>
      <c r="BU83" s="195"/>
      <c r="BV83" s="195"/>
      <c r="BW83" s="195"/>
      <c r="BX83" s="195"/>
      <c r="BY83" s="195"/>
      <c r="BZ83" s="91" t="s">
        <v>518</v>
      </c>
      <c r="CA83" s="195" t="s">
        <v>382</v>
      </c>
    </row>
    <row r="84" spans="1:531" s="98" customFormat="1" ht="26.1" customHeight="1">
      <c r="A84" s="412" t="s">
        <v>385</v>
      </c>
      <c r="B84" s="412"/>
      <c r="C84" s="412"/>
      <c r="D84" s="427">
        <v>8</v>
      </c>
      <c r="E84" s="412"/>
      <c r="F84" s="412"/>
      <c r="G84" s="412"/>
      <c r="H84" s="415"/>
      <c r="I84" s="416"/>
      <c r="J84" s="416"/>
      <c r="K84" s="417"/>
      <c r="L84" s="418"/>
      <c r="M84" s="418"/>
      <c r="N84" s="417"/>
      <c r="O84" s="417"/>
      <c r="P84" s="417"/>
      <c r="Q84" s="419"/>
      <c r="R84" s="417"/>
      <c r="S84" s="416"/>
      <c r="T84" s="416"/>
      <c r="U84" s="416"/>
      <c r="V84" s="416"/>
      <c r="W84" s="416"/>
      <c r="X84" s="418"/>
      <c r="Y84" s="416"/>
      <c r="Z84" s="416"/>
      <c r="AA84" s="416"/>
      <c r="AB84" s="416"/>
      <c r="AC84" s="416"/>
      <c r="AD84" s="418"/>
      <c r="AE84" s="416"/>
      <c r="AF84" s="416"/>
      <c r="AG84" s="416"/>
      <c r="AH84" s="416"/>
      <c r="AI84" s="416"/>
      <c r="AJ84" s="417"/>
      <c r="AK84" s="416"/>
      <c r="AL84" s="416"/>
      <c r="AM84" s="416"/>
      <c r="AN84" s="416"/>
      <c r="AO84" s="416"/>
      <c r="AP84" s="428"/>
      <c r="AQ84" s="416"/>
      <c r="AR84" s="416"/>
      <c r="AS84" s="416"/>
      <c r="AT84" s="416"/>
      <c r="AU84" s="416"/>
      <c r="AV84" s="428"/>
      <c r="AW84" s="416"/>
      <c r="AX84" s="416"/>
      <c r="AY84" s="416"/>
      <c r="AZ84" s="416"/>
      <c r="BA84" s="416"/>
      <c r="BB84" s="418"/>
      <c r="BC84" s="416"/>
      <c r="BD84" s="416"/>
      <c r="BE84" s="416"/>
      <c r="BF84" s="416"/>
      <c r="BG84" s="416"/>
      <c r="BH84" s="418"/>
      <c r="BI84" s="416"/>
      <c r="BJ84" s="416"/>
      <c r="BK84" s="416"/>
      <c r="BL84" s="416"/>
      <c r="BM84" s="416"/>
      <c r="BN84" s="418"/>
      <c r="BO84" s="416"/>
      <c r="BP84" s="416"/>
      <c r="BQ84" s="416"/>
      <c r="BR84" s="416"/>
      <c r="BS84" s="416"/>
      <c r="BT84" s="418"/>
      <c r="BU84" s="416"/>
      <c r="BV84" s="416"/>
      <c r="BW84" s="416"/>
      <c r="BX84" s="416"/>
      <c r="BY84" s="416"/>
      <c r="BZ84" s="420"/>
      <c r="CA84" s="421"/>
    </row>
    <row r="85" spans="1:531" s="98" customFormat="1" ht="26.1" customHeight="1">
      <c r="A85" s="422" t="s">
        <v>211</v>
      </c>
      <c r="B85" s="710" t="s">
        <v>412</v>
      </c>
      <c r="C85" s="711"/>
      <c r="D85" s="711"/>
      <c r="E85" s="711"/>
      <c r="F85" s="711"/>
      <c r="G85" s="711"/>
      <c r="H85" s="712"/>
      <c r="I85" s="424"/>
      <c r="J85" s="424"/>
      <c r="K85" s="425">
        <f>K86</f>
        <v>89</v>
      </c>
      <c r="L85" s="425">
        <f t="shared" ref="L85:Q85" si="306">L86</f>
        <v>60</v>
      </c>
      <c r="M85" s="425">
        <f t="shared" si="306"/>
        <v>60</v>
      </c>
      <c r="N85" s="425">
        <f t="shared" si="306"/>
        <v>0</v>
      </c>
      <c r="O85" s="425">
        <f t="shared" si="306"/>
        <v>0</v>
      </c>
      <c r="P85" s="425">
        <f t="shared" si="306"/>
        <v>0</v>
      </c>
      <c r="Q85" s="425">
        <f t="shared" si="306"/>
        <v>29</v>
      </c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  <c r="AG85" s="425"/>
      <c r="AH85" s="425"/>
      <c r="AI85" s="425"/>
      <c r="AJ85" s="425"/>
      <c r="AK85" s="425"/>
      <c r="AL85" s="425"/>
      <c r="AM85" s="425"/>
      <c r="AN85" s="425"/>
      <c r="AO85" s="425"/>
      <c r="AP85" s="425">
        <f>SUM(AP86)</f>
        <v>0</v>
      </c>
      <c r="AQ85" s="425">
        <f>SUM(AQ86)</f>
        <v>0</v>
      </c>
      <c r="AR85" s="425">
        <f t="shared" ref="AR85:AU85" si="307">SUM(AR86)</f>
        <v>0</v>
      </c>
      <c r="AS85" s="425">
        <f t="shared" si="307"/>
        <v>0</v>
      </c>
      <c r="AT85" s="425">
        <f t="shared" si="307"/>
        <v>0</v>
      </c>
      <c r="AU85" s="425">
        <f t="shared" si="307"/>
        <v>0</v>
      </c>
      <c r="AV85" s="425">
        <f>SUM(AV86)</f>
        <v>0</v>
      </c>
      <c r="AW85" s="425">
        <f>SUM(AW86)</f>
        <v>0</v>
      </c>
      <c r="AX85" s="425">
        <f t="shared" ref="AX85:BA85" si="308">SUM(AX86)</f>
        <v>0</v>
      </c>
      <c r="AY85" s="425">
        <f t="shared" si="308"/>
        <v>0</v>
      </c>
      <c r="AZ85" s="425">
        <f t="shared" si="308"/>
        <v>0</v>
      </c>
      <c r="BA85" s="425">
        <f t="shared" si="308"/>
        <v>0</v>
      </c>
      <c r="BB85" s="425">
        <f>SUM(BB86)</f>
        <v>32</v>
      </c>
      <c r="BC85" s="425">
        <f>SUM(BC86)</f>
        <v>22</v>
      </c>
      <c r="BD85" s="425">
        <f t="shared" ref="BD85:BG85" si="309">SUM(BD86)</f>
        <v>0</v>
      </c>
      <c r="BE85" s="425">
        <f t="shared" si="309"/>
        <v>0</v>
      </c>
      <c r="BF85" s="425">
        <f t="shared" si="309"/>
        <v>0</v>
      </c>
      <c r="BG85" s="425">
        <f t="shared" si="309"/>
        <v>10</v>
      </c>
      <c r="BH85" s="425">
        <f>SUM(BH86)</f>
        <v>33</v>
      </c>
      <c r="BI85" s="425">
        <f>SUM(BI86)</f>
        <v>22</v>
      </c>
      <c r="BJ85" s="425">
        <f t="shared" ref="BJ85:BM85" si="310">SUM(BJ86)</f>
        <v>0</v>
      </c>
      <c r="BK85" s="425">
        <f t="shared" si="310"/>
        <v>0</v>
      </c>
      <c r="BL85" s="425">
        <f t="shared" si="310"/>
        <v>0</v>
      </c>
      <c r="BM85" s="425">
        <f t="shared" si="310"/>
        <v>11</v>
      </c>
      <c r="BN85" s="425">
        <f>SUM(BN86)</f>
        <v>24</v>
      </c>
      <c r="BO85" s="425">
        <f>SUM(BO86)</f>
        <v>16</v>
      </c>
      <c r="BP85" s="425">
        <f t="shared" ref="BP85:BS85" si="311">SUM(BP86)</f>
        <v>0</v>
      </c>
      <c r="BQ85" s="425">
        <f t="shared" si="311"/>
        <v>0</v>
      </c>
      <c r="BR85" s="425">
        <f t="shared" si="311"/>
        <v>0</v>
      </c>
      <c r="BS85" s="425">
        <f t="shared" si="311"/>
        <v>8</v>
      </c>
      <c r="BT85" s="425">
        <f>SUM(BT86)</f>
        <v>0</v>
      </c>
      <c r="BU85" s="425">
        <f>SUM(BU86)</f>
        <v>0</v>
      </c>
      <c r="BV85" s="425">
        <f t="shared" ref="BV85:BY85" si="312">SUM(BV86)</f>
        <v>0</v>
      </c>
      <c r="BW85" s="425">
        <f t="shared" si="312"/>
        <v>0</v>
      </c>
      <c r="BX85" s="425">
        <f t="shared" si="312"/>
        <v>0</v>
      </c>
      <c r="BY85" s="425">
        <f t="shared" si="312"/>
        <v>0</v>
      </c>
      <c r="BZ85" s="423"/>
      <c r="CA85" s="429" t="s">
        <v>473</v>
      </c>
    </row>
    <row r="86" spans="1:531" s="98" customFormat="1" ht="26.1" customHeight="1">
      <c r="A86" s="540" t="s">
        <v>413</v>
      </c>
      <c r="B86" s="219" t="s">
        <v>414</v>
      </c>
      <c r="C86" s="556"/>
      <c r="D86" s="534"/>
      <c r="E86" s="199">
        <v>9</v>
      </c>
      <c r="F86" s="199"/>
      <c r="G86" s="199"/>
      <c r="H86" s="561" t="s">
        <v>620</v>
      </c>
      <c r="I86" s="408"/>
      <c r="J86" s="408"/>
      <c r="K86" s="550">
        <f>L86+SUM(Q86:Q86)</f>
        <v>89</v>
      </c>
      <c r="L86" s="551">
        <f>SUM(M86:P86)</f>
        <v>60</v>
      </c>
      <c r="M86" s="551">
        <f>S86+Y86+AE86+AK86+AQ86+AW86+BC86+BI86+BO86+BU86</f>
        <v>60</v>
      </c>
      <c r="N86" s="551">
        <f>T86+Z86+AF86+AL86+AR86+AX86+BD86+BJ86+BP86+BV86</f>
        <v>0</v>
      </c>
      <c r="O86" s="551">
        <f>U86+AA86+AG86+AM86+AS86+AY86+BE86+BK86+BQ86+BW86</f>
        <v>0</v>
      </c>
      <c r="P86" s="551">
        <f>V86+AB86+AH86+AN86+AT86+AZ86+BF86+BL86+BR86+BX86</f>
        <v>0</v>
      </c>
      <c r="Q86" s="551">
        <f>W86+AC86+AI86+AO86+AU86+BA86+BG86+BM86+BS86+BY86</f>
        <v>29</v>
      </c>
      <c r="R86" s="550">
        <f>SUM(S86:W86)</f>
        <v>0</v>
      </c>
      <c r="S86" s="552"/>
      <c r="T86" s="552"/>
      <c r="U86" s="552"/>
      <c r="V86" s="552"/>
      <c r="W86" s="552"/>
      <c r="X86" s="551">
        <f>SUM(Y86:AC86)</f>
        <v>0</v>
      </c>
      <c r="Y86" s="552"/>
      <c r="Z86" s="552"/>
      <c r="AA86" s="552"/>
      <c r="AB86" s="552"/>
      <c r="AC86" s="552"/>
      <c r="AD86" s="409">
        <f>SUM(AE86:AI86)</f>
        <v>0</v>
      </c>
      <c r="AE86" s="552"/>
      <c r="AF86" s="552"/>
      <c r="AG86" s="552"/>
      <c r="AH86" s="552"/>
      <c r="AI86" s="552"/>
      <c r="AJ86" s="550">
        <f>SUM(AK86:AO86)</f>
        <v>0</v>
      </c>
      <c r="AK86" s="552"/>
      <c r="AL86" s="552"/>
      <c r="AM86" s="552"/>
      <c r="AN86" s="552"/>
      <c r="AO86" s="552"/>
      <c r="AP86" s="551">
        <f>SUM(AQ86:AU86)</f>
        <v>0</v>
      </c>
      <c r="AQ86" s="195"/>
      <c r="AR86" s="195"/>
      <c r="AS86" s="195"/>
      <c r="AT86" s="195"/>
      <c r="AU86" s="195"/>
      <c r="AV86" s="397">
        <f>SUM(AW86:BA86)</f>
        <v>0</v>
      </c>
      <c r="AW86" s="195"/>
      <c r="AX86" s="195"/>
      <c r="AY86" s="195"/>
      <c r="AZ86" s="195"/>
      <c r="BA86" s="195"/>
      <c r="BB86" s="397">
        <f>SUM(BC86:BG86)</f>
        <v>32</v>
      </c>
      <c r="BC86" s="195">
        <v>22</v>
      </c>
      <c r="BD86" s="195"/>
      <c r="BE86" s="195"/>
      <c r="BF86" s="195"/>
      <c r="BG86" s="195">
        <v>10</v>
      </c>
      <c r="BH86" s="397">
        <f>SUM(BI86:BM86)</f>
        <v>33</v>
      </c>
      <c r="BI86" s="195">
        <v>22</v>
      </c>
      <c r="BJ86" s="195"/>
      <c r="BK86" s="195"/>
      <c r="BL86" s="195"/>
      <c r="BM86" s="195">
        <v>11</v>
      </c>
      <c r="BN86" s="397">
        <f>SUM(BO86:BS86)</f>
        <v>24</v>
      </c>
      <c r="BO86" s="195">
        <v>16</v>
      </c>
      <c r="BP86" s="195"/>
      <c r="BQ86" s="195"/>
      <c r="BR86" s="195"/>
      <c r="BS86" s="195">
        <v>8</v>
      </c>
      <c r="BT86" s="397">
        <f>SUM(BU86:BY86)</f>
        <v>0</v>
      </c>
      <c r="BU86" s="195"/>
      <c r="BV86" s="195"/>
      <c r="BW86" s="195"/>
      <c r="BX86" s="195"/>
      <c r="BY86" s="195"/>
      <c r="BZ86" s="553" t="s">
        <v>508</v>
      </c>
      <c r="CA86" s="554" t="s">
        <v>473</v>
      </c>
    </row>
    <row r="87" spans="1:531" s="98" customFormat="1" ht="26.1" customHeight="1">
      <c r="A87" s="412" t="s">
        <v>385</v>
      </c>
      <c r="B87" s="412"/>
      <c r="C87" s="412"/>
      <c r="D87" s="426">
        <v>8</v>
      </c>
      <c r="E87" s="412"/>
      <c r="F87" s="412"/>
      <c r="G87" s="412"/>
      <c r="H87" s="415"/>
      <c r="I87" s="416"/>
      <c r="J87" s="416"/>
      <c r="K87" s="417"/>
      <c r="L87" s="418"/>
      <c r="M87" s="418"/>
      <c r="N87" s="417"/>
      <c r="O87" s="417"/>
      <c r="P87" s="417"/>
      <c r="Q87" s="419"/>
      <c r="R87" s="417"/>
      <c r="S87" s="416"/>
      <c r="T87" s="416"/>
      <c r="U87" s="416"/>
      <c r="V87" s="416"/>
      <c r="W87" s="416"/>
      <c r="X87" s="418"/>
      <c r="Y87" s="416"/>
      <c r="Z87" s="416"/>
      <c r="AA87" s="416"/>
      <c r="AB87" s="416"/>
      <c r="AC87" s="416"/>
      <c r="AD87" s="418"/>
      <c r="AE87" s="416"/>
      <c r="AF87" s="416"/>
      <c r="AG87" s="416"/>
      <c r="AH87" s="416"/>
      <c r="AI87" s="416"/>
      <c r="AJ87" s="417"/>
      <c r="AK87" s="416"/>
      <c r="AL87" s="416"/>
      <c r="AM87" s="416"/>
      <c r="AN87" s="416"/>
      <c r="AO87" s="416"/>
      <c r="AP87" s="428"/>
      <c r="AQ87" s="416"/>
      <c r="AR87" s="416"/>
      <c r="AS87" s="416"/>
      <c r="AT87" s="416"/>
      <c r="AU87" s="416"/>
      <c r="AV87" s="428"/>
      <c r="AW87" s="416"/>
      <c r="AX87" s="416"/>
      <c r="AY87" s="416"/>
      <c r="AZ87" s="416"/>
      <c r="BA87" s="416"/>
      <c r="BB87" s="418"/>
      <c r="BC87" s="416"/>
      <c r="BD87" s="416"/>
      <c r="BE87" s="416"/>
      <c r="BF87" s="416"/>
      <c r="BG87" s="416"/>
      <c r="BH87" s="418"/>
      <c r="BI87" s="416"/>
      <c r="BJ87" s="416"/>
      <c r="BK87" s="416"/>
      <c r="BL87" s="416"/>
      <c r="BM87" s="416"/>
      <c r="BN87" s="418"/>
      <c r="BO87" s="416"/>
      <c r="BP87" s="416"/>
      <c r="BQ87" s="416"/>
      <c r="BR87" s="416"/>
      <c r="BS87" s="416"/>
      <c r="BT87" s="418"/>
      <c r="BU87" s="416"/>
      <c r="BV87" s="416"/>
      <c r="BW87" s="416"/>
      <c r="BX87" s="416"/>
      <c r="BY87" s="416"/>
      <c r="BZ87" s="420"/>
      <c r="CA87" s="421"/>
    </row>
    <row r="88" spans="1:531" s="98" customFormat="1" ht="26.1" customHeight="1">
      <c r="A88" s="422" t="s">
        <v>415</v>
      </c>
      <c r="B88" s="710" t="s">
        <v>212</v>
      </c>
      <c r="C88" s="711"/>
      <c r="D88" s="711"/>
      <c r="E88" s="711"/>
      <c r="F88" s="711"/>
      <c r="G88" s="711"/>
      <c r="H88" s="712"/>
      <c r="I88" s="424"/>
      <c r="J88" s="424"/>
      <c r="K88" s="425">
        <f t="shared" ref="K88:AN88" si="313">SUM(K89:K89)</f>
        <v>102</v>
      </c>
      <c r="L88" s="425">
        <f t="shared" si="313"/>
        <v>68</v>
      </c>
      <c r="M88" s="425">
        <f t="shared" si="313"/>
        <v>68</v>
      </c>
      <c r="N88" s="425">
        <f t="shared" si="313"/>
        <v>0</v>
      </c>
      <c r="O88" s="425">
        <f t="shared" si="313"/>
        <v>0</v>
      </c>
      <c r="P88" s="425">
        <f t="shared" si="313"/>
        <v>0</v>
      </c>
      <c r="Q88" s="425">
        <f t="shared" si="313"/>
        <v>34</v>
      </c>
      <c r="R88" s="425">
        <f t="shared" si="313"/>
        <v>0</v>
      </c>
      <c r="S88" s="425">
        <f t="shared" si="313"/>
        <v>0</v>
      </c>
      <c r="T88" s="425">
        <f t="shared" si="313"/>
        <v>0</v>
      </c>
      <c r="U88" s="425">
        <f t="shared" si="313"/>
        <v>0</v>
      </c>
      <c r="V88" s="425">
        <f t="shared" si="313"/>
        <v>0</v>
      </c>
      <c r="W88" s="425">
        <f t="shared" si="313"/>
        <v>0</v>
      </c>
      <c r="X88" s="425">
        <f t="shared" si="313"/>
        <v>0</v>
      </c>
      <c r="Y88" s="425">
        <f t="shared" si="313"/>
        <v>0</v>
      </c>
      <c r="Z88" s="425">
        <f t="shared" si="313"/>
        <v>0</v>
      </c>
      <c r="AA88" s="425">
        <f t="shared" si="313"/>
        <v>0</v>
      </c>
      <c r="AB88" s="425">
        <f t="shared" si="313"/>
        <v>0</v>
      </c>
      <c r="AC88" s="425">
        <f t="shared" si="313"/>
        <v>0</v>
      </c>
      <c r="AD88" s="425">
        <f t="shared" si="313"/>
        <v>0</v>
      </c>
      <c r="AE88" s="425">
        <f t="shared" si="313"/>
        <v>0</v>
      </c>
      <c r="AF88" s="425">
        <f t="shared" si="313"/>
        <v>0</v>
      </c>
      <c r="AG88" s="425">
        <f t="shared" si="313"/>
        <v>0</v>
      </c>
      <c r="AH88" s="425">
        <f t="shared" si="313"/>
        <v>0</v>
      </c>
      <c r="AI88" s="425">
        <f t="shared" si="313"/>
        <v>0</v>
      </c>
      <c r="AJ88" s="425">
        <f t="shared" si="313"/>
        <v>102</v>
      </c>
      <c r="AK88" s="425">
        <f t="shared" si="313"/>
        <v>68</v>
      </c>
      <c r="AL88" s="425">
        <f t="shared" si="313"/>
        <v>0</v>
      </c>
      <c r="AM88" s="425">
        <f t="shared" si="313"/>
        <v>0</v>
      </c>
      <c r="AN88" s="425">
        <f t="shared" si="313"/>
        <v>0</v>
      </c>
      <c r="AO88" s="425">
        <f>SUM(AO89:AO89)</f>
        <v>34</v>
      </c>
      <c r="AP88" s="425">
        <f>SUM(AP89:AP89)</f>
        <v>0</v>
      </c>
      <c r="AQ88" s="425"/>
      <c r="AR88" s="425"/>
      <c r="AS88" s="425"/>
      <c r="AT88" s="425"/>
      <c r="AU88" s="425"/>
      <c r="AV88" s="425"/>
      <c r="AW88" s="425"/>
      <c r="AX88" s="425"/>
      <c r="AY88" s="425"/>
      <c r="AZ88" s="425"/>
      <c r="BA88" s="425"/>
      <c r="BB88" s="425"/>
      <c r="BC88" s="425"/>
      <c r="BD88" s="425"/>
      <c r="BE88" s="425"/>
      <c r="BF88" s="425"/>
      <c r="BG88" s="425"/>
      <c r="BH88" s="425"/>
      <c r="BI88" s="425"/>
      <c r="BJ88" s="425"/>
      <c r="BK88" s="425"/>
      <c r="BL88" s="425"/>
      <c r="BM88" s="425"/>
      <c r="BN88" s="425"/>
      <c r="BO88" s="424"/>
      <c r="BP88" s="424"/>
      <c r="BQ88" s="424"/>
      <c r="BR88" s="424"/>
      <c r="BS88" s="425"/>
      <c r="BT88" s="424"/>
      <c r="BU88" s="424"/>
      <c r="BV88" s="424"/>
      <c r="BW88" s="424"/>
      <c r="BX88" s="424"/>
      <c r="BY88" s="424"/>
      <c r="BZ88" s="425"/>
      <c r="CA88" s="425"/>
    </row>
    <row r="89" spans="1:531" s="127" customFormat="1" ht="26.1" customHeight="1">
      <c r="A89" s="411"/>
      <c r="B89" s="186" t="s">
        <v>619</v>
      </c>
      <c r="C89" s="90"/>
      <c r="D89" s="99"/>
      <c r="E89" s="99" t="s">
        <v>40</v>
      </c>
      <c r="F89" s="99"/>
      <c r="G89" s="100"/>
      <c r="H89" s="99"/>
      <c r="I89" s="102"/>
      <c r="J89" s="102"/>
      <c r="K89" s="92">
        <f>L89+SUM(Q89:Q89)</f>
        <v>102</v>
      </c>
      <c r="L89" s="101">
        <f>SUM(M89:P89)</f>
        <v>68</v>
      </c>
      <c r="M89" s="101">
        <f>S89+Y89+AE89+AK89+AQ89+AW89+BC89+BI89+BO89+BU89</f>
        <v>68</v>
      </c>
      <c r="N89" s="101">
        <f>T89+Z89+AF89+AL89+AR89+AX89+BD89+BJ89+BP89+BV89</f>
        <v>0</v>
      </c>
      <c r="O89" s="101">
        <f>U89+AA89+AG89+AM89+AS89+AY89+BE89+BK89+BQ89+BW89</f>
        <v>0</v>
      </c>
      <c r="P89" s="101">
        <f>V89+AB89+AH89+AN89+AT89+AZ89+BF89+BL89+BR89+BX89</f>
        <v>0</v>
      </c>
      <c r="Q89" s="101">
        <f>W89+AC89+AI89+AO89+AU89+BA89+BG89+BM89+BS89+BY89</f>
        <v>34</v>
      </c>
      <c r="R89" s="125">
        <f>SUM(S89:W89)</f>
        <v>0</v>
      </c>
      <c r="S89" s="102"/>
      <c r="T89" s="102"/>
      <c r="U89" s="102"/>
      <c r="V89" s="102"/>
      <c r="W89" s="102"/>
      <c r="X89" s="125">
        <f>SUM(Y89:AC89)</f>
        <v>0</v>
      </c>
      <c r="Y89" s="102"/>
      <c r="Z89" s="102"/>
      <c r="AA89" s="102"/>
      <c r="AB89" s="102"/>
      <c r="AC89" s="102"/>
      <c r="AD89" s="125">
        <f>SUM(AE89:AI89)</f>
        <v>0</v>
      </c>
      <c r="AE89" s="102"/>
      <c r="AF89" s="102"/>
      <c r="AG89" s="102"/>
      <c r="AH89" s="102"/>
      <c r="AI89" s="102"/>
      <c r="AJ89" s="125">
        <f>SUM(AK89:AO89)</f>
        <v>102</v>
      </c>
      <c r="AK89" s="129">
        <v>68</v>
      </c>
      <c r="AL89" s="102"/>
      <c r="AM89" s="102"/>
      <c r="AN89" s="102"/>
      <c r="AO89" s="102">
        <v>34</v>
      </c>
      <c r="AP89" s="125">
        <f>SUM(AQ89:AU89)</f>
        <v>0</v>
      </c>
      <c r="AQ89" s="102"/>
      <c r="AR89" s="102"/>
      <c r="AS89" s="102"/>
      <c r="AT89" s="102"/>
      <c r="AU89" s="102"/>
      <c r="AV89" s="125">
        <f>SUM(AW89:BA89)</f>
        <v>0</v>
      </c>
      <c r="AW89" s="102"/>
      <c r="AX89" s="102"/>
      <c r="AY89" s="102"/>
      <c r="AZ89" s="102"/>
      <c r="BA89" s="102"/>
      <c r="BB89" s="125">
        <f>SUM(BC89:BG89)</f>
        <v>0</v>
      </c>
      <c r="BC89" s="102"/>
      <c r="BD89" s="102"/>
      <c r="BE89" s="102"/>
      <c r="BF89" s="102"/>
      <c r="BG89" s="102"/>
      <c r="BH89" s="125">
        <f>SUM(BI89:BM89)</f>
        <v>0</v>
      </c>
      <c r="BI89" s="102"/>
      <c r="BJ89" s="102"/>
      <c r="BK89" s="102"/>
      <c r="BL89" s="102"/>
      <c r="BM89" s="102"/>
      <c r="BN89" s="126"/>
      <c r="BO89" s="102"/>
      <c r="BP89" s="102"/>
      <c r="BQ89" s="102"/>
      <c r="BR89" s="102"/>
      <c r="BS89" s="102"/>
      <c r="BT89" s="126"/>
      <c r="BU89" s="102"/>
      <c r="BV89" s="102"/>
      <c r="BW89" s="102"/>
      <c r="BX89" s="102"/>
      <c r="BY89" s="102"/>
      <c r="BZ89" s="91" t="s">
        <v>508</v>
      </c>
      <c r="CA89" s="93" t="s">
        <v>446</v>
      </c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8"/>
      <c r="FL89" s="98"/>
      <c r="FM89" s="98"/>
      <c r="FN89" s="98"/>
      <c r="FO89" s="98"/>
      <c r="FP89" s="98"/>
      <c r="FQ89" s="98"/>
      <c r="FR89" s="98"/>
      <c r="FS89" s="98"/>
      <c r="FT89" s="98"/>
      <c r="FU89" s="98"/>
      <c r="FV89" s="98"/>
      <c r="FW89" s="98"/>
      <c r="FX89" s="98"/>
      <c r="FY89" s="98"/>
      <c r="FZ89" s="98"/>
      <c r="GA89" s="98"/>
      <c r="GB89" s="98"/>
      <c r="GC89" s="98"/>
      <c r="GD89" s="98"/>
      <c r="GE89" s="98"/>
      <c r="GF89" s="98"/>
      <c r="GG89" s="98"/>
      <c r="GH89" s="98"/>
      <c r="GI89" s="98"/>
      <c r="GJ89" s="98"/>
      <c r="GK89" s="98"/>
      <c r="GL89" s="98"/>
      <c r="GM89" s="98"/>
      <c r="GN89" s="98"/>
      <c r="GO89" s="98"/>
      <c r="GP89" s="98"/>
      <c r="GQ89" s="98"/>
      <c r="GR89" s="98"/>
      <c r="GS89" s="98"/>
      <c r="GT89" s="98"/>
      <c r="GU89" s="98"/>
      <c r="GV89" s="98"/>
      <c r="GW89" s="98"/>
      <c r="GX89" s="98"/>
      <c r="GY89" s="98"/>
      <c r="GZ89" s="98"/>
      <c r="HA89" s="98"/>
      <c r="HB89" s="98"/>
      <c r="HC89" s="98"/>
      <c r="HD89" s="98"/>
      <c r="HE89" s="98"/>
      <c r="HF89" s="98"/>
      <c r="HG89" s="98"/>
      <c r="HH89" s="98"/>
      <c r="HI89" s="98"/>
      <c r="HJ89" s="98"/>
      <c r="HK89" s="98"/>
      <c r="HL89" s="98"/>
      <c r="HM89" s="98"/>
      <c r="HN89" s="98"/>
      <c r="HO89" s="98"/>
      <c r="HP89" s="98"/>
      <c r="HQ89" s="98"/>
      <c r="HR89" s="98"/>
      <c r="HS89" s="98"/>
      <c r="HT89" s="98"/>
      <c r="HU89" s="98"/>
      <c r="HV89" s="98"/>
      <c r="HW89" s="98"/>
      <c r="HX89" s="98"/>
      <c r="HY89" s="98"/>
      <c r="HZ89" s="98"/>
      <c r="IA89" s="98"/>
      <c r="IB89" s="98"/>
      <c r="IC89" s="98"/>
      <c r="ID89" s="98"/>
      <c r="IE89" s="98"/>
      <c r="IF89" s="98"/>
      <c r="IG89" s="98"/>
      <c r="IH89" s="98"/>
      <c r="II89" s="98"/>
      <c r="IJ89" s="98"/>
      <c r="IK89" s="98"/>
      <c r="IL89" s="98"/>
      <c r="IM89" s="98"/>
      <c r="IN89" s="98"/>
      <c r="IO89" s="98"/>
      <c r="IP89" s="98"/>
      <c r="IQ89" s="98"/>
      <c r="IR89" s="98"/>
      <c r="IS89" s="98"/>
      <c r="IT89" s="98"/>
      <c r="IU89" s="98"/>
      <c r="IV89" s="98"/>
      <c r="IW89" s="98"/>
      <c r="IX89" s="98"/>
      <c r="IY89" s="98"/>
      <c r="IZ89" s="98"/>
      <c r="JA89" s="98"/>
      <c r="JB89" s="98"/>
      <c r="JC89" s="98"/>
      <c r="JD89" s="98"/>
      <c r="JE89" s="98"/>
      <c r="JF89" s="98"/>
      <c r="JG89" s="98"/>
      <c r="JH89" s="98"/>
      <c r="JI89" s="98"/>
      <c r="JJ89" s="98"/>
      <c r="JK89" s="98"/>
      <c r="JL89" s="98"/>
      <c r="JM89" s="98"/>
      <c r="JN89" s="98"/>
      <c r="JO89" s="98"/>
      <c r="JP89" s="98"/>
      <c r="JQ89" s="98"/>
      <c r="JR89" s="98"/>
      <c r="JS89" s="98"/>
      <c r="JT89" s="98"/>
      <c r="JU89" s="98"/>
      <c r="JV89" s="98"/>
      <c r="JW89" s="98"/>
      <c r="JX89" s="98"/>
      <c r="JY89" s="98"/>
      <c r="JZ89" s="98"/>
      <c r="KA89" s="98"/>
      <c r="KB89" s="98"/>
      <c r="KC89" s="98"/>
      <c r="KD89" s="98"/>
      <c r="KE89" s="98"/>
      <c r="KF89" s="98"/>
      <c r="KG89" s="98"/>
      <c r="KH89" s="98"/>
      <c r="KI89" s="98"/>
      <c r="KJ89" s="98"/>
      <c r="KK89" s="98"/>
      <c r="KL89" s="98"/>
      <c r="KM89" s="98"/>
      <c r="KN89" s="98"/>
      <c r="KO89" s="98"/>
      <c r="KP89" s="98"/>
      <c r="KQ89" s="98"/>
      <c r="KR89" s="98"/>
      <c r="KS89" s="98"/>
      <c r="KT89" s="98"/>
      <c r="KU89" s="98"/>
      <c r="KV89" s="98"/>
      <c r="KW89" s="98"/>
      <c r="KX89" s="98"/>
      <c r="KY89" s="98"/>
      <c r="KZ89" s="98"/>
      <c r="LA89" s="98"/>
      <c r="LB89" s="98"/>
      <c r="LC89" s="98"/>
      <c r="LD89" s="98"/>
      <c r="LE89" s="98"/>
      <c r="LF89" s="98"/>
      <c r="LG89" s="98"/>
      <c r="LH89" s="98"/>
      <c r="LI89" s="98"/>
      <c r="LJ89" s="98"/>
      <c r="LK89" s="98"/>
      <c r="LL89" s="98"/>
      <c r="LM89" s="98"/>
      <c r="LN89" s="98"/>
      <c r="LO89" s="98"/>
      <c r="LP89" s="98"/>
      <c r="LQ89" s="98"/>
      <c r="LR89" s="98"/>
      <c r="LS89" s="98"/>
      <c r="LT89" s="98"/>
      <c r="LU89" s="98"/>
      <c r="LV89" s="98"/>
      <c r="LW89" s="98"/>
      <c r="LX89" s="98"/>
      <c r="LY89" s="98"/>
      <c r="LZ89" s="98"/>
      <c r="MA89" s="98"/>
      <c r="MB89" s="98"/>
      <c r="MC89" s="98"/>
      <c r="MD89" s="98"/>
      <c r="ME89" s="98"/>
      <c r="MF89" s="98"/>
      <c r="MG89" s="98"/>
      <c r="MH89" s="98"/>
      <c r="MI89" s="98"/>
      <c r="MJ89" s="98"/>
      <c r="MK89" s="98"/>
      <c r="ML89" s="98"/>
      <c r="MM89" s="98"/>
      <c r="MN89" s="98"/>
      <c r="MO89" s="98"/>
      <c r="MP89" s="98"/>
      <c r="MQ89" s="98"/>
      <c r="MR89" s="98"/>
      <c r="MS89" s="98"/>
      <c r="MT89" s="98"/>
      <c r="MU89" s="98"/>
      <c r="MV89" s="98"/>
      <c r="MW89" s="98"/>
      <c r="MX89" s="98"/>
      <c r="MY89" s="98"/>
      <c r="MZ89" s="98"/>
      <c r="NA89" s="98"/>
      <c r="NB89" s="98"/>
      <c r="NC89" s="98"/>
      <c r="ND89" s="98"/>
      <c r="NE89" s="98"/>
      <c r="NF89" s="98"/>
      <c r="NG89" s="98"/>
      <c r="NH89" s="98"/>
      <c r="NI89" s="98"/>
      <c r="NJ89" s="98"/>
      <c r="NK89" s="98"/>
      <c r="NL89" s="98"/>
      <c r="NM89" s="98"/>
      <c r="NN89" s="98"/>
      <c r="NO89" s="98"/>
      <c r="NP89" s="98"/>
      <c r="NQ89" s="98"/>
      <c r="NR89" s="98"/>
      <c r="NS89" s="98"/>
      <c r="NT89" s="98"/>
      <c r="NU89" s="98"/>
      <c r="NV89" s="98"/>
      <c r="NW89" s="98"/>
      <c r="NX89" s="98"/>
      <c r="NY89" s="98"/>
      <c r="NZ89" s="98"/>
      <c r="OA89" s="98"/>
      <c r="OB89" s="98"/>
      <c r="OC89" s="98"/>
      <c r="OD89" s="98"/>
      <c r="OE89" s="98"/>
      <c r="OF89" s="98"/>
      <c r="OG89" s="98"/>
      <c r="OH89" s="98"/>
      <c r="OI89" s="98"/>
      <c r="OJ89" s="98"/>
      <c r="OK89" s="98"/>
      <c r="OL89" s="98"/>
      <c r="OM89" s="98"/>
      <c r="ON89" s="98"/>
      <c r="OO89" s="98"/>
      <c r="OP89" s="98"/>
      <c r="OQ89" s="98"/>
      <c r="OR89" s="98"/>
      <c r="OS89" s="98"/>
      <c r="OT89" s="98"/>
      <c r="OU89" s="98"/>
      <c r="OV89" s="98"/>
      <c r="OW89" s="98"/>
      <c r="OX89" s="98"/>
      <c r="OY89" s="98"/>
      <c r="OZ89" s="98"/>
      <c r="PA89" s="98"/>
      <c r="PB89" s="98"/>
      <c r="PC89" s="98"/>
      <c r="PD89" s="98"/>
      <c r="PE89" s="98"/>
      <c r="PF89" s="98"/>
      <c r="PG89" s="98"/>
      <c r="PH89" s="98"/>
      <c r="PI89" s="98"/>
      <c r="PJ89" s="98"/>
      <c r="PK89" s="98"/>
      <c r="PL89" s="98"/>
      <c r="PM89" s="98"/>
      <c r="PN89" s="98"/>
      <c r="PO89" s="98"/>
      <c r="PP89" s="98"/>
      <c r="PQ89" s="98"/>
      <c r="PR89" s="98"/>
      <c r="PS89" s="98"/>
      <c r="PT89" s="98"/>
      <c r="PU89" s="98"/>
      <c r="PV89" s="98"/>
      <c r="PW89" s="98"/>
      <c r="PX89" s="98"/>
      <c r="PY89" s="98"/>
      <c r="PZ89" s="98"/>
      <c r="QA89" s="98"/>
      <c r="QB89" s="98"/>
      <c r="QC89" s="98"/>
      <c r="QD89" s="98"/>
      <c r="QE89" s="98"/>
      <c r="QF89" s="98"/>
      <c r="QG89" s="98"/>
      <c r="QH89" s="98"/>
      <c r="QI89" s="98"/>
      <c r="QJ89" s="98"/>
      <c r="QK89" s="98"/>
      <c r="QL89" s="98"/>
      <c r="QM89" s="98"/>
      <c r="QN89" s="98"/>
      <c r="QO89" s="98"/>
      <c r="QP89" s="98"/>
      <c r="QQ89" s="98"/>
      <c r="QR89" s="98"/>
      <c r="QS89" s="98"/>
      <c r="QT89" s="98"/>
      <c r="QU89" s="98"/>
      <c r="QV89" s="98"/>
      <c r="QW89" s="98"/>
      <c r="QX89" s="98"/>
      <c r="QY89" s="98"/>
      <c r="QZ89" s="98"/>
      <c r="RA89" s="98"/>
      <c r="RB89" s="98"/>
      <c r="RC89" s="98"/>
      <c r="RD89" s="98"/>
      <c r="RE89" s="98"/>
      <c r="RF89" s="98"/>
      <c r="RG89" s="98"/>
      <c r="RH89" s="98"/>
      <c r="RI89" s="98"/>
      <c r="RJ89" s="98"/>
      <c r="RK89" s="98"/>
      <c r="RL89" s="98"/>
      <c r="RM89" s="98"/>
      <c r="RN89" s="98"/>
      <c r="RO89" s="98"/>
      <c r="RP89" s="98"/>
      <c r="RQ89" s="98"/>
      <c r="RR89" s="98"/>
      <c r="RS89" s="98"/>
      <c r="RT89" s="98"/>
      <c r="RU89" s="98"/>
      <c r="RV89" s="98"/>
      <c r="RW89" s="98"/>
      <c r="RX89" s="98"/>
      <c r="RY89" s="98"/>
      <c r="RZ89" s="98"/>
      <c r="SA89" s="98"/>
      <c r="SB89" s="98"/>
      <c r="SC89" s="98"/>
      <c r="SD89" s="98"/>
      <c r="SE89" s="98"/>
      <c r="SF89" s="98"/>
      <c r="SG89" s="98"/>
      <c r="SH89" s="98"/>
      <c r="SI89" s="98"/>
      <c r="SJ89" s="98"/>
      <c r="SK89" s="98"/>
      <c r="SL89" s="98"/>
      <c r="SM89" s="98"/>
      <c r="SN89" s="98"/>
      <c r="SO89" s="98"/>
      <c r="SP89" s="98"/>
      <c r="SQ89" s="98"/>
      <c r="SR89" s="98"/>
      <c r="SS89" s="98"/>
      <c r="ST89" s="98"/>
      <c r="SU89" s="98"/>
      <c r="SV89" s="98"/>
      <c r="SW89" s="98"/>
      <c r="SX89" s="98"/>
      <c r="SY89" s="98"/>
      <c r="SZ89" s="98"/>
      <c r="TA89" s="98"/>
      <c r="TB89" s="98"/>
      <c r="TC89" s="98"/>
      <c r="TD89" s="98"/>
      <c r="TE89" s="98"/>
      <c r="TF89" s="98"/>
      <c r="TG89" s="98"/>
      <c r="TH89" s="98"/>
      <c r="TI89" s="98"/>
      <c r="TJ89" s="98"/>
      <c r="TK89" s="98"/>
    </row>
    <row r="90" spans="1:531" s="98" customFormat="1" ht="26.1" customHeight="1">
      <c r="A90" s="412" t="s">
        <v>385</v>
      </c>
      <c r="B90" s="412"/>
      <c r="C90" s="412"/>
      <c r="D90" s="427">
        <v>5</v>
      </c>
      <c r="E90" s="412"/>
      <c r="F90" s="412"/>
      <c r="G90" s="412"/>
      <c r="H90" s="415"/>
      <c r="I90" s="416"/>
      <c r="J90" s="416"/>
      <c r="K90" s="417"/>
      <c r="L90" s="418"/>
      <c r="M90" s="418"/>
      <c r="N90" s="417"/>
      <c r="O90" s="417"/>
      <c r="P90" s="417"/>
      <c r="Q90" s="419"/>
      <c r="R90" s="417"/>
      <c r="S90" s="416"/>
      <c r="T90" s="416"/>
      <c r="U90" s="416"/>
      <c r="V90" s="416"/>
      <c r="W90" s="416"/>
      <c r="X90" s="418"/>
      <c r="Y90" s="416"/>
      <c r="Z90" s="416"/>
      <c r="AA90" s="416"/>
      <c r="AB90" s="416"/>
      <c r="AC90" s="416"/>
      <c r="AD90" s="418"/>
      <c r="AE90" s="416"/>
      <c r="AF90" s="416"/>
      <c r="AG90" s="416"/>
      <c r="AH90" s="416"/>
      <c r="AI90" s="416"/>
      <c r="AJ90" s="417"/>
      <c r="AK90" s="416"/>
      <c r="AL90" s="416"/>
      <c r="AM90" s="416"/>
      <c r="AN90" s="416"/>
      <c r="AO90" s="416"/>
      <c r="AP90" s="428"/>
      <c r="AQ90" s="416"/>
      <c r="AR90" s="416"/>
      <c r="AS90" s="416"/>
      <c r="AT90" s="416"/>
      <c r="AU90" s="416"/>
      <c r="AV90" s="428"/>
      <c r="AW90" s="416"/>
      <c r="AX90" s="416"/>
      <c r="AY90" s="416"/>
      <c r="AZ90" s="416"/>
      <c r="BA90" s="416"/>
      <c r="BB90" s="418"/>
      <c r="BC90" s="416"/>
      <c r="BD90" s="416"/>
      <c r="BE90" s="416"/>
      <c r="BF90" s="416"/>
      <c r="BG90" s="416"/>
      <c r="BH90" s="418"/>
      <c r="BI90" s="416"/>
      <c r="BJ90" s="416"/>
      <c r="BK90" s="416"/>
      <c r="BL90" s="416"/>
      <c r="BM90" s="416"/>
      <c r="BN90" s="418"/>
      <c r="BO90" s="416"/>
      <c r="BP90" s="416"/>
      <c r="BQ90" s="416"/>
      <c r="BR90" s="416"/>
      <c r="BS90" s="416"/>
      <c r="BT90" s="418"/>
      <c r="BU90" s="416"/>
      <c r="BV90" s="416"/>
      <c r="BW90" s="416"/>
      <c r="BX90" s="416"/>
      <c r="BY90" s="416"/>
      <c r="BZ90" s="420"/>
      <c r="CA90" s="421"/>
    </row>
    <row r="91" spans="1:531" s="96" customFormat="1" ht="26.1" customHeight="1">
      <c r="A91" s="433" t="s">
        <v>347</v>
      </c>
      <c r="B91" s="457" t="s">
        <v>383</v>
      </c>
      <c r="C91" s="458"/>
      <c r="D91" s="458"/>
      <c r="E91" s="458"/>
      <c r="F91" s="458"/>
      <c r="G91" s="458"/>
      <c r="H91" s="459"/>
      <c r="I91" s="103">
        <v>1674</v>
      </c>
      <c r="J91" s="103">
        <v>1116</v>
      </c>
      <c r="K91" s="103">
        <f>SUM(K92:K93)</f>
        <v>225</v>
      </c>
      <c r="L91" s="103">
        <f>SUM(L92:L93)</f>
        <v>150</v>
      </c>
      <c r="M91" s="103">
        <f t="shared" ref="M91:Q91" si="314">SUM(M92:M93)</f>
        <v>92</v>
      </c>
      <c r="N91" s="103">
        <f t="shared" si="314"/>
        <v>58</v>
      </c>
      <c r="O91" s="103">
        <f t="shared" si="314"/>
        <v>0</v>
      </c>
      <c r="P91" s="103">
        <f t="shared" si="314"/>
        <v>0</v>
      </c>
      <c r="Q91" s="103">
        <f t="shared" si="314"/>
        <v>75</v>
      </c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>
        <f>AD92</f>
        <v>48</v>
      </c>
      <c r="AE91" s="103">
        <f t="shared" ref="AE91:AI91" si="315">AE92</f>
        <v>32</v>
      </c>
      <c r="AF91" s="103">
        <f t="shared" si="315"/>
        <v>0</v>
      </c>
      <c r="AG91" s="103">
        <f t="shared" si="315"/>
        <v>0</v>
      </c>
      <c r="AH91" s="103">
        <f t="shared" si="315"/>
        <v>0</v>
      </c>
      <c r="AI91" s="103">
        <f t="shared" si="315"/>
        <v>16</v>
      </c>
      <c r="AJ91" s="103">
        <f>AJ92</f>
        <v>102</v>
      </c>
      <c r="AK91" s="103">
        <f t="shared" ref="AK91" si="316">AK92</f>
        <v>60</v>
      </c>
      <c r="AL91" s="103">
        <f t="shared" ref="AL91" si="317">AL92</f>
        <v>8</v>
      </c>
      <c r="AM91" s="103">
        <f t="shared" ref="AM91" si="318">AM92</f>
        <v>0</v>
      </c>
      <c r="AN91" s="103">
        <f t="shared" ref="AN91" si="319">AN92</f>
        <v>0</v>
      </c>
      <c r="AO91" s="103">
        <f t="shared" ref="AO91" si="320">AO92</f>
        <v>34</v>
      </c>
      <c r="AP91" s="103">
        <f t="shared" ref="AP91" si="321">SUM(AP92:AP93)</f>
        <v>0</v>
      </c>
      <c r="AQ91" s="103">
        <f t="shared" ref="AQ91" si="322">SUM(AQ92:AQ93)</f>
        <v>0</v>
      </c>
      <c r="AR91" s="103">
        <f t="shared" ref="AR91" si="323">SUM(AR92:AR93)</f>
        <v>0</v>
      </c>
      <c r="AS91" s="103">
        <f t="shared" ref="AS91" si="324">SUM(AS92:AS93)</f>
        <v>0</v>
      </c>
      <c r="AT91" s="103">
        <f t="shared" ref="AT91" si="325">SUM(AT92:AT93)</f>
        <v>0</v>
      </c>
      <c r="AU91" s="103">
        <f t="shared" ref="AU91" si="326">SUM(AU92:AU93)</f>
        <v>0</v>
      </c>
      <c r="AV91" s="103">
        <f t="shared" ref="AV91" si="327">SUM(AV92:AV93)</f>
        <v>0</v>
      </c>
      <c r="AW91" s="103">
        <f t="shared" ref="AW91" si="328">SUM(AW92:AW93)</f>
        <v>0</v>
      </c>
      <c r="AX91" s="103">
        <f t="shared" ref="AX91" si="329">SUM(AX92:AX93)</f>
        <v>0</v>
      </c>
      <c r="AY91" s="103">
        <f t="shared" ref="AY91" si="330">SUM(AY92:AY93)</f>
        <v>0</v>
      </c>
      <c r="AZ91" s="103">
        <f t="shared" ref="AZ91" si="331">SUM(AZ92:AZ93)</f>
        <v>0</v>
      </c>
      <c r="BA91" s="103">
        <f t="shared" ref="BA91" si="332">SUM(BA92:BA93)</f>
        <v>0</v>
      </c>
      <c r="BB91" s="103">
        <f t="shared" ref="BB91" si="333">SUM(BB92:BB93)</f>
        <v>0</v>
      </c>
      <c r="BC91" s="103">
        <f t="shared" ref="BC91" si="334">SUM(BC92:BC93)</f>
        <v>0</v>
      </c>
      <c r="BD91" s="103">
        <f t="shared" ref="BD91" si="335">SUM(BD92:BD93)</f>
        <v>0</v>
      </c>
      <c r="BE91" s="103">
        <f t="shared" ref="BE91" si="336">SUM(BE92:BE93)</f>
        <v>0</v>
      </c>
      <c r="BF91" s="103">
        <f t="shared" ref="BF91" si="337">SUM(BF92:BF93)</f>
        <v>0</v>
      </c>
      <c r="BG91" s="103">
        <f t="shared" ref="BG91" si="338">SUM(BG92:BG93)</f>
        <v>0</v>
      </c>
      <c r="BH91" s="103">
        <f t="shared" ref="BH91" si="339">SUM(BH92:BH93)</f>
        <v>0</v>
      </c>
      <c r="BI91" s="103">
        <f t="shared" ref="BI91" si="340">SUM(BI92:BI93)</f>
        <v>0</v>
      </c>
      <c r="BJ91" s="103">
        <f t="shared" ref="BJ91" si="341">SUM(BJ92:BJ93)</f>
        <v>0</v>
      </c>
      <c r="BK91" s="103">
        <f t="shared" ref="BK91" si="342">SUM(BK92:BK93)</f>
        <v>0</v>
      </c>
      <c r="BL91" s="103">
        <f t="shared" ref="BL91" si="343">SUM(BL92:BL93)</f>
        <v>0</v>
      </c>
      <c r="BM91" s="103">
        <f t="shared" ref="BM91" si="344">SUM(BM92:BM93)</f>
        <v>0</v>
      </c>
      <c r="BN91" s="103">
        <f t="shared" ref="BN91" si="345">SUM(BN92:BN93)</f>
        <v>0</v>
      </c>
      <c r="BO91" s="103">
        <f t="shared" ref="BO91" si="346">SUM(BO92:BO93)</f>
        <v>0</v>
      </c>
      <c r="BP91" s="103">
        <f t="shared" ref="BP91" si="347">SUM(BP92:BP93)</f>
        <v>16</v>
      </c>
      <c r="BQ91" s="103">
        <f t="shared" ref="BQ91" si="348">SUM(BQ92:BQ93)</f>
        <v>0</v>
      </c>
      <c r="BR91" s="103">
        <f t="shared" ref="BR91" si="349">SUM(BR92:BR93)</f>
        <v>0</v>
      </c>
      <c r="BS91" s="103">
        <f t="shared" ref="BS91" si="350">SUM(BS92:BS93)</f>
        <v>8</v>
      </c>
      <c r="BT91" s="103">
        <f>SUM(BT92:BT93)</f>
        <v>51</v>
      </c>
      <c r="BU91" s="103">
        <f t="shared" ref="BU91" si="351">SUM(BU92:BU93)</f>
        <v>0</v>
      </c>
      <c r="BV91" s="103">
        <f t="shared" ref="BV91" si="352">SUM(BV92:BV93)</f>
        <v>34</v>
      </c>
      <c r="BW91" s="103">
        <f t="shared" ref="BW91" si="353">SUM(BW92:BW93)</f>
        <v>0</v>
      </c>
      <c r="BX91" s="103">
        <f t="shared" ref="BX91" si="354">SUM(BX92:BX93)</f>
        <v>0</v>
      </c>
      <c r="BY91" s="103">
        <f t="shared" ref="BY91" si="355">SUM(BY92:BY93)</f>
        <v>17</v>
      </c>
      <c r="BZ91" s="434"/>
      <c r="CA91" s="435"/>
    </row>
    <row r="92" spans="1:531" s="127" customFormat="1" ht="26.1" customHeight="1">
      <c r="A92" s="533" t="s">
        <v>544</v>
      </c>
      <c r="B92" s="219" t="s">
        <v>465</v>
      </c>
      <c r="C92" s="219" t="s">
        <v>580</v>
      </c>
      <c r="D92" s="534" t="s">
        <v>40</v>
      </c>
      <c r="E92" s="534"/>
      <c r="F92" s="534"/>
      <c r="G92" s="405"/>
      <c r="H92" s="405" t="s">
        <v>30</v>
      </c>
      <c r="I92" s="129"/>
      <c r="J92" s="102"/>
      <c r="K92" s="92">
        <f>L92+SUM(Q92:Q92)</f>
        <v>150</v>
      </c>
      <c r="L92" s="101">
        <f>SUM(M92:P92)</f>
        <v>100</v>
      </c>
      <c r="M92" s="101">
        <f t="shared" ref="M92:Q93" si="356">S92+Y92+AE92+AK92+AQ92+AW92+BC92+BI92+BO92+BU92</f>
        <v>92</v>
      </c>
      <c r="N92" s="101">
        <f t="shared" si="356"/>
        <v>8</v>
      </c>
      <c r="O92" s="101">
        <f t="shared" si="356"/>
        <v>0</v>
      </c>
      <c r="P92" s="101">
        <f t="shared" si="356"/>
        <v>0</v>
      </c>
      <c r="Q92" s="101">
        <f t="shared" si="356"/>
        <v>50</v>
      </c>
      <c r="R92" s="125"/>
      <c r="S92" s="102"/>
      <c r="T92" s="102"/>
      <c r="U92" s="102"/>
      <c r="V92" s="102"/>
      <c r="W92" s="102"/>
      <c r="X92" s="125"/>
      <c r="Y92" s="102"/>
      <c r="Z92" s="102"/>
      <c r="AA92" s="102"/>
      <c r="AB92" s="102"/>
      <c r="AC92" s="102"/>
      <c r="AD92" s="125">
        <f>SUM(AE92:AI92)</f>
        <v>48</v>
      </c>
      <c r="AE92" s="102">
        <v>32</v>
      </c>
      <c r="AF92" s="102"/>
      <c r="AG92" s="102"/>
      <c r="AH92" s="102"/>
      <c r="AI92" s="102">
        <v>16</v>
      </c>
      <c r="AJ92" s="125">
        <f>SUM(AK92:AO92)</f>
        <v>102</v>
      </c>
      <c r="AK92" s="102">
        <v>60</v>
      </c>
      <c r="AL92" s="102">
        <v>8</v>
      </c>
      <c r="AM92" s="102"/>
      <c r="AN92" s="102"/>
      <c r="AO92" s="102">
        <v>34</v>
      </c>
      <c r="AP92" s="125">
        <f>SUM(AQ92:AU92)</f>
        <v>0</v>
      </c>
      <c r="AQ92" s="102"/>
      <c r="AR92" s="102"/>
      <c r="AS92" s="102"/>
      <c r="AT92" s="102"/>
      <c r="AU92" s="102"/>
      <c r="AV92" s="125"/>
      <c r="AW92" s="102"/>
      <c r="AX92" s="102"/>
      <c r="AY92" s="102"/>
      <c r="AZ92" s="102"/>
      <c r="BA92" s="102"/>
      <c r="BB92" s="125"/>
      <c r="BC92" s="102"/>
      <c r="BD92" s="102"/>
      <c r="BE92" s="102"/>
      <c r="BF92" s="102"/>
      <c r="BG92" s="102"/>
      <c r="BH92" s="125"/>
      <c r="BI92" s="102"/>
      <c r="BJ92" s="102"/>
      <c r="BK92" s="102"/>
      <c r="BL92" s="102"/>
      <c r="BM92" s="102"/>
      <c r="BN92" s="126"/>
      <c r="BO92" s="195"/>
      <c r="BP92" s="195"/>
      <c r="BQ92" s="195"/>
      <c r="BR92" s="195"/>
      <c r="BS92" s="195"/>
      <c r="BT92" s="397"/>
      <c r="BU92" s="195"/>
      <c r="BV92" s="195"/>
      <c r="BW92" s="195"/>
      <c r="BX92" s="195"/>
      <c r="BY92" s="195"/>
      <c r="BZ92" s="436" t="s">
        <v>508</v>
      </c>
      <c r="CA92" s="93" t="s">
        <v>644</v>
      </c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98"/>
      <c r="DM92" s="98"/>
      <c r="DN92" s="98"/>
      <c r="DO92" s="98"/>
      <c r="DP92" s="98"/>
      <c r="DQ92" s="98"/>
      <c r="DR92" s="98"/>
      <c r="DS92" s="98"/>
      <c r="DT92" s="98"/>
      <c r="DU92" s="98"/>
      <c r="DV92" s="98"/>
      <c r="DW92" s="98"/>
      <c r="DX92" s="98"/>
      <c r="DY92" s="98"/>
      <c r="DZ92" s="98"/>
      <c r="EA92" s="98"/>
      <c r="EB92" s="98"/>
      <c r="EC92" s="98"/>
      <c r="ED92" s="98"/>
      <c r="EE92" s="98"/>
      <c r="EF92" s="98"/>
      <c r="EG92" s="98"/>
      <c r="EH92" s="98"/>
      <c r="EI92" s="98"/>
      <c r="EJ92" s="98"/>
      <c r="EK92" s="98"/>
      <c r="EL92" s="98"/>
      <c r="EM92" s="98"/>
      <c r="EN92" s="98"/>
      <c r="EO92" s="98"/>
      <c r="EP92" s="98"/>
      <c r="EQ92" s="98"/>
      <c r="ER92" s="98"/>
      <c r="ES92" s="98"/>
      <c r="ET92" s="98"/>
      <c r="EU92" s="98"/>
      <c r="EV92" s="98"/>
      <c r="EW92" s="98"/>
      <c r="EX92" s="98"/>
      <c r="EY92" s="98"/>
      <c r="EZ92" s="98"/>
      <c r="FA92" s="98"/>
      <c r="FB92" s="98"/>
      <c r="FC92" s="98"/>
      <c r="FD92" s="98"/>
      <c r="FE92" s="98"/>
      <c r="FF92" s="98"/>
      <c r="FG92" s="98"/>
      <c r="FH92" s="98"/>
      <c r="FI92" s="98"/>
      <c r="FJ92" s="98"/>
      <c r="FK92" s="98"/>
      <c r="FL92" s="98"/>
      <c r="FM92" s="98"/>
      <c r="FN92" s="98"/>
      <c r="FO92" s="98"/>
      <c r="FP92" s="98"/>
      <c r="FQ92" s="98"/>
      <c r="FR92" s="98"/>
      <c r="FS92" s="98"/>
      <c r="FT92" s="98"/>
      <c r="FU92" s="98"/>
      <c r="FV92" s="98"/>
      <c r="FW92" s="98"/>
      <c r="FX92" s="98"/>
      <c r="FY92" s="98"/>
      <c r="FZ92" s="98"/>
      <c r="GA92" s="98"/>
      <c r="GB92" s="98"/>
      <c r="GC92" s="98"/>
      <c r="GD92" s="98"/>
      <c r="GE92" s="98"/>
      <c r="GF92" s="98"/>
      <c r="GG92" s="98"/>
      <c r="GH92" s="98"/>
      <c r="GI92" s="98"/>
      <c r="GJ92" s="98"/>
      <c r="GK92" s="98"/>
      <c r="GL92" s="98"/>
      <c r="GM92" s="98"/>
      <c r="GN92" s="98"/>
      <c r="GO92" s="98"/>
      <c r="GP92" s="98"/>
      <c r="GQ92" s="98"/>
      <c r="GR92" s="98"/>
      <c r="GS92" s="98"/>
      <c r="GT92" s="98"/>
      <c r="GU92" s="98"/>
      <c r="GV92" s="98"/>
      <c r="GW92" s="98"/>
      <c r="GX92" s="98"/>
      <c r="GY92" s="98"/>
      <c r="GZ92" s="98"/>
      <c r="HA92" s="98"/>
      <c r="HB92" s="98"/>
      <c r="HC92" s="98"/>
      <c r="HD92" s="98"/>
      <c r="HE92" s="98"/>
      <c r="HF92" s="98"/>
      <c r="HG92" s="98"/>
      <c r="HH92" s="98"/>
      <c r="HI92" s="98"/>
      <c r="HJ92" s="98"/>
      <c r="HK92" s="98"/>
      <c r="HL92" s="98"/>
      <c r="HM92" s="98"/>
      <c r="HN92" s="98"/>
      <c r="HO92" s="98"/>
      <c r="HP92" s="98"/>
      <c r="HQ92" s="98"/>
      <c r="HR92" s="98"/>
      <c r="HS92" s="98"/>
      <c r="HT92" s="98"/>
      <c r="HU92" s="98"/>
      <c r="HV92" s="98"/>
      <c r="HW92" s="98"/>
      <c r="HX92" s="98"/>
      <c r="HY92" s="98"/>
      <c r="HZ92" s="98"/>
      <c r="IA92" s="98"/>
      <c r="IB92" s="98"/>
      <c r="IC92" s="98"/>
      <c r="ID92" s="98"/>
      <c r="IE92" s="98"/>
      <c r="IF92" s="98"/>
      <c r="IG92" s="98"/>
      <c r="IH92" s="98"/>
      <c r="II92" s="98"/>
      <c r="IJ92" s="98"/>
      <c r="IK92" s="98"/>
      <c r="IL92" s="98"/>
      <c r="IM92" s="98"/>
      <c r="IN92" s="98"/>
      <c r="IO92" s="98"/>
      <c r="IP92" s="98"/>
      <c r="IQ92" s="98"/>
      <c r="IR92" s="98"/>
      <c r="IS92" s="98"/>
      <c r="IT92" s="98"/>
      <c r="IU92" s="98"/>
      <c r="IV92" s="98"/>
      <c r="IW92" s="98"/>
      <c r="IX92" s="98"/>
      <c r="IY92" s="98"/>
      <c r="IZ92" s="98"/>
      <c r="JA92" s="98"/>
      <c r="JB92" s="98"/>
      <c r="JC92" s="98"/>
      <c r="JD92" s="98"/>
      <c r="JE92" s="98"/>
      <c r="JF92" s="98"/>
      <c r="JG92" s="98"/>
      <c r="JH92" s="98"/>
      <c r="JI92" s="98"/>
      <c r="JJ92" s="98"/>
      <c r="JK92" s="98"/>
      <c r="JL92" s="98"/>
      <c r="JM92" s="98"/>
      <c r="JN92" s="98"/>
      <c r="JO92" s="98"/>
      <c r="JP92" s="98"/>
      <c r="JQ92" s="98"/>
      <c r="JR92" s="98"/>
      <c r="JS92" s="98"/>
      <c r="JT92" s="98"/>
      <c r="JU92" s="98"/>
      <c r="JV92" s="98"/>
      <c r="JW92" s="98"/>
      <c r="JX92" s="98"/>
      <c r="JY92" s="98"/>
      <c r="JZ92" s="98"/>
      <c r="KA92" s="98"/>
      <c r="KB92" s="98"/>
      <c r="KC92" s="98"/>
      <c r="KD92" s="98"/>
      <c r="KE92" s="98"/>
      <c r="KF92" s="98"/>
      <c r="KG92" s="98"/>
      <c r="KH92" s="98"/>
      <c r="KI92" s="98"/>
      <c r="KJ92" s="98"/>
      <c r="KK92" s="98"/>
      <c r="KL92" s="98"/>
      <c r="KM92" s="98"/>
      <c r="KN92" s="98"/>
      <c r="KO92" s="98"/>
      <c r="KP92" s="98"/>
      <c r="KQ92" s="98"/>
      <c r="KR92" s="98"/>
      <c r="KS92" s="98"/>
      <c r="KT92" s="98"/>
      <c r="KU92" s="98"/>
      <c r="KV92" s="98"/>
      <c r="KW92" s="98"/>
      <c r="KX92" s="98"/>
      <c r="KY92" s="98"/>
      <c r="KZ92" s="98"/>
      <c r="LA92" s="98"/>
      <c r="LB92" s="98"/>
      <c r="LC92" s="98"/>
      <c r="LD92" s="98"/>
      <c r="LE92" s="98"/>
      <c r="LF92" s="98"/>
      <c r="LG92" s="98"/>
      <c r="LH92" s="98"/>
      <c r="LI92" s="98"/>
      <c r="LJ92" s="98"/>
      <c r="LK92" s="98"/>
      <c r="LL92" s="98"/>
      <c r="LM92" s="98"/>
      <c r="LN92" s="98"/>
      <c r="LO92" s="98"/>
      <c r="LP92" s="98"/>
      <c r="LQ92" s="98"/>
      <c r="LR92" s="98"/>
      <c r="LS92" s="98"/>
      <c r="LT92" s="98"/>
      <c r="LU92" s="98"/>
      <c r="LV92" s="98"/>
      <c r="LW92" s="98"/>
      <c r="LX92" s="98"/>
      <c r="LY92" s="98"/>
      <c r="LZ92" s="98"/>
      <c r="MA92" s="98"/>
      <c r="MB92" s="98"/>
      <c r="MC92" s="98"/>
      <c r="MD92" s="98"/>
      <c r="ME92" s="98"/>
      <c r="MF92" s="98"/>
      <c r="MG92" s="98"/>
      <c r="MH92" s="98"/>
      <c r="MI92" s="98"/>
      <c r="MJ92" s="98"/>
      <c r="MK92" s="98"/>
      <c r="ML92" s="98"/>
      <c r="MM92" s="98"/>
      <c r="MN92" s="98"/>
      <c r="MO92" s="98"/>
      <c r="MP92" s="98"/>
      <c r="MQ92" s="98"/>
      <c r="MR92" s="98"/>
      <c r="MS92" s="98"/>
      <c r="MT92" s="98"/>
      <c r="MU92" s="98"/>
      <c r="MV92" s="98"/>
      <c r="MW92" s="98"/>
      <c r="MX92" s="98"/>
      <c r="MY92" s="98"/>
      <c r="MZ92" s="98"/>
      <c r="NA92" s="98"/>
      <c r="NB92" s="98"/>
      <c r="NC92" s="98"/>
      <c r="ND92" s="98"/>
      <c r="NE92" s="98"/>
      <c r="NF92" s="98"/>
      <c r="NG92" s="98"/>
      <c r="NH92" s="98"/>
      <c r="NI92" s="98"/>
      <c r="NJ92" s="98"/>
      <c r="NK92" s="98"/>
      <c r="NL92" s="98"/>
      <c r="NM92" s="98"/>
      <c r="NN92" s="98"/>
      <c r="NO92" s="98"/>
      <c r="NP92" s="98"/>
      <c r="NQ92" s="98"/>
      <c r="NR92" s="98"/>
      <c r="NS92" s="98"/>
      <c r="NT92" s="98"/>
      <c r="NU92" s="98"/>
      <c r="NV92" s="98"/>
      <c r="NW92" s="98"/>
      <c r="NX92" s="98"/>
      <c r="NY92" s="98"/>
      <c r="NZ92" s="98"/>
      <c r="OA92" s="98"/>
      <c r="OB92" s="98"/>
      <c r="OC92" s="98"/>
      <c r="OD92" s="98"/>
      <c r="OE92" s="98"/>
      <c r="OF92" s="98"/>
      <c r="OG92" s="98"/>
      <c r="OH92" s="98"/>
      <c r="OI92" s="98"/>
      <c r="OJ92" s="98"/>
      <c r="OK92" s="98"/>
      <c r="OL92" s="98"/>
      <c r="OM92" s="98"/>
      <c r="ON92" s="98"/>
      <c r="OO92" s="98"/>
      <c r="OP92" s="98"/>
      <c r="OQ92" s="98"/>
      <c r="OR92" s="98"/>
      <c r="OS92" s="98"/>
      <c r="OT92" s="98"/>
      <c r="OU92" s="98"/>
      <c r="OV92" s="98"/>
      <c r="OW92" s="98"/>
      <c r="OX92" s="98"/>
      <c r="OY92" s="98"/>
      <c r="OZ92" s="98"/>
      <c r="PA92" s="98"/>
      <c r="PB92" s="98"/>
      <c r="PC92" s="98"/>
      <c r="PD92" s="98"/>
      <c r="PE92" s="98"/>
      <c r="PF92" s="98"/>
      <c r="PG92" s="98"/>
      <c r="PH92" s="98"/>
      <c r="PI92" s="98"/>
      <c r="PJ92" s="98"/>
      <c r="PK92" s="98"/>
      <c r="PL92" s="98"/>
      <c r="PM92" s="98"/>
      <c r="PN92" s="98"/>
      <c r="PO92" s="98"/>
      <c r="PP92" s="98"/>
      <c r="PQ92" s="98"/>
      <c r="PR92" s="98"/>
      <c r="PS92" s="98"/>
      <c r="PT92" s="98"/>
      <c r="PU92" s="98"/>
      <c r="PV92" s="98"/>
      <c r="PW92" s="98"/>
      <c r="PX92" s="98"/>
      <c r="PY92" s="98"/>
      <c r="PZ92" s="98"/>
      <c r="QA92" s="98"/>
      <c r="QB92" s="98"/>
      <c r="QC92" s="98"/>
      <c r="QD92" s="98"/>
      <c r="QE92" s="98"/>
      <c r="QF92" s="98"/>
      <c r="QG92" s="98"/>
      <c r="QH92" s="98"/>
      <c r="QI92" s="98"/>
      <c r="QJ92" s="98"/>
      <c r="QK92" s="98"/>
      <c r="QL92" s="98"/>
      <c r="QM92" s="98"/>
      <c r="QN92" s="98"/>
      <c r="QO92" s="98"/>
      <c r="QP92" s="98"/>
      <c r="QQ92" s="98"/>
      <c r="QR92" s="98"/>
      <c r="QS92" s="98"/>
      <c r="QT92" s="98"/>
      <c r="QU92" s="98"/>
      <c r="QV92" s="98"/>
      <c r="QW92" s="98"/>
      <c r="QX92" s="98"/>
      <c r="QY92" s="98"/>
      <c r="QZ92" s="98"/>
      <c r="RA92" s="98"/>
      <c r="RB92" s="98"/>
      <c r="RC92" s="98"/>
      <c r="RD92" s="98"/>
      <c r="RE92" s="98"/>
      <c r="RF92" s="98"/>
      <c r="RG92" s="98"/>
      <c r="RH92" s="98"/>
      <c r="RI92" s="98"/>
      <c r="RJ92" s="98"/>
      <c r="RK92" s="98"/>
      <c r="RL92" s="98"/>
      <c r="RM92" s="98"/>
      <c r="RN92" s="98"/>
      <c r="RO92" s="98"/>
      <c r="RP92" s="98"/>
      <c r="RQ92" s="98"/>
      <c r="RR92" s="98"/>
      <c r="RS92" s="98"/>
      <c r="RT92" s="98"/>
      <c r="RU92" s="98"/>
      <c r="RV92" s="98"/>
      <c r="RW92" s="98"/>
      <c r="RX92" s="98"/>
      <c r="RY92" s="98"/>
      <c r="RZ92" s="98"/>
      <c r="SA92" s="98"/>
      <c r="SB92" s="98"/>
      <c r="SC92" s="98"/>
      <c r="SD92" s="98"/>
      <c r="SE92" s="98"/>
      <c r="SF92" s="98"/>
      <c r="SG92" s="98"/>
      <c r="SH92" s="98"/>
      <c r="SI92" s="98"/>
      <c r="SJ92" s="98"/>
      <c r="SK92" s="98"/>
      <c r="SL92" s="98"/>
      <c r="SM92" s="98"/>
      <c r="SN92" s="98"/>
      <c r="SO92" s="98"/>
      <c r="SP92" s="98"/>
      <c r="SQ92" s="98"/>
      <c r="SR92" s="98"/>
      <c r="SS92" s="98"/>
      <c r="ST92" s="98"/>
      <c r="SU92" s="98"/>
      <c r="SV92" s="98"/>
      <c r="SW92" s="98"/>
      <c r="SX92" s="98"/>
      <c r="SY92" s="98"/>
      <c r="SZ92" s="98"/>
      <c r="TA92" s="98"/>
      <c r="TB92" s="98"/>
      <c r="TC92" s="98"/>
      <c r="TD92" s="98"/>
      <c r="TE92" s="98"/>
      <c r="TF92" s="98"/>
      <c r="TG92" s="98"/>
      <c r="TH92" s="98"/>
      <c r="TI92" s="98"/>
      <c r="TJ92" s="98"/>
      <c r="TK92" s="98"/>
    </row>
    <row r="93" spans="1:531" s="89" customFormat="1" ht="26.1" customHeight="1">
      <c r="A93" s="533" t="s">
        <v>543</v>
      </c>
      <c r="B93" s="218" t="s">
        <v>624</v>
      </c>
      <c r="C93" s="219"/>
      <c r="D93" s="405"/>
      <c r="E93" s="405" t="s">
        <v>417</v>
      </c>
      <c r="F93" s="405"/>
      <c r="G93" s="405"/>
      <c r="H93" s="99" t="s">
        <v>39</v>
      </c>
      <c r="I93" s="93"/>
      <c r="J93" s="93"/>
      <c r="K93" s="92">
        <f>L93+SUM(Q93:Q93)</f>
        <v>75</v>
      </c>
      <c r="L93" s="92">
        <f>SUM(M93:P93)</f>
        <v>50</v>
      </c>
      <c r="M93" s="92">
        <f t="shared" si="356"/>
        <v>0</v>
      </c>
      <c r="N93" s="92">
        <f t="shared" si="356"/>
        <v>50</v>
      </c>
      <c r="O93" s="92">
        <f t="shared" si="356"/>
        <v>0</v>
      </c>
      <c r="P93" s="92">
        <f t="shared" si="356"/>
        <v>0</v>
      </c>
      <c r="Q93" s="92">
        <f t="shared" si="356"/>
        <v>25</v>
      </c>
      <c r="R93" s="125"/>
      <c r="S93" s="93"/>
      <c r="T93" s="93"/>
      <c r="U93" s="93"/>
      <c r="V93" s="93"/>
      <c r="W93" s="93"/>
      <c r="X93" s="125"/>
      <c r="Y93" s="93"/>
      <c r="Z93" s="93"/>
      <c r="AA93" s="93"/>
      <c r="AB93" s="93"/>
      <c r="AC93" s="93"/>
      <c r="AD93" s="125"/>
      <c r="AE93" s="93"/>
      <c r="AF93" s="93"/>
      <c r="AG93" s="93"/>
      <c r="AH93" s="93"/>
      <c r="AI93" s="93"/>
      <c r="AJ93" s="125"/>
      <c r="AK93" s="93"/>
      <c r="AL93" s="93"/>
      <c r="AM93" s="93"/>
      <c r="AN93" s="93"/>
      <c r="AO93" s="93"/>
      <c r="AP93" s="125"/>
      <c r="AQ93" s="93"/>
      <c r="AR93" s="93"/>
      <c r="AS93" s="93"/>
      <c r="AT93" s="93"/>
      <c r="AU93" s="93"/>
      <c r="AV93" s="125"/>
      <c r="AW93" s="93"/>
      <c r="AX93" s="93"/>
      <c r="AY93" s="93"/>
      <c r="AZ93" s="93"/>
      <c r="BA93" s="93"/>
      <c r="BB93" s="125"/>
      <c r="BC93" s="93"/>
      <c r="BD93" s="93"/>
      <c r="BE93" s="93"/>
      <c r="BF93" s="93"/>
      <c r="BG93" s="93"/>
      <c r="BH93" s="125"/>
      <c r="BI93" s="93"/>
      <c r="BJ93" s="93"/>
      <c r="BK93" s="93"/>
      <c r="BL93" s="93"/>
      <c r="BM93" s="93"/>
      <c r="BN93" s="125"/>
      <c r="BO93" s="195"/>
      <c r="BP93" s="195">
        <v>16</v>
      </c>
      <c r="BQ93" s="195"/>
      <c r="BR93" s="195"/>
      <c r="BS93" s="195">
        <v>8</v>
      </c>
      <c r="BT93" s="397">
        <f>SUM(BU93:BY93)</f>
        <v>51</v>
      </c>
      <c r="BU93" s="195"/>
      <c r="BV93" s="195">
        <v>34</v>
      </c>
      <c r="BW93" s="195"/>
      <c r="BX93" s="195"/>
      <c r="BY93" s="195">
        <v>17</v>
      </c>
      <c r="BZ93" s="91" t="s">
        <v>498</v>
      </c>
      <c r="CA93" s="364" t="s">
        <v>466</v>
      </c>
    </row>
    <row r="94" spans="1:531" s="96" customFormat="1" ht="27" customHeight="1">
      <c r="A94" s="437" t="s">
        <v>214</v>
      </c>
      <c r="B94" s="438" t="s">
        <v>6</v>
      </c>
      <c r="C94" s="438"/>
      <c r="D94" s="438"/>
      <c r="E94" s="439">
        <v>4</v>
      </c>
      <c r="F94" s="439"/>
      <c r="G94" s="438"/>
      <c r="H94" s="438"/>
      <c r="I94" s="368"/>
      <c r="J94" s="368">
        <v>324</v>
      </c>
      <c r="K94" s="368">
        <f t="shared" ref="K94:AP94" si="357">SUM(K95:K97)</f>
        <v>324</v>
      </c>
      <c r="L94" s="368">
        <f t="shared" si="357"/>
        <v>324</v>
      </c>
      <c r="M94" s="368">
        <f t="shared" si="357"/>
        <v>0</v>
      </c>
      <c r="N94" s="368">
        <f t="shared" si="357"/>
        <v>0</v>
      </c>
      <c r="O94" s="368">
        <f t="shared" si="357"/>
        <v>0</v>
      </c>
      <c r="P94" s="368">
        <f t="shared" si="357"/>
        <v>324</v>
      </c>
      <c r="Q94" s="368">
        <f t="shared" si="357"/>
        <v>0</v>
      </c>
      <c r="R94" s="368">
        <f t="shared" si="357"/>
        <v>0</v>
      </c>
      <c r="S94" s="368">
        <f t="shared" si="357"/>
        <v>0</v>
      </c>
      <c r="T94" s="368">
        <f t="shared" si="357"/>
        <v>0</v>
      </c>
      <c r="U94" s="368">
        <f t="shared" si="357"/>
        <v>0</v>
      </c>
      <c r="V94" s="368">
        <f t="shared" si="357"/>
        <v>0</v>
      </c>
      <c r="W94" s="368">
        <f t="shared" si="357"/>
        <v>0</v>
      </c>
      <c r="X94" s="368">
        <f t="shared" si="357"/>
        <v>0</v>
      </c>
      <c r="Y94" s="368">
        <f t="shared" si="357"/>
        <v>0</v>
      </c>
      <c r="Z94" s="368">
        <f t="shared" si="357"/>
        <v>0</v>
      </c>
      <c r="AA94" s="368">
        <f t="shared" si="357"/>
        <v>0</v>
      </c>
      <c r="AB94" s="368">
        <f t="shared" si="357"/>
        <v>0</v>
      </c>
      <c r="AC94" s="368">
        <f t="shared" si="357"/>
        <v>0</v>
      </c>
      <c r="AD94" s="368">
        <f t="shared" si="357"/>
        <v>0</v>
      </c>
      <c r="AE94" s="368">
        <f t="shared" si="357"/>
        <v>0</v>
      </c>
      <c r="AF94" s="368">
        <f t="shared" si="357"/>
        <v>0</v>
      </c>
      <c r="AG94" s="368">
        <f t="shared" si="357"/>
        <v>0</v>
      </c>
      <c r="AH94" s="368">
        <f t="shared" si="357"/>
        <v>0</v>
      </c>
      <c r="AI94" s="368">
        <f t="shared" si="357"/>
        <v>0</v>
      </c>
      <c r="AJ94" s="368">
        <f t="shared" si="357"/>
        <v>324</v>
      </c>
      <c r="AK94" s="368">
        <f t="shared" si="357"/>
        <v>0</v>
      </c>
      <c r="AL94" s="368">
        <f t="shared" si="357"/>
        <v>0</v>
      </c>
      <c r="AM94" s="368">
        <f t="shared" si="357"/>
        <v>0</v>
      </c>
      <c r="AN94" s="368">
        <f t="shared" si="357"/>
        <v>324</v>
      </c>
      <c r="AO94" s="368">
        <f t="shared" si="357"/>
        <v>0</v>
      </c>
      <c r="AP94" s="368">
        <f t="shared" si="357"/>
        <v>0</v>
      </c>
      <c r="AQ94" s="368">
        <f t="shared" ref="AQ94:BV94" si="358">SUM(AQ95:AQ97)</f>
        <v>0</v>
      </c>
      <c r="AR94" s="368">
        <f t="shared" si="358"/>
        <v>0</v>
      </c>
      <c r="AS94" s="368">
        <f t="shared" si="358"/>
        <v>0</v>
      </c>
      <c r="AT94" s="368">
        <f t="shared" si="358"/>
        <v>0</v>
      </c>
      <c r="AU94" s="368">
        <f t="shared" si="358"/>
        <v>0</v>
      </c>
      <c r="AV94" s="368">
        <f t="shared" si="358"/>
        <v>0</v>
      </c>
      <c r="AW94" s="368">
        <f t="shared" si="358"/>
        <v>0</v>
      </c>
      <c r="AX94" s="368">
        <f t="shared" si="358"/>
        <v>0</v>
      </c>
      <c r="AY94" s="368">
        <f t="shared" si="358"/>
        <v>0</v>
      </c>
      <c r="AZ94" s="368">
        <f t="shared" si="358"/>
        <v>0</v>
      </c>
      <c r="BA94" s="368">
        <f t="shared" si="358"/>
        <v>0</v>
      </c>
      <c r="BB94" s="368">
        <f t="shared" si="358"/>
        <v>0</v>
      </c>
      <c r="BC94" s="368">
        <f t="shared" si="358"/>
        <v>0</v>
      </c>
      <c r="BD94" s="368">
        <f t="shared" si="358"/>
        <v>0</v>
      </c>
      <c r="BE94" s="368">
        <f t="shared" si="358"/>
        <v>0</v>
      </c>
      <c r="BF94" s="368">
        <f t="shared" si="358"/>
        <v>0</v>
      </c>
      <c r="BG94" s="368">
        <f t="shared" si="358"/>
        <v>0</v>
      </c>
      <c r="BH94" s="368">
        <f t="shared" si="358"/>
        <v>0</v>
      </c>
      <c r="BI94" s="368">
        <f t="shared" si="358"/>
        <v>0</v>
      </c>
      <c r="BJ94" s="368">
        <f t="shared" si="358"/>
        <v>0</v>
      </c>
      <c r="BK94" s="368">
        <f t="shared" si="358"/>
        <v>0</v>
      </c>
      <c r="BL94" s="368">
        <f t="shared" si="358"/>
        <v>0</v>
      </c>
      <c r="BM94" s="368">
        <f t="shared" si="358"/>
        <v>0</v>
      </c>
      <c r="BN94" s="368">
        <f t="shared" si="358"/>
        <v>0</v>
      </c>
      <c r="BO94" s="368">
        <f t="shared" si="358"/>
        <v>0</v>
      </c>
      <c r="BP94" s="368">
        <f t="shared" si="358"/>
        <v>0</v>
      </c>
      <c r="BQ94" s="368">
        <f t="shared" si="358"/>
        <v>0</v>
      </c>
      <c r="BR94" s="368">
        <f t="shared" si="358"/>
        <v>0</v>
      </c>
      <c r="BS94" s="368">
        <f t="shared" si="358"/>
        <v>0</v>
      </c>
      <c r="BT94" s="368">
        <f t="shared" si="358"/>
        <v>0</v>
      </c>
      <c r="BU94" s="368">
        <f t="shared" si="358"/>
        <v>0</v>
      </c>
      <c r="BV94" s="368">
        <f t="shared" si="358"/>
        <v>0</v>
      </c>
      <c r="BW94" s="368">
        <f t="shared" ref="BW94:BY94" si="359">SUM(BW95:BW97)</f>
        <v>0</v>
      </c>
      <c r="BX94" s="368">
        <f t="shared" si="359"/>
        <v>0</v>
      </c>
      <c r="BY94" s="368">
        <f t="shared" si="359"/>
        <v>0</v>
      </c>
      <c r="BZ94" s="440" t="s">
        <v>519</v>
      </c>
      <c r="CA94" s="441" t="s">
        <v>394</v>
      </c>
    </row>
    <row r="95" spans="1:531" s="89" customFormat="1" ht="33.75" hidden="1" customHeight="1">
      <c r="A95" s="185" t="s">
        <v>215</v>
      </c>
      <c r="B95" s="94" t="s">
        <v>494</v>
      </c>
      <c r="C95" s="94"/>
      <c r="D95" s="91"/>
      <c r="E95" s="91" t="s">
        <v>40</v>
      </c>
      <c r="F95" s="91"/>
      <c r="G95" s="91"/>
      <c r="H95" s="91"/>
      <c r="I95" s="93"/>
      <c r="J95" s="93"/>
      <c r="K95" s="92">
        <f>L95+SUM(Q95:Q95)</f>
        <v>36</v>
      </c>
      <c r="L95" s="92">
        <f>SUM(M95:P95)</f>
        <v>36</v>
      </c>
      <c r="M95" s="92">
        <f t="shared" ref="M95:Q97" si="360">S95+Y95+AE95+AK95+AQ95+AW95+BC95+BI95+BO95+BU95</f>
        <v>0</v>
      </c>
      <c r="N95" s="92">
        <f t="shared" si="360"/>
        <v>0</v>
      </c>
      <c r="O95" s="92">
        <f t="shared" si="360"/>
        <v>0</v>
      </c>
      <c r="P95" s="92">
        <f t="shared" si="360"/>
        <v>36</v>
      </c>
      <c r="Q95" s="92">
        <f t="shared" si="360"/>
        <v>0</v>
      </c>
      <c r="R95" s="125">
        <f>SUM(S95:W95)</f>
        <v>0</v>
      </c>
      <c r="S95" s="93"/>
      <c r="T95" s="93"/>
      <c r="U95" s="93"/>
      <c r="V95" s="93"/>
      <c r="W95" s="93"/>
      <c r="X95" s="125">
        <f>SUM(Y95:AC95)</f>
        <v>0</v>
      </c>
      <c r="Y95" s="93"/>
      <c r="Z95" s="93"/>
      <c r="AA95" s="93"/>
      <c r="AB95" s="93"/>
      <c r="AC95" s="93"/>
      <c r="AD95" s="125">
        <f>SUM(AE95:AI95)</f>
        <v>0</v>
      </c>
      <c r="AE95" s="93"/>
      <c r="AF95" s="93"/>
      <c r="AG95" s="93"/>
      <c r="AH95" s="93"/>
      <c r="AI95" s="93"/>
      <c r="AJ95" s="125">
        <f>SUM(AK95:AO95)</f>
        <v>36</v>
      </c>
      <c r="AK95" s="93"/>
      <c r="AL95" s="93"/>
      <c r="AM95" s="93"/>
      <c r="AN95" s="93">
        <v>36</v>
      </c>
      <c r="AO95" s="93"/>
      <c r="AP95" s="125">
        <f>SUM(AQ95:AU95)</f>
        <v>0</v>
      </c>
      <c r="AQ95" s="93"/>
      <c r="AR95" s="93"/>
      <c r="AS95" s="93"/>
      <c r="AT95" s="93"/>
      <c r="AU95" s="93"/>
      <c r="AV95" s="125">
        <f>SUM(AW95:BA95)</f>
        <v>0</v>
      </c>
      <c r="AW95" s="93"/>
      <c r="AX95" s="93"/>
      <c r="AY95" s="93"/>
      <c r="AZ95" s="93"/>
      <c r="BA95" s="93"/>
      <c r="BB95" s="125">
        <f>SUM(BC95:BG95)</f>
        <v>0</v>
      </c>
      <c r="BC95" s="93"/>
      <c r="BD95" s="93"/>
      <c r="BE95" s="93"/>
      <c r="BF95" s="93"/>
      <c r="BG95" s="93"/>
      <c r="BH95" s="125">
        <f>SUM(BI95:BM95)</f>
        <v>0</v>
      </c>
      <c r="BI95" s="93"/>
      <c r="BJ95" s="93"/>
      <c r="BK95" s="93"/>
      <c r="BL95" s="93"/>
      <c r="BM95" s="93"/>
      <c r="BN95" s="125">
        <f>SUM(BO95:BS95)</f>
        <v>0</v>
      </c>
      <c r="BO95" s="93"/>
      <c r="BP95" s="93"/>
      <c r="BQ95" s="93"/>
      <c r="BR95" s="93"/>
      <c r="BS95" s="93"/>
      <c r="BT95" s="125">
        <f>SUM(BU95:BY95)</f>
        <v>0</v>
      </c>
      <c r="BU95" s="93"/>
      <c r="BV95" s="93"/>
      <c r="BW95" s="93"/>
      <c r="BX95" s="93"/>
      <c r="BY95" s="93"/>
      <c r="BZ95" s="91" t="s">
        <v>508</v>
      </c>
      <c r="CA95" s="364" t="s">
        <v>394</v>
      </c>
    </row>
    <row r="96" spans="1:531" s="89" customFormat="1" ht="28.5" hidden="1" customHeight="1">
      <c r="A96" s="185" t="s">
        <v>216</v>
      </c>
      <c r="B96" s="94" t="s">
        <v>493</v>
      </c>
      <c r="C96" s="94"/>
      <c r="D96" s="91"/>
      <c r="E96" s="91" t="s">
        <v>40</v>
      </c>
      <c r="F96" s="91"/>
      <c r="G96" s="91"/>
      <c r="H96" s="91"/>
      <c r="I96" s="93"/>
      <c r="J96" s="93"/>
      <c r="K96" s="92">
        <f>L96+SUM(Q96:Q96)</f>
        <v>72</v>
      </c>
      <c r="L96" s="92">
        <f>SUM(M96:P96)</f>
        <v>72</v>
      </c>
      <c r="M96" s="92">
        <f t="shared" si="360"/>
        <v>0</v>
      </c>
      <c r="N96" s="92">
        <f t="shared" si="360"/>
        <v>0</v>
      </c>
      <c r="O96" s="92">
        <f t="shared" si="360"/>
        <v>0</v>
      </c>
      <c r="P96" s="92">
        <f t="shared" si="360"/>
        <v>72</v>
      </c>
      <c r="Q96" s="92">
        <f t="shared" si="360"/>
        <v>0</v>
      </c>
      <c r="R96" s="125">
        <f>SUM(S96:W96)</f>
        <v>0</v>
      </c>
      <c r="S96" s="93"/>
      <c r="T96" s="93"/>
      <c r="U96" s="93"/>
      <c r="V96" s="93"/>
      <c r="W96" s="93"/>
      <c r="X96" s="125"/>
      <c r="Y96" s="93"/>
      <c r="Z96" s="93"/>
      <c r="AA96" s="93"/>
      <c r="AB96" s="93"/>
      <c r="AC96" s="93"/>
      <c r="AD96" s="125"/>
      <c r="AE96" s="93"/>
      <c r="AF96" s="93"/>
      <c r="AG96" s="93"/>
      <c r="AH96" s="93"/>
      <c r="AI96" s="93"/>
      <c r="AJ96" s="125">
        <f>SUM(AK96:AO96)</f>
        <v>72</v>
      </c>
      <c r="AK96" s="93"/>
      <c r="AL96" s="93"/>
      <c r="AM96" s="93"/>
      <c r="AN96" s="93">
        <v>72</v>
      </c>
      <c r="AO96" s="93"/>
      <c r="AP96" s="125">
        <f>SUM(AQ96:AU96)</f>
        <v>0</v>
      </c>
      <c r="AQ96" s="93"/>
      <c r="AR96" s="93"/>
      <c r="AS96" s="93"/>
      <c r="AT96" s="93"/>
      <c r="AU96" s="93"/>
      <c r="AV96" s="125">
        <f>SUM(AW96:BA96)</f>
        <v>0</v>
      </c>
      <c r="AW96" s="93"/>
      <c r="AX96" s="93"/>
      <c r="AY96" s="93"/>
      <c r="AZ96" s="93"/>
      <c r="BA96" s="93"/>
      <c r="BB96" s="125">
        <f>SUM(BC96:BG96)</f>
        <v>0</v>
      </c>
      <c r="BC96" s="93"/>
      <c r="BD96" s="93"/>
      <c r="BE96" s="93"/>
      <c r="BF96" s="93"/>
      <c r="BG96" s="93"/>
      <c r="BH96" s="125"/>
      <c r="BI96" s="93"/>
      <c r="BJ96" s="93"/>
      <c r="BK96" s="93"/>
      <c r="BL96" s="93"/>
      <c r="BM96" s="93"/>
      <c r="BN96" s="125"/>
      <c r="BO96" s="93"/>
      <c r="BP96" s="93"/>
      <c r="BQ96" s="93"/>
      <c r="BR96" s="93"/>
      <c r="BS96" s="93"/>
      <c r="BT96" s="125"/>
      <c r="BU96" s="93"/>
      <c r="BV96" s="93"/>
      <c r="BW96" s="93"/>
      <c r="BX96" s="93"/>
      <c r="BY96" s="93"/>
      <c r="BZ96" s="91" t="s">
        <v>509</v>
      </c>
      <c r="CA96" s="364" t="s">
        <v>394</v>
      </c>
    </row>
    <row r="97" spans="1:129" s="202" customFormat="1" ht="38.25" hidden="1" customHeight="1">
      <c r="A97" s="442" t="s">
        <v>373</v>
      </c>
      <c r="B97" s="94" t="s">
        <v>496</v>
      </c>
      <c r="C97" s="186"/>
      <c r="D97" s="130"/>
      <c r="E97" s="130" t="s">
        <v>40</v>
      </c>
      <c r="F97" s="130"/>
      <c r="G97" s="130"/>
      <c r="H97" s="130"/>
      <c r="I97" s="303"/>
      <c r="J97" s="303"/>
      <c r="K97" s="92">
        <f>L97+SUM(Q97:Q97)</f>
        <v>216</v>
      </c>
      <c r="L97" s="92">
        <f>SUM(M97:P97)</f>
        <v>216</v>
      </c>
      <c r="M97" s="92">
        <f t="shared" si="360"/>
        <v>0</v>
      </c>
      <c r="N97" s="92">
        <f t="shared" si="360"/>
        <v>0</v>
      </c>
      <c r="O97" s="92">
        <f t="shared" si="360"/>
        <v>0</v>
      </c>
      <c r="P97" s="92">
        <f t="shared" si="360"/>
        <v>216</v>
      </c>
      <c r="Q97" s="92">
        <f t="shared" si="360"/>
        <v>0</v>
      </c>
      <c r="R97" s="443"/>
      <c r="S97" s="303"/>
      <c r="T97" s="303"/>
      <c r="U97" s="303"/>
      <c r="V97" s="303"/>
      <c r="W97" s="303"/>
      <c r="X97" s="443"/>
      <c r="Y97" s="303"/>
      <c r="Z97" s="303"/>
      <c r="AA97" s="303"/>
      <c r="AB97" s="303"/>
      <c r="AC97" s="303"/>
      <c r="AD97" s="125"/>
      <c r="AE97" s="303"/>
      <c r="AF97" s="303"/>
      <c r="AG97" s="303"/>
      <c r="AH97" s="303"/>
      <c r="AI97" s="303"/>
      <c r="AJ97" s="125">
        <f>SUM(AK97:AO97)</f>
        <v>216</v>
      </c>
      <c r="AK97" s="303"/>
      <c r="AL97" s="303"/>
      <c r="AM97" s="303"/>
      <c r="AN97" s="303">
        <v>216</v>
      </c>
      <c r="AO97" s="303"/>
      <c r="AP97" s="125">
        <f>SUM(AQ97:AU97)</f>
        <v>0</v>
      </c>
      <c r="AQ97" s="303"/>
      <c r="AR97" s="303"/>
      <c r="AS97" s="303"/>
      <c r="AT97" s="303"/>
      <c r="AU97" s="303"/>
      <c r="AV97" s="125">
        <f>SUM(AW97:BA97)</f>
        <v>0</v>
      </c>
      <c r="AW97" s="303"/>
      <c r="AX97" s="303"/>
      <c r="AY97" s="303"/>
      <c r="AZ97" s="303"/>
      <c r="BA97" s="303"/>
      <c r="BB97" s="125">
        <f>SUM(BC97:BG97)</f>
        <v>0</v>
      </c>
      <c r="BC97" s="303"/>
      <c r="BD97" s="303"/>
      <c r="BE97" s="303"/>
      <c r="BF97" s="303"/>
      <c r="BG97" s="303"/>
      <c r="BH97" s="125"/>
      <c r="BI97" s="303"/>
      <c r="BJ97" s="303"/>
      <c r="BK97" s="303"/>
      <c r="BL97" s="303"/>
      <c r="BM97" s="303"/>
      <c r="BN97" s="125"/>
      <c r="BO97" s="303"/>
      <c r="BP97" s="303"/>
      <c r="BQ97" s="303"/>
      <c r="BR97" s="303"/>
      <c r="BS97" s="303"/>
      <c r="BT97" s="125"/>
      <c r="BU97" s="303"/>
      <c r="BV97" s="303"/>
      <c r="BW97" s="303"/>
      <c r="BX97" s="303"/>
      <c r="BY97" s="303"/>
      <c r="BZ97" s="91" t="s">
        <v>509</v>
      </c>
      <c r="CA97" s="364" t="s">
        <v>343</v>
      </c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</row>
    <row r="98" spans="1:129" s="96" customFormat="1" ht="35.25" customHeight="1">
      <c r="A98" s="437" t="s">
        <v>217</v>
      </c>
      <c r="B98" s="734" t="s">
        <v>146</v>
      </c>
      <c r="C98" s="734"/>
      <c r="D98" s="440"/>
      <c r="E98" s="440"/>
      <c r="F98" s="440"/>
      <c r="G98" s="440"/>
      <c r="H98" s="440"/>
      <c r="I98" s="368"/>
      <c r="J98" s="368">
        <f>Нормы!E19</f>
        <v>1656</v>
      </c>
      <c r="K98" s="368">
        <f t="shared" ref="K98:AF98" si="361">SUM(K99:K100)</f>
        <v>1656</v>
      </c>
      <c r="L98" s="368">
        <f t="shared" si="361"/>
        <v>1656</v>
      </c>
      <c r="M98" s="368">
        <f t="shared" si="361"/>
        <v>0</v>
      </c>
      <c r="N98" s="368">
        <f t="shared" si="361"/>
        <v>0</v>
      </c>
      <c r="O98" s="368">
        <f t="shared" si="361"/>
        <v>0</v>
      </c>
      <c r="P98" s="368">
        <f t="shared" si="361"/>
        <v>1656</v>
      </c>
      <c r="Q98" s="368">
        <f t="shared" si="361"/>
        <v>0</v>
      </c>
      <c r="R98" s="368">
        <f t="shared" si="361"/>
        <v>0</v>
      </c>
      <c r="S98" s="368">
        <f t="shared" si="361"/>
        <v>0</v>
      </c>
      <c r="T98" s="368">
        <f t="shared" si="361"/>
        <v>0</v>
      </c>
      <c r="U98" s="368">
        <f t="shared" si="361"/>
        <v>0</v>
      </c>
      <c r="V98" s="368">
        <f t="shared" si="361"/>
        <v>0</v>
      </c>
      <c r="W98" s="368">
        <f t="shared" si="361"/>
        <v>0</v>
      </c>
      <c r="X98" s="368">
        <f t="shared" si="361"/>
        <v>0</v>
      </c>
      <c r="Y98" s="368">
        <f t="shared" si="361"/>
        <v>0</v>
      </c>
      <c r="Z98" s="368">
        <f t="shared" si="361"/>
        <v>0</v>
      </c>
      <c r="AA98" s="368">
        <f t="shared" si="361"/>
        <v>0</v>
      </c>
      <c r="AB98" s="368">
        <f t="shared" si="361"/>
        <v>0</v>
      </c>
      <c r="AC98" s="368">
        <f t="shared" si="361"/>
        <v>0</v>
      </c>
      <c r="AD98" s="368">
        <f t="shared" si="361"/>
        <v>0</v>
      </c>
      <c r="AE98" s="368">
        <f t="shared" si="361"/>
        <v>0</v>
      </c>
      <c r="AF98" s="368">
        <f t="shared" si="361"/>
        <v>0</v>
      </c>
      <c r="AG98" s="368">
        <f t="shared" ref="AG98:BA98" si="362">SUM(AG99:AG100)</f>
        <v>0</v>
      </c>
      <c r="AH98" s="368">
        <f t="shared" si="362"/>
        <v>0</v>
      </c>
      <c r="AI98" s="368">
        <f t="shared" si="362"/>
        <v>0</v>
      </c>
      <c r="AJ98" s="368">
        <f t="shared" si="362"/>
        <v>0</v>
      </c>
      <c r="AK98" s="368">
        <f t="shared" si="362"/>
        <v>0</v>
      </c>
      <c r="AL98" s="368">
        <f t="shared" si="362"/>
        <v>0</v>
      </c>
      <c r="AM98" s="368">
        <f t="shared" si="362"/>
        <v>0</v>
      </c>
      <c r="AN98" s="368">
        <f t="shared" si="362"/>
        <v>0</v>
      </c>
      <c r="AO98" s="368">
        <f t="shared" si="362"/>
        <v>0</v>
      </c>
      <c r="AP98" s="368">
        <f t="shared" si="362"/>
        <v>0</v>
      </c>
      <c r="AQ98" s="368">
        <f t="shared" si="362"/>
        <v>0</v>
      </c>
      <c r="AR98" s="368">
        <f t="shared" si="362"/>
        <v>0</v>
      </c>
      <c r="AS98" s="368">
        <f t="shared" si="362"/>
        <v>0</v>
      </c>
      <c r="AT98" s="368">
        <f t="shared" si="362"/>
        <v>0</v>
      </c>
      <c r="AU98" s="368">
        <f t="shared" si="362"/>
        <v>0</v>
      </c>
      <c r="AV98" s="368">
        <f t="shared" si="362"/>
        <v>540</v>
      </c>
      <c r="AW98" s="368">
        <f t="shared" si="362"/>
        <v>0</v>
      </c>
      <c r="AX98" s="368">
        <f t="shared" si="362"/>
        <v>0</v>
      </c>
      <c r="AY98" s="368">
        <f t="shared" si="362"/>
        <v>0</v>
      </c>
      <c r="AZ98" s="368">
        <f t="shared" si="362"/>
        <v>540</v>
      </c>
      <c r="BA98" s="368">
        <f t="shared" si="362"/>
        <v>0</v>
      </c>
      <c r="BB98" s="368">
        <f t="shared" ref="BB98:BY98" si="363">SUM(BB99:BB100)</f>
        <v>216</v>
      </c>
      <c r="BC98" s="368">
        <f t="shared" si="363"/>
        <v>0</v>
      </c>
      <c r="BD98" s="368">
        <f t="shared" si="363"/>
        <v>0</v>
      </c>
      <c r="BE98" s="368">
        <f t="shared" si="363"/>
        <v>0</v>
      </c>
      <c r="BF98" s="368">
        <f t="shared" si="363"/>
        <v>216</v>
      </c>
      <c r="BG98" s="368">
        <f t="shared" si="363"/>
        <v>0</v>
      </c>
      <c r="BH98" s="368">
        <f t="shared" si="363"/>
        <v>540</v>
      </c>
      <c r="BI98" s="368">
        <f t="shared" si="363"/>
        <v>0</v>
      </c>
      <c r="BJ98" s="368">
        <f t="shared" si="363"/>
        <v>0</v>
      </c>
      <c r="BK98" s="368">
        <f t="shared" si="363"/>
        <v>0</v>
      </c>
      <c r="BL98" s="368">
        <f t="shared" si="363"/>
        <v>540</v>
      </c>
      <c r="BM98" s="368">
        <f t="shared" si="363"/>
        <v>0</v>
      </c>
      <c r="BN98" s="368">
        <f t="shared" si="363"/>
        <v>360</v>
      </c>
      <c r="BO98" s="368">
        <f t="shared" si="363"/>
        <v>0</v>
      </c>
      <c r="BP98" s="368">
        <f t="shared" si="363"/>
        <v>0</v>
      </c>
      <c r="BQ98" s="368">
        <f t="shared" si="363"/>
        <v>0</v>
      </c>
      <c r="BR98" s="368">
        <f t="shared" si="363"/>
        <v>360</v>
      </c>
      <c r="BS98" s="368">
        <f t="shared" si="363"/>
        <v>0</v>
      </c>
      <c r="BT98" s="368">
        <f t="shared" si="363"/>
        <v>0</v>
      </c>
      <c r="BU98" s="368">
        <f t="shared" si="363"/>
        <v>0</v>
      </c>
      <c r="BV98" s="368">
        <f t="shared" si="363"/>
        <v>0</v>
      </c>
      <c r="BW98" s="368">
        <f t="shared" si="363"/>
        <v>0</v>
      </c>
      <c r="BX98" s="368">
        <f t="shared" si="363"/>
        <v>0</v>
      </c>
      <c r="BY98" s="368">
        <f t="shared" si="363"/>
        <v>0</v>
      </c>
      <c r="BZ98" s="440"/>
      <c r="CA98" s="368" t="s">
        <v>343</v>
      </c>
    </row>
    <row r="99" spans="1:129" s="89" customFormat="1" ht="30.75" customHeight="1">
      <c r="A99" s="185" t="s">
        <v>218</v>
      </c>
      <c r="B99" s="94" t="s">
        <v>497</v>
      </c>
      <c r="C99" s="94"/>
      <c r="D99" s="91"/>
      <c r="E99" s="91" t="s">
        <v>603</v>
      </c>
      <c r="F99" s="91"/>
      <c r="G99" s="91"/>
      <c r="H99" s="91"/>
      <c r="I99" s="93"/>
      <c r="J99" s="93"/>
      <c r="K99" s="92">
        <f>L99+SUM(Q99:Q99)</f>
        <v>1512</v>
      </c>
      <c r="L99" s="92">
        <f>SUM(M99:P99)</f>
        <v>1512</v>
      </c>
      <c r="M99" s="92">
        <f t="shared" ref="M99:Q100" si="364">S99+Y99+AE99+AK99+AQ99+AW99+BC99+BI99+BO99+BU99</f>
        <v>0</v>
      </c>
      <c r="N99" s="92">
        <f t="shared" si="364"/>
        <v>0</v>
      </c>
      <c r="O99" s="92">
        <f t="shared" si="364"/>
        <v>0</v>
      </c>
      <c r="P99" s="92">
        <f t="shared" si="364"/>
        <v>1512</v>
      </c>
      <c r="Q99" s="92">
        <f t="shared" si="364"/>
        <v>0</v>
      </c>
      <c r="R99" s="125">
        <f>SUM(S99:W99)</f>
        <v>0</v>
      </c>
      <c r="S99" s="93"/>
      <c r="T99" s="93"/>
      <c r="U99" s="93"/>
      <c r="V99" s="93"/>
      <c r="W99" s="93"/>
      <c r="X99" s="125">
        <f>SUM(Y99:AC99)</f>
        <v>0</v>
      </c>
      <c r="Y99" s="93"/>
      <c r="Z99" s="93"/>
      <c r="AA99" s="93"/>
      <c r="AB99" s="93"/>
      <c r="AC99" s="93"/>
      <c r="AD99" s="125">
        <f>SUM(AE99:AI99)</f>
        <v>0</v>
      </c>
      <c r="AE99" s="93"/>
      <c r="AF99" s="93"/>
      <c r="AG99" s="93"/>
      <c r="AH99" s="93"/>
      <c r="AI99" s="93"/>
      <c r="AJ99" s="125">
        <f>SUM(AK99:AO99)</f>
        <v>0</v>
      </c>
      <c r="AK99" s="93"/>
      <c r="AL99" s="93"/>
      <c r="AM99" s="93"/>
      <c r="AN99" s="93"/>
      <c r="AO99" s="93"/>
      <c r="AP99" s="125">
        <f>SUM(AQ99:AU99)</f>
        <v>0</v>
      </c>
      <c r="AQ99" s="93"/>
      <c r="AR99" s="93"/>
      <c r="AS99" s="93"/>
      <c r="AT99" s="93"/>
      <c r="AU99" s="93"/>
      <c r="AV99" s="125">
        <f>SUM(AW99:BA99)</f>
        <v>540</v>
      </c>
      <c r="AW99" s="93"/>
      <c r="AX99" s="93"/>
      <c r="AY99" s="93"/>
      <c r="AZ99" s="93">
        <v>540</v>
      </c>
      <c r="BA99" s="93"/>
      <c r="BB99" s="125">
        <f>SUM(BC99:BG99)</f>
        <v>216</v>
      </c>
      <c r="BC99" s="93"/>
      <c r="BD99" s="93"/>
      <c r="BE99" s="93"/>
      <c r="BF99" s="93">
        <f>6*36</f>
        <v>216</v>
      </c>
      <c r="BG99" s="93"/>
      <c r="BH99" s="125">
        <f>SUM(BI99:BM99)</f>
        <v>540</v>
      </c>
      <c r="BI99" s="93"/>
      <c r="BJ99" s="93"/>
      <c r="BK99" s="93"/>
      <c r="BL99" s="93">
        <v>540</v>
      </c>
      <c r="BM99" s="93"/>
      <c r="BN99" s="125">
        <f>SUM(BO99:BS99)</f>
        <v>216</v>
      </c>
      <c r="BO99" s="93"/>
      <c r="BP99" s="93"/>
      <c r="BQ99" s="93"/>
      <c r="BR99" s="93">
        <v>216</v>
      </c>
      <c r="BS99" s="93"/>
      <c r="BT99" s="125">
        <f>SUM(BU99:BY99)</f>
        <v>0</v>
      </c>
      <c r="BU99" s="93"/>
      <c r="BV99" s="93"/>
      <c r="BW99" s="93"/>
      <c r="BX99" s="93"/>
      <c r="BY99" s="93"/>
      <c r="BZ99" s="91" t="s">
        <v>519</v>
      </c>
      <c r="CA99" s="436" t="s">
        <v>608</v>
      </c>
    </row>
    <row r="100" spans="1:129" s="89" customFormat="1" ht="32.25" customHeight="1">
      <c r="A100" s="185" t="s">
        <v>219</v>
      </c>
      <c r="B100" s="94" t="s">
        <v>326</v>
      </c>
      <c r="C100" s="444"/>
      <c r="D100" s="91"/>
      <c r="E100" s="91" t="s">
        <v>39</v>
      </c>
      <c r="F100" s="91"/>
      <c r="G100" s="91"/>
      <c r="H100" s="91"/>
      <c r="I100" s="93"/>
      <c r="J100" s="93"/>
      <c r="K100" s="92">
        <f>L100+SUM(Q100:Q100)</f>
        <v>144</v>
      </c>
      <c r="L100" s="92">
        <f>SUM(M100:P100)</f>
        <v>144</v>
      </c>
      <c r="M100" s="92">
        <f t="shared" si="364"/>
        <v>0</v>
      </c>
      <c r="N100" s="92">
        <f t="shared" si="364"/>
        <v>0</v>
      </c>
      <c r="O100" s="92">
        <f t="shared" si="364"/>
        <v>0</v>
      </c>
      <c r="P100" s="92">
        <f t="shared" si="364"/>
        <v>144</v>
      </c>
      <c r="Q100" s="92">
        <f t="shared" si="364"/>
        <v>0</v>
      </c>
      <c r="R100" s="125">
        <f>SUM(S100:W100)</f>
        <v>0</v>
      </c>
      <c r="S100" s="93"/>
      <c r="T100" s="93"/>
      <c r="U100" s="93"/>
      <c r="V100" s="93"/>
      <c r="W100" s="93"/>
      <c r="X100" s="125">
        <f>SUM(Y100:AC100)</f>
        <v>0</v>
      </c>
      <c r="Y100" s="93"/>
      <c r="Z100" s="93"/>
      <c r="AA100" s="93"/>
      <c r="AB100" s="93"/>
      <c r="AC100" s="93"/>
      <c r="AD100" s="125">
        <f>SUM(AE100:AI100)</f>
        <v>0</v>
      </c>
      <c r="AE100" s="93"/>
      <c r="AF100" s="93"/>
      <c r="AG100" s="93"/>
      <c r="AH100" s="93"/>
      <c r="AI100" s="93"/>
      <c r="AJ100" s="125">
        <f>SUM(AK100:AO100)</f>
        <v>0</v>
      </c>
      <c r="AK100" s="93"/>
      <c r="AL100" s="93"/>
      <c r="AM100" s="93"/>
      <c r="AN100" s="93"/>
      <c r="AO100" s="93"/>
      <c r="AP100" s="125">
        <f>SUM(AQ100:AU100)</f>
        <v>0</v>
      </c>
      <c r="AQ100" s="93"/>
      <c r="AR100" s="93"/>
      <c r="AS100" s="93"/>
      <c r="AT100" s="93"/>
      <c r="AU100" s="93"/>
      <c r="AV100" s="125">
        <f>SUM(AW100:BA100)</f>
        <v>0</v>
      </c>
      <c r="AW100" s="93"/>
      <c r="AX100" s="93"/>
      <c r="AY100" s="93"/>
      <c r="AZ100" s="93"/>
      <c r="BA100" s="93"/>
      <c r="BB100" s="125">
        <f>SUM(BC100:BG100)</f>
        <v>0</v>
      </c>
      <c r="BC100" s="93"/>
      <c r="BD100" s="93"/>
      <c r="BE100" s="93"/>
      <c r="BF100" s="93"/>
      <c r="BG100" s="93"/>
      <c r="BH100" s="125">
        <f>SUM(BI100:BM100)</f>
        <v>0</v>
      </c>
      <c r="BI100" s="93"/>
      <c r="BJ100" s="93"/>
      <c r="BK100" s="93"/>
      <c r="BL100" s="93"/>
      <c r="BM100" s="93"/>
      <c r="BN100" s="125">
        <f>SUM(BO100:BS100)</f>
        <v>144</v>
      </c>
      <c r="BO100" s="93"/>
      <c r="BP100" s="93"/>
      <c r="BQ100" s="93"/>
      <c r="BR100" s="93">
        <v>144</v>
      </c>
      <c r="BS100" s="93"/>
      <c r="BT100" s="125">
        <f>SUM(BU100:BY100)</f>
        <v>0</v>
      </c>
      <c r="BU100" s="93"/>
      <c r="BV100" s="93"/>
      <c r="BW100" s="93"/>
      <c r="BX100" s="93"/>
      <c r="BY100" s="93"/>
      <c r="BZ100" s="91" t="s">
        <v>519</v>
      </c>
      <c r="CA100" s="436" t="s">
        <v>608</v>
      </c>
    </row>
    <row r="101" spans="1:129" s="96" customFormat="1" ht="31.5" customHeight="1">
      <c r="A101" s="437" t="s">
        <v>220</v>
      </c>
      <c r="B101" s="713" t="s">
        <v>374</v>
      </c>
      <c r="C101" s="714"/>
      <c r="D101" s="714"/>
      <c r="E101" s="714"/>
      <c r="F101" s="714"/>
      <c r="G101" s="714"/>
      <c r="H101" s="715"/>
      <c r="I101" s="368">
        <f>Нормы!D20</f>
        <v>216</v>
      </c>
      <c r="J101" s="368" t="s">
        <v>22</v>
      </c>
      <c r="K101" s="368">
        <f t="shared" ref="K101:AF101" si="365">SUM(K102:K102)</f>
        <v>216</v>
      </c>
      <c r="L101" s="368">
        <f t="shared" si="365"/>
        <v>0</v>
      </c>
      <c r="M101" s="368">
        <f t="shared" si="365"/>
        <v>0</v>
      </c>
      <c r="N101" s="368">
        <f t="shared" si="365"/>
        <v>0</v>
      </c>
      <c r="O101" s="368">
        <f t="shared" si="365"/>
        <v>0</v>
      </c>
      <c r="P101" s="368">
        <f t="shared" si="365"/>
        <v>0</v>
      </c>
      <c r="Q101" s="368">
        <f t="shared" si="365"/>
        <v>216</v>
      </c>
      <c r="R101" s="368">
        <f t="shared" si="365"/>
        <v>0</v>
      </c>
      <c r="S101" s="368">
        <f t="shared" si="365"/>
        <v>0</v>
      </c>
      <c r="T101" s="368">
        <f t="shared" si="365"/>
        <v>0</v>
      </c>
      <c r="U101" s="368">
        <f t="shared" si="365"/>
        <v>0</v>
      </c>
      <c r="V101" s="368">
        <f t="shared" si="365"/>
        <v>0</v>
      </c>
      <c r="W101" s="368">
        <f t="shared" si="365"/>
        <v>0</v>
      </c>
      <c r="X101" s="368">
        <f t="shared" si="365"/>
        <v>0</v>
      </c>
      <c r="Y101" s="368">
        <f t="shared" si="365"/>
        <v>0</v>
      </c>
      <c r="Z101" s="368">
        <f t="shared" si="365"/>
        <v>0</v>
      </c>
      <c r="AA101" s="368">
        <f t="shared" si="365"/>
        <v>0</v>
      </c>
      <c r="AB101" s="368">
        <f t="shared" si="365"/>
        <v>0</v>
      </c>
      <c r="AC101" s="368">
        <f t="shared" si="365"/>
        <v>0</v>
      </c>
      <c r="AD101" s="368">
        <f t="shared" si="365"/>
        <v>0</v>
      </c>
      <c r="AE101" s="368">
        <f t="shared" si="365"/>
        <v>0</v>
      </c>
      <c r="AF101" s="368">
        <f t="shared" si="365"/>
        <v>0</v>
      </c>
      <c r="AG101" s="368">
        <f t="shared" ref="AG101:BA101" si="366">SUM(AG102:AG102)</f>
        <v>0</v>
      </c>
      <c r="AH101" s="368">
        <f t="shared" si="366"/>
        <v>0</v>
      </c>
      <c r="AI101" s="368">
        <f t="shared" si="366"/>
        <v>0</v>
      </c>
      <c r="AJ101" s="368">
        <f t="shared" si="366"/>
        <v>0</v>
      </c>
      <c r="AK101" s="368">
        <f t="shared" si="366"/>
        <v>0</v>
      </c>
      <c r="AL101" s="368">
        <f t="shared" si="366"/>
        <v>0</v>
      </c>
      <c r="AM101" s="368">
        <f t="shared" si="366"/>
        <v>0</v>
      </c>
      <c r="AN101" s="368">
        <f t="shared" si="366"/>
        <v>0</v>
      </c>
      <c r="AO101" s="368">
        <f t="shared" si="366"/>
        <v>0</v>
      </c>
      <c r="AP101" s="368">
        <f t="shared" si="366"/>
        <v>0</v>
      </c>
      <c r="AQ101" s="368">
        <f t="shared" si="366"/>
        <v>0</v>
      </c>
      <c r="AR101" s="368">
        <f t="shared" si="366"/>
        <v>0</v>
      </c>
      <c r="AS101" s="368">
        <f t="shared" si="366"/>
        <v>0</v>
      </c>
      <c r="AT101" s="368">
        <f t="shared" si="366"/>
        <v>0</v>
      </c>
      <c r="AU101" s="368">
        <f t="shared" si="366"/>
        <v>0</v>
      </c>
      <c r="AV101" s="368">
        <f t="shared" si="366"/>
        <v>0</v>
      </c>
      <c r="AW101" s="368">
        <f t="shared" si="366"/>
        <v>0</v>
      </c>
      <c r="AX101" s="368">
        <f t="shared" si="366"/>
        <v>0</v>
      </c>
      <c r="AY101" s="368">
        <f t="shared" si="366"/>
        <v>0</v>
      </c>
      <c r="AZ101" s="368">
        <f t="shared" si="366"/>
        <v>0</v>
      </c>
      <c r="BA101" s="368">
        <f t="shared" si="366"/>
        <v>0</v>
      </c>
      <c r="BB101" s="368">
        <f t="shared" ref="BB101:BY101" si="367">SUM(BB102:BB102)</f>
        <v>0</v>
      </c>
      <c r="BC101" s="368">
        <f t="shared" si="367"/>
        <v>0</v>
      </c>
      <c r="BD101" s="368">
        <f t="shared" si="367"/>
        <v>0</v>
      </c>
      <c r="BE101" s="368">
        <f t="shared" si="367"/>
        <v>0</v>
      </c>
      <c r="BF101" s="368">
        <f t="shared" si="367"/>
        <v>0</v>
      </c>
      <c r="BG101" s="368">
        <f t="shared" si="367"/>
        <v>0</v>
      </c>
      <c r="BH101" s="368">
        <f t="shared" si="367"/>
        <v>0</v>
      </c>
      <c r="BI101" s="368">
        <f>SUM(BI102:BI102)</f>
        <v>0</v>
      </c>
      <c r="BJ101" s="368">
        <f t="shared" si="367"/>
        <v>0</v>
      </c>
      <c r="BK101" s="368">
        <f t="shared" si="367"/>
        <v>0</v>
      </c>
      <c r="BL101" s="368">
        <f t="shared" si="367"/>
        <v>0</v>
      </c>
      <c r="BM101" s="368">
        <f t="shared" si="367"/>
        <v>0</v>
      </c>
      <c r="BN101" s="368">
        <f t="shared" si="367"/>
        <v>0</v>
      </c>
      <c r="BO101" s="368">
        <f t="shared" si="367"/>
        <v>0</v>
      </c>
      <c r="BP101" s="368">
        <f t="shared" si="367"/>
        <v>0</v>
      </c>
      <c r="BQ101" s="368">
        <f t="shared" si="367"/>
        <v>0</v>
      </c>
      <c r="BR101" s="368">
        <f t="shared" si="367"/>
        <v>0</v>
      </c>
      <c r="BS101" s="368">
        <f t="shared" si="367"/>
        <v>0</v>
      </c>
      <c r="BT101" s="368">
        <f t="shared" si="367"/>
        <v>216</v>
      </c>
      <c r="BU101" s="368">
        <f t="shared" si="367"/>
        <v>0</v>
      </c>
      <c r="BV101" s="368">
        <f t="shared" si="367"/>
        <v>0</v>
      </c>
      <c r="BW101" s="368">
        <f t="shared" si="367"/>
        <v>0</v>
      </c>
      <c r="BX101" s="368">
        <f t="shared" si="367"/>
        <v>0</v>
      </c>
      <c r="BY101" s="368">
        <f t="shared" si="367"/>
        <v>216</v>
      </c>
      <c r="BZ101" s="368"/>
      <c r="CA101" s="368"/>
    </row>
    <row r="102" spans="1:129" s="89" customFormat="1" ht="30.75" hidden="1" customHeight="1">
      <c r="A102" s="185" t="s">
        <v>222</v>
      </c>
      <c r="B102" s="94" t="s">
        <v>374</v>
      </c>
      <c r="C102" s="94"/>
      <c r="D102" s="183"/>
      <c r="E102" s="91"/>
      <c r="F102" s="91"/>
      <c r="G102" s="91"/>
      <c r="H102" s="91"/>
      <c r="I102" s="93"/>
      <c r="J102" s="93"/>
      <c r="K102" s="92">
        <f>L102+SUM(Q102:Q102)</f>
        <v>216</v>
      </c>
      <c r="L102" s="92">
        <f>SUM(M102:P102)</f>
        <v>0</v>
      </c>
      <c r="M102" s="92">
        <f>S102+Y102+AE102+AK102+AQ102+AW102+BC102+BI102+BO102+BU102</f>
        <v>0</v>
      </c>
      <c r="N102" s="92">
        <f>T102+Z102+AF102+AL102+AR102+AX102+BD102+BJ102+BP102+BV102</f>
        <v>0</v>
      </c>
      <c r="O102" s="92">
        <f>U102+AA102+AG102+AM102+AS102+AY102+BE102+BK102+BQ102+BW102</f>
        <v>0</v>
      </c>
      <c r="P102" s="92">
        <f>V102+AB102+AH102+AN102+AT102+AZ102+BF102+BL102+BR102+BX102</f>
        <v>0</v>
      </c>
      <c r="Q102" s="92">
        <f>W102+AC102+AI102+AO102+AU102+BA102+BG102+BM102+BS102+BY102</f>
        <v>216</v>
      </c>
      <c r="R102" s="125"/>
      <c r="S102" s="93"/>
      <c r="T102" s="93"/>
      <c r="U102" s="93"/>
      <c r="V102" s="93"/>
      <c r="W102" s="93"/>
      <c r="X102" s="125">
        <f>SUM(Y102:AC102)</f>
        <v>0</v>
      </c>
      <c r="Y102" s="93"/>
      <c r="Z102" s="93"/>
      <c r="AA102" s="93"/>
      <c r="AB102" s="93"/>
      <c r="AC102" s="93"/>
      <c r="AD102" s="125">
        <f>SUM(AE102:AI102)</f>
        <v>0</v>
      </c>
      <c r="AE102" s="93"/>
      <c r="AF102" s="93"/>
      <c r="AG102" s="93"/>
      <c r="AH102" s="93"/>
      <c r="AI102" s="93"/>
      <c r="AJ102" s="125">
        <f>SUM(AK102:AO102)</f>
        <v>0</v>
      </c>
      <c r="AK102" s="93"/>
      <c r="AL102" s="93"/>
      <c r="AM102" s="93"/>
      <c r="AN102" s="93"/>
      <c r="AO102" s="93"/>
      <c r="AP102" s="125">
        <f>SUM(AQ102:AU102)</f>
        <v>0</v>
      </c>
      <c r="AQ102" s="93"/>
      <c r="AR102" s="93"/>
      <c r="AS102" s="93"/>
      <c r="AT102" s="93"/>
      <c r="AU102" s="93"/>
      <c r="AV102" s="125">
        <f>SUM(AW102:BA102)</f>
        <v>0</v>
      </c>
      <c r="AW102" s="93"/>
      <c r="AX102" s="93"/>
      <c r="AY102" s="93"/>
      <c r="AZ102" s="93"/>
      <c r="BA102" s="93"/>
      <c r="BB102" s="125">
        <f>SUM(BC102:BG102)</f>
        <v>0</v>
      </c>
      <c r="BC102" s="93"/>
      <c r="BD102" s="93"/>
      <c r="BE102" s="93"/>
      <c r="BF102" s="93"/>
      <c r="BG102" s="93"/>
      <c r="BH102" s="125">
        <f>SUM(BI102:BM102)</f>
        <v>0</v>
      </c>
      <c r="BI102" s="93"/>
      <c r="BJ102" s="93"/>
      <c r="BK102" s="93"/>
      <c r="BL102" s="93"/>
      <c r="BM102" s="93"/>
      <c r="BN102" s="125">
        <f>SUM(BO102:BS102)</f>
        <v>0</v>
      </c>
      <c r="BO102" s="93"/>
      <c r="BP102" s="93"/>
      <c r="BQ102" s="93"/>
      <c r="BR102" s="93"/>
      <c r="BS102" s="93"/>
      <c r="BT102" s="125">
        <f>SUM(BU102:BY102)</f>
        <v>216</v>
      </c>
      <c r="BU102" s="93"/>
      <c r="BV102" s="93"/>
      <c r="BW102" s="93"/>
      <c r="BX102" s="93"/>
      <c r="BY102" s="93">
        <v>216</v>
      </c>
      <c r="BZ102" s="130" t="s">
        <v>519</v>
      </c>
      <c r="CA102" s="445" t="s">
        <v>520</v>
      </c>
    </row>
    <row r="103" spans="1:129" s="96" customFormat="1" ht="18" hidden="1" customHeight="1">
      <c r="A103" s="446"/>
      <c r="B103" s="437" t="s">
        <v>190</v>
      </c>
      <c r="C103" s="437"/>
      <c r="D103" s="440"/>
      <c r="E103" s="440"/>
      <c r="F103" s="440"/>
      <c r="G103" s="440"/>
      <c r="H103" s="440"/>
      <c r="I103" s="368"/>
      <c r="J103" s="368"/>
      <c r="K103" s="368" t="e">
        <f>SUM(R103+X103+AD103+AJ103+AP103+AV103+BH103)</f>
        <v>#REF!</v>
      </c>
      <c r="L103" s="368"/>
      <c r="M103" s="368"/>
      <c r="N103" s="368"/>
      <c r="O103" s="368"/>
      <c r="P103" s="368"/>
      <c r="Q103" s="368"/>
      <c r="R103" s="368">
        <f>SUM(S103:W103)</f>
        <v>0</v>
      </c>
      <c r="S103" s="368"/>
      <c r="T103" s="368"/>
      <c r="U103" s="368"/>
      <c r="V103" s="368"/>
      <c r="W103" s="368"/>
      <c r="X103" s="368">
        <f>SUM(Y103:AC103)</f>
        <v>0</v>
      </c>
      <c r="Y103" s="368"/>
      <c r="Z103" s="368"/>
      <c r="AA103" s="368"/>
      <c r="AB103" s="368"/>
      <c r="AC103" s="368"/>
      <c r="AD103" s="368" t="e">
        <f>SUM(#REF!)</f>
        <v>#REF!</v>
      </c>
      <c r="AE103" s="368"/>
      <c r="AF103" s="368"/>
      <c r="AG103" s="368"/>
      <c r="AH103" s="368"/>
      <c r="AI103" s="368"/>
      <c r="AJ103" s="368">
        <f>SUM(AK103:AO103)</f>
        <v>0</v>
      </c>
      <c r="AK103" s="368"/>
      <c r="AL103" s="368"/>
      <c r="AM103" s="368"/>
      <c r="AN103" s="368"/>
      <c r="AO103" s="368"/>
      <c r="AP103" s="368">
        <f>SUM(AQ103:AU103)</f>
        <v>0</v>
      </c>
      <c r="AQ103" s="368"/>
      <c r="AR103" s="368"/>
      <c r="AS103" s="368"/>
      <c r="AT103" s="368"/>
      <c r="AU103" s="368"/>
      <c r="AV103" s="368">
        <f>SUM(AW103:BA103)</f>
        <v>0</v>
      </c>
      <c r="AW103" s="368"/>
      <c r="AX103" s="368"/>
      <c r="AY103" s="368"/>
      <c r="AZ103" s="368"/>
      <c r="BA103" s="368"/>
      <c r="BB103" s="368">
        <f>SUM(BC103:BG103)</f>
        <v>0</v>
      </c>
      <c r="BC103" s="368"/>
      <c r="BD103" s="368"/>
      <c r="BE103" s="368"/>
      <c r="BF103" s="368"/>
      <c r="BG103" s="368"/>
      <c r="BH103" s="368">
        <f>SUM(BI103:BM103)</f>
        <v>0</v>
      </c>
      <c r="BI103" s="368"/>
      <c r="BJ103" s="368"/>
      <c r="BK103" s="368"/>
      <c r="BL103" s="368"/>
      <c r="BM103" s="368"/>
      <c r="BN103" s="368">
        <f>SUM(BO103:BS103)</f>
        <v>0</v>
      </c>
      <c r="BO103" s="368"/>
      <c r="BP103" s="368"/>
      <c r="BQ103" s="368"/>
      <c r="BR103" s="368"/>
      <c r="BS103" s="368"/>
      <c r="BT103" s="368">
        <f>SUM(BU103:BY103)</f>
        <v>0</v>
      </c>
      <c r="BU103" s="368"/>
      <c r="BV103" s="368"/>
      <c r="BW103" s="368"/>
      <c r="BX103" s="368"/>
      <c r="BY103" s="368"/>
      <c r="BZ103" s="440"/>
      <c r="CA103" s="440"/>
    </row>
    <row r="104" spans="1:129" s="87" customFormat="1" ht="26.25" hidden="1" customHeight="1">
      <c r="A104" s="106"/>
      <c r="B104" s="687"/>
      <c r="C104" s="688"/>
      <c r="D104" s="688"/>
      <c r="E104" s="688"/>
      <c r="F104" s="688"/>
      <c r="G104" s="688"/>
      <c r="H104" s="688"/>
      <c r="I104" s="688"/>
      <c r="J104" s="688"/>
      <c r="K104" s="688"/>
      <c r="L104" s="688"/>
      <c r="M104" s="688"/>
      <c r="N104" s="688"/>
      <c r="O104" s="688"/>
      <c r="P104" s="688"/>
      <c r="Q104" s="688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8"/>
      <c r="CA104" s="108"/>
    </row>
    <row r="105" spans="1:129" s="87" customFormat="1" ht="27.75" hidden="1" customHeight="1">
      <c r="A105" s="685" t="str">
        <f>'Титульный лист'!A11:N11</f>
        <v>Специфика:</v>
      </c>
      <c r="B105" s="686"/>
      <c r="C105" s="686"/>
      <c r="D105" s="56"/>
      <c r="E105" s="56"/>
      <c r="F105" s="56"/>
      <c r="G105" s="56"/>
      <c r="H105" s="56"/>
      <c r="I105" s="57"/>
      <c r="J105" s="57"/>
      <c r="K105" s="56"/>
      <c r="L105" s="56"/>
      <c r="M105" s="56"/>
      <c r="N105" s="56"/>
      <c r="O105" s="56"/>
      <c r="P105" s="56"/>
      <c r="Q105" s="56"/>
      <c r="R105" s="57"/>
      <c r="S105" s="109"/>
      <c r="T105" s="109"/>
      <c r="U105" s="109"/>
      <c r="V105" s="109"/>
      <c r="W105" s="109"/>
      <c r="X105" s="57"/>
      <c r="Y105" s="109"/>
      <c r="Z105" s="109"/>
      <c r="AA105" s="109"/>
      <c r="AB105" s="109"/>
      <c r="AC105" s="109"/>
      <c r="AD105" s="57"/>
      <c r="AE105" s="109"/>
      <c r="AF105" s="109"/>
      <c r="AG105" s="109"/>
      <c r="AH105" s="109"/>
      <c r="AI105" s="109"/>
      <c r="AJ105" s="57"/>
      <c r="AK105" s="109"/>
      <c r="AL105" s="109"/>
      <c r="AM105" s="109"/>
      <c r="AN105" s="109"/>
      <c r="AO105" s="109"/>
      <c r="AP105" s="57"/>
      <c r="AQ105" s="109"/>
      <c r="AR105" s="109"/>
      <c r="AS105" s="109"/>
      <c r="AT105" s="109"/>
      <c r="AU105" s="109"/>
      <c r="AV105" s="57"/>
      <c r="AW105" s="109"/>
      <c r="AX105" s="109"/>
      <c r="AY105" s="109"/>
      <c r="AZ105" s="109"/>
      <c r="BA105" s="109"/>
      <c r="BB105" s="57"/>
      <c r="BC105" s="109"/>
      <c r="BD105" s="109"/>
      <c r="BE105" s="109"/>
      <c r="BF105" s="109"/>
      <c r="BG105" s="109"/>
      <c r="BH105" s="57"/>
      <c r="BI105" s="109"/>
      <c r="BJ105" s="109"/>
      <c r="BK105" s="109"/>
      <c r="BL105" s="109"/>
      <c r="BM105" s="109"/>
      <c r="BN105" s="57"/>
      <c r="BO105" s="109"/>
      <c r="BP105" s="109"/>
      <c r="BQ105" s="109"/>
      <c r="BR105" s="109"/>
      <c r="BS105" s="109"/>
      <c r="BT105" s="57"/>
      <c r="BU105" s="109"/>
      <c r="BV105" s="109"/>
      <c r="BW105" s="109"/>
      <c r="BX105" s="109"/>
      <c r="BY105" s="109"/>
      <c r="BZ105" s="108"/>
      <c r="CA105" s="108"/>
    </row>
    <row r="106" spans="1:129" s="87" customFormat="1" ht="27.75" hidden="1" customHeight="1">
      <c r="A106" s="699">
        <f>'Титульный лист'!O11:O11</f>
        <v>0</v>
      </c>
      <c r="B106" s="700"/>
      <c r="C106" s="700"/>
      <c r="D106" s="58"/>
      <c r="E106" s="58"/>
      <c r="F106" s="58"/>
      <c r="G106" s="58"/>
      <c r="H106" s="58"/>
      <c r="I106" s="59"/>
      <c r="J106" s="59"/>
      <c r="K106" s="58"/>
      <c r="L106" s="58"/>
      <c r="M106" s="58"/>
      <c r="N106" s="58"/>
      <c r="O106" s="58"/>
      <c r="P106" s="58"/>
      <c r="Q106" s="58"/>
      <c r="R106" s="138"/>
      <c r="S106" s="139"/>
      <c r="T106" s="139"/>
      <c r="U106" s="139"/>
      <c r="V106" s="139"/>
      <c r="W106" s="139"/>
      <c r="X106" s="138"/>
      <c r="Y106" s="139"/>
      <c r="Z106" s="139"/>
      <c r="AA106" s="139"/>
      <c r="AB106" s="139"/>
      <c r="AC106" s="139"/>
      <c r="AD106" s="138"/>
      <c r="AE106" s="139"/>
      <c r="AF106" s="139"/>
      <c r="AG106" s="139"/>
      <c r="AH106" s="139"/>
      <c r="AI106" s="139"/>
      <c r="AJ106" s="138"/>
      <c r="AK106" s="139"/>
      <c r="AL106" s="139"/>
      <c r="AM106" s="139"/>
      <c r="AN106" s="139"/>
      <c r="AO106" s="139"/>
      <c r="AP106" s="138"/>
      <c r="AQ106" s="139"/>
      <c r="AR106" s="139"/>
      <c r="AS106" s="139"/>
      <c r="AT106" s="139"/>
      <c r="AU106" s="139"/>
      <c r="AV106" s="138"/>
      <c r="AW106" s="139"/>
      <c r="AX106" s="139"/>
      <c r="AY106" s="139"/>
      <c r="AZ106" s="139"/>
      <c r="BA106" s="139"/>
      <c r="BB106" s="138"/>
      <c r="BC106" s="139"/>
      <c r="BD106" s="139"/>
      <c r="BE106" s="139"/>
      <c r="BF106" s="139"/>
      <c r="BG106" s="139"/>
      <c r="BH106" s="138"/>
      <c r="BI106" s="139"/>
      <c r="BJ106" s="139"/>
      <c r="BK106" s="139"/>
      <c r="BL106" s="139"/>
      <c r="BM106" s="139"/>
      <c r="BN106" s="138"/>
      <c r="BO106" s="139"/>
      <c r="BP106" s="139"/>
      <c r="BQ106" s="139"/>
      <c r="BR106" s="139"/>
      <c r="BS106" s="139"/>
      <c r="BT106" s="138"/>
      <c r="BU106" s="139"/>
      <c r="BV106" s="139"/>
      <c r="BW106" s="139"/>
      <c r="BX106" s="139"/>
      <c r="BY106" s="139"/>
      <c r="BZ106" s="108"/>
      <c r="CA106" s="108"/>
    </row>
    <row r="107" spans="1:129" s="87" customFormat="1" ht="12.75" customHeight="1">
      <c r="A107" s="60"/>
      <c r="B107" s="668" t="s">
        <v>612</v>
      </c>
      <c r="C107" s="669"/>
      <c r="D107" s="669"/>
      <c r="E107" s="669"/>
      <c r="F107" s="669"/>
      <c r="G107" s="669"/>
      <c r="H107" s="670"/>
      <c r="I107" s="110">
        <f t="shared" ref="I107:Q107" si="368">I11+I27+I91</f>
        <v>7722</v>
      </c>
      <c r="J107" s="110">
        <f t="shared" si="368"/>
        <v>5148</v>
      </c>
      <c r="K107" s="111">
        <f t="shared" si="368"/>
        <v>7722</v>
      </c>
      <c r="L107" s="111">
        <f t="shared" si="368"/>
        <v>5148</v>
      </c>
      <c r="M107" s="111">
        <f t="shared" si="368"/>
        <v>3735</v>
      </c>
      <c r="N107" s="111">
        <f t="shared" si="368"/>
        <v>1323</v>
      </c>
      <c r="O107" s="111">
        <f t="shared" si="368"/>
        <v>90</v>
      </c>
      <c r="P107" s="111">
        <f t="shared" si="368"/>
        <v>0</v>
      </c>
      <c r="Q107" s="543">
        <f t="shared" si="368"/>
        <v>2574</v>
      </c>
      <c r="R107" s="547">
        <f>SUM(S107:W107)</f>
        <v>918</v>
      </c>
      <c r="S107" s="112">
        <f>S11+S27+S91</f>
        <v>525</v>
      </c>
      <c r="T107" s="112">
        <f>T11+T27+T91</f>
        <v>87</v>
      </c>
      <c r="U107" s="112">
        <f>U11+U27+U91</f>
        <v>0</v>
      </c>
      <c r="V107" s="112">
        <f>V11+V27+V91</f>
        <v>0</v>
      </c>
      <c r="W107" s="112">
        <f>W11+W27+W91</f>
        <v>306</v>
      </c>
      <c r="X107" s="545">
        <f>SUM(Y107:AC107)</f>
        <v>1188</v>
      </c>
      <c r="Y107" s="112">
        <f>Y11+Y27+Y91</f>
        <v>664</v>
      </c>
      <c r="Z107" s="112">
        <f>Z11+Z27+Z91</f>
        <v>128</v>
      </c>
      <c r="AA107" s="112">
        <f>AA11+AA27+AA91</f>
        <v>0</v>
      </c>
      <c r="AB107" s="112">
        <f>AB11+AB27+AB91</f>
        <v>0</v>
      </c>
      <c r="AC107" s="121">
        <f>AC11+AC27+AC91</f>
        <v>396</v>
      </c>
      <c r="AD107" s="547">
        <f>SUM(AE107:AI107)</f>
        <v>864</v>
      </c>
      <c r="AE107" s="112">
        <f>AE11+AE27+AE91</f>
        <v>422</v>
      </c>
      <c r="AF107" s="112">
        <f>AF11+AF27+AF91</f>
        <v>154</v>
      </c>
      <c r="AG107" s="112">
        <f>AG11+AG27+AG91</f>
        <v>0</v>
      </c>
      <c r="AH107" s="112">
        <f>AH11+AH27+AH91</f>
        <v>0</v>
      </c>
      <c r="AI107" s="112">
        <f>AI11+AI27+AI91</f>
        <v>288</v>
      </c>
      <c r="AJ107" s="545">
        <f>SUM(AK107:AO107)</f>
        <v>918</v>
      </c>
      <c r="AK107" s="112">
        <f>AK11+AK27+AK91</f>
        <v>490</v>
      </c>
      <c r="AL107" s="112">
        <f>AL11+AL27+AL91</f>
        <v>122</v>
      </c>
      <c r="AM107" s="112">
        <f>AM11+AM27+AM91</f>
        <v>0</v>
      </c>
      <c r="AN107" s="112">
        <f>AN11+AN27+AN91</f>
        <v>0</v>
      </c>
      <c r="AO107" s="121">
        <f>AO11+AO27+AO91</f>
        <v>306</v>
      </c>
      <c r="AP107" s="547">
        <f>SUM(AQ107:AU107)</f>
        <v>864</v>
      </c>
      <c r="AQ107" s="112">
        <f>AQ11+AQ27+AQ91</f>
        <v>454</v>
      </c>
      <c r="AR107" s="112">
        <f>AR11+AR27+AR91</f>
        <v>122</v>
      </c>
      <c r="AS107" s="112">
        <f>AS11+AS27+AS91</f>
        <v>0</v>
      </c>
      <c r="AT107" s="112">
        <f>AT11+AT27+AT91</f>
        <v>0</v>
      </c>
      <c r="AU107" s="112">
        <f>AU11+AU27+AU91</f>
        <v>288</v>
      </c>
      <c r="AV107" s="545">
        <f>SUM(AW107:BA107)</f>
        <v>594</v>
      </c>
      <c r="AW107" s="112">
        <f>AW11+AW27+AW91</f>
        <v>255</v>
      </c>
      <c r="AX107" s="112">
        <f>AX11+AX27+AX91</f>
        <v>141</v>
      </c>
      <c r="AY107" s="112">
        <f>AY11+AY27+AY91</f>
        <v>0</v>
      </c>
      <c r="AZ107" s="112">
        <f>AZ11+AZ27+AZ91</f>
        <v>0</v>
      </c>
      <c r="BA107" s="121">
        <f>BA11+BA27+BA91</f>
        <v>198</v>
      </c>
      <c r="BB107" s="547">
        <f>SUM(BC107:BG107)</f>
        <v>594</v>
      </c>
      <c r="BC107" s="112">
        <f>BC11+BC27+BC91</f>
        <v>290</v>
      </c>
      <c r="BD107" s="112">
        <f>BD11+BD27+BD91</f>
        <v>106</v>
      </c>
      <c r="BE107" s="112">
        <f>BE11+BE27+BE91</f>
        <v>0</v>
      </c>
      <c r="BF107" s="112">
        <f>BF11+BF27+BF91</f>
        <v>0</v>
      </c>
      <c r="BG107" s="112">
        <f>BG11+BG27+BG91</f>
        <v>198</v>
      </c>
      <c r="BH107" s="545">
        <f>SUM(BI107:BM107)</f>
        <v>594</v>
      </c>
      <c r="BI107" s="112">
        <f>BI11+BI27+BI91</f>
        <v>308</v>
      </c>
      <c r="BJ107" s="112">
        <f>BJ11+BJ27+BJ91</f>
        <v>33</v>
      </c>
      <c r="BK107" s="112">
        <f>BK11+BK27+BK91</f>
        <v>55</v>
      </c>
      <c r="BL107" s="112">
        <f>BL11+BL27+BL91</f>
        <v>0</v>
      </c>
      <c r="BM107" s="121">
        <f>BM11+BM27+BM91</f>
        <v>198</v>
      </c>
      <c r="BN107" s="547">
        <f>SUM(BO107:BS107)</f>
        <v>216</v>
      </c>
      <c r="BO107" s="112">
        <f>BO11+BO27+BO91</f>
        <v>80</v>
      </c>
      <c r="BP107" s="112">
        <f>BP11+BP27+BP91</f>
        <v>64</v>
      </c>
      <c r="BQ107" s="112">
        <f>BQ11+BQ27+BQ91</f>
        <v>0</v>
      </c>
      <c r="BR107" s="112">
        <f>BR11+BR27+BR91</f>
        <v>0</v>
      </c>
      <c r="BS107" s="112">
        <f>BS11+BS27+BS91</f>
        <v>72</v>
      </c>
      <c r="BT107" s="547">
        <f>SUM(BU107:BY107)</f>
        <v>972</v>
      </c>
      <c r="BU107" s="112">
        <f>BU11+BU27+BU91</f>
        <v>247</v>
      </c>
      <c r="BV107" s="112">
        <f>BV11+BV27+BV91</f>
        <v>366</v>
      </c>
      <c r="BW107" s="112">
        <f>BW11+BW27+BW91</f>
        <v>35</v>
      </c>
      <c r="BX107" s="112">
        <f>BX11+BX27+BX91</f>
        <v>0</v>
      </c>
      <c r="BY107" s="112">
        <f>BY11+BY27+BY91</f>
        <v>324</v>
      </c>
      <c r="BZ107" s="108"/>
      <c r="CA107" s="108"/>
    </row>
    <row r="108" spans="1:129" s="87" customFormat="1" ht="12.75" customHeight="1">
      <c r="A108" s="60"/>
      <c r="B108" s="668" t="s">
        <v>272</v>
      </c>
      <c r="C108" s="669"/>
      <c r="D108" s="669"/>
      <c r="E108" s="669"/>
      <c r="F108" s="669"/>
      <c r="G108" s="669"/>
      <c r="H108" s="670"/>
      <c r="I108" s="110">
        <f t="shared" ref="I108:Q108" si="369">I94+I98</f>
        <v>0</v>
      </c>
      <c r="J108" s="110">
        <f t="shared" si="369"/>
        <v>1980</v>
      </c>
      <c r="K108" s="111">
        <f t="shared" si="369"/>
        <v>1980</v>
      </c>
      <c r="L108" s="111">
        <f t="shared" si="369"/>
        <v>1980</v>
      </c>
      <c r="M108" s="111">
        <f t="shared" si="369"/>
        <v>0</v>
      </c>
      <c r="N108" s="111">
        <f t="shared" si="369"/>
        <v>0</v>
      </c>
      <c r="O108" s="111">
        <f t="shared" si="369"/>
        <v>0</v>
      </c>
      <c r="P108" s="111">
        <f t="shared" si="369"/>
        <v>1980</v>
      </c>
      <c r="Q108" s="544">
        <f t="shared" si="369"/>
        <v>0</v>
      </c>
      <c r="R108" s="547">
        <f>SUM(S108:W108)</f>
        <v>0</v>
      </c>
      <c r="S108" s="112">
        <f>S94+S98</f>
        <v>0</v>
      </c>
      <c r="T108" s="112">
        <f>T94+T98</f>
        <v>0</v>
      </c>
      <c r="U108" s="112">
        <f>U94+U98</f>
        <v>0</v>
      </c>
      <c r="V108" s="112">
        <f>V94+V98</f>
        <v>0</v>
      </c>
      <c r="W108" s="115">
        <f>W94+W98</f>
        <v>0</v>
      </c>
      <c r="X108" s="545">
        <f>SUM(Y108:AC108)</f>
        <v>0</v>
      </c>
      <c r="Y108" s="112">
        <f>Y94+Y98</f>
        <v>0</v>
      </c>
      <c r="Z108" s="112">
        <f>Z94+Z98</f>
        <v>0</v>
      </c>
      <c r="AA108" s="112">
        <f>AA94+AA98</f>
        <v>0</v>
      </c>
      <c r="AB108" s="112">
        <f>AB94+AB98</f>
        <v>0</v>
      </c>
      <c r="AC108" s="113">
        <f>AC94+AC98</f>
        <v>0</v>
      </c>
      <c r="AD108" s="547">
        <f>SUM(AE108:AI108)</f>
        <v>0</v>
      </c>
      <c r="AE108" s="112">
        <f>AE94+AE98</f>
        <v>0</v>
      </c>
      <c r="AF108" s="112">
        <f>AF94+AF98</f>
        <v>0</v>
      </c>
      <c r="AG108" s="112">
        <f>AG94+AG98</f>
        <v>0</v>
      </c>
      <c r="AH108" s="112">
        <f>AH94+AH98</f>
        <v>0</v>
      </c>
      <c r="AI108" s="115">
        <f>AI94+AI98</f>
        <v>0</v>
      </c>
      <c r="AJ108" s="545">
        <f>SUM(AK108:AO108)</f>
        <v>324</v>
      </c>
      <c r="AK108" s="112">
        <f>AK94+AK98</f>
        <v>0</v>
      </c>
      <c r="AL108" s="112">
        <f>AL94+AL98</f>
        <v>0</v>
      </c>
      <c r="AM108" s="112">
        <f>AM94+AM98</f>
        <v>0</v>
      </c>
      <c r="AN108" s="112">
        <f>AN94+AN98</f>
        <v>324</v>
      </c>
      <c r="AO108" s="113">
        <f>AO94+AO98</f>
        <v>0</v>
      </c>
      <c r="AP108" s="547">
        <f>SUM(AQ108:AU108)</f>
        <v>0</v>
      </c>
      <c r="AQ108" s="112">
        <f>AQ94+AQ98</f>
        <v>0</v>
      </c>
      <c r="AR108" s="112">
        <f>AR94+AR98</f>
        <v>0</v>
      </c>
      <c r="AS108" s="112">
        <f>AS94+AS98</f>
        <v>0</v>
      </c>
      <c r="AT108" s="112">
        <f>AT94+AT98</f>
        <v>0</v>
      </c>
      <c r="AU108" s="115">
        <f>AU94+AU98</f>
        <v>0</v>
      </c>
      <c r="AV108" s="545">
        <f>SUM(AW108:BA108)</f>
        <v>540</v>
      </c>
      <c r="AW108" s="112">
        <f>AW94+AW98</f>
        <v>0</v>
      </c>
      <c r="AX108" s="112">
        <f>AX94+AX98</f>
        <v>0</v>
      </c>
      <c r="AY108" s="112">
        <f>AY94+AY98</f>
        <v>0</v>
      </c>
      <c r="AZ108" s="112">
        <f>AZ94+AZ98</f>
        <v>540</v>
      </c>
      <c r="BA108" s="113">
        <f>BA94+BA98</f>
        <v>0</v>
      </c>
      <c r="BB108" s="547">
        <f>SUM(BC108:BG108)</f>
        <v>216</v>
      </c>
      <c r="BC108" s="112">
        <f>BC94+BC98</f>
        <v>0</v>
      </c>
      <c r="BD108" s="112">
        <f>BD94+BD98</f>
        <v>0</v>
      </c>
      <c r="BE108" s="112">
        <f>BE94+BE98</f>
        <v>0</v>
      </c>
      <c r="BF108" s="112">
        <f>BF94+BF98</f>
        <v>216</v>
      </c>
      <c r="BG108" s="115">
        <f>BG94+BG98</f>
        <v>0</v>
      </c>
      <c r="BH108" s="545">
        <f>SUM(BI108:BM108)</f>
        <v>540</v>
      </c>
      <c r="BI108" s="112">
        <f>BI94+BI98</f>
        <v>0</v>
      </c>
      <c r="BJ108" s="112">
        <f>BJ94+BJ98</f>
        <v>0</v>
      </c>
      <c r="BK108" s="112">
        <f>BK94+BK98</f>
        <v>0</v>
      </c>
      <c r="BL108" s="112">
        <f>BL94+BL98</f>
        <v>540</v>
      </c>
      <c r="BM108" s="113">
        <f>BM94+BM98</f>
        <v>0</v>
      </c>
      <c r="BN108" s="547">
        <f>SUM(BO108:BS108)</f>
        <v>360</v>
      </c>
      <c r="BO108" s="112">
        <f>BO94+BO98</f>
        <v>0</v>
      </c>
      <c r="BP108" s="112">
        <f>BP94+BP98</f>
        <v>0</v>
      </c>
      <c r="BQ108" s="112">
        <f>BQ94+BQ98</f>
        <v>0</v>
      </c>
      <c r="BR108" s="112">
        <f>BR94+BR98</f>
        <v>360</v>
      </c>
      <c r="BS108" s="115">
        <f>BS94+BS98</f>
        <v>0</v>
      </c>
      <c r="BT108" s="547">
        <f>SUM(BU108:BY108)</f>
        <v>0</v>
      </c>
      <c r="BU108" s="112">
        <f>BU94+BU98</f>
        <v>0</v>
      </c>
      <c r="BV108" s="112">
        <f>BV94+BV98</f>
        <v>0</v>
      </c>
      <c r="BW108" s="112">
        <f>BW94+BW98</f>
        <v>0</v>
      </c>
      <c r="BX108" s="112">
        <f>BX94+BX98</f>
        <v>0</v>
      </c>
      <c r="BY108" s="115">
        <f>BY94+BY98</f>
        <v>0</v>
      </c>
      <c r="BZ108" s="108"/>
      <c r="CA108" s="108"/>
    </row>
    <row r="109" spans="1:129" s="87" customFormat="1" ht="12.75" customHeight="1">
      <c r="A109" s="60"/>
      <c r="B109" s="668" t="s">
        <v>595</v>
      </c>
      <c r="C109" s="669"/>
      <c r="D109" s="669"/>
      <c r="E109" s="669"/>
      <c r="F109" s="669"/>
      <c r="G109" s="669"/>
      <c r="H109" s="670"/>
      <c r="I109" s="110">
        <f>I101</f>
        <v>216</v>
      </c>
      <c r="J109" s="110" t="str">
        <f>J101</f>
        <v>-</v>
      </c>
      <c r="K109" s="111">
        <f>K101</f>
        <v>216</v>
      </c>
      <c r="L109" s="111">
        <f t="shared" ref="L109:P109" si="370">L101</f>
        <v>0</v>
      </c>
      <c r="M109" s="111">
        <f t="shared" si="370"/>
        <v>0</v>
      </c>
      <c r="N109" s="111">
        <f t="shared" si="370"/>
        <v>0</v>
      </c>
      <c r="O109" s="111">
        <f t="shared" si="370"/>
        <v>0</v>
      </c>
      <c r="P109" s="111">
        <f t="shared" si="370"/>
        <v>0</v>
      </c>
      <c r="Q109" s="544">
        <f>Q101</f>
        <v>216</v>
      </c>
      <c r="R109" s="547">
        <f>SUM(S109:W109)</f>
        <v>0</v>
      </c>
      <c r="S109" s="112">
        <f t="shared" ref="S109:W109" si="371">S101</f>
        <v>0</v>
      </c>
      <c r="T109" s="112">
        <f t="shared" si="371"/>
        <v>0</v>
      </c>
      <c r="U109" s="112">
        <f t="shared" si="371"/>
        <v>0</v>
      </c>
      <c r="V109" s="112">
        <f t="shared" si="371"/>
        <v>0</v>
      </c>
      <c r="W109" s="115">
        <f t="shared" si="371"/>
        <v>0</v>
      </c>
      <c r="X109" s="545">
        <f t="shared" ref="X109:AC109" si="372">X101</f>
        <v>0</v>
      </c>
      <c r="Y109" s="112">
        <f t="shared" si="372"/>
        <v>0</v>
      </c>
      <c r="Z109" s="112">
        <f t="shared" si="372"/>
        <v>0</v>
      </c>
      <c r="AA109" s="112">
        <f t="shared" si="372"/>
        <v>0</v>
      </c>
      <c r="AB109" s="112">
        <f t="shared" si="372"/>
        <v>0</v>
      </c>
      <c r="AC109" s="113">
        <f t="shared" si="372"/>
        <v>0</v>
      </c>
      <c r="AD109" s="547">
        <f t="shared" ref="AD109:AI109" si="373">AD101</f>
        <v>0</v>
      </c>
      <c r="AE109" s="112">
        <f t="shared" si="373"/>
        <v>0</v>
      </c>
      <c r="AF109" s="112">
        <f t="shared" si="373"/>
        <v>0</v>
      </c>
      <c r="AG109" s="112">
        <f t="shared" si="373"/>
        <v>0</v>
      </c>
      <c r="AH109" s="112">
        <f t="shared" si="373"/>
        <v>0</v>
      </c>
      <c r="AI109" s="115">
        <f t="shared" si="373"/>
        <v>0</v>
      </c>
      <c r="AJ109" s="545">
        <f t="shared" ref="AJ109:AO109" si="374">AJ101</f>
        <v>0</v>
      </c>
      <c r="AK109" s="112">
        <f t="shared" si="374"/>
        <v>0</v>
      </c>
      <c r="AL109" s="112">
        <f t="shared" si="374"/>
        <v>0</v>
      </c>
      <c r="AM109" s="112">
        <f t="shared" si="374"/>
        <v>0</v>
      </c>
      <c r="AN109" s="112">
        <f t="shared" si="374"/>
        <v>0</v>
      </c>
      <c r="AO109" s="113">
        <f t="shared" si="374"/>
        <v>0</v>
      </c>
      <c r="AP109" s="547">
        <f t="shared" ref="AP109:AU109" si="375">AP101</f>
        <v>0</v>
      </c>
      <c r="AQ109" s="112">
        <f t="shared" si="375"/>
        <v>0</v>
      </c>
      <c r="AR109" s="112">
        <f t="shared" si="375"/>
        <v>0</v>
      </c>
      <c r="AS109" s="112">
        <f t="shared" si="375"/>
        <v>0</v>
      </c>
      <c r="AT109" s="112">
        <f t="shared" si="375"/>
        <v>0</v>
      </c>
      <c r="AU109" s="115">
        <f t="shared" si="375"/>
        <v>0</v>
      </c>
      <c r="AV109" s="545">
        <f t="shared" ref="AV109:BA109" si="376">AV101</f>
        <v>0</v>
      </c>
      <c r="AW109" s="112">
        <f t="shared" si="376"/>
        <v>0</v>
      </c>
      <c r="AX109" s="112">
        <f t="shared" si="376"/>
        <v>0</v>
      </c>
      <c r="AY109" s="112">
        <f t="shared" si="376"/>
        <v>0</v>
      </c>
      <c r="AZ109" s="112">
        <f t="shared" si="376"/>
        <v>0</v>
      </c>
      <c r="BA109" s="113">
        <f t="shared" si="376"/>
        <v>0</v>
      </c>
      <c r="BB109" s="547">
        <f t="shared" ref="BB109:BG109" si="377">BB101</f>
        <v>0</v>
      </c>
      <c r="BC109" s="112">
        <f t="shared" si="377"/>
        <v>0</v>
      </c>
      <c r="BD109" s="112">
        <f t="shared" si="377"/>
        <v>0</v>
      </c>
      <c r="BE109" s="112">
        <f t="shared" si="377"/>
        <v>0</v>
      </c>
      <c r="BF109" s="112">
        <f t="shared" si="377"/>
        <v>0</v>
      </c>
      <c r="BG109" s="115">
        <f t="shared" si="377"/>
        <v>0</v>
      </c>
      <c r="BH109" s="545">
        <f t="shared" ref="BH109:BM109" si="378">BH101</f>
        <v>0</v>
      </c>
      <c r="BI109" s="112">
        <f t="shared" si="378"/>
        <v>0</v>
      </c>
      <c r="BJ109" s="112">
        <f t="shared" si="378"/>
        <v>0</v>
      </c>
      <c r="BK109" s="112">
        <f t="shared" si="378"/>
        <v>0</v>
      </c>
      <c r="BL109" s="112">
        <f t="shared" si="378"/>
        <v>0</v>
      </c>
      <c r="BM109" s="113">
        <f t="shared" si="378"/>
        <v>0</v>
      </c>
      <c r="BN109" s="547">
        <f t="shared" ref="BN109:BS109" si="379">BN101</f>
        <v>0</v>
      </c>
      <c r="BO109" s="112">
        <f t="shared" si="379"/>
        <v>0</v>
      </c>
      <c r="BP109" s="112">
        <f t="shared" si="379"/>
        <v>0</v>
      </c>
      <c r="BQ109" s="112">
        <f t="shared" si="379"/>
        <v>0</v>
      </c>
      <c r="BR109" s="112">
        <f t="shared" si="379"/>
        <v>0</v>
      </c>
      <c r="BS109" s="115">
        <f t="shared" si="379"/>
        <v>0</v>
      </c>
      <c r="BT109" s="547">
        <f t="shared" ref="BT109:BY109" si="380">BT101</f>
        <v>216</v>
      </c>
      <c r="BU109" s="112">
        <f t="shared" si="380"/>
        <v>0</v>
      </c>
      <c r="BV109" s="112">
        <f t="shared" si="380"/>
        <v>0</v>
      </c>
      <c r="BW109" s="112">
        <f t="shared" si="380"/>
        <v>0</v>
      </c>
      <c r="BX109" s="112">
        <f t="shared" si="380"/>
        <v>0</v>
      </c>
      <c r="BY109" s="115">
        <f t="shared" si="380"/>
        <v>216</v>
      </c>
      <c r="BZ109" s="108"/>
      <c r="CA109" s="108"/>
    </row>
    <row r="110" spans="1:129" s="117" customFormat="1" ht="12.75" hidden="1" customHeight="1">
      <c r="A110" s="61"/>
      <c r="B110" s="671" t="s">
        <v>314</v>
      </c>
      <c r="C110" s="672"/>
      <c r="D110" s="672"/>
      <c r="E110" s="672"/>
      <c r="F110" s="672"/>
      <c r="G110" s="672"/>
      <c r="H110" s="673"/>
      <c r="I110" s="114">
        <f>I103</f>
        <v>0</v>
      </c>
      <c r="J110" s="114">
        <f>J103</f>
        <v>0</v>
      </c>
      <c r="K110" s="115" t="e">
        <f>K103</f>
        <v>#REF!</v>
      </c>
      <c r="L110" s="115">
        <f t="shared" ref="L110:P110" si="381">L103</f>
        <v>0</v>
      </c>
      <c r="M110" s="115">
        <f t="shared" si="381"/>
        <v>0</v>
      </c>
      <c r="N110" s="115">
        <f t="shared" si="381"/>
        <v>0</v>
      </c>
      <c r="O110" s="115">
        <f t="shared" si="381"/>
        <v>0</v>
      </c>
      <c r="P110" s="115">
        <f t="shared" si="381"/>
        <v>0</v>
      </c>
      <c r="Q110" s="113">
        <f>Q103</f>
        <v>0</v>
      </c>
      <c r="R110" s="548">
        <f t="shared" ref="R110:W110" si="382">R103</f>
        <v>0</v>
      </c>
      <c r="S110" s="112">
        <f t="shared" si="382"/>
        <v>0</v>
      </c>
      <c r="T110" s="112">
        <f t="shared" si="382"/>
        <v>0</v>
      </c>
      <c r="U110" s="112">
        <f t="shared" si="382"/>
        <v>0</v>
      </c>
      <c r="V110" s="112">
        <f t="shared" si="382"/>
        <v>0</v>
      </c>
      <c r="W110" s="115">
        <f t="shared" si="382"/>
        <v>0</v>
      </c>
      <c r="X110" s="546">
        <f t="shared" ref="X110:AC110" si="383">X103</f>
        <v>0</v>
      </c>
      <c r="Y110" s="112">
        <f t="shared" si="383"/>
        <v>0</v>
      </c>
      <c r="Z110" s="112">
        <f t="shared" si="383"/>
        <v>0</v>
      </c>
      <c r="AA110" s="112">
        <f t="shared" si="383"/>
        <v>0</v>
      </c>
      <c r="AB110" s="112">
        <f t="shared" si="383"/>
        <v>0</v>
      </c>
      <c r="AC110" s="113">
        <f t="shared" si="383"/>
        <v>0</v>
      </c>
      <c r="AD110" s="548" t="e">
        <f t="shared" ref="AD110:AI110" si="384">AD103</f>
        <v>#REF!</v>
      </c>
      <c r="AE110" s="112">
        <f t="shared" si="384"/>
        <v>0</v>
      </c>
      <c r="AF110" s="112">
        <f t="shared" si="384"/>
        <v>0</v>
      </c>
      <c r="AG110" s="112">
        <f t="shared" si="384"/>
        <v>0</v>
      </c>
      <c r="AH110" s="112">
        <f t="shared" si="384"/>
        <v>0</v>
      </c>
      <c r="AI110" s="115">
        <f t="shared" si="384"/>
        <v>0</v>
      </c>
      <c r="AJ110" s="546">
        <f t="shared" ref="AJ110:AO110" si="385">AJ103</f>
        <v>0</v>
      </c>
      <c r="AK110" s="112">
        <f t="shared" si="385"/>
        <v>0</v>
      </c>
      <c r="AL110" s="112">
        <f t="shared" si="385"/>
        <v>0</v>
      </c>
      <c r="AM110" s="112">
        <f t="shared" si="385"/>
        <v>0</v>
      </c>
      <c r="AN110" s="112">
        <f t="shared" si="385"/>
        <v>0</v>
      </c>
      <c r="AO110" s="113">
        <f t="shared" si="385"/>
        <v>0</v>
      </c>
      <c r="AP110" s="548">
        <f t="shared" ref="AP110:AU110" si="386">AP103</f>
        <v>0</v>
      </c>
      <c r="AQ110" s="112">
        <f t="shared" si="386"/>
        <v>0</v>
      </c>
      <c r="AR110" s="112">
        <f t="shared" si="386"/>
        <v>0</v>
      </c>
      <c r="AS110" s="112">
        <f t="shared" si="386"/>
        <v>0</v>
      </c>
      <c r="AT110" s="112">
        <f t="shared" si="386"/>
        <v>0</v>
      </c>
      <c r="AU110" s="115">
        <f t="shared" si="386"/>
        <v>0</v>
      </c>
      <c r="AV110" s="546">
        <f t="shared" ref="AV110:BA110" si="387">AV103</f>
        <v>0</v>
      </c>
      <c r="AW110" s="112">
        <f t="shared" si="387"/>
        <v>0</v>
      </c>
      <c r="AX110" s="112">
        <f t="shared" si="387"/>
        <v>0</v>
      </c>
      <c r="AY110" s="112">
        <f t="shared" si="387"/>
        <v>0</v>
      </c>
      <c r="AZ110" s="112">
        <f t="shared" si="387"/>
        <v>0</v>
      </c>
      <c r="BA110" s="113">
        <f t="shared" si="387"/>
        <v>0</v>
      </c>
      <c r="BB110" s="548">
        <f t="shared" ref="BB110:BG110" si="388">BB103</f>
        <v>0</v>
      </c>
      <c r="BC110" s="112">
        <f t="shared" si="388"/>
        <v>0</v>
      </c>
      <c r="BD110" s="112">
        <f t="shared" si="388"/>
        <v>0</v>
      </c>
      <c r="BE110" s="112">
        <f t="shared" si="388"/>
        <v>0</v>
      </c>
      <c r="BF110" s="112">
        <f t="shared" si="388"/>
        <v>0</v>
      </c>
      <c r="BG110" s="115">
        <f t="shared" si="388"/>
        <v>0</v>
      </c>
      <c r="BH110" s="546">
        <f t="shared" ref="BH110:BM110" si="389">BH103</f>
        <v>0</v>
      </c>
      <c r="BI110" s="112">
        <f t="shared" si="389"/>
        <v>0</v>
      </c>
      <c r="BJ110" s="112">
        <f t="shared" si="389"/>
        <v>0</v>
      </c>
      <c r="BK110" s="112">
        <f t="shared" si="389"/>
        <v>0</v>
      </c>
      <c r="BL110" s="112">
        <f t="shared" si="389"/>
        <v>0</v>
      </c>
      <c r="BM110" s="113">
        <f t="shared" si="389"/>
        <v>0</v>
      </c>
      <c r="BN110" s="548">
        <f t="shared" ref="BN110:BS110" si="390">BN103</f>
        <v>0</v>
      </c>
      <c r="BO110" s="112">
        <f t="shared" si="390"/>
        <v>0</v>
      </c>
      <c r="BP110" s="112">
        <f t="shared" si="390"/>
        <v>0</v>
      </c>
      <c r="BQ110" s="112">
        <f t="shared" si="390"/>
        <v>0</v>
      </c>
      <c r="BR110" s="112">
        <f t="shared" si="390"/>
        <v>0</v>
      </c>
      <c r="BS110" s="115">
        <f t="shared" si="390"/>
        <v>0</v>
      </c>
      <c r="BT110" s="548">
        <f t="shared" ref="BT110:BY110" si="391">BT103</f>
        <v>0</v>
      </c>
      <c r="BU110" s="112">
        <f t="shared" si="391"/>
        <v>0</v>
      </c>
      <c r="BV110" s="112">
        <f t="shared" si="391"/>
        <v>0</v>
      </c>
      <c r="BW110" s="112">
        <f t="shared" si="391"/>
        <v>0</v>
      </c>
      <c r="BX110" s="112">
        <f t="shared" si="391"/>
        <v>0</v>
      </c>
      <c r="BY110" s="115">
        <f t="shared" si="391"/>
        <v>0</v>
      </c>
      <c r="BZ110" s="116"/>
      <c r="CA110" s="116"/>
    </row>
    <row r="111" spans="1:129" s="87" customFormat="1">
      <c r="A111" s="118"/>
      <c r="B111" s="668" t="s">
        <v>233</v>
      </c>
      <c r="C111" s="669"/>
      <c r="D111" s="669"/>
      <c r="E111" s="669"/>
      <c r="F111" s="669"/>
      <c r="G111" s="669"/>
      <c r="H111" s="670"/>
      <c r="I111" s="119">
        <f>SUM(I107:I109)</f>
        <v>7938</v>
      </c>
      <c r="J111" s="119">
        <f>SUM(J107:J109)</f>
        <v>7128</v>
      </c>
      <c r="K111" s="120">
        <f>SUM(K107:K109)</f>
        <v>9918</v>
      </c>
      <c r="L111" s="120">
        <f t="shared" ref="L111:P111" si="392">SUM(L107:L109)</f>
        <v>7128</v>
      </c>
      <c r="M111" s="120">
        <f t="shared" si="392"/>
        <v>3735</v>
      </c>
      <c r="N111" s="120">
        <f t="shared" si="392"/>
        <v>1323</v>
      </c>
      <c r="O111" s="120">
        <f t="shared" si="392"/>
        <v>90</v>
      </c>
      <c r="P111" s="120">
        <f t="shared" si="392"/>
        <v>1980</v>
      </c>
      <c r="Q111" s="544">
        <f>SUM(Q107:Q109)</f>
        <v>2790</v>
      </c>
      <c r="R111" s="547">
        <f t="shared" ref="R111:AC111" si="393">SUM(R107:R109)</f>
        <v>918</v>
      </c>
      <c r="S111" s="112">
        <f t="shared" si="393"/>
        <v>525</v>
      </c>
      <c r="T111" s="112">
        <f t="shared" si="393"/>
        <v>87</v>
      </c>
      <c r="U111" s="112">
        <f t="shared" si="393"/>
        <v>0</v>
      </c>
      <c r="V111" s="112">
        <f t="shared" si="393"/>
        <v>0</v>
      </c>
      <c r="W111" s="112">
        <f t="shared" si="393"/>
        <v>306</v>
      </c>
      <c r="X111" s="545">
        <f t="shared" si="393"/>
        <v>1188</v>
      </c>
      <c r="Y111" s="112">
        <f t="shared" si="393"/>
        <v>664</v>
      </c>
      <c r="Z111" s="112">
        <f t="shared" si="393"/>
        <v>128</v>
      </c>
      <c r="AA111" s="112">
        <f t="shared" si="393"/>
        <v>0</v>
      </c>
      <c r="AB111" s="112">
        <f t="shared" si="393"/>
        <v>0</v>
      </c>
      <c r="AC111" s="121">
        <f t="shared" si="393"/>
        <v>396</v>
      </c>
      <c r="AD111" s="547">
        <f t="shared" ref="AD111:AO111" si="394">SUM(AD107:AD109)</f>
        <v>864</v>
      </c>
      <c r="AE111" s="112">
        <f t="shared" si="394"/>
        <v>422</v>
      </c>
      <c r="AF111" s="112">
        <f t="shared" si="394"/>
        <v>154</v>
      </c>
      <c r="AG111" s="112">
        <f t="shared" si="394"/>
        <v>0</v>
      </c>
      <c r="AH111" s="112">
        <f t="shared" si="394"/>
        <v>0</v>
      </c>
      <c r="AI111" s="112">
        <f t="shared" si="394"/>
        <v>288</v>
      </c>
      <c r="AJ111" s="545">
        <f t="shared" si="394"/>
        <v>1242</v>
      </c>
      <c r="AK111" s="112">
        <f t="shared" si="394"/>
        <v>490</v>
      </c>
      <c r="AL111" s="112">
        <f t="shared" si="394"/>
        <v>122</v>
      </c>
      <c r="AM111" s="112">
        <f t="shared" si="394"/>
        <v>0</v>
      </c>
      <c r="AN111" s="112">
        <f t="shared" si="394"/>
        <v>324</v>
      </c>
      <c r="AO111" s="121">
        <f t="shared" si="394"/>
        <v>306</v>
      </c>
      <c r="AP111" s="547">
        <f t="shared" ref="AP111:BA111" si="395">SUM(AP107:AP109)</f>
        <v>864</v>
      </c>
      <c r="AQ111" s="112">
        <f t="shared" si="395"/>
        <v>454</v>
      </c>
      <c r="AR111" s="112">
        <f t="shared" si="395"/>
        <v>122</v>
      </c>
      <c r="AS111" s="112">
        <f t="shared" si="395"/>
        <v>0</v>
      </c>
      <c r="AT111" s="112">
        <f t="shared" si="395"/>
        <v>0</v>
      </c>
      <c r="AU111" s="112">
        <f t="shared" si="395"/>
        <v>288</v>
      </c>
      <c r="AV111" s="545">
        <f t="shared" si="395"/>
        <v>1134</v>
      </c>
      <c r="AW111" s="112">
        <f t="shared" si="395"/>
        <v>255</v>
      </c>
      <c r="AX111" s="112">
        <f t="shared" si="395"/>
        <v>141</v>
      </c>
      <c r="AY111" s="112">
        <f t="shared" si="395"/>
        <v>0</v>
      </c>
      <c r="AZ111" s="112">
        <f t="shared" si="395"/>
        <v>540</v>
      </c>
      <c r="BA111" s="121">
        <f t="shared" si="395"/>
        <v>198</v>
      </c>
      <c r="BB111" s="547">
        <f t="shared" ref="BB111:BM111" si="396">SUM(BB107:BB109)</f>
        <v>810</v>
      </c>
      <c r="BC111" s="112">
        <f t="shared" si="396"/>
        <v>290</v>
      </c>
      <c r="BD111" s="112">
        <f t="shared" si="396"/>
        <v>106</v>
      </c>
      <c r="BE111" s="112">
        <f t="shared" si="396"/>
        <v>0</v>
      </c>
      <c r="BF111" s="112">
        <f t="shared" si="396"/>
        <v>216</v>
      </c>
      <c r="BG111" s="112">
        <f t="shared" si="396"/>
        <v>198</v>
      </c>
      <c r="BH111" s="545">
        <f t="shared" si="396"/>
        <v>1134</v>
      </c>
      <c r="BI111" s="112">
        <f t="shared" si="396"/>
        <v>308</v>
      </c>
      <c r="BJ111" s="112">
        <f t="shared" si="396"/>
        <v>33</v>
      </c>
      <c r="BK111" s="112">
        <f t="shared" si="396"/>
        <v>55</v>
      </c>
      <c r="BL111" s="112">
        <f t="shared" si="396"/>
        <v>540</v>
      </c>
      <c r="BM111" s="121">
        <f t="shared" si="396"/>
        <v>198</v>
      </c>
      <c r="BN111" s="547">
        <f t="shared" ref="BN111:BY111" si="397">SUM(BN107:BN109)</f>
        <v>576</v>
      </c>
      <c r="BO111" s="112">
        <f t="shared" si="397"/>
        <v>80</v>
      </c>
      <c r="BP111" s="112">
        <f t="shared" si="397"/>
        <v>64</v>
      </c>
      <c r="BQ111" s="112">
        <f t="shared" si="397"/>
        <v>0</v>
      </c>
      <c r="BR111" s="112">
        <f t="shared" si="397"/>
        <v>360</v>
      </c>
      <c r="BS111" s="112">
        <f t="shared" si="397"/>
        <v>72</v>
      </c>
      <c r="BT111" s="547">
        <f t="shared" si="397"/>
        <v>1188</v>
      </c>
      <c r="BU111" s="112">
        <f t="shared" si="397"/>
        <v>247</v>
      </c>
      <c r="BV111" s="112">
        <f t="shared" si="397"/>
        <v>366</v>
      </c>
      <c r="BW111" s="112">
        <f t="shared" si="397"/>
        <v>35</v>
      </c>
      <c r="BX111" s="112">
        <f t="shared" si="397"/>
        <v>0</v>
      </c>
      <c r="BY111" s="112">
        <f t="shared" si="397"/>
        <v>540</v>
      </c>
      <c r="BZ111" s="108"/>
      <c r="CA111" s="108"/>
    </row>
    <row r="112" spans="1:129" s="87" customFormat="1">
      <c r="A112" s="118"/>
      <c r="B112" s="671" t="s">
        <v>273</v>
      </c>
      <c r="C112" s="672"/>
      <c r="D112" s="672"/>
      <c r="E112" s="672"/>
      <c r="F112" s="672"/>
      <c r="G112" s="672"/>
      <c r="H112" s="672"/>
      <c r="I112" s="672"/>
      <c r="J112" s="673"/>
      <c r="K112" s="680">
        <f>COUNTIF(K13:K19,"&gt;0")+COUNTIF(K21:K26,"&gt;0")+COUNTIF(K29:K33,"&gt;0")+COUNTIF(K35:K37,"&gt;0")+COUNTIF(K40:K46,"&gt;0")+COUNTIF(K50:K54,"&gt;0")+COUNTIF(K56:K61,"&gt;0")+COUNTIF(K63:K68,"&gt;0")+COUNTIF(K70:K72,"&gt;0")+COUNTIF(K76:K78,"&gt;0")+COUNTIF(K82:K83,"&gt;0")+COUNTIF(K86,"&gt;0")+COUNTIF(K89,"&gt;0")+COUNTIF(K92:K93,"&gt;0")</f>
        <v>57</v>
      </c>
      <c r="L112" s="681"/>
      <c r="M112" s="681"/>
      <c r="N112" s="681"/>
      <c r="O112" s="681"/>
      <c r="P112" s="681"/>
      <c r="Q112" s="681"/>
      <c r="R112" s="663">
        <f>COUNTIF(R13:R20,"&gt;0")+COUNTIF(R22:R26,"&gt;0")+COUNTIF(R29:R33,"&gt;0")+COUNTIF(R35:R37,"&gt;0")+COUNTIF(R40:R46,"&gt;0")+COUNTIF(R52:R54,"&gt;0")+COUNTIF(R56:R61,"&gt;0")+COUNTIF(R63:R68,"&gt;0")+COUNTIF(R40:R46,"&gt;0")+COUNTIF(R70:R72,"&gt;0")+COUNTIF(R76:R78,"&gt;0")+COUNTIF(R82:R83,"&gt;0")+COUNTIF(R86,"&gt;0")+COUNTIF(R89:R89,"&gt;0")</f>
        <v>12</v>
      </c>
      <c r="S112" s="664"/>
      <c r="T112" s="664"/>
      <c r="U112" s="664"/>
      <c r="V112" s="664"/>
      <c r="W112" s="665"/>
      <c r="X112" s="664">
        <f>COUNTIF(X13:X20,"&gt;0")+COUNTIF(X22:X26,"&gt;0")+COUNTIF(X29:X33,"&gt;0")+COUNTIF(X35:X37,"&gt;0")+COUNTIF(X40:X46,"&gt;0")+COUNTIF(X52:X54,"&gt;0")+COUNTIF(X56:X61,"&gt;0")+COUNTIF(X63:X68,"&gt;0")+COUNTIF(X40:X46,"&gt;0")+COUNTIF(X70:X72,"&gt;0")+COUNTIF(X76:X78,"&gt;0")+COUNTIF(X82:X83,"&gt;0")+COUNTIF(X86,"&gt;0")+COUNTIF(X89:X89,"&gt;0")</f>
        <v>11</v>
      </c>
      <c r="Y112" s="664"/>
      <c r="Z112" s="664"/>
      <c r="AA112" s="664"/>
      <c r="AB112" s="664"/>
      <c r="AC112" s="664"/>
      <c r="AD112" s="663">
        <f>COUNTIF(AD13:AD20,"&gt;0")+COUNTIF(AD22:AD26,"&gt;0")+COUNTIF(AD29:AD33,"&gt;0")+COUNTIF(AD35:AD37,"&gt;0")+COUNTIF(AD40:AD46,"&gt;0")+COUNTIF(AD52:AD54,"&gt;0")+COUNTIF(AD56:AD61,"&gt;0")+COUNTIF(AD63:AD68,"&gt;0")+COUNTIF(AD40:AD46,"&gt;0")+COUNTIF(AD70:AD72,"&gt;0")+COUNTIF(AD76:AD78,"&gt;0")+COUNTIF(AD82:AD83,"&gt;0")+COUNTIF(AD86,"&gt;0")+COUNTIF(AD89:AD89,"&gt;0")</f>
        <v>18</v>
      </c>
      <c r="AE112" s="664"/>
      <c r="AF112" s="664"/>
      <c r="AG112" s="664"/>
      <c r="AH112" s="664"/>
      <c r="AI112" s="665"/>
      <c r="AJ112" s="664">
        <f>COUNTIF(AJ13:AJ20,"&gt;0")+COUNTIF(AJ22:AJ26,"&gt;0")+COUNTIF(AJ29:AJ33,"&gt;0")+COUNTIF(AJ35:AJ37,"&gt;0")+COUNTIF(AJ40:AJ46,"&gt;0")+COUNTIF(AJ52:AJ54,"&gt;0")+COUNTIF(AJ56:AJ61,"&gt;0")+COUNTIF(AJ63:AJ68,"&gt;0")+COUNTIF(AJ40:AJ46,"&gt;0")+COUNTIF(AJ70:AJ72,"&gt;0")+COUNTIF(AJ76:AJ78,"&gt;0")+COUNTIF(AJ82:AJ83,"&gt;0")+COUNTIF(AJ86,"&gt;0")+COUNTIF(AJ89:AJ89,"&gt;0")</f>
        <v>15</v>
      </c>
      <c r="AK112" s="664"/>
      <c r="AL112" s="664"/>
      <c r="AM112" s="664"/>
      <c r="AN112" s="664"/>
      <c r="AO112" s="664"/>
      <c r="AP112" s="663">
        <f>COUNTIF(AP13:AP20,"&gt;0")+COUNTIF(AP22:AP26,"&gt;0")+COUNTIF(AP29:AP33,"&gt;0")+COUNTIF(AP35:AP37,"&gt;0")+COUNTIF(AP40:AP46,"&gt;0")+COUNTIF(AP52:AP54,"&gt;0")+COUNTIF(AP56:AP61,"&gt;0")+COUNTIF(AP63:AP68,"&gt;0")+COUNTIF(AP40:AP46,"&gt;0")+COUNTIF(AP70:AP72,"&gt;0")+COUNTIF(AP76:AP78,"&gt;0")+COUNTIF(AP82:AP83,"&gt;0")+COUNTIF(AP86,"&gt;0")+COUNTIF(AP89:AP89,"&gt;0")</f>
        <v>13</v>
      </c>
      <c r="AQ112" s="664"/>
      <c r="AR112" s="664"/>
      <c r="AS112" s="664"/>
      <c r="AT112" s="664"/>
      <c r="AU112" s="665"/>
      <c r="AV112" s="664">
        <f>COUNTIF(AV13:AV20,"&gt;0")+COUNTIF(AV22:AV26,"&gt;0")+COUNTIF(AV29:AV33,"&gt;0")+COUNTIF(AV35:AV37,"&gt;0")+COUNTIF(AV40:AV46,"&gt;0")+COUNTIF(AV52:AV54,"&gt;0")+COUNTIF(AV56:AV61,"&gt;0")+COUNTIF(AV63:AV68,"&gt;0")+COUNTIF(AV40:AV46,"&gt;0")+COUNTIF(AV70:AV72,"&gt;0")+COUNTIF(AV76:AV78,"&gt;0")+COUNTIF(AV82:AV83,"&gt;0")+COUNTIF(AV86,"&gt;0")+COUNTIF(AV89:AV89,"&gt;0")</f>
        <v>11</v>
      </c>
      <c r="AW112" s="664"/>
      <c r="AX112" s="664"/>
      <c r="AY112" s="664"/>
      <c r="AZ112" s="664"/>
      <c r="BA112" s="664"/>
      <c r="BB112" s="663">
        <f>COUNTIF(BB13:BB20,"&gt;0")+COUNTIF(BB22:BB26,"&gt;0")+COUNTIF(BB29:BB33,"&gt;0")+COUNTIF(BB35:BB37,"&gt;0")+COUNTIF(BB40:BB46,"&gt;0")+COUNTIF(BB52:BB54,"&gt;0")+COUNTIF(BB56:BB61,"&gt;0")+COUNTIF(BB63:BB68,"&gt;0")+COUNTIF(BB40:BB46,"&gt;0")+COUNTIF(BB70:BB72,"&gt;0")+COUNTIF(BB76:BB78,"&gt;0")+COUNTIF(BB82:BB83,"&gt;0")+COUNTIF(BB86,"&gt;0")+COUNTIF(BB89:BB89,"&gt;0")</f>
        <v>14</v>
      </c>
      <c r="BC112" s="664"/>
      <c r="BD112" s="664"/>
      <c r="BE112" s="664"/>
      <c r="BF112" s="664"/>
      <c r="BG112" s="665"/>
      <c r="BH112" s="664">
        <f>COUNTIF(BH13:BH20,"&gt;0")+COUNTIF(BH22:BH26,"&gt;0")+COUNTIF(BH29:BH33,"&gt;0")+COUNTIF(BH35:BH37,"&gt;0")+COUNTIF(BH40:BH46,"&gt;0")+COUNTIF(BH52:BH54,"&gt;0")+COUNTIF(BH56:BH61,"&gt;0")+COUNTIF(BH63:BH68,"&gt;0")+COUNTIF(BH40:BH46,"&gt;0")+COUNTIF(BH70:BH72,"&gt;0")+COUNTIF(BH76:BH78,"&gt;0")+COUNTIF(BH82:BH83,"&gt;0")+COUNTIF(BH86,"&gt;0")+COUNTIF(BH89:BH89,"&gt;0")</f>
        <v>12</v>
      </c>
      <c r="BI112" s="664"/>
      <c r="BJ112" s="664"/>
      <c r="BK112" s="664"/>
      <c r="BL112" s="664"/>
      <c r="BM112" s="664"/>
      <c r="BN112" s="663">
        <f>COUNTIF(BN13:BN20,"&gt;0")+COUNTIF(BN22:BN26,"&gt;0")+COUNTIF(BN29:BN33,"&gt;0")+COUNTIF(BN35:BN37,"&gt;0")+COUNTIF(BN40:BN46,"&gt;0")+COUNTIF(BN52:BN54,"&gt;0")+COUNTIF(BN56:BN61,"&gt;0")+COUNTIF(BN63:BN68,"&gt;0")+COUNTIF(BN40:BN46,"&gt;0")+COUNTIF(BN70:BN72,"&gt;0")+COUNTIF(BN76:BN78,"&gt;0")+COUNTIF(BN82:BN83,"&gt;0")+COUNTIF(BN86,"&gt;0")+COUNTIF(BN89:BN89,"&gt;0")</f>
        <v>7</v>
      </c>
      <c r="BO112" s="664"/>
      <c r="BP112" s="664"/>
      <c r="BQ112" s="664"/>
      <c r="BR112" s="664"/>
      <c r="BS112" s="665"/>
      <c r="BT112" s="663">
        <f>COUNTIF(BT13:BT20,"&gt;0")+COUNTIF(BT22:BT26,"&gt;0")+COUNTIF(BT29:BT33,"&gt;0")+COUNTIF(BT35:BT37,"&gt;0")+COUNTIF(BT40:BT46,"&gt;0")+COUNTIF(BT52:BT54,"&gt;0")+COUNTIF(BT56:BT61,"&gt;0")+COUNTIF(BT63:BT68,"&gt;0")+COUNTIF(BT40:BT46,"&gt;0")+COUNTIF(BT70:BT72,"&gt;0")+COUNTIF(BT76:BT78,"&gt;0")+COUNTIF(BT82:BT83,"&gt;0")+COUNTIF(BT86,"&gt;0")+COUNTIF(BT89:BT89,"&gt;0")</f>
        <v>8</v>
      </c>
      <c r="BU112" s="664"/>
      <c r="BV112" s="664"/>
      <c r="BW112" s="664"/>
      <c r="BX112" s="664"/>
      <c r="BY112" s="665"/>
      <c r="BZ112" s="108"/>
      <c r="CA112" s="108"/>
    </row>
    <row r="113" spans="1:79" s="87" customFormat="1">
      <c r="A113" s="118"/>
      <c r="B113" s="671" t="s">
        <v>88</v>
      </c>
      <c r="C113" s="672"/>
      <c r="D113" s="672"/>
      <c r="E113" s="672"/>
      <c r="F113" s="672"/>
      <c r="G113" s="672"/>
      <c r="H113" s="672"/>
      <c r="I113" s="672"/>
      <c r="J113" s="673"/>
      <c r="K113" s="677">
        <f>COUNTIF(K95:K97,"&gt;0")+COUNTIF(K99:K100,"&gt;0")</f>
        <v>5</v>
      </c>
      <c r="L113" s="678"/>
      <c r="M113" s="678"/>
      <c r="N113" s="678"/>
      <c r="O113" s="678"/>
      <c r="P113" s="678"/>
      <c r="Q113" s="679"/>
      <c r="R113" s="682">
        <f>COUNTIF(R95:R97,"&gt;0")+COUNTIF(R99:R100,"&gt;0")</f>
        <v>0</v>
      </c>
      <c r="S113" s="661"/>
      <c r="T113" s="661"/>
      <c r="U113" s="661"/>
      <c r="V113" s="661"/>
      <c r="W113" s="683"/>
      <c r="X113" s="660">
        <f>COUNTIF(X95:X97,"&gt;0")+COUNTIF(X99:X100,"&gt;0")</f>
        <v>0</v>
      </c>
      <c r="Y113" s="661"/>
      <c r="Z113" s="661"/>
      <c r="AA113" s="661"/>
      <c r="AB113" s="661"/>
      <c r="AC113" s="662"/>
      <c r="AD113" s="682">
        <f>COUNTIF(AD95:AD97,"&gt;0")+COUNTIF(AD99:AD100,"&gt;0")</f>
        <v>0</v>
      </c>
      <c r="AE113" s="661"/>
      <c r="AF113" s="661"/>
      <c r="AG113" s="661"/>
      <c r="AH113" s="661"/>
      <c r="AI113" s="683"/>
      <c r="AJ113" s="660">
        <f>COUNTIF(AJ94,"&gt;0")+COUNTIF(AJ99:AJ100,"&gt;0")</f>
        <v>1</v>
      </c>
      <c r="AK113" s="661"/>
      <c r="AL113" s="661"/>
      <c r="AM113" s="661"/>
      <c r="AN113" s="661"/>
      <c r="AO113" s="662"/>
      <c r="AP113" s="682">
        <f>COUNTIF(AP95:AP97,"&gt;0")+COUNTIF(AP99:AP100,"&gt;0")</f>
        <v>0</v>
      </c>
      <c r="AQ113" s="661"/>
      <c r="AR113" s="661"/>
      <c r="AS113" s="661"/>
      <c r="AT113" s="661"/>
      <c r="AU113" s="683"/>
      <c r="AV113" s="660">
        <f>COUNTIF(AV95:AV97,"&gt;0")+COUNTIF(AV99:AV100,"&gt;0")</f>
        <v>1</v>
      </c>
      <c r="AW113" s="661"/>
      <c r="AX113" s="661"/>
      <c r="AY113" s="661"/>
      <c r="AZ113" s="661"/>
      <c r="BA113" s="662"/>
      <c r="BB113" s="682">
        <f>COUNTIF(BB95:BB97,"&gt;0")+COUNTIF(BB99:BB100,"&gt;0")</f>
        <v>1</v>
      </c>
      <c r="BC113" s="661"/>
      <c r="BD113" s="661"/>
      <c r="BE113" s="661"/>
      <c r="BF113" s="661"/>
      <c r="BG113" s="683"/>
      <c r="BH113" s="660">
        <f>COUNTIF(BH95:BH97,"&gt;0")+COUNTIF(BH99:BH100,"&gt;0")</f>
        <v>1</v>
      </c>
      <c r="BI113" s="661"/>
      <c r="BJ113" s="661"/>
      <c r="BK113" s="661"/>
      <c r="BL113" s="661"/>
      <c r="BM113" s="662"/>
      <c r="BN113" s="682">
        <f>COUNTIF(BN95:BN97,"&gt;0")+COUNTIF(BN99:BN100,"&gt;0")</f>
        <v>2</v>
      </c>
      <c r="BO113" s="661"/>
      <c r="BP113" s="661"/>
      <c r="BQ113" s="661"/>
      <c r="BR113" s="661"/>
      <c r="BS113" s="683"/>
      <c r="BT113" s="682">
        <f>COUNTIF(BT95:BT97,"&gt;0")+COUNTIF(BT99:BT100,"&gt;0")</f>
        <v>0</v>
      </c>
      <c r="BU113" s="661"/>
      <c r="BV113" s="661"/>
      <c r="BW113" s="661"/>
      <c r="BX113" s="661"/>
      <c r="BY113" s="683"/>
      <c r="BZ113" s="108"/>
      <c r="CA113" s="108"/>
    </row>
    <row r="114" spans="1:79" s="87" customFormat="1" ht="12.75" customHeight="1">
      <c r="A114" s="122"/>
      <c r="B114" s="684" t="s">
        <v>613</v>
      </c>
      <c r="C114" s="672"/>
      <c r="D114" s="672"/>
      <c r="E114" s="672"/>
      <c r="F114" s="672"/>
      <c r="G114" s="672"/>
      <c r="H114" s="672"/>
      <c r="I114" s="672"/>
      <c r="J114" s="673"/>
      <c r="K114" s="674">
        <v>54</v>
      </c>
      <c r="L114" s="675"/>
      <c r="M114" s="675"/>
      <c r="N114" s="675"/>
      <c r="O114" s="675"/>
      <c r="P114" s="675"/>
      <c r="Q114" s="676"/>
      <c r="R114" s="657">
        <f>R107/V5</f>
        <v>54</v>
      </c>
      <c r="S114" s="658"/>
      <c r="T114" s="658"/>
      <c r="U114" s="658"/>
      <c r="V114" s="658"/>
      <c r="W114" s="659"/>
      <c r="X114" s="666">
        <f>X107/AB5</f>
        <v>54</v>
      </c>
      <c r="Y114" s="658"/>
      <c r="Z114" s="658"/>
      <c r="AA114" s="658"/>
      <c r="AB114" s="658"/>
      <c r="AC114" s="667"/>
      <c r="AD114" s="657">
        <f>AD107/AH5</f>
        <v>54</v>
      </c>
      <c r="AE114" s="658"/>
      <c r="AF114" s="658"/>
      <c r="AG114" s="658"/>
      <c r="AH114" s="658"/>
      <c r="AI114" s="659"/>
      <c r="AJ114" s="666">
        <f>AJ107/AN5</f>
        <v>54</v>
      </c>
      <c r="AK114" s="658"/>
      <c r="AL114" s="658"/>
      <c r="AM114" s="658"/>
      <c r="AN114" s="658"/>
      <c r="AO114" s="667"/>
      <c r="AP114" s="657">
        <f>AP107/AT5</f>
        <v>54</v>
      </c>
      <c r="AQ114" s="658"/>
      <c r="AR114" s="658"/>
      <c r="AS114" s="658"/>
      <c r="AT114" s="658"/>
      <c r="AU114" s="659"/>
      <c r="AV114" s="666">
        <f>AV107/AZ5</f>
        <v>54</v>
      </c>
      <c r="AW114" s="658"/>
      <c r="AX114" s="658"/>
      <c r="AY114" s="658"/>
      <c r="AZ114" s="658"/>
      <c r="BA114" s="667"/>
      <c r="BB114" s="657">
        <f>BB107/BF5</f>
        <v>54</v>
      </c>
      <c r="BC114" s="658"/>
      <c r="BD114" s="658"/>
      <c r="BE114" s="658"/>
      <c r="BF114" s="658"/>
      <c r="BG114" s="659"/>
      <c r="BH114" s="666">
        <f>BH107/BL5</f>
        <v>54</v>
      </c>
      <c r="BI114" s="658"/>
      <c r="BJ114" s="658"/>
      <c r="BK114" s="658"/>
      <c r="BL114" s="658"/>
      <c r="BM114" s="667"/>
      <c r="BN114" s="657">
        <f>BN107/BR5</f>
        <v>54</v>
      </c>
      <c r="BO114" s="658"/>
      <c r="BP114" s="658"/>
      <c r="BQ114" s="658"/>
      <c r="BR114" s="658"/>
      <c r="BS114" s="659"/>
      <c r="BT114" s="657">
        <f>BT107/BX5</f>
        <v>54</v>
      </c>
      <c r="BU114" s="658"/>
      <c r="BV114" s="658"/>
      <c r="BW114" s="658"/>
      <c r="BX114" s="658"/>
      <c r="BY114" s="659"/>
      <c r="BZ114" s="108"/>
      <c r="CA114" s="108"/>
    </row>
    <row r="115" spans="1:79" s="87" customFormat="1" ht="12.75" customHeight="1">
      <c r="A115" s="123"/>
      <c r="B115" s="671" t="s">
        <v>271</v>
      </c>
      <c r="C115" s="672"/>
      <c r="D115" s="672"/>
      <c r="E115" s="672"/>
      <c r="F115" s="672"/>
      <c r="G115" s="672"/>
      <c r="H115" s="672"/>
      <c r="I115" s="672"/>
      <c r="J115" s="673"/>
      <c r="K115" s="674">
        <f>IF('Титульный лист'!BD29=0,0,IF(L107=0,0,L107/(V5+AB5+AH5+AN5+AT5+AZ5+BF5+BL5+BR5+BX5)))</f>
        <v>36</v>
      </c>
      <c r="L115" s="675"/>
      <c r="M115" s="675"/>
      <c r="N115" s="675"/>
      <c r="O115" s="675"/>
      <c r="P115" s="675"/>
      <c r="Q115" s="676"/>
      <c r="R115" s="657">
        <f>IF(V5=0,0,IF(SUM(S107:V107)=0,0,SUM(S107:V107)/V5))</f>
        <v>36</v>
      </c>
      <c r="S115" s="658"/>
      <c r="T115" s="658"/>
      <c r="U115" s="658"/>
      <c r="V115" s="658"/>
      <c r="W115" s="659"/>
      <c r="X115" s="666">
        <f>IF(AB5=0,0,IF(SUM(Y107:AB107)=0,0,SUM(Y107:AB107)/AB5))</f>
        <v>36</v>
      </c>
      <c r="Y115" s="658"/>
      <c r="Z115" s="658"/>
      <c r="AA115" s="658"/>
      <c r="AB115" s="658"/>
      <c r="AC115" s="667"/>
      <c r="AD115" s="657">
        <f>IF(AH5=0,0,IF(SUM(AE107:AH107)=0,0,SUM(AE107:AH107)/AH5))</f>
        <v>36</v>
      </c>
      <c r="AE115" s="658"/>
      <c r="AF115" s="658"/>
      <c r="AG115" s="658"/>
      <c r="AH115" s="658"/>
      <c r="AI115" s="659"/>
      <c r="AJ115" s="666">
        <f>IF(AN5=0,0,IF(SUM(AK107:AN107)=0,0,SUM(AK107:AN107)/AN5))</f>
        <v>36</v>
      </c>
      <c r="AK115" s="658"/>
      <c r="AL115" s="658"/>
      <c r="AM115" s="658"/>
      <c r="AN115" s="658"/>
      <c r="AO115" s="667"/>
      <c r="AP115" s="657">
        <f>IF(AT5=0,0,IF(SUM(AQ107:AT107)=0,0,SUM(AQ107:AT107)/AT5))</f>
        <v>36</v>
      </c>
      <c r="AQ115" s="658"/>
      <c r="AR115" s="658"/>
      <c r="AS115" s="658"/>
      <c r="AT115" s="658"/>
      <c r="AU115" s="659"/>
      <c r="AV115" s="666">
        <f>IF(AZ5=0,0,IF(SUM(AW107:AZ107)=0,0,SUM(AW107:AZ107)/AZ5))</f>
        <v>36</v>
      </c>
      <c r="AW115" s="658"/>
      <c r="AX115" s="658"/>
      <c r="AY115" s="658"/>
      <c r="AZ115" s="658"/>
      <c r="BA115" s="667"/>
      <c r="BB115" s="657">
        <f>IF(BF5=0,0,IF(SUM(BC107:BF107)=0,0,SUM(BC107:BF107)/BF5))</f>
        <v>36</v>
      </c>
      <c r="BC115" s="658"/>
      <c r="BD115" s="658"/>
      <c r="BE115" s="658"/>
      <c r="BF115" s="658"/>
      <c r="BG115" s="659"/>
      <c r="BH115" s="666">
        <f>IF(BL5=0,0,IF(SUM(BI107:BL107)=0,0,SUM(BI107:BL107)/BL5))</f>
        <v>36</v>
      </c>
      <c r="BI115" s="658"/>
      <c r="BJ115" s="658"/>
      <c r="BK115" s="658"/>
      <c r="BL115" s="658"/>
      <c r="BM115" s="667"/>
      <c r="BN115" s="657">
        <f>IF(BR5=0,0,IF(SUM(BO107:BR107)=0,0,SUM(BO107:BR107)/BR5))</f>
        <v>36</v>
      </c>
      <c r="BO115" s="658"/>
      <c r="BP115" s="658"/>
      <c r="BQ115" s="658"/>
      <c r="BR115" s="658"/>
      <c r="BS115" s="659"/>
      <c r="BT115" s="657">
        <f>IF(BX5=0,0,IF(SUM(BU107:BX107)=0,0,SUM(BU107:BX107)/BX5))</f>
        <v>36</v>
      </c>
      <c r="BU115" s="658"/>
      <c r="BV115" s="658"/>
      <c r="BW115" s="658"/>
      <c r="BX115" s="658"/>
      <c r="BY115" s="659"/>
      <c r="BZ115" s="108"/>
      <c r="CA115" s="108"/>
    </row>
    <row r="116" spans="1:79" s="87" customFormat="1" ht="12.75" customHeight="1">
      <c r="A116" s="123"/>
      <c r="B116" s="671" t="s">
        <v>270</v>
      </c>
      <c r="C116" s="672"/>
      <c r="D116" s="672"/>
      <c r="E116" s="672"/>
      <c r="F116" s="672"/>
      <c r="G116" s="672"/>
      <c r="H116" s="672"/>
      <c r="I116" s="672"/>
      <c r="J116" s="673"/>
      <c r="K116" s="680">
        <f>R116+X116+AD116+AJ116+AP116+AV116+BB116+BH116+BN116+BT116</f>
        <v>16</v>
      </c>
      <c r="L116" s="681"/>
      <c r="M116" s="681" t="s">
        <v>298</v>
      </c>
      <c r="N116" s="681"/>
      <c r="O116" s="681"/>
      <c r="P116" s="681">
        <f>V116+AB116+AH116+AN116+AT116+AZ116+BF116+BL116+BR116+BX116</f>
        <v>16</v>
      </c>
      <c r="Q116" s="681"/>
      <c r="R116" s="663">
        <f>COUNTIF($D$11:$D$94,"*1*")</f>
        <v>0</v>
      </c>
      <c r="S116" s="664"/>
      <c r="T116" s="664" t="s">
        <v>298</v>
      </c>
      <c r="U116" s="664"/>
      <c r="V116" s="664">
        <f>COUNTIF($D$11:$D$93,"*1*")-DCOUNTA($A$10:$H$94,"5",E123:G124)</f>
        <v>0</v>
      </c>
      <c r="W116" s="665"/>
      <c r="X116" s="664">
        <f>COUNTIF($D$11:$D$94,"*2*")</f>
        <v>4</v>
      </c>
      <c r="Y116" s="664"/>
      <c r="Z116" s="664" t="s">
        <v>298</v>
      </c>
      <c r="AA116" s="664"/>
      <c r="AB116" s="664">
        <f>COUNTIF($D$11:$D$91,"*2*")-DCOUNTA($A$10:$H$94,"5",E125:G126)</f>
        <v>4</v>
      </c>
      <c r="AC116" s="664"/>
      <c r="AD116" s="663">
        <f>COUNTIF($D$11:$D$93,"*3*")</f>
        <v>2</v>
      </c>
      <c r="AE116" s="664"/>
      <c r="AF116" s="664" t="s">
        <v>298</v>
      </c>
      <c r="AG116" s="664"/>
      <c r="AH116" s="664">
        <f>COUNTIF($D$11:$D$93,"*3*")-DCOUNTA($A$10:$G$93,"5",E127:G128)</f>
        <v>2</v>
      </c>
      <c r="AI116" s="665"/>
      <c r="AJ116" s="664">
        <f>COUNTIF($D$11:$D$93,"*4*")</f>
        <v>2</v>
      </c>
      <c r="AK116" s="664"/>
      <c r="AL116" s="664" t="s">
        <v>298</v>
      </c>
      <c r="AM116" s="664"/>
      <c r="AN116" s="664">
        <f>COUNTIF($D$11:$D$93,"*4*")-DCOUNTA($A$10:$G$89,"5",E129:G130)</f>
        <v>2</v>
      </c>
      <c r="AO116" s="664"/>
      <c r="AP116" s="663">
        <f>COUNTIF($D$11:$D$93,"*5*")</f>
        <v>2</v>
      </c>
      <c r="AQ116" s="664"/>
      <c r="AR116" s="664" t="s">
        <v>298</v>
      </c>
      <c r="AS116" s="664"/>
      <c r="AT116" s="664">
        <f>COUNTIF($D$11:$D$93,"*5*")-DCOUNTA($A$10:$H$93,"5",E131:G132)</f>
        <v>2</v>
      </c>
      <c r="AU116" s="665"/>
      <c r="AV116" s="664">
        <f>COUNTIF($D$11:$D$93,"*6*")</f>
        <v>2</v>
      </c>
      <c r="AW116" s="664"/>
      <c r="AX116" s="664" t="s">
        <v>298</v>
      </c>
      <c r="AY116" s="664"/>
      <c r="AZ116" s="664">
        <f>COUNTIF($D$11:$D$93,"*6*")-DCOUNTA($A$10:$H$93,"5",E133:G134)</f>
        <v>2</v>
      </c>
      <c r="BA116" s="664"/>
      <c r="BB116" s="663">
        <f>COUNTIF($D$11:$D$93,"*7*")</f>
        <v>0</v>
      </c>
      <c r="BC116" s="664"/>
      <c r="BD116" s="664" t="s">
        <v>298</v>
      </c>
      <c r="BE116" s="664"/>
      <c r="BF116" s="664">
        <f>COUNTIF($D$11:$D$93,"*7*")-DCOUNTA($A$10:$H$93,"5",E135:G136)</f>
        <v>0</v>
      </c>
      <c r="BG116" s="665"/>
      <c r="BH116" s="664">
        <f>COUNTIF($D$11:$D$93,"*8*")</f>
        <v>2</v>
      </c>
      <c r="BI116" s="664"/>
      <c r="BJ116" s="664" t="s">
        <v>298</v>
      </c>
      <c r="BK116" s="664"/>
      <c r="BL116" s="664">
        <f>COUNTIF($D$11:$D$93,"*8*")-DCOUNTA($A$10:$H$93,"5",E137:G138)</f>
        <v>2</v>
      </c>
      <c r="BM116" s="664"/>
      <c r="BN116" s="663">
        <f>COUNTIF($D$11:$D$93,"*9*")</f>
        <v>0</v>
      </c>
      <c r="BO116" s="664"/>
      <c r="BP116" s="664" t="s">
        <v>298</v>
      </c>
      <c r="BQ116" s="664"/>
      <c r="BR116" s="664">
        <f>COUNTIF($D$11:$D$93,"*9*")-DCOUNTA($A$10:$H$93,"5",E139:G140)</f>
        <v>0</v>
      </c>
      <c r="BS116" s="665"/>
      <c r="BT116" s="663">
        <f>COUNTIF($D$11:$D$93,"*Х*")</f>
        <v>2</v>
      </c>
      <c r="BU116" s="664"/>
      <c r="BV116" s="664" t="s">
        <v>298</v>
      </c>
      <c r="BW116" s="664"/>
      <c r="BX116" s="664">
        <f>COUNTIF($D$11:$D$93,"*Х*")-DCOUNTA($A$10:$H$93,"5",E141:G142)</f>
        <v>2</v>
      </c>
      <c r="BY116" s="665"/>
      <c r="BZ116" s="108"/>
      <c r="CA116" s="108"/>
    </row>
    <row r="117" spans="1:79" s="87" customFormat="1" ht="12.75" customHeight="1">
      <c r="A117" s="118"/>
      <c r="B117" s="671" t="s">
        <v>269</v>
      </c>
      <c r="C117" s="672"/>
      <c r="D117" s="672"/>
      <c r="E117" s="672"/>
      <c r="F117" s="672"/>
      <c r="G117" s="672"/>
      <c r="H117" s="672"/>
      <c r="I117" s="672"/>
      <c r="J117" s="673"/>
      <c r="K117" s="680">
        <f>R117+X117+AD117+AJ117+AP117+AV117+BB117+BH117+BN117+BT117</f>
        <v>59</v>
      </c>
      <c r="L117" s="681"/>
      <c r="M117" s="681" t="s">
        <v>298</v>
      </c>
      <c r="N117" s="681"/>
      <c r="O117" s="681"/>
      <c r="P117" s="681">
        <f>V117+AB117+AH117+AN117+AT117+AZ117+BF117+BL117+BR117+BX117</f>
        <v>49</v>
      </c>
      <c r="Q117" s="681"/>
      <c r="R117" s="663">
        <f>COUNTIF($E$11:$E$91,"*1*")</f>
        <v>5</v>
      </c>
      <c r="S117" s="664"/>
      <c r="T117" s="664" t="s">
        <v>298</v>
      </c>
      <c r="U117" s="664"/>
      <c r="V117" s="664">
        <f>COUNTIF($E$11:$F$93,"*1*")-DCOUNTA($A$10:$H$94,"5",C123:D124)</f>
        <v>4</v>
      </c>
      <c r="W117" s="665"/>
      <c r="X117" s="664">
        <f>COUNTIF($E$11:$F$93,"*2*")</f>
        <v>7</v>
      </c>
      <c r="Y117" s="664"/>
      <c r="Z117" s="664" t="s">
        <v>298</v>
      </c>
      <c r="AA117" s="664"/>
      <c r="AB117" s="664">
        <f>COUNTIF($E$11:$F$93,"*2*")-DCOUNTA($A$10:$H$94,"5",C125:D126)</f>
        <v>6</v>
      </c>
      <c r="AC117" s="664"/>
      <c r="AD117" s="663">
        <f>COUNTIF($E$11:$F$93,"*3*")</f>
        <v>7</v>
      </c>
      <c r="AE117" s="664"/>
      <c r="AF117" s="664" t="s">
        <v>298</v>
      </c>
      <c r="AG117" s="664"/>
      <c r="AH117" s="664">
        <f>COUNTIF($E$11:$F$93,"*3*")-DCOUNTA($A$10:$H$93,"6",C127:D128)</f>
        <v>6</v>
      </c>
      <c r="AI117" s="665"/>
      <c r="AJ117" s="664">
        <f>COUNTIF($E$11:$F$93,"*4*")</f>
        <v>5</v>
      </c>
      <c r="AK117" s="664"/>
      <c r="AL117" s="664" t="s">
        <v>298</v>
      </c>
      <c r="AM117" s="664"/>
      <c r="AN117" s="664">
        <f>COUNTIF($E$11:$F$93,"*4*")-DCOUNTA($A$10:$G$93,"6",C129:D130)</f>
        <v>4</v>
      </c>
      <c r="AO117" s="664"/>
      <c r="AP117" s="663">
        <f>COUNTIF($E$11:$F$93,"*5*")</f>
        <v>7</v>
      </c>
      <c r="AQ117" s="664"/>
      <c r="AR117" s="664" t="s">
        <v>298</v>
      </c>
      <c r="AS117" s="664"/>
      <c r="AT117" s="664">
        <f>COUNTIF($E$11:$F$93,"*5*")-DCOUNTA($A$10:$H$93,"6",C131:D132)</f>
        <v>6</v>
      </c>
      <c r="AU117" s="665"/>
      <c r="AV117" s="664">
        <f>COUNTIF($E$11:$F$93,"*6*")</f>
        <v>5</v>
      </c>
      <c r="AW117" s="664"/>
      <c r="AX117" s="664" t="s">
        <v>298</v>
      </c>
      <c r="AY117" s="664"/>
      <c r="AZ117" s="664">
        <f>COUNTIF($E$11:$F$93,"*6*")-DCOUNTA($A$10:$H$93,"6",C133:D134)</f>
        <v>4</v>
      </c>
      <c r="BA117" s="664"/>
      <c r="BB117" s="663">
        <f>COUNTIF($E$11:$F$93,"*7*")</f>
        <v>5</v>
      </c>
      <c r="BC117" s="664"/>
      <c r="BD117" s="664" t="s">
        <v>298</v>
      </c>
      <c r="BE117" s="664"/>
      <c r="BF117" s="664">
        <f>COUNTIF($E$11:$F$93,"*7*")-DCOUNTA($A$10:$H$93,"6",C135:D136)</f>
        <v>4</v>
      </c>
      <c r="BG117" s="665"/>
      <c r="BH117" s="664">
        <f>COUNTIF($E$11:$F$93,"*8*")</f>
        <v>7</v>
      </c>
      <c r="BI117" s="664"/>
      <c r="BJ117" s="664" t="s">
        <v>298</v>
      </c>
      <c r="BK117" s="664"/>
      <c r="BL117" s="664">
        <f>COUNTIF($E$11:$F$93,"*8*")-DCOUNTA($A$10:$H$93,"6",C137:D138)</f>
        <v>6</v>
      </c>
      <c r="BM117" s="664"/>
      <c r="BN117" s="663">
        <f>COUNTIF($E$11:$F$93,"*9*")</f>
        <v>1</v>
      </c>
      <c r="BO117" s="664"/>
      <c r="BP117" s="664" t="s">
        <v>298</v>
      </c>
      <c r="BQ117" s="664"/>
      <c r="BR117" s="664">
        <f>COUNTIF($E$11:$F$93,"*9*")-DCOUNTA($A$10:$H$93,"6",C139:D140)</f>
        <v>0</v>
      </c>
      <c r="BS117" s="665"/>
      <c r="BT117" s="663">
        <f>COUNTIF($E$11:$F$93,"*Х*")</f>
        <v>10</v>
      </c>
      <c r="BU117" s="664"/>
      <c r="BV117" s="664" t="s">
        <v>298</v>
      </c>
      <c r="BW117" s="664"/>
      <c r="BX117" s="664">
        <f>COUNTIF($E$11:$F$93,"*Х*")-DCOUNTA($A$10:$H$93,"6",C141:D142)</f>
        <v>9</v>
      </c>
      <c r="BY117" s="665"/>
      <c r="BZ117" s="108"/>
      <c r="CA117" s="108"/>
    </row>
    <row r="118" spans="1:79" s="87" customFormat="1" ht="12.75" customHeight="1">
      <c r="A118" s="118"/>
      <c r="B118" s="684" t="s">
        <v>594</v>
      </c>
      <c r="C118" s="672"/>
      <c r="D118" s="672"/>
      <c r="E118" s="672"/>
      <c r="F118" s="672"/>
      <c r="G118" s="672"/>
      <c r="H118" s="672"/>
      <c r="I118" s="672"/>
      <c r="J118" s="673"/>
      <c r="K118" s="680">
        <f>R118+X118+AD118+AJ118+AP118+AV118+BB118+BH118+BN118+BT118</f>
        <v>3</v>
      </c>
      <c r="L118" s="681"/>
      <c r="M118" s="681"/>
      <c r="N118" s="681"/>
      <c r="O118" s="681"/>
      <c r="P118" s="681"/>
      <c r="Q118" s="681"/>
      <c r="R118" s="663">
        <f>COUNTIF($G$11:$G$91,"*1*")</f>
        <v>0</v>
      </c>
      <c r="S118" s="664"/>
      <c r="T118" s="664"/>
      <c r="U118" s="664"/>
      <c r="V118" s="664"/>
      <c r="W118" s="665"/>
      <c r="X118" s="664">
        <f>COUNTIF($G$11:$G$91,"*2*")</f>
        <v>0</v>
      </c>
      <c r="Y118" s="664"/>
      <c r="Z118" s="664"/>
      <c r="AA118" s="664"/>
      <c r="AB118" s="664"/>
      <c r="AC118" s="664"/>
      <c r="AD118" s="663">
        <f>COUNTIF($G$11:$G$91,"*3*")</f>
        <v>0</v>
      </c>
      <c r="AE118" s="664"/>
      <c r="AF118" s="664"/>
      <c r="AG118" s="664"/>
      <c r="AH118" s="664"/>
      <c r="AI118" s="665"/>
      <c r="AJ118" s="664">
        <f>COUNTIF($G$11:$G$91,"*4*")</f>
        <v>0</v>
      </c>
      <c r="AK118" s="664"/>
      <c r="AL118" s="664"/>
      <c r="AM118" s="664"/>
      <c r="AN118" s="664"/>
      <c r="AO118" s="664"/>
      <c r="AP118" s="663">
        <f>COUNTIF($G$11:$G$91,"*5*")</f>
        <v>0</v>
      </c>
      <c r="AQ118" s="664"/>
      <c r="AR118" s="664"/>
      <c r="AS118" s="664"/>
      <c r="AT118" s="664"/>
      <c r="AU118" s="665"/>
      <c r="AV118" s="664">
        <f>COUNTIF($G$11:$G$91,"*6*")</f>
        <v>0</v>
      </c>
      <c r="AW118" s="664"/>
      <c r="AX118" s="664"/>
      <c r="AY118" s="664"/>
      <c r="AZ118" s="664"/>
      <c r="BA118" s="664"/>
      <c r="BB118" s="663">
        <f>COUNTIF($G$11:$G$93,"*7*")</f>
        <v>0</v>
      </c>
      <c r="BC118" s="664"/>
      <c r="BD118" s="664"/>
      <c r="BE118" s="664"/>
      <c r="BF118" s="664"/>
      <c r="BG118" s="665"/>
      <c r="BH118" s="664">
        <f>COUNTIF($G$11:$G$93,"*8*")</f>
        <v>2</v>
      </c>
      <c r="BI118" s="664"/>
      <c r="BJ118" s="664"/>
      <c r="BK118" s="664"/>
      <c r="BL118" s="664"/>
      <c r="BM118" s="664"/>
      <c r="BN118" s="663">
        <f>COUNTIF($G$11:$G$91,"*9*")</f>
        <v>0</v>
      </c>
      <c r="BO118" s="664"/>
      <c r="BP118" s="664"/>
      <c r="BQ118" s="664"/>
      <c r="BR118" s="664"/>
      <c r="BS118" s="665"/>
      <c r="BT118" s="663">
        <f>COUNTIF($G$11:$G$91,"*Х*")</f>
        <v>1</v>
      </c>
      <c r="BU118" s="664"/>
      <c r="BV118" s="664"/>
      <c r="BW118" s="664"/>
      <c r="BX118" s="664"/>
      <c r="BY118" s="665"/>
      <c r="BZ118" s="108"/>
      <c r="CA118" s="108"/>
    </row>
    <row r="119" spans="1:79" s="87" customFormat="1" ht="12.75" customHeight="1">
      <c r="A119" s="124"/>
      <c r="B119" s="684" t="s">
        <v>596</v>
      </c>
      <c r="C119" s="672"/>
      <c r="D119" s="672"/>
      <c r="E119" s="672"/>
      <c r="F119" s="672"/>
      <c r="G119" s="672"/>
      <c r="H119" s="672"/>
      <c r="I119" s="672"/>
      <c r="J119" s="673"/>
      <c r="K119" s="680">
        <f>R119+X119+AD119+AJ119+AP119+AV119+BB119+BH119+BN119+BT119</f>
        <v>45</v>
      </c>
      <c r="L119" s="681"/>
      <c r="M119" s="681"/>
      <c r="N119" s="681"/>
      <c r="O119" s="681"/>
      <c r="P119" s="681"/>
      <c r="Q119" s="681"/>
      <c r="R119" s="663">
        <f>COUNTIF($H$10:$H$93,"*1*")</f>
        <v>8</v>
      </c>
      <c r="S119" s="664"/>
      <c r="T119" s="664"/>
      <c r="U119" s="664"/>
      <c r="V119" s="664"/>
      <c r="W119" s="665"/>
      <c r="X119" s="664">
        <f>COUNTIF($H$10:$H$93,"*2*")</f>
        <v>0</v>
      </c>
      <c r="Y119" s="664"/>
      <c r="Z119" s="664"/>
      <c r="AA119" s="664"/>
      <c r="AB119" s="664"/>
      <c r="AC119" s="664"/>
      <c r="AD119" s="663">
        <f>COUNTIF($H$10:$H$93,"*3*")</f>
        <v>4</v>
      </c>
      <c r="AE119" s="664"/>
      <c r="AF119" s="664"/>
      <c r="AG119" s="664"/>
      <c r="AH119" s="664"/>
      <c r="AI119" s="665"/>
      <c r="AJ119" s="664">
        <f>COUNTIF($H$10:$H$93,"*4*")</f>
        <v>6</v>
      </c>
      <c r="AK119" s="664"/>
      <c r="AL119" s="664"/>
      <c r="AM119" s="664"/>
      <c r="AN119" s="664"/>
      <c r="AO119" s="664"/>
      <c r="AP119" s="663">
        <f>COUNTIF($H$10:$H$93,"*5*")</f>
        <v>6</v>
      </c>
      <c r="AQ119" s="664"/>
      <c r="AR119" s="664"/>
      <c r="AS119" s="664"/>
      <c r="AT119" s="664"/>
      <c r="AU119" s="665"/>
      <c r="AV119" s="664">
        <f>COUNTIF($H$10:$H$93,"*6*")</f>
        <v>4</v>
      </c>
      <c r="AW119" s="664"/>
      <c r="AX119" s="664"/>
      <c r="AY119" s="664"/>
      <c r="AZ119" s="664"/>
      <c r="BA119" s="664"/>
      <c r="BB119" s="663">
        <f>COUNTIF($H$10:$H$93,"*7*")</f>
        <v>8</v>
      </c>
      <c r="BC119" s="664"/>
      <c r="BD119" s="664"/>
      <c r="BE119" s="664"/>
      <c r="BF119" s="664"/>
      <c r="BG119" s="665"/>
      <c r="BH119" s="664">
        <f>COUNTIF($H$10:$H$93,"*8*")</f>
        <v>3</v>
      </c>
      <c r="BI119" s="664"/>
      <c r="BJ119" s="664"/>
      <c r="BK119" s="664"/>
      <c r="BL119" s="664"/>
      <c r="BM119" s="664"/>
      <c r="BN119" s="663">
        <f>COUNTIF($H$10:$H$93,"*9*")</f>
        <v>6</v>
      </c>
      <c r="BO119" s="664"/>
      <c r="BP119" s="664"/>
      <c r="BQ119" s="664"/>
      <c r="BR119" s="664"/>
      <c r="BS119" s="665"/>
      <c r="BT119" s="663">
        <f>COUNTIF($H$10:$H$93,"*Х*")</f>
        <v>0</v>
      </c>
      <c r="BU119" s="664"/>
      <c r="BV119" s="664"/>
      <c r="BW119" s="664"/>
      <c r="BX119" s="664"/>
      <c r="BY119" s="665"/>
      <c r="BZ119" s="108"/>
      <c r="CA119" s="108"/>
    </row>
    <row r="120" spans="1:79" s="87" customFormat="1">
      <c r="A120" s="305"/>
      <c r="B120" s="305"/>
      <c r="C120" s="305"/>
      <c r="D120" s="306"/>
      <c r="E120" s="306"/>
      <c r="F120" s="306"/>
      <c r="G120" s="306"/>
      <c r="H120" s="306"/>
      <c r="I120" s="307"/>
      <c r="J120" s="307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305"/>
      <c r="AG120" s="305"/>
      <c r="AH120" s="305"/>
      <c r="AI120" s="305"/>
      <c r="AJ120" s="305"/>
      <c r="AK120" s="305"/>
      <c r="AL120" s="305"/>
      <c r="AM120" s="305"/>
      <c r="AN120" s="305"/>
      <c r="AO120" s="305"/>
      <c r="AP120" s="305"/>
      <c r="AQ120" s="305"/>
      <c r="AR120" s="305"/>
      <c r="AS120" s="305"/>
      <c r="AT120" s="305"/>
      <c r="AU120" s="305"/>
      <c r="AV120" s="305"/>
      <c r="AW120" s="305"/>
      <c r="AX120" s="305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305"/>
      <c r="BM120" s="305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108"/>
      <c r="CA120" s="108"/>
    </row>
    <row r="122" spans="1:79" ht="12.75" hidden="1" customHeight="1">
      <c r="A122" s="766" t="s">
        <v>296</v>
      </c>
      <c r="B122" s="766"/>
      <c r="C122" s="765" t="s">
        <v>297</v>
      </c>
      <c r="D122" s="765"/>
      <c r="E122" s="765" t="s">
        <v>318</v>
      </c>
      <c r="F122" s="765"/>
      <c r="G122" s="765"/>
    </row>
    <row r="123" spans="1:79" hidden="1">
      <c r="A123" s="64">
        <v>1</v>
      </c>
      <c r="B123" s="64">
        <v>11</v>
      </c>
      <c r="C123" s="65">
        <v>2</v>
      </c>
      <c r="D123" s="66" t="s">
        <v>41</v>
      </c>
      <c r="E123" s="65">
        <v>2</v>
      </c>
      <c r="F123" s="65"/>
      <c r="G123" s="66" t="s">
        <v>40</v>
      </c>
    </row>
    <row r="124" spans="1:79" ht="51" hidden="1">
      <c r="A124" s="64" t="s">
        <v>276</v>
      </c>
      <c r="B124" s="64" t="s">
        <v>155</v>
      </c>
      <c r="C124" s="64" t="s">
        <v>7</v>
      </c>
      <c r="D124" s="67" t="s">
        <v>299</v>
      </c>
      <c r="E124" s="64" t="s">
        <v>7</v>
      </c>
      <c r="F124" s="64"/>
      <c r="G124" s="67" t="s">
        <v>299</v>
      </c>
    </row>
    <row r="125" spans="1:79" hidden="1">
      <c r="A125" s="64">
        <v>1</v>
      </c>
      <c r="B125" s="64">
        <v>21</v>
      </c>
      <c r="C125" s="65">
        <v>2</v>
      </c>
      <c r="D125" s="66" t="s">
        <v>41</v>
      </c>
      <c r="E125" s="65">
        <v>2</v>
      </c>
      <c r="F125" s="65"/>
      <c r="G125" s="66" t="s">
        <v>40</v>
      </c>
    </row>
    <row r="126" spans="1:79" ht="51" hidden="1">
      <c r="A126" s="64" t="s">
        <v>276</v>
      </c>
      <c r="B126" s="64" t="s">
        <v>155</v>
      </c>
      <c r="C126" s="64" t="s">
        <v>7</v>
      </c>
      <c r="D126" s="67" t="s">
        <v>300</v>
      </c>
      <c r="E126" s="64" t="s">
        <v>7</v>
      </c>
      <c r="F126" s="64"/>
      <c r="G126" s="67" t="s">
        <v>300</v>
      </c>
    </row>
    <row r="127" spans="1:79" hidden="1">
      <c r="A127" s="64">
        <v>1</v>
      </c>
      <c r="B127" s="64">
        <v>30</v>
      </c>
      <c r="C127" s="65">
        <v>2</v>
      </c>
      <c r="D127" s="66" t="s">
        <v>42</v>
      </c>
      <c r="E127" s="65">
        <v>2</v>
      </c>
      <c r="F127" s="65"/>
      <c r="G127" s="66" t="s">
        <v>40</v>
      </c>
    </row>
    <row r="128" spans="1:79" ht="51" hidden="1">
      <c r="A128" s="64" t="s">
        <v>276</v>
      </c>
      <c r="B128" s="64" t="s">
        <v>155</v>
      </c>
      <c r="C128" s="64" t="s">
        <v>7</v>
      </c>
      <c r="D128" s="67" t="s">
        <v>301</v>
      </c>
      <c r="E128" s="64" t="s">
        <v>7</v>
      </c>
      <c r="F128" s="64"/>
      <c r="G128" s="67" t="s">
        <v>301</v>
      </c>
    </row>
    <row r="129" spans="1:7" hidden="1">
      <c r="A129" s="64">
        <v>1</v>
      </c>
      <c r="B129" s="64">
        <v>39</v>
      </c>
      <c r="C129" s="65">
        <v>2</v>
      </c>
      <c r="D129" s="66" t="s">
        <v>42</v>
      </c>
      <c r="E129" s="65">
        <v>2</v>
      </c>
      <c r="F129" s="65"/>
      <c r="G129" s="66" t="s">
        <v>40</v>
      </c>
    </row>
    <row r="130" spans="1:7" ht="51" hidden="1">
      <c r="A130" s="64" t="s">
        <v>276</v>
      </c>
      <c r="B130" s="64" t="s">
        <v>155</v>
      </c>
      <c r="C130" s="64" t="s">
        <v>7</v>
      </c>
      <c r="D130" s="67" t="s">
        <v>302</v>
      </c>
      <c r="E130" s="64" t="s">
        <v>7</v>
      </c>
      <c r="F130" s="64"/>
      <c r="G130" s="67" t="s">
        <v>302</v>
      </c>
    </row>
    <row r="131" spans="1:7" hidden="1">
      <c r="A131" s="64">
        <v>1</v>
      </c>
      <c r="B131" s="64">
        <v>48</v>
      </c>
      <c r="C131" s="65">
        <v>2</v>
      </c>
      <c r="D131" s="66" t="s">
        <v>42</v>
      </c>
      <c r="E131" s="65">
        <v>2</v>
      </c>
      <c r="F131" s="65"/>
      <c r="G131" s="66" t="s">
        <v>40</v>
      </c>
    </row>
    <row r="132" spans="1:7" ht="51" hidden="1">
      <c r="A132" s="64" t="s">
        <v>276</v>
      </c>
      <c r="B132" s="64" t="s">
        <v>155</v>
      </c>
      <c r="C132" s="64" t="s">
        <v>7</v>
      </c>
      <c r="D132" s="67" t="s">
        <v>303</v>
      </c>
      <c r="E132" s="64" t="s">
        <v>7</v>
      </c>
      <c r="F132" s="64"/>
      <c r="G132" s="67" t="s">
        <v>303</v>
      </c>
    </row>
    <row r="133" spans="1:7" hidden="1">
      <c r="A133" s="64">
        <v>1</v>
      </c>
      <c r="B133" s="64">
        <v>57</v>
      </c>
      <c r="C133" s="65">
        <v>2</v>
      </c>
      <c r="D133" s="66" t="s">
        <v>42</v>
      </c>
      <c r="E133" s="65">
        <v>2</v>
      </c>
      <c r="F133" s="65"/>
      <c r="G133" s="66" t="s">
        <v>40</v>
      </c>
    </row>
    <row r="134" spans="1:7" ht="51" hidden="1">
      <c r="A134" s="64" t="s">
        <v>276</v>
      </c>
      <c r="B134" s="64" t="s">
        <v>155</v>
      </c>
      <c r="C134" s="64" t="s">
        <v>7</v>
      </c>
      <c r="D134" s="67" t="s">
        <v>304</v>
      </c>
      <c r="E134" s="64" t="s">
        <v>7</v>
      </c>
      <c r="F134" s="64"/>
      <c r="G134" s="67" t="s">
        <v>304</v>
      </c>
    </row>
    <row r="135" spans="1:7" hidden="1">
      <c r="A135" s="64">
        <v>1</v>
      </c>
      <c r="B135" s="64">
        <v>66</v>
      </c>
      <c r="C135" s="65">
        <v>2</v>
      </c>
      <c r="D135" s="66" t="s">
        <v>42</v>
      </c>
      <c r="E135" s="65">
        <v>2</v>
      </c>
      <c r="F135" s="65"/>
      <c r="G135" s="66" t="s">
        <v>40</v>
      </c>
    </row>
    <row r="136" spans="1:7" ht="51" hidden="1">
      <c r="A136" s="64" t="s">
        <v>276</v>
      </c>
      <c r="B136" s="64" t="s">
        <v>155</v>
      </c>
      <c r="C136" s="64" t="s">
        <v>7</v>
      </c>
      <c r="D136" s="67" t="s">
        <v>305</v>
      </c>
      <c r="E136" s="64" t="s">
        <v>7</v>
      </c>
      <c r="F136" s="64"/>
      <c r="G136" s="67" t="s">
        <v>305</v>
      </c>
    </row>
    <row r="137" spans="1:7" hidden="1">
      <c r="A137" s="64">
        <v>1</v>
      </c>
      <c r="B137" s="64">
        <v>75</v>
      </c>
      <c r="C137" s="65">
        <v>2</v>
      </c>
      <c r="D137" s="66" t="s">
        <v>42</v>
      </c>
      <c r="E137" s="65">
        <v>2</v>
      </c>
      <c r="F137" s="65"/>
      <c r="G137" s="66" t="s">
        <v>40</v>
      </c>
    </row>
    <row r="138" spans="1:7" ht="51" hidden="1">
      <c r="A138" s="64" t="s">
        <v>276</v>
      </c>
      <c r="B138" s="64" t="s">
        <v>155</v>
      </c>
      <c r="C138" s="64" t="s">
        <v>7</v>
      </c>
      <c r="D138" s="67" t="s">
        <v>306</v>
      </c>
      <c r="E138" s="64" t="s">
        <v>7</v>
      </c>
      <c r="F138" s="64"/>
      <c r="G138" s="67" t="s">
        <v>306</v>
      </c>
    </row>
    <row r="139" spans="1:7" hidden="1">
      <c r="A139" s="64">
        <v>1</v>
      </c>
      <c r="B139" s="64">
        <v>84</v>
      </c>
      <c r="C139" s="65">
        <v>2</v>
      </c>
      <c r="D139" s="66" t="s">
        <v>42</v>
      </c>
      <c r="E139" s="65">
        <v>2</v>
      </c>
      <c r="F139" s="65"/>
      <c r="G139" s="66" t="s">
        <v>40</v>
      </c>
    </row>
    <row r="140" spans="1:7" ht="51" hidden="1">
      <c r="A140" s="64" t="s">
        <v>276</v>
      </c>
      <c r="B140" s="64" t="s">
        <v>155</v>
      </c>
      <c r="C140" s="64" t="s">
        <v>7</v>
      </c>
      <c r="D140" s="67" t="s">
        <v>307</v>
      </c>
      <c r="E140" s="64" t="s">
        <v>7</v>
      </c>
      <c r="F140" s="64"/>
      <c r="G140" s="67" t="s">
        <v>307</v>
      </c>
    </row>
    <row r="141" spans="1:7" hidden="1">
      <c r="A141" s="64">
        <v>1</v>
      </c>
      <c r="B141" s="64">
        <v>93</v>
      </c>
      <c r="C141" s="65">
        <v>2</v>
      </c>
      <c r="D141" s="66" t="s">
        <v>42</v>
      </c>
      <c r="E141" s="65">
        <v>2</v>
      </c>
      <c r="F141" s="65"/>
      <c r="G141" s="66" t="s">
        <v>40</v>
      </c>
    </row>
    <row r="142" spans="1:7" ht="51" hidden="1">
      <c r="A142" s="64" t="s">
        <v>276</v>
      </c>
      <c r="B142" s="64" t="s">
        <v>155</v>
      </c>
      <c r="C142" s="64" t="s">
        <v>7</v>
      </c>
      <c r="D142" s="67" t="s">
        <v>308</v>
      </c>
      <c r="E142" s="64" t="s">
        <v>7</v>
      </c>
      <c r="F142" s="64"/>
      <c r="G142" s="67" t="s">
        <v>308</v>
      </c>
    </row>
    <row r="143" spans="1:7" hidden="1">
      <c r="A143" s="64">
        <v>1</v>
      </c>
      <c r="B143" s="64">
        <v>102</v>
      </c>
      <c r="C143" s="62"/>
    </row>
    <row r="144" spans="1:7" hidden="1">
      <c r="A144" s="64" t="s">
        <v>276</v>
      </c>
      <c r="B144" s="64" t="s">
        <v>155</v>
      </c>
      <c r="C144" s="62"/>
    </row>
    <row r="146" spans="1:79" ht="25.5" hidden="1">
      <c r="G146" s="62" t="s">
        <v>467</v>
      </c>
      <c r="H146" s="62" t="s">
        <v>80</v>
      </c>
      <c r="I146" s="63">
        <v>90</v>
      </c>
      <c r="K146" s="40">
        <f>S107*3+T107*6+Y107*3+Z107*6</f>
        <v>4857</v>
      </c>
    </row>
    <row r="147" spans="1:79" ht="25.5" hidden="1">
      <c r="G147" s="62" t="s">
        <v>467</v>
      </c>
      <c r="H147" s="62" t="s">
        <v>81</v>
      </c>
      <c r="I147" s="63">
        <v>90</v>
      </c>
      <c r="K147" s="40" t="e">
        <f>AE107*3+AF107*6+AK107*3+AL107*6+(SUM(AK95:AK96,AK97))*6+#REF!*3</f>
        <v>#REF!</v>
      </c>
    </row>
    <row r="148" spans="1:79" ht="25.5" hidden="1">
      <c r="G148" s="62" t="s">
        <v>468</v>
      </c>
      <c r="H148" s="62" t="s">
        <v>82</v>
      </c>
      <c r="I148" s="63">
        <v>75</v>
      </c>
      <c r="K148" s="40">
        <f>AQ107*3+AW107*3+AR107*5+AX107*5</f>
        <v>3442</v>
      </c>
    </row>
    <row r="149" spans="1:79" ht="25.5" hidden="1">
      <c r="G149" s="62" t="s">
        <v>468</v>
      </c>
      <c r="H149" s="62" t="s">
        <v>83</v>
      </c>
      <c r="I149" s="63">
        <v>75</v>
      </c>
      <c r="K149" s="40">
        <f>BC107*3+BI107*3+BD107*5+BJ107*5</f>
        <v>2489</v>
      </c>
    </row>
    <row r="150" spans="1:79" ht="25.5" hidden="1">
      <c r="G150" s="62" t="s">
        <v>468</v>
      </c>
      <c r="H150" s="62" t="s">
        <v>84</v>
      </c>
      <c r="I150" s="63">
        <v>60</v>
      </c>
      <c r="K150" s="40">
        <f>BO107*3+BP107*5+BU107*3+BV107*5</f>
        <v>3131</v>
      </c>
    </row>
    <row r="151" spans="1:79" hidden="1"/>
    <row r="152" spans="1:79" hidden="1">
      <c r="B152" s="203" t="s">
        <v>469</v>
      </c>
      <c r="K152" s="40" t="e">
        <f>SUM(K146:K150)</f>
        <v>#REF!</v>
      </c>
    </row>
    <row r="153" spans="1:79" hidden="1"/>
    <row r="154" spans="1:79" hidden="1">
      <c r="B154" s="201" t="s">
        <v>470</v>
      </c>
      <c r="K154" s="204" t="e">
        <f>K152/720</f>
        <v>#REF!</v>
      </c>
    </row>
    <row r="155" spans="1:79" hidden="1">
      <c r="B155" s="201" t="s">
        <v>471</v>
      </c>
      <c r="I155" s="63">
        <f>SUM(I146:I150)</f>
        <v>390</v>
      </c>
    </row>
    <row r="156" spans="1:79" hidden="1"/>
    <row r="157" spans="1:79" hidden="1">
      <c r="B157" s="201" t="s">
        <v>472</v>
      </c>
      <c r="I157" s="204" t="e">
        <f>I155/K154</f>
        <v>#REF!</v>
      </c>
    </row>
    <row r="159" spans="1:79" ht="38.25" hidden="1" customHeight="1">
      <c r="A159" s="206"/>
      <c r="B159" s="207" t="s">
        <v>476</v>
      </c>
      <c r="C159" s="207"/>
      <c r="D159" s="208">
        <f>SUM(S159:BL159)</f>
        <v>345</v>
      </c>
      <c r="K159" s="206"/>
      <c r="L159" s="206"/>
      <c r="M159" s="206"/>
      <c r="N159" s="206"/>
      <c r="O159" s="206"/>
      <c r="P159" s="206"/>
      <c r="Q159" s="206"/>
      <c r="R159" s="206"/>
      <c r="S159" s="63">
        <v>90</v>
      </c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63">
        <v>90</v>
      </c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63">
        <v>85</v>
      </c>
      <c r="AR159" s="206"/>
      <c r="AS159" s="206"/>
      <c r="AT159" s="206"/>
      <c r="AU159" s="206"/>
      <c r="AV159" s="206"/>
      <c r="AW159" s="206"/>
      <c r="AX159" s="206"/>
      <c r="AY159" s="206"/>
      <c r="AZ159" s="210"/>
      <c r="BA159" s="206"/>
      <c r="BB159" s="206"/>
      <c r="BC159" s="63">
        <v>80</v>
      </c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>
        <v>70</v>
      </c>
      <c r="BP159" s="206"/>
      <c r="BQ159" s="206"/>
      <c r="BR159" s="206"/>
      <c r="BS159" s="44"/>
      <c r="BT159" s="41"/>
      <c r="BU159" s="41"/>
      <c r="BV159" s="41"/>
      <c r="BW159" s="41"/>
      <c r="BX159" s="41"/>
      <c r="BY159" s="41"/>
      <c r="BZ159" s="41"/>
      <c r="CA159" s="41"/>
    </row>
    <row r="160" spans="1:79" hidden="1">
      <c r="A160" s="206"/>
      <c r="B160" s="206"/>
      <c r="C160" s="206"/>
      <c r="K160" s="206"/>
      <c r="L160" s="206"/>
      <c r="M160" s="206"/>
      <c r="N160" s="206"/>
      <c r="O160" s="206"/>
      <c r="P160" s="206"/>
      <c r="Q160" s="206"/>
      <c r="R160" s="206"/>
      <c r="S160" s="209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9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9"/>
      <c r="AR160" s="206"/>
      <c r="AS160" s="206"/>
      <c r="AT160" s="206"/>
      <c r="AU160" s="206"/>
      <c r="AV160" s="206"/>
      <c r="AW160" s="206"/>
      <c r="AX160" s="206"/>
      <c r="AY160" s="206"/>
      <c r="AZ160" s="210"/>
      <c r="BA160" s="206"/>
      <c r="BB160" s="206"/>
      <c r="BC160" s="209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44"/>
      <c r="BT160" s="41"/>
      <c r="BU160" s="41"/>
      <c r="BV160" s="41"/>
      <c r="BW160" s="41"/>
      <c r="BX160" s="41"/>
      <c r="BY160" s="41"/>
      <c r="BZ160" s="41"/>
      <c r="CA160" s="41"/>
    </row>
    <row r="161" spans="1:79" hidden="1">
      <c r="A161" s="206"/>
      <c r="B161" s="206"/>
      <c r="C161" s="206"/>
      <c r="K161" s="206"/>
      <c r="L161" s="206"/>
      <c r="M161" s="206"/>
      <c r="N161" s="206"/>
      <c r="O161" s="206"/>
      <c r="P161" s="206"/>
      <c r="Q161" s="206"/>
      <c r="R161" s="206"/>
      <c r="S161" s="209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9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9"/>
      <c r="AR161" s="206"/>
      <c r="AS161" s="206"/>
      <c r="AT161" s="206"/>
      <c r="AU161" s="206"/>
      <c r="AV161" s="206"/>
      <c r="AW161" s="206"/>
      <c r="AX161" s="206"/>
      <c r="AY161" s="206"/>
      <c r="AZ161" s="210"/>
      <c r="BA161" s="206"/>
      <c r="BB161" s="206"/>
      <c r="BC161" s="209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44"/>
      <c r="BT161" s="41"/>
      <c r="BU161" s="41"/>
      <c r="BV161" s="41"/>
      <c r="BW161" s="41"/>
      <c r="BX161" s="41"/>
      <c r="BY161" s="41"/>
      <c r="BZ161" s="41"/>
      <c r="CA161" s="41"/>
    </row>
    <row r="162" spans="1:79" hidden="1">
      <c r="A162" s="206"/>
      <c r="B162" s="206"/>
      <c r="C162" s="206"/>
      <c r="K162" s="206"/>
      <c r="L162" s="206"/>
      <c r="M162" s="206"/>
      <c r="N162" s="206"/>
      <c r="O162" s="206"/>
      <c r="P162" s="206"/>
      <c r="Q162" s="206"/>
      <c r="R162" s="206"/>
      <c r="S162" s="209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9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9"/>
      <c r="AR162" s="206"/>
      <c r="AS162" s="206"/>
      <c r="AT162" s="206"/>
      <c r="AU162" s="206"/>
      <c r="AV162" s="206"/>
      <c r="AW162" s="206"/>
      <c r="AX162" s="206"/>
      <c r="AY162" s="206"/>
      <c r="AZ162" s="210"/>
      <c r="BA162" s="206"/>
      <c r="BB162" s="206"/>
      <c r="BC162" s="209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44"/>
      <c r="BT162" s="41"/>
      <c r="BU162" s="41"/>
      <c r="BV162" s="41"/>
      <c r="BW162" s="41"/>
      <c r="BX162" s="41"/>
      <c r="BY162" s="41"/>
      <c r="BZ162" s="41"/>
      <c r="CA162" s="41"/>
    </row>
    <row r="163" spans="1:79" ht="15.75" hidden="1">
      <c r="A163" s="206"/>
      <c r="B163" s="211" t="s">
        <v>477</v>
      </c>
      <c r="C163" s="206"/>
      <c r="K163" s="206"/>
      <c r="L163" s="206"/>
      <c r="M163" s="206"/>
      <c r="N163" s="206"/>
      <c r="O163" s="206"/>
      <c r="P163" s="206"/>
      <c r="Q163" s="206"/>
      <c r="R163" s="206"/>
      <c r="S163" s="209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9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9"/>
      <c r="AR163" s="206"/>
      <c r="AS163" s="206"/>
      <c r="AT163" s="212"/>
      <c r="AU163" s="206"/>
      <c r="AV163" s="206"/>
      <c r="AW163" s="206"/>
      <c r="AX163" s="206"/>
      <c r="AY163" s="206"/>
      <c r="AZ163" s="213"/>
      <c r="BA163" s="206"/>
      <c r="BB163" s="206"/>
      <c r="BC163" s="209"/>
      <c r="BD163" s="212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44"/>
      <c r="BT163" s="41"/>
      <c r="BU163" s="41"/>
      <c r="BV163" s="41"/>
      <c r="BW163" s="41"/>
      <c r="BX163" s="41"/>
      <c r="BY163" s="41"/>
      <c r="BZ163" s="41"/>
      <c r="CA163" s="41"/>
    </row>
    <row r="164" spans="1:79" ht="15.75" hidden="1">
      <c r="A164" s="206"/>
      <c r="B164" s="211" t="s">
        <v>478</v>
      </c>
      <c r="C164" s="206"/>
      <c r="K164" s="206"/>
      <c r="L164" s="206"/>
      <c r="M164" s="206"/>
      <c r="N164" s="206"/>
      <c r="O164" s="206"/>
      <c r="P164" s="206"/>
      <c r="Q164" s="206"/>
      <c r="R164" s="206"/>
      <c r="S164" s="209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9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9"/>
      <c r="AR164" s="206"/>
      <c r="AS164" s="206"/>
      <c r="AT164" s="212"/>
      <c r="AU164" s="206"/>
      <c r="AV164" s="206"/>
      <c r="AW164" s="206"/>
      <c r="AX164" s="206"/>
      <c r="AY164" s="206"/>
      <c r="AZ164" s="213"/>
      <c r="BA164" s="206"/>
      <c r="BB164" s="206"/>
      <c r="BC164" s="209"/>
      <c r="BD164" s="212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44"/>
      <c r="BT164" s="41"/>
      <c r="BU164" s="41"/>
      <c r="BV164" s="41"/>
      <c r="BW164" s="41"/>
      <c r="BX164" s="41"/>
      <c r="BY164" s="41"/>
      <c r="BZ164" s="41"/>
      <c r="CA164" s="41"/>
    </row>
    <row r="165" spans="1:79" ht="25.5" hidden="1">
      <c r="A165" s="206"/>
      <c r="B165" s="211" t="s">
        <v>479</v>
      </c>
      <c r="C165" s="206"/>
      <c r="K165" s="206"/>
      <c r="L165" s="206"/>
      <c r="M165" s="206"/>
      <c r="N165" s="206"/>
      <c r="O165" s="206"/>
      <c r="P165" s="206"/>
      <c r="Q165" s="206"/>
      <c r="R165" s="206"/>
      <c r="S165" s="209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9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9"/>
      <c r="AR165" s="206"/>
      <c r="AS165" s="206"/>
      <c r="AT165" s="212"/>
      <c r="AU165" s="206"/>
      <c r="AV165" s="206"/>
      <c r="AW165" s="206"/>
      <c r="AX165" s="206"/>
      <c r="AY165" s="206"/>
      <c r="AZ165" s="214"/>
      <c r="BA165" s="206"/>
      <c r="BB165" s="206"/>
      <c r="BC165" s="209"/>
      <c r="BD165" s="212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44"/>
      <c r="BT165" s="41"/>
      <c r="BU165" s="41"/>
      <c r="BV165" s="41"/>
      <c r="BW165" s="41"/>
      <c r="BX165" s="41"/>
      <c r="BY165" s="41"/>
      <c r="BZ165" s="41"/>
      <c r="CA165" s="41"/>
    </row>
    <row r="166" spans="1:79" ht="15.75" hidden="1">
      <c r="A166" s="206"/>
      <c r="B166" s="206"/>
      <c r="C166" s="206"/>
      <c r="K166" s="206"/>
      <c r="L166" s="206"/>
      <c r="M166" s="206"/>
      <c r="N166" s="206"/>
      <c r="O166" s="206"/>
      <c r="P166" s="206"/>
      <c r="Q166" s="206"/>
      <c r="R166" s="206"/>
      <c r="S166" s="209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12"/>
      <c r="AU166" s="206"/>
      <c r="AV166" s="206"/>
      <c r="AW166" s="206"/>
      <c r="AX166" s="206"/>
      <c r="AY166" s="206"/>
      <c r="AZ166" s="212"/>
      <c r="BA166" s="206"/>
      <c r="BB166" s="206"/>
      <c r="BC166" s="206"/>
      <c r="BD166" s="212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44"/>
      <c r="BT166" s="41"/>
      <c r="BU166" s="41"/>
      <c r="BV166" s="41"/>
      <c r="BW166" s="41"/>
      <c r="BX166" s="41"/>
      <c r="BY166" s="41"/>
      <c r="BZ166" s="41"/>
      <c r="CA166" s="41"/>
    </row>
    <row r="167" spans="1:79" ht="15.75" hidden="1">
      <c r="A167" s="206"/>
      <c r="B167" s="206"/>
      <c r="C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12"/>
      <c r="AU167" s="206"/>
      <c r="AV167" s="206"/>
      <c r="AW167" s="206"/>
      <c r="AX167" s="206"/>
      <c r="AY167" s="206"/>
      <c r="AZ167" s="212"/>
      <c r="BA167" s="206"/>
      <c r="BB167" s="206"/>
      <c r="BC167" s="206"/>
      <c r="BD167" s="212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44"/>
      <c r="BT167" s="41"/>
      <c r="BU167" s="41"/>
      <c r="BV167" s="41"/>
      <c r="BW167" s="41"/>
      <c r="BX167" s="41"/>
      <c r="BY167" s="41"/>
      <c r="BZ167" s="41"/>
      <c r="CA167" s="41"/>
    </row>
    <row r="168" spans="1:79" hidden="1">
      <c r="A168" s="206"/>
      <c r="B168" s="206"/>
      <c r="C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44"/>
      <c r="BT168" s="41"/>
      <c r="BU168" s="41"/>
      <c r="BV168" s="41"/>
      <c r="BW168" s="41"/>
      <c r="BX168" s="41"/>
      <c r="BY168" s="41"/>
      <c r="BZ168" s="41"/>
      <c r="CA168" s="41"/>
    </row>
    <row r="169" spans="1:79" hidden="1">
      <c r="A169" s="206"/>
      <c r="B169" s="206"/>
      <c r="C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44"/>
      <c r="BT169" s="41"/>
      <c r="BU169" s="41"/>
      <c r="BV169" s="41"/>
      <c r="BW169" s="41"/>
      <c r="BX169" s="41"/>
      <c r="BY169" s="41"/>
      <c r="BZ169" s="41"/>
      <c r="CA169" s="41"/>
    </row>
    <row r="170" spans="1:79" hidden="1">
      <c r="A170" s="206"/>
      <c r="B170" s="207" t="s">
        <v>480</v>
      </c>
      <c r="C170" s="207"/>
      <c r="D170" s="215">
        <f>SUM(R163:BL163)</f>
        <v>0</v>
      </c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44"/>
      <c r="BT170" s="41"/>
      <c r="BU170" s="41"/>
      <c r="BV170" s="41"/>
      <c r="BW170" s="41"/>
      <c r="BX170" s="41"/>
      <c r="BY170" s="41"/>
      <c r="BZ170" s="41"/>
      <c r="CA170" s="41"/>
    </row>
    <row r="171" spans="1:79" hidden="1">
      <c r="A171" s="206"/>
      <c r="B171" s="207" t="s">
        <v>481</v>
      </c>
      <c r="C171" s="207"/>
      <c r="D171" s="215">
        <f>D170/720</f>
        <v>0</v>
      </c>
      <c r="E171" s="209">
        <f>SUM(R164:CA164,BM164)</f>
        <v>0</v>
      </c>
      <c r="F171" s="209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  <c r="AZ171" s="206"/>
      <c r="BA171" s="206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44"/>
      <c r="BT171" s="41"/>
      <c r="BU171" s="41"/>
      <c r="BV171" s="41"/>
      <c r="BW171" s="41"/>
      <c r="BX171" s="41"/>
      <c r="BY171" s="41"/>
      <c r="BZ171" s="41"/>
      <c r="CA171" s="41"/>
    </row>
    <row r="172" spans="1:79" hidden="1">
      <c r="A172" s="206"/>
      <c r="B172" s="207"/>
      <c r="C172" s="207"/>
      <c r="D172" s="21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  <c r="AZ172" s="206"/>
      <c r="BA172" s="206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44"/>
      <c r="BT172" s="41"/>
      <c r="BU172" s="41"/>
      <c r="BV172" s="41"/>
      <c r="BW172" s="41"/>
      <c r="BX172" s="41"/>
      <c r="BY172" s="41"/>
      <c r="BZ172" s="41"/>
      <c r="CA172" s="41"/>
    </row>
    <row r="173" spans="1:79" hidden="1">
      <c r="A173" s="206"/>
      <c r="B173" s="207" t="s">
        <v>479</v>
      </c>
      <c r="C173" s="207"/>
      <c r="D173" s="217" t="e">
        <f>D159/D171</f>
        <v>#DIV/0!</v>
      </c>
      <c r="E173" s="209" t="e">
        <f>D159/E171</f>
        <v>#DIV/0!</v>
      </c>
      <c r="F173" s="209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  <c r="AZ173" s="206"/>
      <c r="BA173" s="206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44"/>
      <c r="BT173" s="41"/>
      <c r="BU173" s="41"/>
      <c r="BV173" s="41"/>
      <c r="BW173" s="41"/>
      <c r="BX173" s="41"/>
      <c r="BY173" s="41"/>
      <c r="BZ173" s="41"/>
      <c r="CA173" s="41"/>
    </row>
    <row r="174" spans="1:79" hidden="1"/>
    <row r="175" spans="1:79" hidden="1"/>
    <row r="176" spans="1:79" hidden="1"/>
  </sheetData>
  <sheetProtection password="CF70" sheet="1" objects="1" scenarios="1" selectLockedCells="1" sort="0" autoFilter="0" pivotTables="0" selectUnlockedCells="1"/>
  <autoFilter ref="A10:CA103">
    <filterColumn colId="5"/>
  </autoFilter>
  <dataConsolidate/>
  <mergeCells count="241">
    <mergeCell ref="B34:H34"/>
    <mergeCell ref="B38:H38"/>
    <mergeCell ref="B39:H39"/>
    <mergeCell ref="B47:H47"/>
    <mergeCell ref="B48:H48"/>
    <mergeCell ref="BT8:BV8"/>
    <mergeCell ref="BN7:BO7"/>
    <mergeCell ref="BN8:BP8"/>
    <mergeCell ref="BH7:BI7"/>
    <mergeCell ref="BH8:BJ8"/>
    <mergeCell ref="BB7:BC7"/>
    <mergeCell ref="BB8:BD8"/>
    <mergeCell ref="BT112:BY112"/>
    <mergeCell ref="BT114:BY114"/>
    <mergeCell ref="BT113:BY113"/>
    <mergeCell ref="BN112:BS112"/>
    <mergeCell ref="BH112:BM112"/>
    <mergeCell ref="BB112:BG112"/>
    <mergeCell ref="BN5:BO5"/>
    <mergeCell ref="BB5:BC5"/>
    <mergeCell ref="BH5:BI5"/>
    <mergeCell ref="BH6:BI6"/>
    <mergeCell ref="AV5:AW5"/>
    <mergeCell ref="AV6:AW6"/>
    <mergeCell ref="AJ6:AK6"/>
    <mergeCell ref="AJ5:AK5"/>
    <mergeCell ref="BT7:BU7"/>
    <mergeCell ref="AV7:AW7"/>
    <mergeCell ref="AP7:AQ7"/>
    <mergeCell ref="AJ7:AK7"/>
    <mergeCell ref="C122:D122"/>
    <mergeCell ref="T117:U117"/>
    <mergeCell ref="R117:S117"/>
    <mergeCell ref="E122:G122"/>
    <mergeCell ref="B118:J118"/>
    <mergeCell ref="K117:L117"/>
    <mergeCell ref="P117:Q117"/>
    <mergeCell ref="A122:B122"/>
    <mergeCell ref="B119:J119"/>
    <mergeCell ref="M117:O117"/>
    <mergeCell ref="B117:J117"/>
    <mergeCell ref="K119:Q119"/>
    <mergeCell ref="R119:W119"/>
    <mergeCell ref="R118:W118"/>
    <mergeCell ref="K118:Q118"/>
    <mergeCell ref="V117:W117"/>
    <mergeCell ref="A1:CA1"/>
    <mergeCell ref="BZ3:BZ9"/>
    <mergeCell ref="A3:A9"/>
    <mergeCell ref="L4:Q4"/>
    <mergeCell ref="Q5:Q9"/>
    <mergeCell ref="CA3:CA9"/>
    <mergeCell ref="BN6:BO6"/>
    <mergeCell ref="BT5:BU5"/>
    <mergeCell ref="BT6:BU6"/>
    <mergeCell ref="N6:N9"/>
    <mergeCell ref="BN4:BY4"/>
    <mergeCell ref="K3:Q3"/>
    <mergeCell ref="O6:O9"/>
    <mergeCell ref="R6:S6"/>
    <mergeCell ref="T6:V6"/>
    <mergeCell ref="S3:BY3"/>
    <mergeCell ref="AP5:AQ5"/>
    <mergeCell ref="AP6:AQ6"/>
    <mergeCell ref="AD5:AE5"/>
    <mergeCell ref="X6:Y6"/>
    <mergeCell ref="R4:AC4"/>
    <mergeCell ref="AP4:BA4"/>
    <mergeCell ref="R5:S5"/>
    <mergeCell ref="BB4:BM4"/>
    <mergeCell ref="BH119:BM119"/>
    <mergeCell ref="BR116:BS116"/>
    <mergeCell ref="BH113:BM113"/>
    <mergeCell ref="BB113:BG113"/>
    <mergeCell ref="BP116:BQ116"/>
    <mergeCell ref="BN113:BS113"/>
    <mergeCell ref="BP117:BQ117"/>
    <mergeCell ref="BH117:BI117"/>
    <mergeCell ref="BJ117:BK117"/>
    <mergeCell ref="BH116:BI116"/>
    <mergeCell ref="BJ116:BK116"/>
    <mergeCell ref="BL116:BM116"/>
    <mergeCell ref="BN116:BO116"/>
    <mergeCell ref="BD116:BE116"/>
    <mergeCell ref="BF116:BG116"/>
    <mergeCell ref="BN114:BS114"/>
    <mergeCell ref="BH114:BM114"/>
    <mergeCell ref="BV117:BW117"/>
    <mergeCell ref="BL117:BM117"/>
    <mergeCell ref="BN117:BO117"/>
    <mergeCell ref="BH115:BM115"/>
    <mergeCell ref="BN115:BS115"/>
    <mergeCell ref="BT117:BU117"/>
    <mergeCell ref="BT118:BY118"/>
    <mergeCell ref="BX117:BY117"/>
    <mergeCell ref="BB117:BC117"/>
    <mergeCell ref="BD117:BE117"/>
    <mergeCell ref="BF117:BG117"/>
    <mergeCell ref="BB116:BC116"/>
    <mergeCell ref="BR117:BS117"/>
    <mergeCell ref="BT116:BU116"/>
    <mergeCell ref="BV116:BW116"/>
    <mergeCell ref="BX116:BY116"/>
    <mergeCell ref="BT115:BY115"/>
    <mergeCell ref="AV119:BA119"/>
    <mergeCell ref="AP119:AU119"/>
    <mergeCell ref="X119:AC119"/>
    <mergeCell ref="AD119:AI119"/>
    <mergeCell ref="AJ119:AO119"/>
    <mergeCell ref="M116:O116"/>
    <mergeCell ref="P116:Q116"/>
    <mergeCell ref="AX116:AY116"/>
    <mergeCell ref="X116:Y116"/>
    <mergeCell ref="Z116:AA116"/>
    <mergeCell ref="AJ118:AO118"/>
    <mergeCell ref="AP118:AU118"/>
    <mergeCell ref="AH117:AI117"/>
    <mergeCell ref="AP116:AQ116"/>
    <mergeCell ref="AT117:AU117"/>
    <mergeCell ref="AZ117:BA117"/>
    <mergeCell ref="AV116:AW116"/>
    <mergeCell ref="AZ116:BA116"/>
    <mergeCell ref="AN116:AO116"/>
    <mergeCell ref="BT119:BY119"/>
    <mergeCell ref="BN119:BS119"/>
    <mergeCell ref="BB119:BG119"/>
    <mergeCell ref="BH118:BM118"/>
    <mergeCell ref="BN118:BS118"/>
    <mergeCell ref="AL117:AM117"/>
    <mergeCell ref="AJ116:AK116"/>
    <mergeCell ref="Z117:AA117"/>
    <mergeCell ref="AB117:AC117"/>
    <mergeCell ref="AN117:AO117"/>
    <mergeCell ref="AJ117:AK117"/>
    <mergeCell ref="AR116:AS116"/>
    <mergeCell ref="AB116:AC116"/>
    <mergeCell ref="AT116:AU116"/>
    <mergeCell ref="BB118:BG118"/>
    <mergeCell ref="AV118:BA118"/>
    <mergeCell ref="AD116:AE116"/>
    <mergeCell ref="X118:AC118"/>
    <mergeCell ref="AH116:AI116"/>
    <mergeCell ref="AF116:AG116"/>
    <mergeCell ref="AD118:AI118"/>
    <mergeCell ref="AD117:AE117"/>
    <mergeCell ref="AF117:AG117"/>
    <mergeCell ref="X117:Y117"/>
    <mergeCell ref="AD4:AO4"/>
    <mergeCell ref="X5:Y5"/>
    <mergeCell ref="BB6:BC6"/>
    <mergeCell ref="AD6:AE6"/>
    <mergeCell ref="I3:J8"/>
    <mergeCell ref="M6:M9"/>
    <mergeCell ref="P6:P9"/>
    <mergeCell ref="K4:K9"/>
    <mergeCell ref="B98:C98"/>
    <mergeCell ref="L5:L9"/>
    <mergeCell ref="B3:B9"/>
    <mergeCell ref="E5:E9"/>
    <mergeCell ref="M5:P5"/>
    <mergeCell ref="AV8:AX8"/>
    <mergeCell ref="AP8:AR8"/>
    <mergeCell ref="AJ8:AL8"/>
    <mergeCell ref="AD7:AE7"/>
    <mergeCell ref="AD8:AF8"/>
    <mergeCell ref="X7:Y7"/>
    <mergeCell ref="X8:Z8"/>
    <mergeCell ref="B80:H80"/>
    <mergeCell ref="B85:H85"/>
    <mergeCell ref="R7:S7"/>
    <mergeCell ref="R8:T8"/>
    <mergeCell ref="A105:C105"/>
    <mergeCell ref="B104:Q104"/>
    <mergeCell ref="B109:H109"/>
    <mergeCell ref="C3:C9"/>
    <mergeCell ref="G5:G9"/>
    <mergeCell ref="D3:H4"/>
    <mergeCell ref="D5:D9"/>
    <mergeCell ref="B11:G11"/>
    <mergeCell ref="B107:H107"/>
    <mergeCell ref="A106:C106"/>
    <mergeCell ref="B108:H108"/>
    <mergeCell ref="B19:H19"/>
    <mergeCell ref="B12:C12"/>
    <mergeCell ref="H5:H9"/>
    <mergeCell ref="B49:H49"/>
    <mergeCell ref="B55:H55"/>
    <mergeCell ref="B62:H62"/>
    <mergeCell ref="B69:H69"/>
    <mergeCell ref="B74:H74"/>
    <mergeCell ref="B75:H75"/>
    <mergeCell ref="B88:H88"/>
    <mergeCell ref="B101:H101"/>
    <mergeCell ref="B27:H27"/>
    <mergeCell ref="B28:H28"/>
    <mergeCell ref="B115:J115"/>
    <mergeCell ref="R116:S116"/>
    <mergeCell ref="T116:U116"/>
    <mergeCell ref="V116:W116"/>
    <mergeCell ref="AD113:AI113"/>
    <mergeCell ref="B114:J114"/>
    <mergeCell ref="K116:L116"/>
    <mergeCell ref="R115:W115"/>
    <mergeCell ref="R112:W112"/>
    <mergeCell ref="B111:H111"/>
    <mergeCell ref="B113:J113"/>
    <mergeCell ref="B112:J112"/>
    <mergeCell ref="B110:H110"/>
    <mergeCell ref="B116:J116"/>
    <mergeCell ref="K115:Q115"/>
    <mergeCell ref="BB115:BG115"/>
    <mergeCell ref="X115:AC115"/>
    <mergeCell ref="BB114:BG114"/>
    <mergeCell ref="AD115:AI115"/>
    <mergeCell ref="K114:Q114"/>
    <mergeCell ref="AJ114:AO114"/>
    <mergeCell ref="AV114:BA114"/>
    <mergeCell ref="X114:AC114"/>
    <mergeCell ref="X113:AC113"/>
    <mergeCell ref="AJ112:AO112"/>
    <mergeCell ref="K113:Q113"/>
    <mergeCell ref="AD114:AI114"/>
    <mergeCell ref="K112:Q112"/>
    <mergeCell ref="R113:W113"/>
    <mergeCell ref="X112:AC112"/>
    <mergeCell ref="R114:W114"/>
    <mergeCell ref="AP114:AU114"/>
    <mergeCell ref="AP113:AU113"/>
    <mergeCell ref="AP115:AU115"/>
    <mergeCell ref="AV113:BA113"/>
    <mergeCell ref="AD112:AI112"/>
    <mergeCell ref="AP112:AU112"/>
    <mergeCell ref="AV112:BA112"/>
    <mergeCell ref="AL116:AM116"/>
    <mergeCell ref="AP117:AQ117"/>
    <mergeCell ref="AR117:AS117"/>
    <mergeCell ref="AV117:AW117"/>
    <mergeCell ref="AX117:AY117"/>
    <mergeCell ref="AJ113:AO113"/>
    <mergeCell ref="AJ115:AO115"/>
    <mergeCell ref="AV115:BA115"/>
  </mergeCells>
  <phoneticPr fontId="0" type="noConversion"/>
  <conditionalFormatting sqref="BZ35:BZ37 BZ40:BZ46 BZ99:BZ100 BZ73 BZ87 BZ102 BZ82:BZ84 BZ29:BZ33 BZ50:BZ53 BZ56:BZ58 BZ89:BZ90 BZ13:BZ26 BZ95:BZ97 BZ76:BZ79">
    <cfRule type="expression" dxfId="159" priority="190" stopIfTrue="1">
      <formula>AND(K13&gt;0,BZ13=0)</formula>
    </cfRule>
    <cfRule type="expression" dxfId="158" priority="191" stopIfTrue="1">
      <formula>AND(K13=0,BZ13&lt;&gt;0)</formula>
    </cfRule>
  </conditionalFormatting>
  <conditionalFormatting sqref="BZ86">
    <cfRule type="expression" dxfId="157" priority="185" stopIfTrue="1">
      <formula>AND(K86&gt;0,BZ86=0)</formula>
    </cfRule>
    <cfRule type="expression" dxfId="156" priority="186" stopIfTrue="1">
      <formula>AND(K86=0,BZ86&lt;&gt;0)</formula>
    </cfRule>
  </conditionalFormatting>
  <conditionalFormatting sqref="BZ22:BZ23">
    <cfRule type="expression" dxfId="155" priority="177" stopIfTrue="1">
      <formula>AND(K22&gt;0,BZ22=0)</formula>
    </cfRule>
    <cfRule type="expression" dxfId="154" priority="178" stopIfTrue="1">
      <formula>AND(K22=0,BZ22&lt;&gt;0)</formula>
    </cfRule>
  </conditionalFormatting>
  <conditionalFormatting sqref="BZ35:BZ37">
    <cfRule type="expression" dxfId="153" priority="173" stopIfTrue="1">
      <formula>AND(K35&gt;0,BZ35=0)</formula>
    </cfRule>
    <cfRule type="expression" dxfId="152" priority="174" stopIfTrue="1">
      <formula>AND(K35=0,BZ35&lt;&gt;0)</formula>
    </cfRule>
  </conditionalFormatting>
  <conditionalFormatting sqref="BZ40:BZ46">
    <cfRule type="expression" dxfId="151" priority="171" stopIfTrue="1">
      <formula>AND(K40&gt;0,BZ40=0)</formula>
    </cfRule>
    <cfRule type="expression" dxfId="150" priority="172" stopIfTrue="1">
      <formula>AND(K40=0,BZ40&lt;&gt;0)</formula>
    </cfRule>
  </conditionalFormatting>
  <conditionalFormatting sqref="BZ50:BZ53">
    <cfRule type="expression" dxfId="149" priority="169" stopIfTrue="1">
      <formula>AND(K50&gt;0,BZ50=0)</formula>
    </cfRule>
    <cfRule type="expression" dxfId="148" priority="170" stopIfTrue="1">
      <formula>AND(K50=0,BZ50&lt;&gt;0)</formula>
    </cfRule>
  </conditionalFormatting>
  <conditionalFormatting sqref="BZ54">
    <cfRule type="expression" dxfId="147" priority="167" stopIfTrue="1">
      <formula>AND(K54&gt;0,BZ54=0)</formula>
    </cfRule>
    <cfRule type="expression" dxfId="146" priority="168" stopIfTrue="1">
      <formula>AND(K54=0,BZ54&lt;&gt;0)</formula>
    </cfRule>
  </conditionalFormatting>
  <conditionalFormatting sqref="BZ56:BZ58">
    <cfRule type="expression" dxfId="145" priority="165" stopIfTrue="1">
      <formula>AND(K56&gt;0,BZ56=0)</formula>
    </cfRule>
    <cfRule type="expression" dxfId="144" priority="166" stopIfTrue="1">
      <formula>AND(K56=0,BZ56&lt;&gt;0)</formula>
    </cfRule>
  </conditionalFormatting>
  <conditionalFormatting sqref="BZ59:BZ60">
    <cfRule type="expression" dxfId="143" priority="163" stopIfTrue="1">
      <formula>AND(K59&gt;0,BZ59=0)</formula>
    </cfRule>
    <cfRule type="expression" dxfId="142" priority="164" stopIfTrue="1">
      <formula>AND(K59=0,BZ59&lt;&gt;0)</formula>
    </cfRule>
  </conditionalFormatting>
  <conditionalFormatting sqref="BZ61">
    <cfRule type="expression" dxfId="141" priority="161" stopIfTrue="1">
      <formula>AND(K61&gt;0,BZ61=0)</formula>
    </cfRule>
    <cfRule type="expression" dxfId="140" priority="162" stopIfTrue="1">
      <formula>AND(K61=0,BZ61&lt;&gt;0)</formula>
    </cfRule>
  </conditionalFormatting>
  <conditionalFormatting sqref="BZ67:BZ68">
    <cfRule type="expression" dxfId="139" priority="159" stopIfTrue="1">
      <formula>AND(K67&gt;0,BZ67=0)</formula>
    </cfRule>
    <cfRule type="expression" dxfId="138" priority="160" stopIfTrue="1">
      <formula>AND(K67=0,BZ67&lt;&gt;0)</formula>
    </cfRule>
  </conditionalFormatting>
  <conditionalFormatting sqref="BZ63">
    <cfRule type="expression" dxfId="137" priority="157" stopIfTrue="1">
      <formula>AND(K63&gt;0,BZ63=0)</formula>
    </cfRule>
    <cfRule type="expression" dxfId="136" priority="158" stopIfTrue="1">
      <formula>AND(K63=0,BZ63&lt;&gt;0)</formula>
    </cfRule>
  </conditionalFormatting>
  <conditionalFormatting sqref="BZ64">
    <cfRule type="expression" dxfId="135" priority="155" stopIfTrue="1">
      <formula>AND(K64&gt;0,BZ64=0)</formula>
    </cfRule>
    <cfRule type="expression" dxfId="134" priority="156" stopIfTrue="1">
      <formula>AND(K64=0,BZ64&lt;&gt;0)</formula>
    </cfRule>
  </conditionalFormatting>
  <conditionalFormatting sqref="BZ65">
    <cfRule type="expression" dxfId="133" priority="153" stopIfTrue="1">
      <formula>AND(K65&gt;0,BZ65=0)</formula>
    </cfRule>
    <cfRule type="expression" dxfId="132" priority="154" stopIfTrue="1">
      <formula>AND(K65=0,BZ65&lt;&gt;0)</formula>
    </cfRule>
  </conditionalFormatting>
  <conditionalFormatting sqref="BZ66">
    <cfRule type="expression" dxfId="131" priority="151" stopIfTrue="1">
      <formula>AND(K66&gt;0,BZ66=0)</formula>
    </cfRule>
    <cfRule type="expression" dxfId="130" priority="152" stopIfTrue="1">
      <formula>AND(K66=0,BZ66&lt;&gt;0)</formula>
    </cfRule>
  </conditionalFormatting>
  <conditionalFormatting sqref="BZ70">
    <cfRule type="expression" dxfId="129" priority="149" stopIfTrue="1">
      <formula>AND(K70&gt;0,BZ70=0)</formula>
    </cfRule>
    <cfRule type="expression" dxfId="128" priority="150" stopIfTrue="1">
      <formula>AND(K70=0,BZ70&lt;&gt;0)</formula>
    </cfRule>
  </conditionalFormatting>
  <conditionalFormatting sqref="BZ71">
    <cfRule type="expression" dxfId="127" priority="147" stopIfTrue="1">
      <formula>AND(K71&gt;0,BZ71=0)</formula>
    </cfRule>
    <cfRule type="expression" dxfId="126" priority="148" stopIfTrue="1">
      <formula>AND(K71=0,BZ71&lt;&gt;0)</formula>
    </cfRule>
  </conditionalFormatting>
  <conditionalFormatting sqref="BZ72">
    <cfRule type="expression" dxfId="125" priority="145" stopIfTrue="1">
      <formula>AND(K72&gt;0,BZ72=0)</formula>
    </cfRule>
    <cfRule type="expression" dxfId="124" priority="146" stopIfTrue="1">
      <formula>AND(K72=0,BZ72&lt;&gt;0)</formula>
    </cfRule>
  </conditionalFormatting>
  <conditionalFormatting sqref="BZ70">
    <cfRule type="expression" dxfId="123" priority="143" stopIfTrue="1">
      <formula>AND(K70&gt;0,BZ70=0)</formula>
    </cfRule>
    <cfRule type="expression" dxfId="122" priority="144" stopIfTrue="1">
      <formula>AND(K70=0,BZ70&lt;&gt;0)</formula>
    </cfRule>
  </conditionalFormatting>
  <conditionalFormatting sqref="BZ71">
    <cfRule type="expression" dxfId="121" priority="141" stopIfTrue="1">
      <formula>AND(K71&gt;0,BZ71=0)</formula>
    </cfRule>
    <cfRule type="expression" dxfId="120" priority="142" stopIfTrue="1">
      <formula>AND(K71=0,BZ71&lt;&gt;0)</formula>
    </cfRule>
  </conditionalFormatting>
  <conditionalFormatting sqref="BZ72">
    <cfRule type="expression" dxfId="119" priority="139" stopIfTrue="1">
      <formula>AND(K72&gt;0,BZ72=0)</formula>
    </cfRule>
    <cfRule type="expression" dxfId="118" priority="140" stopIfTrue="1">
      <formula>AND(K72=0,BZ72&lt;&gt;0)</formula>
    </cfRule>
  </conditionalFormatting>
  <conditionalFormatting sqref="BZ70">
    <cfRule type="expression" dxfId="117" priority="137" stopIfTrue="1">
      <formula>AND(K70&gt;0,BZ70=0)</formula>
    </cfRule>
    <cfRule type="expression" dxfId="116" priority="138" stopIfTrue="1">
      <formula>AND(K70=0,BZ70&lt;&gt;0)</formula>
    </cfRule>
  </conditionalFormatting>
  <conditionalFormatting sqref="BZ71">
    <cfRule type="expression" dxfId="115" priority="135" stopIfTrue="1">
      <formula>AND(K71&gt;0,BZ71=0)</formula>
    </cfRule>
    <cfRule type="expression" dxfId="114" priority="136" stopIfTrue="1">
      <formula>AND(K71=0,BZ71&lt;&gt;0)</formula>
    </cfRule>
  </conditionalFormatting>
  <conditionalFormatting sqref="BZ72">
    <cfRule type="expression" dxfId="113" priority="133" stopIfTrue="1">
      <formula>AND(K72&gt;0,BZ72=0)</formula>
    </cfRule>
    <cfRule type="expression" dxfId="112" priority="134" stopIfTrue="1">
      <formula>AND(K72=0,BZ72&lt;&gt;0)</formula>
    </cfRule>
  </conditionalFormatting>
  <conditionalFormatting sqref="BZ76">
    <cfRule type="expression" dxfId="111" priority="131" stopIfTrue="1">
      <formula>AND(K76&gt;0,BZ76=0)</formula>
    </cfRule>
    <cfRule type="expression" dxfId="110" priority="132" stopIfTrue="1">
      <formula>AND(K76=0,BZ76&lt;&gt;0)</formula>
    </cfRule>
  </conditionalFormatting>
  <conditionalFormatting sqref="BZ77">
    <cfRule type="expression" dxfId="109" priority="129" stopIfTrue="1">
      <formula>AND(K77&gt;0,BZ77=0)</formula>
    </cfRule>
    <cfRule type="expression" dxfId="108" priority="130" stopIfTrue="1">
      <formula>AND(K77=0,BZ77&lt;&gt;0)</formula>
    </cfRule>
  </conditionalFormatting>
  <conditionalFormatting sqref="BZ78">
    <cfRule type="expression" dxfId="107" priority="127" stopIfTrue="1">
      <formula>AND(K78&gt;0,BZ78=0)</formula>
    </cfRule>
    <cfRule type="expression" dxfId="106" priority="128" stopIfTrue="1">
      <formula>AND(K78=0,BZ78&lt;&gt;0)</formula>
    </cfRule>
  </conditionalFormatting>
  <conditionalFormatting sqref="BZ82">
    <cfRule type="expression" dxfId="105" priority="125" stopIfTrue="1">
      <formula>AND(K82&gt;0,BZ82=0)</formula>
    </cfRule>
    <cfRule type="expression" dxfId="104" priority="126" stopIfTrue="1">
      <formula>AND(K82=0,BZ82&lt;&gt;0)</formula>
    </cfRule>
  </conditionalFormatting>
  <conditionalFormatting sqref="BZ83">
    <cfRule type="expression" dxfId="103" priority="123" stopIfTrue="1">
      <formula>AND(K83&gt;0,BZ83=0)</formula>
    </cfRule>
    <cfRule type="expression" dxfId="102" priority="124" stopIfTrue="1">
      <formula>AND(K83=0,BZ83&lt;&gt;0)</formula>
    </cfRule>
  </conditionalFormatting>
  <conditionalFormatting sqref="BZ86">
    <cfRule type="expression" dxfId="101" priority="121" stopIfTrue="1">
      <formula>AND(K86&gt;0,BZ86=0)</formula>
    </cfRule>
    <cfRule type="expression" dxfId="100" priority="122" stopIfTrue="1">
      <formula>AND(K86=0,BZ86&lt;&gt;0)</formula>
    </cfRule>
  </conditionalFormatting>
  <conditionalFormatting sqref="BZ89">
    <cfRule type="expression" dxfId="99" priority="119" stopIfTrue="1">
      <formula>AND(K89&gt;0,BZ89=0)</formula>
    </cfRule>
    <cfRule type="expression" dxfId="98" priority="120" stopIfTrue="1">
      <formula>AND(K89=0,BZ89&lt;&gt;0)</formula>
    </cfRule>
  </conditionalFormatting>
  <conditionalFormatting sqref="BZ95">
    <cfRule type="expression" dxfId="97" priority="115" stopIfTrue="1">
      <formula>AND(K95&gt;0,BZ95=0)</formula>
    </cfRule>
    <cfRule type="expression" dxfId="96" priority="116" stopIfTrue="1">
      <formula>AND(K95=0,BZ95&lt;&gt;0)</formula>
    </cfRule>
  </conditionalFormatting>
  <conditionalFormatting sqref="BZ96">
    <cfRule type="expression" dxfId="95" priority="113" stopIfTrue="1">
      <formula>AND(K96&gt;0,BZ96=0)</formula>
    </cfRule>
    <cfRule type="expression" dxfId="94" priority="114" stopIfTrue="1">
      <formula>AND(K96=0,BZ96&lt;&gt;0)</formula>
    </cfRule>
  </conditionalFormatting>
  <conditionalFormatting sqref="BZ97">
    <cfRule type="expression" dxfId="93" priority="111" stopIfTrue="1">
      <formula>AND(K97&gt;0,BZ97=0)</formula>
    </cfRule>
    <cfRule type="expression" dxfId="92" priority="112" stopIfTrue="1">
      <formula>AND(K97=0,BZ97&lt;&gt;0)</formula>
    </cfRule>
  </conditionalFormatting>
  <conditionalFormatting sqref="BZ99:BZ100">
    <cfRule type="expression" dxfId="91" priority="109" stopIfTrue="1">
      <formula>AND(K99&gt;0,BZ99=0)</formula>
    </cfRule>
    <cfRule type="expression" dxfId="90" priority="110" stopIfTrue="1">
      <formula>AND(K99=0,BZ99&lt;&gt;0)</formula>
    </cfRule>
  </conditionalFormatting>
  <conditionalFormatting sqref="BZ102">
    <cfRule type="expression" dxfId="89" priority="107" stopIfTrue="1">
      <formula>AND(K102&gt;0,BZ102=0)</formula>
    </cfRule>
    <cfRule type="expression" dxfId="88" priority="108" stopIfTrue="1">
      <formula>AND(K102=0,BZ102&lt;&gt;0)</formula>
    </cfRule>
  </conditionalFormatting>
  <conditionalFormatting sqref="BZ15">
    <cfRule type="expression" dxfId="87" priority="105" stopIfTrue="1">
      <formula>AND(K15&gt;0,BZ15=0)</formula>
    </cfRule>
    <cfRule type="expression" dxfId="86" priority="106" stopIfTrue="1">
      <formula>AND(K15=0,BZ15&lt;&gt;0)</formula>
    </cfRule>
  </conditionalFormatting>
  <conditionalFormatting sqref="BZ92:BZ93">
    <cfRule type="expression" dxfId="85" priority="103" stopIfTrue="1">
      <formula>AND(K92&gt;0,BZ92=0)</formula>
    </cfRule>
    <cfRule type="expression" dxfId="84" priority="104" stopIfTrue="1">
      <formula>AND(K92=0,BZ92&lt;&gt;0)</formula>
    </cfRule>
  </conditionalFormatting>
  <conditionalFormatting sqref="BZ93">
    <cfRule type="expression" dxfId="83" priority="101" stopIfTrue="1">
      <formula>AND(K93&gt;0,BZ93=0)</formula>
    </cfRule>
    <cfRule type="expression" dxfId="82" priority="102" stopIfTrue="1">
      <formula>AND(K93=0,BZ93&lt;&gt;0)</formula>
    </cfRule>
  </conditionalFormatting>
  <conditionalFormatting sqref="BZ93">
    <cfRule type="expression" dxfId="81" priority="99" stopIfTrue="1">
      <formula>AND(K93&gt;0,BZ93=0)</formula>
    </cfRule>
    <cfRule type="expression" dxfId="80" priority="100" stopIfTrue="1">
      <formula>AND(K93=0,BZ93&lt;&gt;0)</formula>
    </cfRule>
  </conditionalFormatting>
  <conditionalFormatting sqref="BZ13:BZ19">
    <cfRule type="expression" dxfId="79" priority="97" stopIfTrue="1">
      <formula>AND(K13&gt;0,BZ13=0)</formula>
    </cfRule>
    <cfRule type="expression" dxfId="78" priority="98" stopIfTrue="1">
      <formula>AND(K13=0,BZ13&lt;&gt;0)</formula>
    </cfRule>
  </conditionalFormatting>
  <conditionalFormatting sqref="BZ21:BZ22">
    <cfRule type="expression" dxfId="77" priority="95" stopIfTrue="1">
      <formula>AND(K21&gt;0,BZ21=0)</formula>
    </cfRule>
    <cfRule type="expression" dxfId="76" priority="96" stopIfTrue="1">
      <formula>AND(K21=0,BZ21&lt;&gt;0)</formula>
    </cfRule>
  </conditionalFormatting>
  <conditionalFormatting sqref="BZ16">
    <cfRule type="expression" dxfId="75" priority="93" stopIfTrue="1">
      <formula>AND(K16&gt;0,BZ16=0)</formula>
    </cfRule>
    <cfRule type="expression" dxfId="74" priority="94" stopIfTrue="1">
      <formula>AND(K16=0,BZ16&lt;&gt;0)</formula>
    </cfRule>
  </conditionalFormatting>
  <conditionalFormatting sqref="CB13:CB20 CB22:CB26 BZ22:BZ26">
    <cfRule type="expression" dxfId="73" priority="73" stopIfTrue="1">
      <formula>AND(I13&gt;0,BZ13=0)</formula>
    </cfRule>
    <cfRule type="expression" dxfId="72" priority="74" stopIfTrue="1">
      <formula>AND(I13=0,BZ13&lt;&gt;0)</formula>
    </cfRule>
  </conditionalFormatting>
  <conditionalFormatting sqref="CB15">
    <cfRule type="expression" dxfId="71" priority="63" stopIfTrue="1">
      <formula>AND(K15&gt;0,CB15=0)</formula>
    </cfRule>
    <cfRule type="expression" dxfId="70" priority="64" stopIfTrue="1">
      <formula>AND(K15=0,CB15&lt;&gt;0)</formula>
    </cfRule>
  </conditionalFormatting>
  <conditionalFormatting sqref="CB13:CB19">
    <cfRule type="expression" dxfId="69" priority="61" stopIfTrue="1">
      <formula>AND(K13&gt;0,CB13=0)</formula>
    </cfRule>
    <cfRule type="expression" dxfId="68" priority="62" stopIfTrue="1">
      <formula>AND(K13=0,CB13&lt;&gt;0)</formula>
    </cfRule>
  </conditionalFormatting>
  <conditionalFormatting sqref="CB15">
    <cfRule type="expression" dxfId="67" priority="59" stopIfTrue="1">
      <formula>AND(K15&gt;0,CB15=0)</formula>
    </cfRule>
    <cfRule type="expression" dxfId="66" priority="60" stopIfTrue="1">
      <formula>AND(K15=0,CB15&lt;&gt;0)</formula>
    </cfRule>
  </conditionalFormatting>
  <conditionalFormatting sqref="CB15">
    <cfRule type="expression" dxfId="65" priority="57" stopIfTrue="1">
      <formula>AND(K15&gt;0,CB15=0)</formula>
    </cfRule>
    <cfRule type="expression" dxfId="64" priority="58" stopIfTrue="1">
      <formula>AND(K15=0,CB15&lt;&gt;0)</formula>
    </cfRule>
  </conditionalFormatting>
  <conditionalFormatting sqref="CB15">
    <cfRule type="expression" dxfId="63" priority="55" stopIfTrue="1">
      <formula>AND(K15&gt;0,CB15=0)</formula>
    </cfRule>
    <cfRule type="expression" dxfId="62" priority="56" stopIfTrue="1">
      <formula>AND(K15=0,CB15&lt;&gt;0)</formula>
    </cfRule>
  </conditionalFormatting>
  <conditionalFormatting sqref="CB15">
    <cfRule type="expression" dxfId="61" priority="53" stopIfTrue="1">
      <formula>AND(K15&gt;0,CB15=0)</formula>
    </cfRule>
    <cfRule type="expression" dxfId="60" priority="54" stopIfTrue="1">
      <formula>AND(K15=0,CB15&lt;&gt;0)</formula>
    </cfRule>
  </conditionalFormatting>
  <conditionalFormatting sqref="CB15">
    <cfRule type="expression" dxfId="59" priority="51" stopIfTrue="1">
      <formula>AND(K15&gt;0,CB15=0)</formula>
    </cfRule>
    <cfRule type="expression" dxfId="58" priority="52" stopIfTrue="1">
      <formula>AND(K15=0,CB15&lt;&gt;0)</formula>
    </cfRule>
  </conditionalFormatting>
  <conditionalFormatting sqref="CB22">
    <cfRule type="expression" dxfId="57" priority="49" stopIfTrue="1">
      <formula>AND(K22&gt;0,CB22=0)</formula>
    </cfRule>
    <cfRule type="expression" dxfId="56" priority="50" stopIfTrue="1">
      <formula>AND(K22=0,CB22&lt;&gt;0)</formula>
    </cfRule>
  </conditionalFormatting>
  <conditionalFormatting sqref="CB22">
    <cfRule type="expression" dxfId="55" priority="47" stopIfTrue="1">
      <formula>AND(K22&gt;0,CB22=0)</formula>
    </cfRule>
    <cfRule type="expression" dxfId="54" priority="48" stopIfTrue="1">
      <formula>AND(K22=0,CB22&lt;&gt;0)</formula>
    </cfRule>
  </conditionalFormatting>
  <conditionalFormatting sqref="CB23">
    <cfRule type="expression" dxfId="53" priority="45" stopIfTrue="1">
      <formula>AND(K23&gt;0,CB23=0)</formula>
    </cfRule>
    <cfRule type="expression" dxfId="52" priority="46" stopIfTrue="1">
      <formula>AND(K23=0,CB23&lt;&gt;0)</formula>
    </cfRule>
  </conditionalFormatting>
  <conditionalFormatting sqref="CB23">
    <cfRule type="expression" dxfId="51" priority="43" stopIfTrue="1">
      <formula>AND(K23&gt;0,CB23=0)</formula>
    </cfRule>
    <cfRule type="expression" dxfId="50" priority="44" stopIfTrue="1">
      <formula>AND(K23=0,CB23&lt;&gt;0)</formula>
    </cfRule>
  </conditionalFormatting>
  <conditionalFormatting sqref="BZ13:BZ20">
    <cfRule type="expression" dxfId="49" priority="41" stopIfTrue="1">
      <formula>AND(I13&gt;0,BZ13=0)</formula>
    </cfRule>
    <cfRule type="expression" dxfId="48" priority="42" stopIfTrue="1">
      <formula>AND(I13=0,BZ13&lt;&gt;0)</formula>
    </cfRule>
  </conditionalFormatting>
  <conditionalFormatting sqref="BZ15">
    <cfRule type="expression" dxfId="47" priority="31" stopIfTrue="1">
      <formula>AND(I15&gt;0,BZ15=0)</formula>
    </cfRule>
    <cfRule type="expression" dxfId="46" priority="32" stopIfTrue="1">
      <formula>AND(I15=0,BZ15&lt;&gt;0)</formula>
    </cfRule>
  </conditionalFormatting>
  <conditionalFormatting sqref="BZ13:BZ19">
    <cfRule type="expression" dxfId="45" priority="29" stopIfTrue="1">
      <formula>AND(I13&gt;0,BZ13=0)</formula>
    </cfRule>
    <cfRule type="expression" dxfId="44" priority="30" stopIfTrue="1">
      <formula>AND(I13=0,BZ13&lt;&gt;0)</formula>
    </cfRule>
  </conditionalFormatting>
  <conditionalFormatting sqref="BZ15">
    <cfRule type="expression" dxfId="43" priority="27" stopIfTrue="1">
      <formula>AND(I15&gt;0,BZ15=0)</formula>
    </cfRule>
    <cfRule type="expression" dxfId="42" priority="28" stopIfTrue="1">
      <formula>AND(I15=0,BZ15&lt;&gt;0)</formula>
    </cfRule>
  </conditionalFormatting>
  <conditionalFormatting sqref="BZ15">
    <cfRule type="expression" dxfId="41" priority="25" stopIfTrue="1">
      <formula>AND(I15&gt;0,BZ15=0)</formula>
    </cfRule>
    <cfRule type="expression" dxfId="40" priority="26" stopIfTrue="1">
      <formula>AND(I15=0,BZ15&lt;&gt;0)</formula>
    </cfRule>
  </conditionalFormatting>
  <conditionalFormatting sqref="BZ15">
    <cfRule type="expression" dxfId="39" priority="23" stopIfTrue="1">
      <formula>AND(I15&gt;0,BZ15=0)</formula>
    </cfRule>
    <cfRule type="expression" dxfId="38" priority="24" stopIfTrue="1">
      <formula>AND(I15=0,BZ15&lt;&gt;0)</formula>
    </cfRule>
  </conditionalFormatting>
  <conditionalFormatting sqref="BZ15">
    <cfRule type="expression" dxfId="37" priority="21" stopIfTrue="1">
      <formula>AND(I15&gt;0,BZ15=0)</formula>
    </cfRule>
    <cfRule type="expression" dxfId="36" priority="22" stopIfTrue="1">
      <formula>AND(I15=0,BZ15&lt;&gt;0)</formula>
    </cfRule>
  </conditionalFormatting>
  <conditionalFormatting sqref="BZ15">
    <cfRule type="expression" dxfId="35" priority="19" stopIfTrue="1">
      <formula>AND(I15&gt;0,BZ15=0)</formula>
    </cfRule>
    <cfRule type="expression" dxfId="34" priority="20" stopIfTrue="1">
      <formula>AND(I15=0,BZ15&lt;&gt;0)</formula>
    </cfRule>
  </conditionalFormatting>
  <conditionalFormatting sqref="BZ22">
    <cfRule type="expression" dxfId="33" priority="17" stopIfTrue="1">
      <formula>AND(I22&gt;0,BZ22=0)</formula>
    </cfRule>
    <cfRule type="expression" dxfId="32" priority="18" stopIfTrue="1">
      <formula>AND(I22=0,BZ22&lt;&gt;0)</formula>
    </cfRule>
  </conditionalFormatting>
  <conditionalFormatting sqref="BZ22">
    <cfRule type="expression" dxfId="31" priority="15" stopIfTrue="1">
      <formula>AND(I22&gt;0,BZ22=0)</formula>
    </cfRule>
    <cfRule type="expression" dxfId="30" priority="16" stopIfTrue="1">
      <formula>AND(I22=0,BZ22&lt;&gt;0)</formula>
    </cfRule>
  </conditionalFormatting>
  <conditionalFormatting sqref="BZ23">
    <cfRule type="expression" dxfId="29" priority="13" stopIfTrue="1">
      <formula>AND(I23&gt;0,BZ23=0)</formula>
    </cfRule>
    <cfRule type="expression" dxfId="28" priority="14" stopIfTrue="1">
      <formula>AND(I23=0,BZ23&lt;&gt;0)</formula>
    </cfRule>
  </conditionalFormatting>
  <conditionalFormatting sqref="BZ23">
    <cfRule type="expression" dxfId="27" priority="11" stopIfTrue="1">
      <formula>AND(I23&gt;0,BZ23=0)</formula>
    </cfRule>
    <cfRule type="expression" dxfId="26" priority="12" stopIfTrue="1">
      <formula>AND(I23=0,BZ23&lt;&gt;0)</formula>
    </cfRule>
  </conditionalFormatting>
  <conditionalFormatting sqref="BZ13:BZ18">
    <cfRule type="expression" dxfId="25" priority="9" stopIfTrue="1">
      <formula>AND(K13&gt;0,BZ13=0)</formula>
    </cfRule>
    <cfRule type="expression" dxfId="24" priority="10" stopIfTrue="1">
      <formula>AND(K13=0,BZ13&lt;&gt;0)</formula>
    </cfRule>
  </conditionalFormatting>
  <conditionalFormatting sqref="BZ20:BZ21">
    <cfRule type="expression" dxfId="23" priority="7" stopIfTrue="1">
      <formula>AND(K20&gt;0,BZ20=0)</formula>
    </cfRule>
    <cfRule type="expression" dxfId="22" priority="8" stopIfTrue="1">
      <formula>AND(K20=0,BZ20&lt;&gt;0)</formula>
    </cfRule>
  </conditionalFormatting>
  <conditionalFormatting sqref="BZ15">
    <cfRule type="expression" dxfId="21" priority="5" stopIfTrue="1">
      <formula>AND(K15&gt;0,BZ15=0)</formula>
    </cfRule>
    <cfRule type="expression" dxfId="20" priority="6" stopIfTrue="1">
      <formula>AND(K15=0,BZ15&lt;&gt;0)</formula>
    </cfRule>
  </conditionalFormatting>
  <conditionalFormatting sqref="BZ60">
    <cfRule type="expression" dxfId="19" priority="3" stopIfTrue="1">
      <formula>AND(K60&gt;0,BZ60=0)</formula>
    </cfRule>
    <cfRule type="expression" dxfId="18" priority="4" stopIfTrue="1">
      <formula>AND(K60=0,BZ60&lt;&gt;0)</formula>
    </cfRule>
  </conditionalFormatting>
  <conditionalFormatting sqref="BZ60">
    <cfRule type="expression" dxfId="17" priority="1" stopIfTrue="1">
      <formula>AND(K60&gt;0,BZ60=0)</formula>
    </cfRule>
    <cfRule type="expression" dxfId="16" priority="2" stopIfTrue="1">
      <formula>AND(K60=0,BZ60&lt;&gt;0)</formula>
    </cfRule>
  </conditionalFormatting>
  <printOptions horizontalCentered="1"/>
  <pageMargins left="0" right="0" top="0.59055118110236227" bottom="0.39370078740157483" header="0.11811023622047245" footer="0.11811023622047245"/>
  <pageSetup paperSize="8" scale="15" fitToHeight="100" orientation="landscape" r:id="rId1"/>
  <headerFooter alignWithMargins="0">
    <oddFooter>&amp;L&amp;F&amp;C&amp;9&amp;A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6"/>
  <sheetViews>
    <sheetView showZeros="0" topLeftCell="D11" workbookViewId="0">
      <selection activeCell="X24" sqref="X24:AA24"/>
    </sheetView>
  </sheetViews>
  <sheetFormatPr defaultColWidth="2.83203125" defaultRowHeight="12.75"/>
  <cols>
    <col min="1" max="55" width="3.33203125" style="6" customWidth="1"/>
    <col min="56" max="56" width="5" style="6" customWidth="1"/>
    <col min="57" max="59" width="3.33203125" style="6" customWidth="1"/>
    <col min="60" max="60" width="4.5" style="6" customWidth="1"/>
    <col min="61" max="61" width="4" style="6" customWidth="1"/>
    <col min="62" max="65" width="3.33203125" style="6" customWidth="1"/>
    <col min="66" max="66" width="5" style="6" customWidth="1"/>
    <col min="67" max="16384" width="2.83203125" style="6"/>
  </cols>
  <sheetData>
    <row r="1" spans="1:67" ht="15.75" customHeight="1">
      <c r="A1" s="200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624" t="s">
        <v>34</v>
      </c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  <c r="AL1" s="624"/>
      <c r="AM1" s="624"/>
      <c r="AN1" s="624"/>
      <c r="AO1" s="624"/>
      <c r="AP1" s="624"/>
      <c r="AQ1" s="624"/>
      <c r="AR1" s="624"/>
      <c r="AS1" s="624"/>
      <c r="AT1" s="624"/>
      <c r="AU1" s="624"/>
      <c r="AV1" s="624"/>
      <c r="AW1" s="624"/>
      <c r="AX1" s="624"/>
      <c r="AY1" s="624"/>
      <c r="AZ1" s="624"/>
      <c r="BA1" s="624"/>
      <c r="BB1" s="624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</row>
    <row r="2" spans="1:67" ht="15.75" customHeight="1">
      <c r="A2" s="785" t="s">
        <v>447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625" t="s">
        <v>357</v>
      </c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5"/>
      <c r="AL2" s="625"/>
      <c r="AM2" s="625"/>
      <c r="AN2" s="625"/>
      <c r="AO2" s="625"/>
      <c r="AP2" s="625"/>
      <c r="AQ2" s="625"/>
      <c r="AR2" s="625"/>
      <c r="AS2" s="625"/>
      <c r="AT2" s="625"/>
      <c r="AU2" s="625"/>
      <c r="AV2" s="625"/>
      <c r="AW2" s="625"/>
      <c r="AX2" s="625"/>
      <c r="AY2" s="625"/>
      <c r="AZ2" s="625"/>
      <c r="BA2" s="625"/>
      <c r="BB2" s="625"/>
      <c r="BC2" s="636" t="s">
        <v>47</v>
      </c>
      <c r="BD2" s="636"/>
      <c r="BE2" s="636"/>
      <c r="BF2" s="636"/>
      <c r="BG2" s="636"/>
      <c r="BH2" s="636"/>
      <c r="BI2" s="636"/>
      <c r="BJ2" s="636"/>
      <c r="BK2" s="636"/>
      <c r="BL2" s="636"/>
      <c r="BM2" s="636"/>
      <c r="BN2" s="636"/>
    </row>
    <row r="3" spans="1:67" ht="15.75" customHeight="1">
      <c r="A3" s="639">
        <v>42817</v>
      </c>
      <c r="B3" s="639"/>
      <c r="C3" s="639"/>
      <c r="D3" s="639"/>
      <c r="E3" s="639"/>
      <c r="F3" s="639"/>
      <c r="G3" s="639"/>
      <c r="H3" s="639" t="s">
        <v>419</v>
      </c>
      <c r="I3" s="639"/>
      <c r="J3" s="639"/>
      <c r="K3" s="639"/>
      <c r="L3" s="639"/>
      <c r="M3" s="639"/>
      <c r="N3" s="639"/>
      <c r="O3" s="625" t="s">
        <v>358</v>
      </c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  <c r="AI3" s="625"/>
      <c r="AJ3" s="625"/>
      <c r="AK3" s="625"/>
      <c r="AL3" s="625"/>
      <c r="AM3" s="625"/>
      <c r="AN3" s="625"/>
      <c r="AO3" s="625"/>
      <c r="AP3" s="625"/>
      <c r="AQ3" s="625"/>
      <c r="AR3" s="625"/>
      <c r="AS3" s="625"/>
      <c r="AT3" s="625"/>
      <c r="AU3" s="625"/>
      <c r="AV3" s="625"/>
      <c r="AW3" s="625"/>
      <c r="AX3" s="625"/>
      <c r="AY3" s="625"/>
      <c r="AZ3" s="625"/>
      <c r="BA3" s="625"/>
      <c r="BB3" s="625"/>
      <c r="BC3" s="638" t="s">
        <v>364</v>
      </c>
      <c r="BD3" s="638"/>
      <c r="BE3" s="638"/>
      <c r="BF3" s="638"/>
      <c r="BG3" s="638"/>
      <c r="BH3" s="638"/>
      <c r="BI3" s="638"/>
      <c r="BJ3" s="638"/>
      <c r="BK3" s="638"/>
      <c r="BL3" s="638"/>
      <c r="BM3" s="638"/>
      <c r="BN3" s="638"/>
    </row>
    <row r="4" spans="1:67" ht="15.75" customHeight="1">
      <c r="A4" s="634"/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632" t="s">
        <v>485</v>
      </c>
      <c r="BD4" s="632"/>
      <c r="BE4" s="632"/>
      <c r="BF4" s="632"/>
      <c r="BG4" s="632"/>
      <c r="BH4" s="632"/>
      <c r="BI4" s="632"/>
      <c r="BJ4" s="632"/>
      <c r="BK4" s="632"/>
      <c r="BL4" s="632"/>
      <c r="BM4" s="632"/>
      <c r="BN4" s="632"/>
    </row>
    <row r="5" spans="1:67" ht="15.75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24"/>
      <c r="P5" s="224"/>
      <c r="Q5" s="224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30"/>
      <c r="BD5" s="226"/>
      <c r="BE5" s="226"/>
      <c r="BF5" s="31"/>
      <c r="BG5" s="32"/>
      <c r="BH5" s="32"/>
      <c r="BI5" s="32"/>
      <c r="BJ5" s="32"/>
      <c r="BK5" s="32"/>
      <c r="BL5" s="32"/>
      <c r="BM5" s="32"/>
      <c r="BN5" s="226"/>
    </row>
    <row r="6" spans="1:67" ht="15.7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24"/>
      <c r="P6" s="224"/>
      <c r="Q6" s="224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637">
        <v>42818</v>
      </c>
      <c r="BD6" s="637"/>
      <c r="BE6" s="637"/>
      <c r="BF6" s="637"/>
      <c r="BG6" s="637"/>
      <c r="BH6" s="637"/>
      <c r="BI6" s="637"/>
      <c r="BJ6" s="637"/>
      <c r="BK6" s="637"/>
      <c r="BL6" s="637"/>
      <c r="BM6" s="637"/>
      <c r="BN6" s="637"/>
      <c r="BO6" s="637"/>
    </row>
    <row r="7" spans="1:67" ht="25.5">
      <c r="A7" s="635" t="s">
        <v>376</v>
      </c>
      <c r="B7" s="635"/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5"/>
      <c r="T7" s="635"/>
      <c r="U7" s="635"/>
      <c r="V7" s="635"/>
      <c r="W7" s="635"/>
      <c r="X7" s="635"/>
      <c r="Y7" s="635"/>
      <c r="Z7" s="635"/>
      <c r="AA7" s="635"/>
      <c r="AB7" s="635"/>
      <c r="AC7" s="635"/>
      <c r="AD7" s="635"/>
      <c r="AE7" s="635"/>
      <c r="AF7" s="635"/>
      <c r="AG7" s="635"/>
      <c r="AH7" s="635"/>
      <c r="AI7" s="635"/>
      <c r="AJ7" s="635"/>
      <c r="AK7" s="635"/>
      <c r="AL7" s="635"/>
      <c r="AM7" s="635"/>
      <c r="AN7" s="635"/>
      <c r="AO7" s="635"/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  <c r="BB7" s="635"/>
      <c r="BC7" s="635"/>
      <c r="BD7" s="635"/>
      <c r="BE7" s="635"/>
      <c r="BF7" s="635"/>
      <c r="BG7" s="635"/>
      <c r="BH7" s="635"/>
      <c r="BI7" s="635"/>
      <c r="BJ7" s="635"/>
      <c r="BK7" s="635"/>
      <c r="BL7" s="635"/>
      <c r="BM7" s="635"/>
      <c r="BN7" s="635"/>
    </row>
    <row r="8" spans="1:67" s="3" customFormat="1" ht="15.75" customHeight="1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8"/>
      <c r="P8" s="223"/>
      <c r="Q8" s="223"/>
      <c r="R8" s="223"/>
      <c r="S8" s="223"/>
      <c r="T8" s="223"/>
      <c r="U8" s="223"/>
      <c r="V8" s="223"/>
      <c r="W8" s="223"/>
      <c r="X8" s="783" t="s">
        <v>377</v>
      </c>
      <c r="Y8" s="624"/>
      <c r="Z8" s="624"/>
      <c r="AA8" s="624"/>
      <c r="AB8" s="624"/>
      <c r="AC8" s="624"/>
      <c r="AD8" s="624"/>
      <c r="AE8" s="624"/>
      <c r="AF8" s="624"/>
      <c r="AG8" s="624"/>
      <c r="AH8" s="624"/>
      <c r="AI8" s="624"/>
      <c r="AJ8" s="624"/>
      <c r="AK8" s="624"/>
      <c r="AL8" s="624"/>
      <c r="AM8" s="624"/>
      <c r="AN8" s="624"/>
      <c r="AO8" s="624"/>
      <c r="AP8" s="624"/>
      <c r="AQ8" s="624"/>
      <c r="AR8" s="624"/>
      <c r="AS8" s="624"/>
      <c r="AT8" s="624"/>
      <c r="AU8" s="223"/>
      <c r="AV8" s="223"/>
      <c r="AW8" s="223"/>
      <c r="AX8" s="223"/>
      <c r="AY8" s="223"/>
      <c r="AZ8" s="223"/>
      <c r="BA8" s="223"/>
      <c r="BB8" s="223"/>
      <c r="BC8" s="223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</row>
    <row r="9" spans="1:67" s="3" customFormat="1" ht="15.75" customHeight="1">
      <c r="A9" s="640" t="s">
        <v>166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640"/>
      <c r="M9" s="640"/>
      <c r="N9" s="640"/>
      <c r="O9" s="784" t="s">
        <v>359</v>
      </c>
      <c r="P9" s="784"/>
      <c r="Q9" s="784"/>
      <c r="R9" s="784"/>
      <c r="S9" s="784"/>
      <c r="T9" s="784"/>
      <c r="U9" s="784"/>
      <c r="V9" s="784"/>
      <c r="W9" s="784"/>
      <c r="X9" s="784"/>
      <c r="Y9" s="784"/>
      <c r="Z9" s="784"/>
      <c r="AA9" s="784"/>
      <c r="AB9" s="784"/>
      <c r="AC9" s="784"/>
      <c r="AD9" s="784"/>
      <c r="AE9" s="784"/>
      <c r="AF9" s="784"/>
      <c r="AG9" s="784"/>
      <c r="AH9" s="784"/>
      <c r="AI9" s="784"/>
      <c r="AJ9" s="784"/>
      <c r="AK9" s="784"/>
      <c r="AL9" s="784"/>
      <c r="AM9" s="784"/>
      <c r="AN9" s="784"/>
      <c r="AO9" s="784"/>
      <c r="AP9" s="784"/>
      <c r="AQ9" s="784"/>
      <c r="AR9" s="784"/>
      <c r="AS9" s="784"/>
      <c r="AT9" s="784"/>
      <c r="AU9" s="784"/>
      <c r="AV9" s="784"/>
      <c r="AW9" s="784"/>
      <c r="AX9" s="784"/>
      <c r="AY9" s="784"/>
      <c r="AZ9" s="784"/>
      <c r="BA9" s="784"/>
      <c r="BB9" s="784"/>
      <c r="BC9" s="642" t="s">
        <v>51</v>
      </c>
      <c r="BD9" s="642"/>
      <c r="BE9" s="642"/>
      <c r="BF9" s="642"/>
      <c r="BG9" s="642"/>
      <c r="BH9" s="642"/>
      <c r="BI9" s="642"/>
      <c r="BJ9" s="642"/>
      <c r="BK9" s="642"/>
      <c r="BL9" s="642"/>
      <c r="BM9" s="642"/>
      <c r="BN9" s="642"/>
    </row>
    <row r="10" spans="1:67" s="3" customFormat="1" ht="15.75" customHeight="1">
      <c r="A10" s="640" t="s">
        <v>163</v>
      </c>
      <c r="B10" s="640"/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4" t="s">
        <v>551</v>
      </c>
      <c r="P10" s="616"/>
      <c r="Q10" s="616"/>
      <c r="R10" s="616"/>
      <c r="S10" s="616"/>
      <c r="T10" s="616"/>
      <c r="U10" s="616"/>
      <c r="V10" s="616"/>
      <c r="W10" s="616"/>
      <c r="X10" s="616"/>
      <c r="Y10" s="616"/>
      <c r="Z10" s="616"/>
      <c r="AA10" s="616"/>
      <c r="AB10" s="616"/>
      <c r="AC10" s="616"/>
      <c r="AD10" s="616"/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16"/>
      <c r="AP10" s="616"/>
      <c r="AQ10" s="616"/>
      <c r="AR10" s="616"/>
      <c r="AS10" s="616"/>
      <c r="AT10" s="616"/>
      <c r="AU10" s="616"/>
      <c r="AV10" s="616"/>
      <c r="AW10" s="616"/>
      <c r="AX10" s="616"/>
      <c r="AY10" s="616"/>
      <c r="AZ10" s="616"/>
      <c r="BA10" s="616"/>
      <c r="BB10" s="616"/>
      <c r="BC10" s="642"/>
      <c r="BD10" s="642"/>
      <c r="BE10" s="642"/>
      <c r="BF10" s="642"/>
      <c r="BG10" s="642"/>
      <c r="BH10" s="642"/>
      <c r="BI10" s="642"/>
      <c r="BJ10" s="642"/>
      <c r="BK10" s="642"/>
      <c r="BL10" s="642"/>
      <c r="BM10" s="642"/>
      <c r="BN10" s="642"/>
    </row>
    <row r="11" spans="1:67" s="3" customFormat="1" ht="15.75" customHeight="1">
      <c r="A11" s="640" t="s">
        <v>213</v>
      </c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16"/>
      <c r="P11" s="616"/>
      <c r="Q11" s="616"/>
      <c r="R11" s="616"/>
      <c r="S11" s="616"/>
      <c r="T11" s="616"/>
      <c r="U11" s="616"/>
      <c r="V11" s="616"/>
      <c r="W11" s="616"/>
      <c r="X11" s="616"/>
      <c r="Y11" s="616"/>
      <c r="Z11" s="616"/>
      <c r="AA11" s="616"/>
      <c r="AB11" s="616"/>
      <c r="AC11" s="616"/>
      <c r="AD11" s="616"/>
      <c r="AE11" s="616"/>
      <c r="AF11" s="616"/>
      <c r="AG11" s="616"/>
      <c r="AH11" s="616"/>
      <c r="AI11" s="616"/>
      <c r="AJ11" s="616"/>
      <c r="AK11" s="616"/>
      <c r="AL11" s="616"/>
      <c r="AM11" s="616"/>
      <c r="AN11" s="616"/>
      <c r="AO11" s="616"/>
      <c r="AP11" s="616"/>
      <c r="AQ11" s="616"/>
      <c r="AR11" s="616"/>
      <c r="AS11" s="616"/>
      <c r="AT11" s="616"/>
      <c r="AU11" s="616"/>
      <c r="AV11" s="616"/>
      <c r="AW11" s="616"/>
      <c r="AX11" s="616"/>
      <c r="AY11" s="616"/>
      <c r="AZ11" s="616"/>
      <c r="BA11" s="616"/>
      <c r="BB11" s="616"/>
      <c r="BC11" s="642"/>
      <c r="BD11" s="642"/>
      <c r="BE11" s="642"/>
      <c r="BF11" s="642"/>
      <c r="BG11" s="642"/>
      <c r="BH11" s="642"/>
      <c r="BI11" s="642"/>
      <c r="BJ11" s="642"/>
      <c r="BK11" s="642"/>
      <c r="BL11" s="642"/>
      <c r="BM11" s="642"/>
      <c r="BN11" s="642"/>
    </row>
    <row r="12" spans="1:67" s="3" customFormat="1" ht="15.75" customHeight="1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616"/>
      <c r="P12" s="616"/>
      <c r="Q12" s="616"/>
      <c r="R12" s="616"/>
      <c r="S12" s="616"/>
      <c r="T12" s="616"/>
      <c r="U12" s="616"/>
      <c r="V12" s="616"/>
      <c r="W12" s="616"/>
      <c r="X12" s="616"/>
      <c r="Y12" s="616"/>
      <c r="Z12" s="616"/>
      <c r="AA12" s="616"/>
      <c r="AB12" s="616"/>
      <c r="AC12" s="616"/>
      <c r="AD12" s="616"/>
      <c r="AE12" s="616"/>
      <c r="AF12" s="616"/>
      <c r="AG12" s="616"/>
      <c r="AH12" s="616"/>
      <c r="AI12" s="616"/>
      <c r="AJ12" s="616"/>
      <c r="AK12" s="616"/>
      <c r="AL12" s="616"/>
      <c r="AM12" s="616"/>
      <c r="AN12" s="616"/>
      <c r="AO12" s="616"/>
      <c r="AP12" s="616"/>
      <c r="AQ12" s="616"/>
      <c r="AR12" s="616"/>
      <c r="AS12" s="616"/>
      <c r="AT12" s="616"/>
      <c r="AU12" s="616"/>
      <c r="AV12" s="616"/>
      <c r="AW12" s="616"/>
      <c r="AX12" s="616"/>
      <c r="AY12" s="616"/>
      <c r="AZ12" s="616"/>
      <c r="BA12" s="616"/>
      <c r="BB12" s="616"/>
      <c r="BC12" s="642"/>
      <c r="BD12" s="642"/>
      <c r="BE12" s="642"/>
      <c r="BF12" s="642"/>
      <c r="BG12" s="642"/>
      <c r="BH12" s="642"/>
      <c r="BI12" s="642"/>
      <c r="BJ12" s="642"/>
      <c r="BK12" s="642"/>
      <c r="BL12" s="642"/>
      <c r="BM12" s="642"/>
      <c r="BN12" s="642"/>
    </row>
    <row r="13" spans="1:67" s="3" customFormat="1" ht="15.75" customHeight="1">
      <c r="A13" s="640" t="s">
        <v>48</v>
      </c>
      <c r="B13" s="640"/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16" t="s">
        <v>165</v>
      </c>
      <c r="P13" s="616"/>
      <c r="Q13" s="616"/>
      <c r="R13" s="616"/>
      <c r="S13" s="616"/>
      <c r="T13" s="616"/>
      <c r="U13" s="616"/>
      <c r="V13" s="616"/>
      <c r="W13" s="616"/>
      <c r="X13" s="616"/>
      <c r="Y13" s="616"/>
      <c r="Z13" s="616"/>
      <c r="AA13" s="616"/>
      <c r="AB13" s="616"/>
      <c r="AC13" s="616"/>
      <c r="AD13" s="616"/>
      <c r="AE13" s="616"/>
      <c r="AF13" s="616"/>
      <c r="AG13" s="616"/>
      <c r="AH13" s="616"/>
      <c r="AI13" s="616"/>
      <c r="AJ13" s="616"/>
      <c r="AK13" s="616"/>
      <c r="AL13" s="616"/>
      <c r="AM13" s="616"/>
      <c r="AN13" s="616"/>
      <c r="AO13" s="616"/>
      <c r="AP13" s="616"/>
      <c r="AQ13" s="616"/>
      <c r="AR13" s="616"/>
      <c r="AS13" s="616"/>
      <c r="AT13" s="616"/>
      <c r="AU13" s="616"/>
      <c r="AV13" s="616"/>
      <c r="AW13" s="616"/>
      <c r="AX13" s="616"/>
      <c r="AY13" s="616"/>
      <c r="AZ13" s="616"/>
      <c r="BA13" s="616"/>
      <c r="BB13" s="616"/>
      <c r="BC13" s="781" t="s">
        <v>365</v>
      </c>
      <c r="BD13" s="782"/>
      <c r="BE13" s="782"/>
      <c r="BF13" s="782"/>
      <c r="BG13" s="782"/>
      <c r="BH13" s="782"/>
      <c r="BI13" s="782"/>
      <c r="BJ13" s="782"/>
      <c r="BK13" s="782"/>
      <c r="BL13" s="782"/>
      <c r="BM13" s="782"/>
      <c r="BN13" s="782"/>
    </row>
    <row r="14" spans="1:67" s="3" customFormat="1" ht="15.75" customHeight="1">
      <c r="A14" s="640" t="s">
        <v>167</v>
      </c>
      <c r="B14" s="640"/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16" t="s">
        <v>168</v>
      </c>
      <c r="P14" s="616"/>
      <c r="Q14" s="616"/>
      <c r="R14" s="616"/>
      <c r="S14" s="616"/>
      <c r="T14" s="616"/>
      <c r="U14" s="616"/>
      <c r="V14" s="616"/>
      <c r="W14" s="616"/>
      <c r="X14" s="616"/>
      <c r="Y14" s="616"/>
      <c r="Z14" s="616"/>
      <c r="AA14" s="616"/>
      <c r="AB14" s="616"/>
      <c r="AC14" s="616"/>
      <c r="AD14" s="616"/>
      <c r="AE14" s="616"/>
      <c r="AF14" s="616"/>
      <c r="AG14" s="616"/>
      <c r="AH14" s="616"/>
      <c r="AI14" s="616"/>
      <c r="AJ14" s="616"/>
      <c r="AK14" s="616"/>
      <c r="AL14" s="616"/>
      <c r="AM14" s="616"/>
      <c r="AN14" s="616"/>
      <c r="AO14" s="616"/>
      <c r="AP14" s="616"/>
      <c r="AQ14" s="616"/>
      <c r="AR14" s="616"/>
      <c r="AS14" s="616"/>
      <c r="AT14" s="616"/>
      <c r="AU14" s="616"/>
      <c r="AV14" s="616"/>
      <c r="AW14" s="616"/>
      <c r="AX14" s="616"/>
      <c r="AY14" s="616"/>
      <c r="AZ14" s="616"/>
      <c r="BA14" s="616"/>
      <c r="BB14" s="616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</row>
    <row r="15" spans="1:67" s="3" customFormat="1" ht="15.75" customHeight="1">
      <c r="A15" s="640" t="s">
        <v>49</v>
      </c>
      <c r="B15" s="640"/>
      <c r="C15" s="640"/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780" t="s">
        <v>118</v>
      </c>
      <c r="P15" s="780"/>
      <c r="Q15" s="780"/>
      <c r="R15" s="780"/>
      <c r="S15" s="780"/>
      <c r="T15" s="780"/>
      <c r="U15" s="780"/>
      <c r="V15" s="780"/>
      <c r="W15" s="780"/>
      <c r="X15" s="780"/>
      <c r="Y15" s="780"/>
      <c r="Z15" s="780"/>
      <c r="AA15" s="780"/>
      <c r="AB15" s="780"/>
      <c r="AC15" s="780"/>
      <c r="AD15" s="780"/>
      <c r="AE15" s="780"/>
      <c r="AF15" s="780"/>
      <c r="AG15" s="780"/>
      <c r="AH15" s="780"/>
      <c r="AI15" s="780"/>
      <c r="AJ15" s="780"/>
      <c r="AK15" s="780"/>
      <c r="AL15" s="780"/>
      <c r="AM15" s="780"/>
      <c r="AN15" s="780"/>
      <c r="AO15" s="780"/>
      <c r="AP15" s="780"/>
      <c r="AQ15" s="780"/>
      <c r="AR15" s="780"/>
      <c r="AS15" s="780"/>
      <c r="AT15" s="780"/>
      <c r="AU15" s="780"/>
      <c r="AV15" s="780"/>
      <c r="AW15" s="780"/>
      <c r="AX15" s="780"/>
      <c r="AY15" s="780"/>
      <c r="AZ15" s="780"/>
      <c r="BA15" s="780"/>
      <c r="BB15" s="780"/>
      <c r="BC15" s="223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</row>
    <row r="16" spans="1:67" ht="15.75" customHeight="1">
      <c r="A16" s="640" t="s">
        <v>291</v>
      </c>
      <c r="B16" s="640"/>
      <c r="C16" s="640"/>
      <c r="D16" s="640"/>
      <c r="E16" s="640"/>
      <c r="F16" s="640"/>
      <c r="G16" s="640"/>
      <c r="H16" s="640"/>
      <c r="I16" s="640"/>
      <c r="J16" s="640"/>
      <c r="K16" s="640"/>
      <c r="L16" s="640"/>
      <c r="M16" s="640"/>
      <c r="N16" s="640"/>
      <c r="O16" s="626">
        <v>4</v>
      </c>
      <c r="P16" s="626"/>
      <c r="Q16" s="627" t="s">
        <v>292</v>
      </c>
      <c r="R16" s="627"/>
      <c r="S16" s="627"/>
      <c r="T16" s="626">
        <v>4</v>
      </c>
      <c r="U16" s="626"/>
      <c r="V16" s="628" t="s">
        <v>293</v>
      </c>
      <c r="W16" s="628"/>
      <c r="X16" s="628"/>
      <c r="Y16" s="628"/>
      <c r="Z16" s="628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4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</row>
    <row r="17" spans="1:66" ht="15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596" t="s">
        <v>50</v>
      </c>
      <c r="P17" s="596"/>
      <c r="Q17" s="596"/>
      <c r="R17" s="596"/>
      <c r="S17" s="596"/>
      <c r="T17" s="596"/>
      <c r="U17" s="596"/>
      <c r="V17" s="596"/>
      <c r="W17" s="596"/>
      <c r="X17" s="596"/>
      <c r="Y17" s="596"/>
      <c r="Z17" s="596"/>
      <c r="AA17" s="596"/>
      <c r="AB17" s="596"/>
      <c r="AC17" s="596"/>
      <c r="AD17" s="596"/>
      <c r="AE17" s="596"/>
      <c r="AF17" s="596"/>
      <c r="AG17" s="596"/>
      <c r="AH17" s="596"/>
      <c r="AI17" s="596"/>
      <c r="AJ17" s="596"/>
      <c r="AK17" s="596"/>
      <c r="AL17" s="596"/>
      <c r="AM17" s="596"/>
      <c r="AN17" s="596"/>
      <c r="AO17" s="596"/>
      <c r="AP17" s="596"/>
      <c r="AQ17" s="596"/>
      <c r="AR17" s="596"/>
      <c r="AS17" s="596"/>
      <c r="AT17" s="596"/>
      <c r="AU17" s="596"/>
      <c r="AV17" s="596"/>
      <c r="AW17" s="596"/>
      <c r="AX17" s="596"/>
      <c r="AY17" s="596"/>
      <c r="AZ17" s="596"/>
      <c r="BA17" s="596"/>
      <c r="BB17" s="596"/>
      <c r="BC17" s="34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</row>
    <row r="18" spans="1:66" ht="9" customHeight="1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</row>
    <row r="19" spans="1:66">
      <c r="A19" s="647" t="s">
        <v>10</v>
      </c>
      <c r="B19" s="606" t="s">
        <v>11</v>
      </c>
      <c r="C19" s="607"/>
      <c r="D19" s="607"/>
      <c r="E19" s="608"/>
      <c r="F19" s="614" t="s">
        <v>64</v>
      </c>
      <c r="G19" s="606" t="s">
        <v>25</v>
      </c>
      <c r="H19" s="607"/>
      <c r="I19" s="608"/>
      <c r="J19" s="614" t="s">
        <v>138</v>
      </c>
      <c r="K19" s="606" t="s">
        <v>12</v>
      </c>
      <c r="L19" s="607"/>
      <c r="M19" s="607"/>
      <c r="N19" s="608"/>
      <c r="O19" s="606" t="s">
        <v>13</v>
      </c>
      <c r="P19" s="607"/>
      <c r="Q19" s="607"/>
      <c r="R19" s="608"/>
      <c r="S19" s="614" t="s">
        <v>137</v>
      </c>
      <c r="T19" s="606" t="s">
        <v>14</v>
      </c>
      <c r="U19" s="607"/>
      <c r="V19" s="608"/>
      <c r="W19" s="614" t="s">
        <v>63</v>
      </c>
      <c r="X19" s="606" t="s">
        <v>15</v>
      </c>
      <c r="Y19" s="607"/>
      <c r="Z19" s="608"/>
      <c r="AA19" s="614" t="s">
        <v>133</v>
      </c>
      <c r="AB19" s="606" t="s">
        <v>16</v>
      </c>
      <c r="AC19" s="607"/>
      <c r="AD19" s="607"/>
      <c r="AE19" s="608"/>
      <c r="AF19" s="614" t="s">
        <v>62</v>
      </c>
      <c r="AG19" s="606" t="s">
        <v>17</v>
      </c>
      <c r="AH19" s="607"/>
      <c r="AI19" s="608"/>
      <c r="AJ19" s="614" t="s">
        <v>61</v>
      </c>
      <c r="AK19" s="606" t="s">
        <v>18</v>
      </c>
      <c r="AL19" s="607"/>
      <c r="AM19" s="607"/>
      <c r="AN19" s="608"/>
      <c r="AO19" s="606" t="s">
        <v>19</v>
      </c>
      <c r="AP19" s="607"/>
      <c r="AQ19" s="607"/>
      <c r="AR19" s="608"/>
      <c r="AS19" s="614" t="s">
        <v>136</v>
      </c>
      <c r="AT19" s="606" t="s">
        <v>20</v>
      </c>
      <c r="AU19" s="607"/>
      <c r="AV19" s="608"/>
      <c r="AW19" s="614" t="s">
        <v>132</v>
      </c>
      <c r="AX19" s="606" t="s">
        <v>21</v>
      </c>
      <c r="AY19" s="607"/>
      <c r="AZ19" s="607"/>
      <c r="BA19" s="608"/>
      <c r="BB19" s="629" t="s">
        <v>57</v>
      </c>
      <c r="BC19" s="630"/>
      <c r="BD19" s="630"/>
      <c r="BE19" s="630"/>
      <c r="BF19" s="630"/>
      <c r="BG19" s="630"/>
      <c r="BH19" s="630"/>
      <c r="BI19" s="630"/>
      <c r="BJ19" s="630"/>
      <c r="BK19" s="630"/>
      <c r="BL19" s="630"/>
      <c r="BM19" s="630"/>
      <c r="BN19" s="631"/>
    </row>
    <row r="20" spans="1:66" ht="15.75" customHeight="1">
      <c r="A20" s="648"/>
      <c r="B20" s="609"/>
      <c r="C20" s="610"/>
      <c r="D20" s="610"/>
      <c r="E20" s="611"/>
      <c r="F20" s="615"/>
      <c r="G20" s="609"/>
      <c r="H20" s="610"/>
      <c r="I20" s="611"/>
      <c r="J20" s="615"/>
      <c r="K20" s="609"/>
      <c r="L20" s="610"/>
      <c r="M20" s="610"/>
      <c r="N20" s="611"/>
      <c r="O20" s="609"/>
      <c r="P20" s="610"/>
      <c r="Q20" s="610"/>
      <c r="R20" s="611"/>
      <c r="S20" s="615"/>
      <c r="T20" s="609"/>
      <c r="U20" s="610"/>
      <c r="V20" s="611"/>
      <c r="W20" s="615"/>
      <c r="X20" s="609"/>
      <c r="Y20" s="610"/>
      <c r="Z20" s="611"/>
      <c r="AA20" s="615"/>
      <c r="AB20" s="609"/>
      <c r="AC20" s="610"/>
      <c r="AD20" s="610"/>
      <c r="AE20" s="611"/>
      <c r="AF20" s="615"/>
      <c r="AG20" s="609"/>
      <c r="AH20" s="610"/>
      <c r="AI20" s="611"/>
      <c r="AJ20" s="615"/>
      <c r="AK20" s="609"/>
      <c r="AL20" s="610"/>
      <c r="AM20" s="610"/>
      <c r="AN20" s="611"/>
      <c r="AO20" s="609"/>
      <c r="AP20" s="610"/>
      <c r="AQ20" s="610"/>
      <c r="AR20" s="611"/>
      <c r="AS20" s="615"/>
      <c r="AT20" s="609"/>
      <c r="AU20" s="610"/>
      <c r="AV20" s="611"/>
      <c r="AW20" s="615"/>
      <c r="AX20" s="609"/>
      <c r="AY20" s="610"/>
      <c r="AZ20" s="610"/>
      <c r="BA20" s="611"/>
      <c r="BB20" s="597" t="s">
        <v>8</v>
      </c>
      <c r="BC20" s="598"/>
      <c r="BD20" s="599"/>
      <c r="BE20" s="597" t="s">
        <v>315</v>
      </c>
      <c r="BF20" s="598"/>
      <c r="BG20" s="599"/>
      <c r="BH20" s="618" t="s">
        <v>326</v>
      </c>
      <c r="BI20" s="618" t="s">
        <v>146</v>
      </c>
      <c r="BJ20" s="618" t="s">
        <v>45</v>
      </c>
      <c r="BK20" s="618" t="s">
        <v>58</v>
      </c>
      <c r="BL20" s="618" t="s">
        <v>59</v>
      </c>
      <c r="BM20" s="618" t="s">
        <v>46</v>
      </c>
      <c r="BN20" s="618" t="s">
        <v>1</v>
      </c>
    </row>
    <row r="21" spans="1:66" ht="15.75" customHeight="1">
      <c r="A21" s="648"/>
      <c r="B21" s="7">
        <v>1</v>
      </c>
      <c r="C21" s="7">
        <v>8</v>
      </c>
      <c r="D21" s="7">
        <v>15</v>
      </c>
      <c r="E21" s="7">
        <v>22</v>
      </c>
      <c r="F21" s="612" t="s">
        <v>125</v>
      </c>
      <c r="G21" s="7">
        <v>6</v>
      </c>
      <c r="H21" s="7">
        <v>13</v>
      </c>
      <c r="I21" s="7">
        <v>20</v>
      </c>
      <c r="J21" s="612" t="s">
        <v>126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612" t="s">
        <v>127</v>
      </c>
      <c r="T21" s="7">
        <v>5</v>
      </c>
      <c r="U21" s="7">
        <v>12</v>
      </c>
      <c r="V21" s="7">
        <v>19</v>
      </c>
      <c r="W21" s="612" t="s">
        <v>128</v>
      </c>
      <c r="X21" s="7">
        <v>2</v>
      </c>
      <c r="Y21" s="7">
        <v>9</v>
      </c>
      <c r="Z21" s="7">
        <v>16</v>
      </c>
      <c r="AA21" s="612" t="s">
        <v>134</v>
      </c>
      <c r="AB21" s="7">
        <v>2</v>
      </c>
      <c r="AC21" s="7">
        <v>9</v>
      </c>
      <c r="AD21" s="7">
        <v>16</v>
      </c>
      <c r="AE21" s="7">
        <v>23</v>
      </c>
      <c r="AF21" s="612" t="s">
        <v>130</v>
      </c>
      <c r="AG21" s="7">
        <v>6</v>
      </c>
      <c r="AH21" s="7">
        <v>13</v>
      </c>
      <c r="AI21" s="7">
        <v>20</v>
      </c>
      <c r="AJ21" s="612" t="s">
        <v>131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612" t="s">
        <v>135</v>
      </c>
      <c r="AT21" s="7">
        <v>6</v>
      </c>
      <c r="AU21" s="7">
        <v>13</v>
      </c>
      <c r="AV21" s="7">
        <v>20</v>
      </c>
      <c r="AW21" s="612" t="s">
        <v>129</v>
      </c>
      <c r="AX21" s="7">
        <v>2</v>
      </c>
      <c r="AY21" s="7">
        <v>9</v>
      </c>
      <c r="AZ21" s="7">
        <v>16</v>
      </c>
      <c r="BA21" s="7">
        <v>23</v>
      </c>
      <c r="BB21" s="600"/>
      <c r="BC21" s="601"/>
      <c r="BD21" s="602"/>
      <c r="BE21" s="600"/>
      <c r="BF21" s="601"/>
      <c r="BG21" s="602"/>
      <c r="BH21" s="619"/>
      <c r="BI21" s="619"/>
      <c r="BJ21" s="619"/>
      <c r="BK21" s="619"/>
      <c r="BL21" s="619"/>
      <c r="BM21" s="619"/>
      <c r="BN21" s="619"/>
    </row>
    <row r="22" spans="1:66" ht="18" customHeight="1">
      <c r="A22" s="648"/>
      <c r="B22" s="220">
        <v>7</v>
      </c>
      <c r="C22" s="220">
        <v>14</v>
      </c>
      <c r="D22" s="220">
        <v>21</v>
      </c>
      <c r="E22" s="220">
        <v>28</v>
      </c>
      <c r="F22" s="613"/>
      <c r="G22" s="220">
        <v>12</v>
      </c>
      <c r="H22" s="220">
        <v>19</v>
      </c>
      <c r="I22" s="220">
        <v>26</v>
      </c>
      <c r="J22" s="613"/>
      <c r="K22" s="220">
        <v>9</v>
      </c>
      <c r="L22" s="220">
        <v>16</v>
      </c>
      <c r="M22" s="220">
        <v>23</v>
      </c>
      <c r="N22" s="220">
        <v>30</v>
      </c>
      <c r="O22" s="220">
        <v>7</v>
      </c>
      <c r="P22" s="220">
        <v>14</v>
      </c>
      <c r="Q22" s="220">
        <v>21</v>
      </c>
      <c r="R22" s="220">
        <v>28</v>
      </c>
      <c r="S22" s="613"/>
      <c r="T22" s="220">
        <v>11</v>
      </c>
      <c r="U22" s="220">
        <v>18</v>
      </c>
      <c r="V22" s="220">
        <v>25</v>
      </c>
      <c r="W22" s="613"/>
      <c r="X22" s="220">
        <v>8</v>
      </c>
      <c r="Y22" s="220">
        <v>15</v>
      </c>
      <c r="Z22" s="220">
        <v>22</v>
      </c>
      <c r="AA22" s="613"/>
      <c r="AB22" s="220">
        <v>8</v>
      </c>
      <c r="AC22" s="220">
        <v>15</v>
      </c>
      <c r="AD22" s="220">
        <v>22</v>
      </c>
      <c r="AE22" s="220">
        <v>29</v>
      </c>
      <c r="AF22" s="613"/>
      <c r="AG22" s="220">
        <v>12</v>
      </c>
      <c r="AH22" s="220">
        <v>19</v>
      </c>
      <c r="AI22" s="220">
        <v>26</v>
      </c>
      <c r="AJ22" s="613"/>
      <c r="AK22" s="220">
        <v>10</v>
      </c>
      <c r="AL22" s="220">
        <v>17</v>
      </c>
      <c r="AM22" s="220">
        <v>24</v>
      </c>
      <c r="AN22" s="220">
        <v>31</v>
      </c>
      <c r="AO22" s="220">
        <v>7</v>
      </c>
      <c r="AP22" s="220">
        <v>14</v>
      </c>
      <c r="AQ22" s="220">
        <v>21</v>
      </c>
      <c r="AR22" s="220">
        <v>28</v>
      </c>
      <c r="AS22" s="613"/>
      <c r="AT22" s="220">
        <v>12</v>
      </c>
      <c r="AU22" s="220">
        <v>19</v>
      </c>
      <c r="AV22" s="220">
        <v>26</v>
      </c>
      <c r="AW22" s="613"/>
      <c r="AX22" s="220">
        <v>8</v>
      </c>
      <c r="AY22" s="220">
        <v>15</v>
      </c>
      <c r="AZ22" s="220">
        <v>22</v>
      </c>
      <c r="BA22" s="220">
        <v>31</v>
      </c>
      <c r="BB22" s="603"/>
      <c r="BC22" s="604"/>
      <c r="BD22" s="605"/>
      <c r="BE22" s="603"/>
      <c r="BF22" s="604"/>
      <c r="BG22" s="605"/>
      <c r="BH22" s="619"/>
      <c r="BI22" s="619"/>
      <c r="BJ22" s="619"/>
      <c r="BK22" s="619"/>
      <c r="BL22" s="619"/>
      <c r="BM22" s="619"/>
      <c r="BN22" s="619"/>
    </row>
    <row r="23" spans="1:66" ht="15.75" customHeight="1">
      <c r="A23" s="649"/>
      <c r="B23" s="232">
        <v>1</v>
      </c>
      <c r="C23" s="232">
        <v>2</v>
      </c>
      <c r="D23" s="232">
        <v>3</v>
      </c>
      <c r="E23" s="232">
        <v>4</v>
      </c>
      <c r="F23" s="232">
        <v>5</v>
      </c>
      <c r="G23" s="232">
        <v>6</v>
      </c>
      <c r="H23" s="232">
        <v>7</v>
      </c>
      <c r="I23" s="232">
        <v>8</v>
      </c>
      <c r="J23" s="232">
        <v>9</v>
      </c>
      <c r="K23" s="232">
        <v>10</v>
      </c>
      <c r="L23" s="232">
        <v>11</v>
      </c>
      <c r="M23" s="232">
        <v>12</v>
      </c>
      <c r="N23" s="232">
        <v>13</v>
      </c>
      <c r="O23" s="232">
        <v>14</v>
      </c>
      <c r="P23" s="232">
        <v>15</v>
      </c>
      <c r="Q23" s="232">
        <v>16</v>
      </c>
      <c r="R23" s="232">
        <v>17</v>
      </c>
      <c r="S23" s="232">
        <v>18</v>
      </c>
      <c r="T23" s="232">
        <v>19</v>
      </c>
      <c r="U23" s="232">
        <v>20</v>
      </c>
      <c r="V23" s="232">
        <v>21</v>
      </c>
      <c r="W23" s="232">
        <v>22</v>
      </c>
      <c r="X23" s="232">
        <v>23</v>
      </c>
      <c r="Y23" s="232">
        <v>24</v>
      </c>
      <c r="Z23" s="232">
        <v>25</v>
      </c>
      <c r="AA23" s="232">
        <v>26</v>
      </c>
      <c r="AB23" s="232">
        <v>27</v>
      </c>
      <c r="AC23" s="232">
        <v>28</v>
      </c>
      <c r="AD23" s="232">
        <v>29</v>
      </c>
      <c r="AE23" s="232">
        <v>30</v>
      </c>
      <c r="AF23" s="232">
        <v>31</v>
      </c>
      <c r="AG23" s="232">
        <v>32</v>
      </c>
      <c r="AH23" s="232">
        <v>33</v>
      </c>
      <c r="AI23" s="232">
        <v>34</v>
      </c>
      <c r="AJ23" s="232">
        <v>35</v>
      </c>
      <c r="AK23" s="232">
        <v>36</v>
      </c>
      <c r="AL23" s="232">
        <v>37</v>
      </c>
      <c r="AM23" s="232">
        <v>38</v>
      </c>
      <c r="AN23" s="232">
        <v>39</v>
      </c>
      <c r="AO23" s="232">
        <v>40</v>
      </c>
      <c r="AP23" s="232">
        <v>41</v>
      </c>
      <c r="AQ23" s="232">
        <v>42</v>
      </c>
      <c r="AR23" s="232">
        <v>43</v>
      </c>
      <c r="AS23" s="232">
        <v>44</v>
      </c>
      <c r="AT23" s="232">
        <v>45</v>
      </c>
      <c r="AU23" s="232">
        <v>46</v>
      </c>
      <c r="AV23" s="232">
        <v>47</v>
      </c>
      <c r="AW23" s="232">
        <v>48</v>
      </c>
      <c r="AX23" s="232">
        <v>49</v>
      </c>
      <c r="AY23" s="232">
        <v>50</v>
      </c>
      <c r="AZ23" s="232">
        <v>51</v>
      </c>
      <c r="BA23" s="232">
        <v>52</v>
      </c>
      <c r="BB23" s="9" t="s">
        <v>77</v>
      </c>
      <c r="BC23" s="9" t="s">
        <v>33</v>
      </c>
      <c r="BD23" s="10" t="s">
        <v>60</v>
      </c>
      <c r="BE23" s="9" t="s">
        <v>77</v>
      </c>
      <c r="BF23" s="9" t="s">
        <v>33</v>
      </c>
      <c r="BG23" s="10" t="s">
        <v>60</v>
      </c>
      <c r="BH23" s="620"/>
      <c r="BI23" s="620"/>
      <c r="BJ23" s="620"/>
      <c r="BK23" s="620"/>
      <c r="BL23" s="620"/>
      <c r="BM23" s="620"/>
      <c r="BN23" s="620"/>
    </row>
    <row r="24" spans="1:66" ht="15.75" customHeight="1">
      <c r="A24" s="8">
        <v>1</v>
      </c>
      <c r="B24" s="35" t="s">
        <v>26</v>
      </c>
      <c r="C24" s="35" t="s">
        <v>26</v>
      </c>
      <c r="D24" s="35" t="s">
        <v>26</v>
      </c>
      <c r="E24" s="35" t="s">
        <v>26</v>
      </c>
      <c r="F24" s="35" t="s">
        <v>26</v>
      </c>
      <c r="G24" s="35" t="s">
        <v>26</v>
      </c>
      <c r="H24" s="35" t="s">
        <v>26</v>
      </c>
      <c r="I24" s="35" t="s">
        <v>26</v>
      </c>
      <c r="J24" s="35" t="s">
        <v>26</v>
      </c>
      <c r="K24" s="35" t="s">
        <v>26</v>
      </c>
      <c r="L24" s="35" t="s">
        <v>26</v>
      </c>
      <c r="M24" s="35" t="s">
        <v>26</v>
      </c>
      <c r="N24" s="35" t="s">
        <v>26</v>
      </c>
      <c r="O24" s="35" t="s">
        <v>26</v>
      </c>
      <c r="P24" s="35" t="s">
        <v>26</v>
      </c>
      <c r="Q24" s="35" t="s">
        <v>77</v>
      </c>
      <c r="R24" s="35" t="s">
        <v>77</v>
      </c>
      <c r="S24" s="35" t="s">
        <v>28</v>
      </c>
      <c r="T24" s="35" t="s">
        <v>28</v>
      </c>
      <c r="U24" s="35" t="s">
        <v>33</v>
      </c>
      <c r="V24" s="35" t="s">
        <v>33</v>
      </c>
      <c r="W24" s="35" t="s">
        <v>33</v>
      </c>
      <c r="X24" s="35" t="s">
        <v>228</v>
      </c>
      <c r="Y24" s="35" t="s">
        <v>228</v>
      </c>
      <c r="Z24" s="35" t="s">
        <v>228</v>
      </c>
      <c r="AA24" s="35" t="s">
        <v>228</v>
      </c>
      <c r="AB24" s="35" t="s">
        <v>33</v>
      </c>
      <c r="AC24" s="35" t="s">
        <v>33</v>
      </c>
      <c r="AD24" s="35" t="s">
        <v>33</v>
      </c>
      <c r="AE24" s="35" t="s">
        <v>33</v>
      </c>
      <c r="AF24" s="35" t="s">
        <v>33</v>
      </c>
      <c r="AG24" s="35" t="s">
        <v>33</v>
      </c>
      <c r="AH24" s="35" t="s">
        <v>33</v>
      </c>
      <c r="AI24" s="35" t="s">
        <v>33</v>
      </c>
      <c r="AJ24" s="35" t="s">
        <v>33</v>
      </c>
      <c r="AK24" s="35" t="s">
        <v>33</v>
      </c>
      <c r="AL24" s="35" t="s">
        <v>33</v>
      </c>
      <c r="AM24" s="35" t="s">
        <v>33</v>
      </c>
      <c r="AN24" s="35" t="s">
        <v>33</v>
      </c>
      <c r="AO24" s="35" t="s">
        <v>33</v>
      </c>
      <c r="AP24" s="35" t="s">
        <v>33</v>
      </c>
      <c r="AQ24" s="35" t="s">
        <v>33</v>
      </c>
      <c r="AR24" s="35" t="s">
        <v>33</v>
      </c>
      <c r="AS24" s="35" t="s">
        <v>33</v>
      </c>
      <c r="AT24" s="35" t="s">
        <v>33</v>
      </c>
      <c r="AU24" s="35" t="s">
        <v>28</v>
      </c>
      <c r="AV24" s="35" t="s">
        <v>28</v>
      </c>
      <c r="AW24" s="35" t="s">
        <v>28</v>
      </c>
      <c r="AX24" s="35" t="s">
        <v>28</v>
      </c>
      <c r="AY24" s="35" t="s">
        <v>28</v>
      </c>
      <c r="AZ24" s="35" t="s">
        <v>28</v>
      </c>
      <c r="BA24" s="35" t="s">
        <v>28</v>
      </c>
      <c r="BB24" s="22">
        <f t="shared" ref="BB24:BB29" si="0">COUNTIF(B24:BA24,"о")</f>
        <v>2</v>
      </c>
      <c r="BC24" s="22">
        <f t="shared" ref="BC24:BC29" si="1">COUNTIF(B24:BA24,"в")</f>
        <v>22</v>
      </c>
      <c r="BD24" s="23">
        <f t="shared" ref="BD24:BD29" si="2">SUM(BB24:BC24)</f>
        <v>24</v>
      </c>
      <c r="BE24" s="22">
        <f t="shared" ref="BE24:BE29" si="3">COUNTIF(B24:BA24,$R$32)</f>
        <v>0</v>
      </c>
      <c r="BF24" s="22">
        <f t="shared" ref="BF24:BF29" si="4">COUNTIF(B24:BA24,$R$34)</f>
        <v>4</v>
      </c>
      <c r="BG24" s="23">
        <f t="shared" ref="BG24:BG29" si="5">SUM(BE24:BF24)</f>
        <v>4</v>
      </c>
      <c r="BH24" s="23">
        <f t="shared" ref="BH24:BH29" si="6">COUNTIF(B24:BA24,$AF$32)</f>
        <v>0</v>
      </c>
      <c r="BI24" s="23">
        <f t="shared" ref="BI24:BI28" si="7">COUNTIF(B24:BA24,$AF$34)</f>
        <v>0</v>
      </c>
      <c r="BJ24" s="23">
        <f t="shared" ref="BJ24:BJ29" si="8">COUNTIF(B24:BA24,$AQ$32)</f>
        <v>0</v>
      </c>
      <c r="BK24" s="23">
        <f>COUNTIF(B24:BA24,$AZ$32)</f>
        <v>0</v>
      </c>
      <c r="BL24" s="23">
        <f>COUNTIF(B24:BA24,$AQ$34)</f>
        <v>0</v>
      </c>
      <c r="BM24" s="23">
        <f>COUNTIF(B24:BA24,$AZ$34)</f>
        <v>9</v>
      </c>
      <c r="BN24" s="23">
        <f t="shared" ref="BN24:BN29" si="9">SUM(BG24:BM24)+BD24</f>
        <v>37</v>
      </c>
    </row>
    <row r="25" spans="1:66" ht="15.75" customHeight="1">
      <c r="A25" s="8">
        <v>2</v>
      </c>
      <c r="B25" s="35" t="s">
        <v>77</v>
      </c>
      <c r="C25" s="35" t="s">
        <v>77</v>
      </c>
      <c r="D25" s="35" t="s">
        <v>77</v>
      </c>
      <c r="E25" s="35" t="s">
        <v>77</v>
      </c>
      <c r="F25" s="35" t="s">
        <v>77</v>
      </c>
      <c r="G25" s="35" t="s">
        <v>77</v>
      </c>
      <c r="H25" s="35" t="s">
        <v>77</v>
      </c>
      <c r="I25" s="35" t="s">
        <v>77</v>
      </c>
      <c r="J25" s="35" t="s">
        <v>77</v>
      </c>
      <c r="K25" s="35" t="s">
        <v>77</v>
      </c>
      <c r="L25" s="35" t="s">
        <v>77</v>
      </c>
      <c r="M25" s="35" t="s">
        <v>77</v>
      </c>
      <c r="N25" s="35" t="s">
        <v>77</v>
      </c>
      <c r="O25" s="35" t="s">
        <v>77</v>
      </c>
      <c r="P25" s="35" t="s">
        <v>77</v>
      </c>
      <c r="Q25" s="35" t="s">
        <v>77</v>
      </c>
      <c r="R25" s="35" t="s">
        <v>77</v>
      </c>
      <c r="S25" s="35" t="s">
        <v>28</v>
      </c>
      <c r="T25" s="35" t="s">
        <v>28</v>
      </c>
      <c r="U25" s="35" t="s">
        <v>33</v>
      </c>
      <c r="V25" s="35" t="s">
        <v>33</v>
      </c>
      <c r="W25" s="35" t="s">
        <v>33</v>
      </c>
      <c r="X25" s="35" t="s">
        <v>228</v>
      </c>
      <c r="Y25" s="35" t="s">
        <v>228</v>
      </c>
      <c r="Z25" s="35" t="s">
        <v>228</v>
      </c>
      <c r="AA25" s="35" t="s">
        <v>228</v>
      </c>
      <c r="AB25" s="35" t="s">
        <v>33</v>
      </c>
      <c r="AC25" s="35" t="s">
        <v>33</v>
      </c>
      <c r="AD25" s="35" t="s">
        <v>33</v>
      </c>
      <c r="AE25" s="35" t="s">
        <v>33</v>
      </c>
      <c r="AF25" s="35" t="s">
        <v>33</v>
      </c>
      <c r="AG25" s="35" t="s">
        <v>33</v>
      </c>
      <c r="AH25" s="35" t="s">
        <v>33</v>
      </c>
      <c r="AI25" s="35" t="s">
        <v>33</v>
      </c>
      <c r="AJ25" s="35" t="s">
        <v>33</v>
      </c>
      <c r="AK25" s="35" t="s">
        <v>33</v>
      </c>
      <c r="AL25" s="35" t="s">
        <v>52</v>
      </c>
      <c r="AM25" s="35" t="s">
        <v>52</v>
      </c>
      <c r="AN25" s="35" t="s">
        <v>52</v>
      </c>
      <c r="AO25" s="35" t="s">
        <v>52</v>
      </c>
      <c r="AP25" s="35" t="s">
        <v>52</v>
      </c>
      <c r="AQ25" s="35" t="s">
        <v>52</v>
      </c>
      <c r="AR25" s="35" t="s">
        <v>52</v>
      </c>
      <c r="AS25" s="35" t="s">
        <v>52</v>
      </c>
      <c r="AT25" s="35" t="s">
        <v>52</v>
      </c>
      <c r="AU25" s="35" t="s">
        <v>28</v>
      </c>
      <c r="AV25" s="35" t="s">
        <v>28</v>
      </c>
      <c r="AW25" s="35" t="s">
        <v>28</v>
      </c>
      <c r="AX25" s="35" t="s">
        <v>28</v>
      </c>
      <c r="AY25" s="35" t="s">
        <v>28</v>
      </c>
      <c r="AZ25" s="35" t="s">
        <v>28</v>
      </c>
      <c r="BA25" s="35" t="s">
        <v>28</v>
      </c>
      <c r="BB25" s="22">
        <f t="shared" si="0"/>
        <v>17</v>
      </c>
      <c r="BC25" s="22">
        <f t="shared" si="1"/>
        <v>13</v>
      </c>
      <c r="BD25" s="23">
        <f t="shared" si="2"/>
        <v>30</v>
      </c>
      <c r="BE25" s="22">
        <f t="shared" si="3"/>
        <v>0</v>
      </c>
      <c r="BF25" s="22">
        <f t="shared" si="4"/>
        <v>4</v>
      </c>
      <c r="BG25" s="23">
        <f t="shared" si="5"/>
        <v>4</v>
      </c>
      <c r="BH25" s="23">
        <f t="shared" si="6"/>
        <v>9</v>
      </c>
      <c r="BI25" s="23">
        <f t="shared" si="7"/>
        <v>0</v>
      </c>
      <c r="BJ25" s="23">
        <f t="shared" si="8"/>
        <v>0</v>
      </c>
      <c r="BK25" s="23">
        <f t="shared" ref="BK25:BK30" si="10">COUNTIF(B25:BA25,$AZ$32)</f>
        <v>0</v>
      </c>
      <c r="BL25" s="23">
        <f t="shared" ref="BL25:BL28" si="11">COUNTIF(B25:BA25,$AQ$34)</f>
        <v>0</v>
      </c>
      <c r="BM25" s="23">
        <f>COUNTIF(B25:BA25,$AZ$34)</f>
        <v>9</v>
      </c>
      <c r="BN25" s="23">
        <f t="shared" si="9"/>
        <v>52</v>
      </c>
    </row>
    <row r="26" spans="1:66" ht="15.75" customHeight="1">
      <c r="A26" s="8">
        <v>3</v>
      </c>
      <c r="B26" s="35" t="s">
        <v>77</v>
      </c>
      <c r="C26" s="35" t="s">
        <v>77</v>
      </c>
      <c r="D26" s="35" t="s">
        <v>77</v>
      </c>
      <c r="E26" s="35" t="s">
        <v>77</v>
      </c>
      <c r="F26" s="35" t="s">
        <v>77</v>
      </c>
      <c r="G26" s="35" t="s">
        <v>77</v>
      </c>
      <c r="H26" s="35" t="s">
        <v>77</v>
      </c>
      <c r="I26" s="35" t="s">
        <v>77</v>
      </c>
      <c r="J26" s="35" t="s">
        <v>77</v>
      </c>
      <c r="K26" s="35" t="s">
        <v>77</v>
      </c>
      <c r="L26" s="35" t="s">
        <v>77</v>
      </c>
      <c r="M26" s="35" t="s">
        <v>77</v>
      </c>
      <c r="N26" s="35" t="s">
        <v>77</v>
      </c>
      <c r="O26" s="35" t="s">
        <v>77</v>
      </c>
      <c r="P26" s="35" t="s">
        <v>77</v>
      </c>
      <c r="Q26" s="35" t="s">
        <v>77</v>
      </c>
      <c r="R26" s="35" t="s">
        <v>77</v>
      </c>
      <c r="S26" s="35" t="s">
        <v>28</v>
      </c>
      <c r="T26" s="35" t="s">
        <v>28</v>
      </c>
      <c r="U26" s="35" t="s">
        <v>33</v>
      </c>
      <c r="V26" s="35" t="s">
        <v>33</v>
      </c>
      <c r="W26" s="233" t="s">
        <v>228</v>
      </c>
      <c r="X26" s="233" t="s">
        <v>228</v>
      </c>
      <c r="Y26" s="233" t="s">
        <v>228</v>
      </c>
      <c r="Z26" s="233" t="s">
        <v>228</v>
      </c>
      <c r="AA26" s="233" t="s">
        <v>228</v>
      </c>
      <c r="AB26" s="233" t="s">
        <v>228</v>
      </c>
      <c r="AC26" s="35" t="s">
        <v>33</v>
      </c>
      <c r="AD26" s="35" t="s">
        <v>33</v>
      </c>
      <c r="AE26" s="35" t="s">
        <v>33</v>
      </c>
      <c r="AF26" s="35" t="s">
        <v>33</v>
      </c>
      <c r="AG26" s="35" t="s">
        <v>33</v>
      </c>
      <c r="AH26" s="35" t="s">
        <v>33</v>
      </c>
      <c r="AI26" s="35" t="s">
        <v>33</v>
      </c>
      <c r="AJ26" s="35" t="s">
        <v>28</v>
      </c>
      <c r="AK26" s="35" t="s">
        <v>28</v>
      </c>
      <c r="AL26" s="35" t="s">
        <v>28</v>
      </c>
      <c r="AM26" s="35" t="s">
        <v>28</v>
      </c>
      <c r="AN26" s="35" t="s">
        <v>28</v>
      </c>
      <c r="AO26" s="35" t="s">
        <v>28</v>
      </c>
      <c r="AP26" s="35" t="s">
        <v>28</v>
      </c>
      <c r="AQ26" s="35" t="s">
        <v>53</v>
      </c>
      <c r="AR26" s="35" t="s">
        <v>53</v>
      </c>
      <c r="AS26" s="35" t="s">
        <v>53</v>
      </c>
      <c r="AT26" s="35" t="s">
        <v>53</v>
      </c>
      <c r="AU26" s="35" t="s">
        <v>53</v>
      </c>
      <c r="AV26" s="35" t="s">
        <v>53</v>
      </c>
      <c r="AW26" s="35" t="s">
        <v>53</v>
      </c>
      <c r="AX26" s="35" t="s">
        <v>53</v>
      </c>
      <c r="AY26" s="35" t="s">
        <v>53</v>
      </c>
      <c r="AZ26" s="35" t="s">
        <v>53</v>
      </c>
      <c r="BA26" s="35" t="s">
        <v>53</v>
      </c>
      <c r="BB26" s="22">
        <f t="shared" si="0"/>
        <v>17</v>
      </c>
      <c r="BC26" s="22">
        <f t="shared" si="1"/>
        <v>9</v>
      </c>
      <c r="BD26" s="23">
        <f t="shared" si="2"/>
        <v>26</v>
      </c>
      <c r="BE26" s="22">
        <f t="shared" si="3"/>
        <v>0</v>
      </c>
      <c r="BF26" s="22">
        <f t="shared" si="4"/>
        <v>6</v>
      </c>
      <c r="BG26" s="23">
        <f t="shared" si="5"/>
        <v>6</v>
      </c>
      <c r="BH26" s="23">
        <f t="shared" si="6"/>
        <v>0</v>
      </c>
      <c r="BI26" s="23">
        <f t="shared" si="7"/>
        <v>11</v>
      </c>
      <c r="BJ26" s="23">
        <f t="shared" si="8"/>
        <v>0</v>
      </c>
      <c r="BK26" s="23">
        <f t="shared" si="10"/>
        <v>0</v>
      </c>
      <c r="BL26" s="23">
        <f t="shared" si="11"/>
        <v>0</v>
      </c>
      <c r="BM26" s="23">
        <f>COUNTIF(B26:BA26,$AZ$34)</f>
        <v>9</v>
      </c>
      <c r="BN26" s="23">
        <f t="shared" si="9"/>
        <v>52</v>
      </c>
    </row>
    <row r="27" spans="1:66" ht="15.75" customHeight="1">
      <c r="A27" s="8">
        <v>4</v>
      </c>
      <c r="B27" s="35" t="s">
        <v>53</v>
      </c>
      <c r="C27" s="35" t="s">
        <v>53</v>
      </c>
      <c r="D27" s="35" t="s">
        <v>53</v>
      </c>
      <c r="E27" s="35" t="s">
        <v>53</v>
      </c>
      <c r="F27" s="35" t="s">
        <v>53</v>
      </c>
      <c r="G27" s="35" t="s">
        <v>53</v>
      </c>
      <c r="H27" s="35" t="s">
        <v>53</v>
      </c>
      <c r="I27" s="35" t="s">
        <v>53</v>
      </c>
      <c r="J27" s="35" t="s">
        <v>53</v>
      </c>
      <c r="K27" s="35" t="s">
        <v>53</v>
      </c>
      <c r="L27" s="35" t="s">
        <v>53</v>
      </c>
      <c r="M27" s="35" t="s">
        <v>53</v>
      </c>
      <c r="N27" s="35" t="s">
        <v>77</v>
      </c>
      <c r="O27" s="35" t="s">
        <v>77</v>
      </c>
      <c r="P27" s="35" t="s">
        <v>77</v>
      </c>
      <c r="Q27" s="35" t="s">
        <v>77</v>
      </c>
      <c r="R27" s="35" t="s">
        <v>77</v>
      </c>
      <c r="S27" s="35" t="s">
        <v>28</v>
      </c>
      <c r="T27" s="35" t="s">
        <v>28</v>
      </c>
      <c r="U27" s="35" t="s">
        <v>33</v>
      </c>
      <c r="V27" s="35" t="s">
        <v>33</v>
      </c>
      <c r="W27" s="233" t="s">
        <v>228</v>
      </c>
      <c r="X27" s="233" t="s">
        <v>228</v>
      </c>
      <c r="Y27" s="233" t="s">
        <v>228</v>
      </c>
      <c r="Z27" s="233" t="s">
        <v>228</v>
      </c>
      <c r="AA27" s="233" t="s">
        <v>228</v>
      </c>
      <c r="AB27" s="233" t="s">
        <v>228</v>
      </c>
      <c r="AC27" s="35" t="s">
        <v>33</v>
      </c>
      <c r="AD27" s="35" t="s">
        <v>33</v>
      </c>
      <c r="AE27" s="35" t="s">
        <v>33</v>
      </c>
      <c r="AF27" s="35" t="s">
        <v>33</v>
      </c>
      <c r="AG27" s="35" t="s">
        <v>33</v>
      </c>
      <c r="AH27" s="35" t="s">
        <v>33</v>
      </c>
      <c r="AI27" s="35" t="s">
        <v>33</v>
      </c>
      <c r="AJ27" s="35" t="s">
        <v>28</v>
      </c>
      <c r="AK27" s="35" t="s">
        <v>28</v>
      </c>
      <c r="AL27" s="35" t="s">
        <v>28</v>
      </c>
      <c r="AM27" s="35" t="s">
        <v>28</v>
      </c>
      <c r="AN27" s="35" t="s">
        <v>28</v>
      </c>
      <c r="AO27" s="35" t="s">
        <v>28</v>
      </c>
      <c r="AP27" s="35" t="s">
        <v>28</v>
      </c>
      <c r="AQ27" s="35" t="s">
        <v>53</v>
      </c>
      <c r="AR27" s="35" t="s">
        <v>53</v>
      </c>
      <c r="AS27" s="35" t="s">
        <v>53</v>
      </c>
      <c r="AT27" s="35" t="s">
        <v>53</v>
      </c>
      <c r="AU27" s="35" t="s">
        <v>53</v>
      </c>
      <c r="AV27" s="35" t="s">
        <v>53</v>
      </c>
      <c r="AW27" s="35" t="s">
        <v>53</v>
      </c>
      <c r="AX27" s="35" t="s">
        <v>53</v>
      </c>
      <c r="AY27" s="35" t="s">
        <v>53</v>
      </c>
      <c r="AZ27" s="35" t="s">
        <v>53</v>
      </c>
      <c r="BA27" s="35" t="s">
        <v>53</v>
      </c>
      <c r="BB27" s="22">
        <f t="shared" si="0"/>
        <v>5</v>
      </c>
      <c r="BC27" s="22">
        <f t="shared" si="1"/>
        <v>9</v>
      </c>
      <c r="BD27" s="23">
        <f t="shared" si="2"/>
        <v>14</v>
      </c>
      <c r="BE27" s="22">
        <f t="shared" si="3"/>
        <v>0</v>
      </c>
      <c r="BF27" s="22">
        <f t="shared" si="4"/>
        <v>6</v>
      </c>
      <c r="BG27" s="23">
        <f t="shared" si="5"/>
        <v>6</v>
      </c>
      <c r="BH27" s="23">
        <f t="shared" si="6"/>
        <v>0</v>
      </c>
      <c r="BI27" s="23">
        <f t="shared" si="7"/>
        <v>23</v>
      </c>
      <c r="BJ27" s="23">
        <f t="shared" si="8"/>
        <v>0</v>
      </c>
      <c r="BK27" s="23">
        <f t="shared" si="10"/>
        <v>0</v>
      </c>
      <c r="BL27" s="23">
        <f t="shared" si="11"/>
        <v>0</v>
      </c>
      <c r="BM27" s="23">
        <f t="shared" ref="BM27:BM28" si="12">COUNTIF(B27:BA27,$AZ$34)</f>
        <v>9</v>
      </c>
      <c r="BN27" s="23">
        <f t="shared" si="9"/>
        <v>52</v>
      </c>
    </row>
    <row r="28" spans="1:66" ht="15.75" customHeight="1">
      <c r="A28" s="8">
        <v>5</v>
      </c>
      <c r="B28" s="35" t="s">
        <v>53</v>
      </c>
      <c r="C28" s="35" t="s">
        <v>53</v>
      </c>
      <c r="D28" s="35" t="s">
        <v>53</v>
      </c>
      <c r="E28" s="35" t="s">
        <v>53</v>
      </c>
      <c r="F28" s="35" t="s">
        <v>53</v>
      </c>
      <c r="G28" s="35" t="s">
        <v>53</v>
      </c>
      <c r="H28" s="35" t="s">
        <v>53</v>
      </c>
      <c r="I28" s="35" t="s">
        <v>53</v>
      </c>
      <c r="J28" s="35" t="s">
        <v>77</v>
      </c>
      <c r="K28" s="233" t="s">
        <v>228</v>
      </c>
      <c r="L28" s="233" t="s">
        <v>228</v>
      </c>
      <c r="M28" s="233" t="s">
        <v>228</v>
      </c>
      <c r="N28" s="233" t="s">
        <v>228</v>
      </c>
      <c r="O28" s="233" t="s">
        <v>228</v>
      </c>
      <c r="P28" s="233" t="s">
        <v>228</v>
      </c>
      <c r="Q28" s="35" t="s">
        <v>77</v>
      </c>
      <c r="R28" s="35" t="s">
        <v>77</v>
      </c>
      <c r="S28" s="35" t="s">
        <v>28</v>
      </c>
      <c r="T28" s="35" t="s">
        <v>28</v>
      </c>
      <c r="U28" s="35" t="s">
        <v>33</v>
      </c>
      <c r="V28" s="35" t="s">
        <v>33</v>
      </c>
      <c r="W28" s="35" t="s">
        <v>33</v>
      </c>
      <c r="X28" s="35" t="s">
        <v>33</v>
      </c>
      <c r="Y28" s="35" t="s">
        <v>53</v>
      </c>
      <c r="Z28" s="35" t="s">
        <v>53</v>
      </c>
      <c r="AA28" s="35" t="s">
        <v>53</v>
      </c>
      <c r="AB28" s="35" t="s">
        <v>53</v>
      </c>
      <c r="AC28" s="35" t="s">
        <v>32</v>
      </c>
      <c r="AD28" s="35" t="s">
        <v>32</v>
      </c>
      <c r="AE28" s="35" t="s">
        <v>32</v>
      </c>
      <c r="AF28" s="35" t="s">
        <v>32</v>
      </c>
      <c r="AG28" s="35" t="s">
        <v>26</v>
      </c>
      <c r="AH28" s="35" t="s">
        <v>26</v>
      </c>
      <c r="AI28" s="35" t="s">
        <v>26</v>
      </c>
      <c r="AJ28" s="35" t="s">
        <v>26</v>
      </c>
      <c r="AK28" s="35" t="s">
        <v>26</v>
      </c>
      <c r="AL28" s="35" t="s">
        <v>26</v>
      </c>
      <c r="AM28" s="35" t="s">
        <v>26</v>
      </c>
      <c r="AN28" s="35" t="s">
        <v>26</v>
      </c>
      <c r="AO28" s="35" t="s">
        <v>26</v>
      </c>
      <c r="AP28" s="35" t="s">
        <v>26</v>
      </c>
      <c r="AQ28" s="35" t="s">
        <v>26</v>
      </c>
      <c r="AR28" s="35" t="s">
        <v>26</v>
      </c>
      <c r="AS28" s="35" t="s">
        <v>26</v>
      </c>
      <c r="AT28" s="35" t="s">
        <v>26</v>
      </c>
      <c r="AU28" s="35" t="s">
        <v>26</v>
      </c>
      <c r="AV28" s="35" t="s">
        <v>26</v>
      </c>
      <c r="AW28" s="35" t="s">
        <v>26</v>
      </c>
      <c r="AX28" s="35" t="s">
        <v>26</v>
      </c>
      <c r="AY28" s="35" t="s">
        <v>26</v>
      </c>
      <c r="AZ28" s="35" t="s">
        <v>26</v>
      </c>
      <c r="BA28" s="35" t="s">
        <v>26</v>
      </c>
      <c r="BB28" s="22">
        <f t="shared" si="0"/>
        <v>3</v>
      </c>
      <c r="BC28" s="22">
        <f t="shared" si="1"/>
        <v>4</v>
      </c>
      <c r="BD28" s="23">
        <f t="shared" si="2"/>
        <v>7</v>
      </c>
      <c r="BE28" s="22">
        <f t="shared" si="3"/>
        <v>0</v>
      </c>
      <c r="BF28" s="22">
        <f t="shared" si="4"/>
        <v>6</v>
      </c>
      <c r="BG28" s="23">
        <f t="shared" si="5"/>
        <v>6</v>
      </c>
      <c r="BH28" s="23">
        <f t="shared" si="6"/>
        <v>0</v>
      </c>
      <c r="BI28" s="23">
        <f t="shared" si="7"/>
        <v>12</v>
      </c>
      <c r="BJ28" s="23">
        <f t="shared" si="8"/>
        <v>0</v>
      </c>
      <c r="BK28" s="23">
        <f t="shared" si="10"/>
        <v>0</v>
      </c>
      <c r="BL28" s="23">
        <f t="shared" si="11"/>
        <v>4</v>
      </c>
      <c r="BM28" s="23">
        <f t="shared" si="12"/>
        <v>2</v>
      </c>
      <c r="BN28" s="23">
        <f t="shared" si="9"/>
        <v>31</v>
      </c>
    </row>
    <row r="29" spans="1:66" ht="15.75" hidden="1" customHeight="1">
      <c r="A29" s="8">
        <v>6</v>
      </c>
      <c r="B29" s="35" t="s">
        <v>26</v>
      </c>
      <c r="C29" s="35" t="s">
        <v>26</v>
      </c>
      <c r="D29" s="35" t="s">
        <v>26</v>
      </c>
      <c r="E29" s="35" t="s">
        <v>26</v>
      </c>
      <c r="F29" s="35" t="s">
        <v>26</v>
      </c>
      <c r="G29" s="35" t="s">
        <v>26</v>
      </c>
      <c r="H29" s="35" t="s">
        <v>26</v>
      </c>
      <c r="I29" s="35" t="s">
        <v>26</v>
      </c>
      <c r="J29" s="35" t="s">
        <v>26</v>
      </c>
      <c r="K29" s="35" t="s">
        <v>26</v>
      </c>
      <c r="L29" s="35" t="s">
        <v>26</v>
      </c>
      <c r="M29" s="35" t="s">
        <v>26</v>
      </c>
      <c r="N29" s="35" t="s">
        <v>26</v>
      </c>
      <c r="O29" s="35" t="s">
        <v>26</v>
      </c>
      <c r="P29" s="35" t="s">
        <v>26</v>
      </c>
      <c r="Q29" s="35" t="s">
        <v>26</v>
      </c>
      <c r="R29" s="35" t="s">
        <v>26</v>
      </c>
      <c r="S29" s="35" t="s">
        <v>26</v>
      </c>
      <c r="T29" s="35" t="s">
        <v>26</v>
      </c>
      <c r="U29" s="35" t="s">
        <v>26</v>
      </c>
      <c r="V29" s="35" t="s">
        <v>26</v>
      </c>
      <c r="W29" s="35" t="s">
        <v>26</v>
      </c>
      <c r="X29" s="35" t="s">
        <v>26</v>
      </c>
      <c r="Y29" s="35" t="s">
        <v>26</v>
      </c>
      <c r="Z29" s="35" t="s">
        <v>26</v>
      </c>
      <c r="AA29" s="35" t="s">
        <v>26</v>
      </c>
      <c r="AB29" s="35" t="s">
        <v>26</v>
      </c>
      <c r="AC29" s="35" t="s">
        <v>26</v>
      </c>
      <c r="AD29" s="35" t="s">
        <v>26</v>
      </c>
      <c r="AE29" s="35" t="s">
        <v>26</v>
      </c>
      <c r="AF29" s="35" t="s">
        <v>26</v>
      </c>
      <c r="AG29" s="35" t="s">
        <v>26</v>
      </c>
      <c r="AH29" s="35" t="s">
        <v>26</v>
      </c>
      <c r="AI29" s="35" t="s">
        <v>26</v>
      </c>
      <c r="AJ29" s="35" t="s">
        <v>26</v>
      </c>
      <c r="AK29" s="35" t="s">
        <v>26</v>
      </c>
      <c r="AL29" s="35" t="s">
        <v>26</v>
      </c>
      <c r="AM29" s="35" t="s">
        <v>26</v>
      </c>
      <c r="AN29" s="35" t="s">
        <v>26</v>
      </c>
      <c r="AO29" s="35" t="s">
        <v>26</v>
      </c>
      <c r="AP29" s="35" t="s">
        <v>26</v>
      </c>
      <c r="AQ29" s="35" t="s">
        <v>26</v>
      </c>
      <c r="AR29" s="35" t="s">
        <v>26</v>
      </c>
      <c r="AS29" s="35" t="s">
        <v>26</v>
      </c>
      <c r="AT29" s="35" t="s">
        <v>26</v>
      </c>
      <c r="AU29" s="35" t="s">
        <v>26</v>
      </c>
      <c r="AV29" s="35" t="s">
        <v>26</v>
      </c>
      <c r="AW29" s="35" t="s">
        <v>26</v>
      </c>
      <c r="AX29" s="35" t="s">
        <v>26</v>
      </c>
      <c r="AY29" s="35" t="s">
        <v>26</v>
      </c>
      <c r="AZ29" s="35" t="s">
        <v>26</v>
      </c>
      <c r="BA29" s="35" t="s">
        <v>26</v>
      </c>
      <c r="BB29" s="22">
        <f t="shared" si="0"/>
        <v>0</v>
      </c>
      <c r="BC29" s="22">
        <f t="shared" si="1"/>
        <v>0</v>
      </c>
      <c r="BD29" s="23">
        <f t="shared" si="2"/>
        <v>0</v>
      </c>
      <c r="BE29" s="22">
        <f t="shared" si="3"/>
        <v>0</v>
      </c>
      <c r="BF29" s="22">
        <f t="shared" si="4"/>
        <v>0</v>
      </c>
      <c r="BG29" s="23">
        <f t="shared" si="5"/>
        <v>0</v>
      </c>
      <c r="BH29" s="23">
        <f t="shared" si="6"/>
        <v>0</v>
      </c>
      <c r="BI29" s="23">
        <f t="shared" ref="BI29" si="13">COUNTIF(B29:BA29,$AF$34)</f>
        <v>0</v>
      </c>
      <c r="BJ29" s="23">
        <f t="shared" si="8"/>
        <v>0</v>
      </c>
      <c r="BK29" s="23">
        <f t="shared" ref="BK29" si="14">COUNTIF(B29:BA29,$AZ$32)</f>
        <v>0</v>
      </c>
      <c r="BL29" s="23">
        <f t="shared" ref="BL29" si="15">COUNTIF(B29:BA29,$AQ$34)</f>
        <v>0</v>
      </c>
      <c r="BM29" s="23">
        <f t="shared" ref="BM29" si="16">COUNTIF(B29:BA29,$AZ$34)</f>
        <v>0</v>
      </c>
      <c r="BN29" s="23">
        <f t="shared" si="9"/>
        <v>0</v>
      </c>
    </row>
    <row r="30" spans="1:66" ht="15.75" customHeight="1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779" t="s">
        <v>56</v>
      </c>
      <c r="AZ30" s="779"/>
      <c r="BA30" s="779"/>
      <c r="BB30" s="12">
        <f t="shared" ref="BB30:BD30" si="17">SUM(BB24:BB29)</f>
        <v>44</v>
      </c>
      <c r="BC30" s="12">
        <f t="shared" si="17"/>
        <v>57</v>
      </c>
      <c r="BD30" s="12">
        <f t="shared" si="17"/>
        <v>101</v>
      </c>
      <c r="BE30" s="12">
        <f t="shared" ref="BE30" si="18">SUM(BE24:BE29)</f>
        <v>0</v>
      </c>
      <c r="BF30" s="12">
        <f t="shared" ref="BF30" si="19">SUM(BF24:BF29)</f>
        <v>26</v>
      </c>
      <c r="BG30" s="12">
        <f t="shared" ref="BG30" si="20">SUM(BG24:BG29)</f>
        <v>26</v>
      </c>
      <c r="BH30" s="12">
        <f t="shared" ref="BH30" si="21">SUM(BH24:BH29)</f>
        <v>9</v>
      </c>
      <c r="BI30" s="12">
        <f t="shared" ref="BI30" si="22">SUM(BI24:BI29)</f>
        <v>46</v>
      </c>
      <c r="BJ30" s="12">
        <f t="shared" ref="BJ30" si="23">SUM(BJ24:BJ29)</f>
        <v>0</v>
      </c>
      <c r="BK30" s="23">
        <f t="shared" si="10"/>
        <v>0</v>
      </c>
      <c r="BL30" s="12">
        <f t="shared" ref="BL30" si="24">SUM(BL24:BL29)</f>
        <v>4</v>
      </c>
      <c r="BM30" s="12">
        <f t="shared" ref="BM30" si="25">SUM(BM24:BM29)</f>
        <v>38</v>
      </c>
      <c r="BN30" s="12">
        <f t="shared" ref="BN30" si="26">SUM(BN24:BN29)</f>
        <v>224</v>
      </c>
    </row>
    <row r="31" spans="1:66" ht="10.5" customHeight="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</row>
    <row r="32" spans="1:66" s="5" customFormat="1" ht="11.25" customHeight="1">
      <c r="A32" s="222"/>
      <c r="B32" s="21" t="s">
        <v>77</v>
      </c>
      <c r="C32" s="37" t="s">
        <v>22</v>
      </c>
      <c r="D32" s="650" t="s">
        <v>486</v>
      </c>
      <c r="E32" s="650"/>
      <c r="F32" s="650"/>
      <c r="G32" s="650"/>
      <c r="H32" s="650"/>
      <c r="I32" s="650"/>
      <c r="J32" s="650"/>
      <c r="K32" s="650"/>
      <c r="L32" s="650"/>
      <c r="M32" s="650"/>
      <c r="N32" s="650"/>
      <c r="O32" s="650"/>
      <c r="P32" s="650"/>
      <c r="Q32" s="650"/>
      <c r="R32" s="15" t="s">
        <v>227</v>
      </c>
      <c r="S32" s="37" t="s">
        <v>22</v>
      </c>
      <c r="T32" s="650" t="s">
        <v>487</v>
      </c>
      <c r="U32" s="650"/>
      <c r="V32" s="650"/>
      <c r="W32" s="650"/>
      <c r="X32" s="650"/>
      <c r="Y32" s="650"/>
      <c r="Z32" s="650"/>
      <c r="AA32" s="650"/>
      <c r="AB32" s="650"/>
      <c r="AC32" s="650"/>
      <c r="AD32" s="650"/>
      <c r="AE32" s="650"/>
      <c r="AF32" s="17" t="s">
        <v>52</v>
      </c>
      <c r="AG32" s="37" t="s">
        <v>22</v>
      </c>
      <c r="AH32" s="617" t="s">
        <v>23</v>
      </c>
      <c r="AI32" s="617"/>
      <c r="AJ32" s="617"/>
      <c r="AK32" s="617"/>
      <c r="AL32" s="617"/>
      <c r="AM32" s="617"/>
      <c r="AN32" s="617"/>
      <c r="AO32" s="617"/>
      <c r="AP32" s="617"/>
      <c r="AQ32" s="15" t="s">
        <v>29</v>
      </c>
      <c r="AR32" s="37" t="s">
        <v>22</v>
      </c>
      <c r="AS32" s="650" t="s">
        <v>54</v>
      </c>
      <c r="AT32" s="650"/>
      <c r="AU32" s="650"/>
      <c r="AV32" s="650"/>
      <c r="AW32" s="650"/>
      <c r="AX32" s="650"/>
      <c r="AY32" s="650"/>
      <c r="AZ32" s="293"/>
      <c r="BA32" s="293"/>
      <c r="BB32" s="293"/>
      <c r="BC32" s="293"/>
      <c r="BD32" s="293"/>
      <c r="BE32" s="293"/>
      <c r="BF32" s="293"/>
      <c r="BG32" s="293"/>
      <c r="BH32" s="293"/>
      <c r="BI32" s="222"/>
      <c r="BJ32" s="222"/>
      <c r="BK32" s="222"/>
      <c r="BL32" s="222"/>
      <c r="BM32" s="222"/>
      <c r="BN32" s="222"/>
    </row>
    <row r="33" spans="1:66" s="5" customFormat="1" ht="11.25">
      <c r="A33" s="222"/>
      <c r="B33" s="222"/>
      <c r="C33" s="222"/>
      <c r="D33" s="37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1"/>
      <c r="V33" s="37"/>
      <c r="W33" s="221"/>
      <c r="X33" s="221"/>
      <c r="Y33" s="37"/>
      <c r="Z33" s="221"/>
      <c r="AA33" s="221"/>
      <c r="AB33" s="37"/>
      <c r="AC33" s="221"/>
      <c r="AD33" s="221"/>
      <c r="AE33" s="37"/>
      <c r="AF33" s="221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</row>
    <row r="34" spans="1:66" s="5" customFormat="1" ht="11.25" customHeight="1">
      <c r="A34" s="222"/>
      <c r="B34" s="21" t="s">
        <v>33</v>
      </c>
      <c r="C34" s="37" t="s">
        <v>22</v>
      </c>
      <c r="D34" s="650" t="s">
        <v>488</v>
      </c>
      <c r="E34" s="650"/>
      <c r="F34" s="650"/>
      <c r="G34" s="650"/>
      <c r="H34" s="650"/>
      <c r="I34" s="650"/>
      <c r="J34" s="650"/>
      <c r="K34" s="650"/>
      <c r="L34" s="650"/>
      <c r="M34" s="650"/>
      <c r="N34" s="650"/>
      <c r="O34" s="650"/>
      <c r="P34" s="650"/>
      <c r="Q34" s="650"/>
      <c r="R34" s="15" t="s">
        <v>228</v>
      </c>
      <c r="S34" s="37" t="s">
        <v>22</v>
      </c>
      <c r="T34" s="650" t="s">
        <v>489</v>
      </c>
      <c r="U34" s="650"/>
      <c r="V34" s="650"/>
      <c r="W34" s="650"/>
      <c r="X34" s="650"/>
      <c r="Y34" s="650"/>
      <c r="Z34" s="650"/>
      <c r="AA34" s="650"/>
      <c r="AB34" s="650"/>
      <c r="AC34" s="650"/>
      <c r="AD34" s="650"/>
      <c r="AE34" s="650"/>
      <c r="AF34" s="17" t="s">
        <v>53</v>
      </c>
      <c r="AG34" s="37" t="s">
        <v>22</v>
      </c>
      <c r="AH34" s="617" t="s">
        <v>224</v>
      </c>
      <c r="AI34" s="617"/>
      <c r="AJ34" s="617"/>
      <c r="AK34" s="617"/>
      <c r="AL34" s="617"/>
      <c r="AM34" s="617"/>
      <c r="AN34" s="617"/>
      <c r="AO34" s="617"/>
      <c r="AP34" s="617"/>
      <c r="AQ34" s="15" t="s">
        <v>32</v>
      </c>
      <c r="AR34" s="37" t="s">
        <v>22</v>
      </c>
      <c r="AS34" s="617" t="s">
        <v>55</v>
      </c>
      <c r="AT34" s="617"/>
      <c r="AU34" s="617"/>
      <c r="AV34" s="617"/>
      <c r="AW34" s="617"/>
      <c r="AX34" s="617"/>
      <c r="AY34" s="617"/>
      <c r="AZ34" s="18" t="s">
        <v>28</v>
      </c>
      <c r="BA34" s="37" t="s">
        <v>22</v>
      </c>
      <c r="BB34" s="617" t="s">
        <v>223</v>
      </c>
      <c r="BC34" s="617"/>
      <c r="BD34" s="617"/>
      <c r="BE34" s="617"/>
      <c r="BF34" s="617"/>
      <c r="BG34" s="622"/>
      <c r="BH34" s="11" t="s">
        <v>26</v>
      </c>
      <c r="BI34" s="37" t="s">
        <v>22</v>
      </c>
      <c r="BJ34" s="617" t="s">
        <v>44</v>
      </c>
      <c r="BK34" s="617"/>
      <c r="BL34" s="617"/>
      <c r="BM34" s="617"/>
      <c r="BN34" s="617"/>
    </row>
    <row r="35" spans="1:66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</row>
    <row r="36" spans="1:66" hidden="1">
      <c r="A36" s="14"/>
      <c r="B36" s="16" t="str">
        <f>B32</f>
        <v>о</v>
      </c>
      <c r="D36" s="230" t="s">
        <v>116</v>
      </c>
      <c r="L36" s="652" t="s">
        <v>164</v>
      </c>
      <c r="M36" s="652"/>
      <c r="N36" s="652"/>
      <c r="O36" s="652"/>
      <c r="P36" s="652"/>
      <c r="Q36" s="652"/>
      <c r="R36" s="652"/>
      <c r="S36" s="652"/>
      <c r="T36" s="652"/>
      <c r="U36" s="652"/>
    </row>
    <row r="37" spans="1:66" hidden="1">
      <c r="A37" s="14"/>
      <c r="B37" s="16" t="str">
        <f>R32</f>
        <v>оа</v>
      </c>
      <c r="D37" s="230" t="s">
        <v>117</v>
      </c>
      <c r="L37" s="652" t="s">
        <v>165</v>
      </c>
      <c r="M37" s="652"/>
      <c r="N37" s="652"/>
      <c r="O37" s="652"/>
      <c r="P37" s="652"/>
      <c r="Q37" s="652"/>
      <c r="R37" s="652"/>
      <c r="S37" s="652"/>
      <c r="T37" s="652"/>
      <c r="U37" s="652"/>
      <c r="BA37" s="5"/>
      <c r="BK37" s="1"/>
      <c r="BL37" s="1"/>
    </row>
    <row r="38" spans="1:66" hidden="1">
      <c r="A38" s="14"/>
      <c r="B38" s="15" t="str">
        <f>B34</f>
        <v>в</v>
      </c>
      <c r="D38" s="230" t="s">
        <v>118</v>
      </c>
      <c r="L38" s="652" t="s">
        <v>168</v>
      </c>
      <c r="M38" s="652"/>
      <c r="N38" s="652"/>
      <c r="O38" s="652"/>
      <c r="P38" s="652"/>
      <c r="Q38" s="652"/>
      <c r="R38" s="652"/>
      <c r="S38" s="652"/>
      <c r="T38" s="652"/>
      <c r="U38" s="652"/>
      <c r="V38" s="652"/>
      <c r="W38" s="652"/>
      <c r="X38" s="652"/>
      <c r="Y38" s="652"/>
      <c r="Z38" s="652"/>
      <c r="AA38" s="652"/>
      <c r="AB38" s="652"/>
      <c r="AC38" s="652"/>
      <c r="AD38" s="652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>
      <c r="A39" s="14"/>
      <c r="B39" s="15" t="str">
        <f>R34</f>
        <v>ва</v>
      </c>
      <c r="D39" s="230"/>
      <c r="L39" s="652" t="s">
        <v>169</v>
      </c>
      <c r="M39" s="652"/>
      <c r="N39" s="652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652"/>
      <c r="Z39" s="652"/>
      <c r="AA39" s="652"/>
      <c r="AB39" s="652"/>
      <c r="AC39" s="652"/>
      <c r="AD39" s="652"/>
      <c r="AE39" s="5"/>
      <c r="AF39" s="5"/>
      <c r="AH39" s="5"/>
      <c r="AI39" s="5"/>
      <c r="AJ39" s="5"/>
      <c r="AK39" s="5"/>
      <c r="AL39" s="5"/>
      <c r="AM39" s="5"/>
      <c r="AN39" s="5"/>
      <c r="AO39" s="2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6" hidden="1">
      <c r="A40" s="14"/>
      <c r="B40" s="17" t="str">
        <f>AF32</f>
        <v>у</v>
      </c>
      <c r="D40" s="230" t="s">
        <v>119</v>
      </c>
      <c r="AQ40" s="5"/>
      <c r="BA40" s="5"/>
    </row>
    <row r="41" spans="1:66" hidden="1">
      <c r="A41" s="14"/>
      <c r="B41" s="17" t="str">
        <f>AF34</f>
        <v>п</v>
      </c>
    </row>
    <row r="42" spans="1:66" hidden="1">
      <c r="A42" s="14"/>
      <c r="B42" s="18" t="str">
        <f>AZ34</f>
        <v>к</v>
      </c>
    </row>
    <row r="43" spans="1:66" hidden="1">
      <c r="A43" s="14"/>
      <c r="B43" s="19" t="str">
        <f>AQ32</f>
        <v>д</v>
      </c>
    </row>
    <row r="44" spans="1:66" hidden="1">
      <c r="A44" s="14"/>
      <c r="B44" s="292">
        <f>AZ32</f>
        <v>0</v>
      </c>
    </row>
    <row r="45" spans="1:66" hidden="1">
      <c r="A45" s="14"/>
      <c r="B45" s="19" t="str">
        <f>AQ34</f>
        <v>А</v>
      </c>
    </row>
    <row r="46" spans="1:66" hidden="1">
      <c r="A46" s="14"/>
      <c r="B46" s="20" t="str">
        <f>BH34</f>
        <v xml:space="preserve"> </v>
      </c>
    </row>
  </sheetData>
  <mergeCells count="90">
    <mergeCell ref="O1:BB1"/>
    <mergeCell ref="A2:N2"/>
    <mergeCell ref="O2:BB2"/>
    <mergeCell ref="BC2:BN2"/>
    <mergeCell ref="A3:G3"/>
    <mergeCell ref="H3:N3"/>
    <mergeCell ref="O3:BB3"/>
    <mergeCell ref="BC3:BN3"/>
    <mergeCell ref="BC13:BN13"/>
    <mergeCell ref="A4:N4"/>
    <mergeCell ref="BC4:BN4"/>
    <mergeCell ref="A7:BN7"/>
    <mergeCell ref="X8:AT8"/>
    <mergeCell ref="A9:N9"/>
    <mergeCell ref="O9:BB9"/>
    <mergeCell ref="BC9:BN12"/>
    <mergeCell ref="A10:N10"/>
    <mergeCell ref="O10:BB10"/>
    <mergeCell ref="A11:N11"/>
    <mergeCell ref="O11:BB11"/>
    <mergeCell ref="O12:BB12"/>
    <mergeCell ref="A13:N13"/>
    <mergeCell ref="O13:BB13"/>
    <mergeCell ref="BC6:BO6"/>
    <mergeCell ref="A14:N14"/>
    <mergeCell ref="O14:BB14"/>
    <mergeCell ref="A15:N15"/>
    <mergeCell ref="O15:BB15"/>
    <mergeCell ref="A16:N16"/>
    <mergeCell ref="O16:P16"/>
    <mergeCell ref="Q16:S16"/>
    <mergeCell ref="T16:U16"/>
    <mergeCell ref="V16:Z16"/>
    <mergeCell ref="AG19:AI20"/>
    <mergeCell ref="O17:BB17"/>
    <mergeCell ref="A19:A23"/>
    <mergeCell ref="B19:E20"/>
    <mergeCell ref="F19:F20"/>
    <mergeCell ref="G19:I20"/>
    <mergeCell ref="J19:J20"/>
    <mergeCell ref="K19:N20"/>
    <mergeCell ref="O19:R20"/>
    <mergeCell ref="S19:S20"/>
    <mergeCell ref="T19:V20"/>
    <mergeCell ref="W19:W20"/>
    <mergeCell ref="X19:Z20"/>
    <mergeCell ref="AA19:AA20"/>
    <mergeCell ref="AB19:AE20"/>
    <mergeCell ref="AF19:AF20"/>
    <mergeCell ref="BK20:BK23"/>
    <mergeCell ref="BL20:BL23"/>
    <mergeCell ref="BM20:BM23"/>
    <mergeCell ref="AJ19:AJ20"/>
    <mergeCell ref="AK19:AN20"/>
    <mergeCell ref="AO19:AR20"/>
    <mergeCell ref="AS19:AS20"/>
    <mergeCell ref="AT19:AV20"/>
    <mergeCell ref="AW19:AW20"/>
    <mergeCell ref="BB20:BD22"/>
    <mergeCell ref="BE20:BG22"/>
    <mergeCell ref="BH20:BH23"/>
    <mergeCell ref="BI20:BI23"/>
    <mergeCell ref="BJ20:BJ23"/>
    <mergeCell ref="D32:Q32"/>
    <mergeCell ref="T32:AE32"/>
    <mergeCell ref="AH32:AP32"/>
    <mergeCell ref="AS32:AY32"/>
    <mergeCell ref="BN20:BN23"/>
    <mergeCell ref="F21:F22"/>
    <mergeCell ref="J21:J22"/>
    <mergeCell ref="S21:S22"/>
    <mergeCell ref="W21:W22"/>
    <mergeCell ref="AA21:AA22"/>
    <mergeCell ref="AF21:AF22"/>
    <mergeCell ref="AJ21:AJ22"/>
    <mergeCell ref="AS21:AS22"/>
    <mergeCell ref="AW21:AW22"/>
    <mergeCell ref="AX19:BA20"/>
    <mergeCell ref="BB19:BN19"/>
    <mergeCell ref="AH34:AP34"/>
    <mergeCell ref="AS34:AY34"/>
    <mergeCell ref="BB34:BG34"/>
    <mergeCell ref="BJ34:BN34"/>
    <mergeCell ref="AY30:BA30"/>
    <mergeCell ref="L36:U36"/>
    <mergeCell ref="L37:U37"/>
    <mergeCell ref="L38:AD38"/>
    <mergeCell ref="L39:AD39"/>
    <mergeCell ref="D34:Q34"/>
    <mergeCell ref="T34:AE34"/>
  </mergeCells>
  <conditionalFormatting sqref="A36:A37">
    <cfRule type="cellIs" priority="16" stopIfTrue="1" operator="equal">
      <formula>#REF!</formula>
    </cfRule>
  </conditionalFormatting>
  <conditionalFormatting sqref="A38:A39">
    <cfRule type="expression" dxfId="15" priority="15" stopIfTrue="1">
      <formula>$R$32</formula>
    </cfRule>
  </conditionalFormatting>
  <conditionalFormatting sqref="B36">
    <cfRule type="cellIs" priority="14" stopIfTrue="1" operator="equal">
      <formula>$B$32</formula>
    </cfRule>
  </conditionalFormatting>
  <conditionalFormatting sqref="B37">
    <cfRule type="cellIs" dxfId="14" priority="13" stopIfTrue="1" operator="equal">
      <formula>$R$32</formula>
    </cfRule>
  </conditionalFormatting>
  <conditionalFormatting sqref="B38">
    <cfRule type="cellIs" dxfId="13" priority="12" stopIfTrue="1" operator="equal">
      <formula>$B$34</formula>
    </cfRule>
  </conditionalFormatting>
  <conditionalFormatting sqref="B39">
    <cfRule type="cellIs" dxfId="12" priority="11" stopIfTrue="1" operator="equal">
      <formula>$R$34</formula>
    </cfRule>
  </conditionalFormatting>
  <conditionalFormatting sqref="B40">
    <cfRule type="cellIs" priority="10" stopIfTrue="1" operator="equal">
      <formula>$AF$32</formula>
    </cfRule>
  </conditionalFormatting>
  <conditionalFormatting sqref="B41">
    <cfRule type="cellIs" dxfId="11" priority="9" stopIfTrue="1" operator="equal">
      <formula>$AF$34</formula>
    </cfRule>
  </conditionalFormatting>
  <conditionalFormatting sqref="B42">
    <cfRule type="cellIs" dxfId="10" priority="8" stopIfTrue="1" operator="equal">
      <formula>$AZ$34</formula>
    </cfRule>
  </conditionalFormatting>
  <conditionalFormatting sqref="B43">
    <cfRule type="cellIs" dxfId="9" priority="7" stopIfTrue="1" operator="equal">
      <formula>$AQ$32</formula>
    </cfRule>
  </conditionalFormatting>
  <conditionalFormatting sqref="B44">
    <cfRule type="cellIs" dxfId="8" priority="6" stopIfTrue="1" operator="equal">
      <formula>$AZ$32</formula>
    </cfRule>
  </conditionalFormatting>
  <conditionalFormatting sqref="B45">
    <cfRule type="cellIs" dxfId="7" priority="5" stopIfTrue="1" operator="equal">
      <formula>$AQ$34</formula>
    </cfRule>
  </conditionalFormatting>
  <conditionalFormatting sqref="B46">
    <cfRule type="cellIs" priority="4" stopIfTrue="1" operator="equal">
      <formula>$BH$34</formula>
    </cfRule>
  </conditionalFormatting>
  <conditionalFormatting sqref="B24:BA29">
    <cfRule type="expression" dxfId="6" priority="1" stopIfTrue="1">
      <formula>OR(B24=$R$32,B24=$R$34,B24=$AQ$32,B24=$AZ$32,B24=$AQ$34)</formula>
    </cfRule>
    <cfRule type="expression" dxfId="5" priority="2" stopIfTrue="1">
      <formula>OR(B24=$AF$32,B24=$AF$34)</formula>
    </cfRule>
    <cfRule type="cellIs" dxfId="4" priority="3" stopIfTrue="1" operator="equal">
      <formula>$AZ$34</formula>
    </cfRule>
  </conditionalFormatting>
  <dataValidations count="4">
    <dataValidation type="list" allowBlank="1" showInputMessage="1" showErrorMessage="1" prompt="выберите из списка" sqref="O14:BB14">
      <formula1>$L$38:$L$39</formula1>
    </dataValidation>
    <dataValidation type="list" allowBlank="1" showInputMessage="1" showErrorMessage="1" prompt="выберите из списка" sqref="O15:BB15">
      <formula1>$D$36:$D$40</formula1>
    </dataValidation>
    <dataValidation type="list" allowBlank="1" showInputMessage="1" showErrorMessage="1" prompt="выберите из списка" sqref="B24:BA29">
      <formula1>$B$36:$B$46</formula1>
    </dataValidation>
    <dataValidation type="list" allowBlank="1" showInputMessage="1" showErrorMessage="1" prompt="выберите из списка" sqref="O13:BB13">
      <formula1>$L$36:$L$37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128"/>
  <sheetViews>
    <sheetView showZeros="0" zoomScaleNormal="100" workbookViewId="0">
      <pane xSplit="16" ySplit="10" topLeftCell="R11" activePane="bottomRight" state="frozen"/>
      <selection pane="topRight" activeCell="Q1" sqref="Q1"/>
      <selection pane="bottomLeft" activeCell="A11" sqref="A11"/>
      <selection pane="bottomRight" activeCell="AI74" sqref="AI74"/>
    </sheetView>
  </sheetViews>
  <sheetFormatPr defaultRowHeight="12.75"/>
  <cols>
    <col min="1" max="1" width="15.83203125" style="231" customWidth="1"/>
    <col min="2" max="2" width="30.33203125" style="231" customWidth="1"/>
    <col min="3" max="3" width="16.83203125" style="231" customWidth="1"/>
    <col min="4" max="4" width="8" style="62" customWidth="1"/>
    <col min="5" max="5" width="8.6640625" style="62" customWidth="1"/>
    <col min="6" max="7" width="7.6640625" style="62" customWidth="1"/>
    <col min="8" max="8" width="6.6640625" style="62" customWidth="1"/>
    <col min="9" max="9" width="6.6640625" style="63" hidden="1" customWidth="1"/>
    <col min="10" max="10" width="6.6640625" style="62" hidden="1" customWidth="1"/>
    <col min="11" max="11" width="6.6640625" style="63" customWidth="1"/>
    <col min="12" max="12" width="7.5" style="63" customWidth="1"/>
    <col min="13" max="14" width="8.33203125" style="231" customWidth="1"/>
    <col min="15" max="15" width="7.83203125" style="231" customWidth="1"/>
    <col min="16" max="16" width="7.1640625" style="231" customWidth="1"/>
    <col min="17" max="18" width="7.6640625" style="231" customWidth="1"/>
    <col min="19" max="19" width="7.1640625" style="231" customWidth="1"/>
    <col min="20" max="21" width="6.83203125" style="231" customWidth="1"/>
    <col min="22" max="22" width="7.6640625" style="231" customWidth="1"/>
    <col min="23" max="24" width="6.83203125" style="231" customWidth="1"/>
    <col min="25" max="25" width="7.83203125" style="231" customWidth="1"/>
    <col min="26" max="27" width="6.83203125" style="231" customWidth="1"/>
    <col min="28" max="28" width="7.6640625" style="231" customWidth="1"/>
    <col min="29" max="30" width="6.83203125" style="231" customWidth="1"/>
    <col min="31" max="31" width="7.83203125" style="231" customWidth="1"/>
    <col min="32" max="32" width="6.83203125" style="231" customWidth="1"/>
    <col min="33" max="33" width="7.33203125" style="231" customWidth="1"/>
    <col min="34" max="36" width="6.83203125" style="231" customWidth="1"/>
    <col min="37" max="37" width="7.1640625" style="231" customWidth="1"/>
    <col min="38" max="42" width="6.83203125" style="231" customWidth="1"/>
    <col min="43" max="43" width="7" style="231" customWidth="1"/>
    <col min="44" max="46" width="6.83203125" style="231" customWidth="1"/>
    <col min="47" max="47" width="8.5" style="231" customWidth="1"/>
    <col min="48" max="49" width="6.83203125" style="231" customWidth="1"/>
    <col min="50" max="50" width="6.33203125" style="231" hidden="1" customWidth="1"/>
    <col min="51" max="54" width="6.83203125" style="231" hidden="1" customWidth="1"/>
    <col min="55" max="55" width="8.5" style="231" hidden="1" customWidth="1"/>
    <col min="56" max="58" width="6.83203125" style="231" hidden="1" customWidth="1"/>
    <col min="59" max="59" width="6.33203125" style="210" hidden="1" customWidth="1"/>
    <col min="60" max="60" width="13" style="44" customWidth="1"/>
    <col min="61" max="61" width="28.83203125" style="44" customWidth="1"/>
    <col min="62" max="16384" width="9.33203125" style="41"/>
  </cols>
  <sheetData>
    <row r="1" spans="1:61" s="45" customFormat="1" ht="14.25" customHeight="1">
      <c r="A1" s="750" t="s">
        <v>170</v>
      </c>
      <c r="B1" s="736" t="s">
        <v>586</v>
      </c>
      <c r="C1" s="689" t="s">
        <v>75</v>
      </c>
      <c r="D1" s="694" t="s">
        <v>587</v>
      </c>
      <c r="E1" s="695"/>
      <c r="F1" s="695"/>
      <c r="G1" s="695"/>
      <c r="H1" s="695"/>
      <c r="I1" s="316"/>
      <c r="J1" s="789" t="s">
        <v>492</v>
      </c>
      <c r="K1" s="841" t="s">
        <v>2</v>
      </c>
      <c r="L1" s="839"/>
      <c r="M1" s="722" t="s">
        <v>2</v>
      </c>
      <c r="N1" s="723"/>
      <c r="O1" s="723"/>
      <c r="P1" s="723"/>
      <c r="Q1" s="723"/>
      <c r="R1" s="723"/>
      <c r="S1" s="724"/>
      <c r="T1" s="336"/>
      <c r="U1" s="846"/>
      <c r="V1" s="846"/>
      <c r="W1" s="846"/>
      <c r="X1" s="846"/>
      <c r="Y1" s="846"/>
      <c r="Z1" s="846"/>
      <c r="AA1" s="846"/>
      <c r="AB1" s="846"/>
      <c r="AC1" s="846"/>
      <c r="AD1" s="846"/>
      <c r="AE1" s="846"/>
      <c r="AF1" s="846"/>
      <c r="AG1" s="846"/>
      <c r="AH1" s="846"/>
      <c r="AI1" s="846"/>
      <c r="AJ1" s="846"/>
      <c r="AK1" s="846"/>
      <c r="AL1" s="846"/>
      <c r="AM1" s="846"/>
      <c r="AN1" s="846"/>
      <c r="AO1" s="846"/>
      <c r="AP1" s="846"/>
      <c r="AQ1" s="846"/>
      <c r="AR1" s="846"/>
      <c r="AS1" s="846"/>
      <c r="AT1" s="846"/>
      <c r="AU1" s="846"/>
      <c r="AV1" s="846"/>
      <c r="AW1" s="846"/>
      <c r="AX1" s="847"/>
      <c r="AY1" s="350"/>
      <c r="AZ1" s="350"/>
      <c r="BA1" s="350"/>
      <c r="BB1" s="350"/>
      <c r="BC1" s="350"/>
      <c r="BD1" s="350"/>
      <c r="BE1" s="350"/>
      <c r="BF1" s="350"/>
      <c r="BG1" s="481"/>
      <c r="BH1" s="747" t="s">
        <v>171</v>
      </c>
      <c r="BI1" s="747" t="s">
        <v>73</v>
      </c>
    </row>
    <row r="2" spans="1:61" s="45" customFormat="1">
      <c r="A2" s="751"/>
      <c r="B2" s="737"/>
      <c r="C2" s="690"/>
      <c r="D2" s="696"/>
      <c r="E2" s="697"/>
      <c r="F2" s="697"/>
      <c r="G2" s="697"/>
      <c r="H2" s="697"/>
      <c r="I2" s="317"/>
      <c r="J2" s="790"/>
      <c r="K2" s="842"/>
      <c r="L2" s="843"/>
      <c r="M2" s="835" t="s">
        <v>1</v>
      </c>
      <c r="N2" s="722" t="s">
        <v>3</v>
      </c>
      <c r="O2" s="723"/>
      <c r="P2" s="723"/>
      <c r="Q2" s="723"/>
      <c r="R2" s="723"/>
      <c r="S2" s="724"/>
      <c r="T2" s="722" t="s">
        <v>80</v>
      </c>
      <c r="U2" s="723"/>
      <c r="V2" s="723"/>
      <c r="W2" s="723"/>
      <c r="X2" s="723"/>
      <c r="Y2" s="723"/>
      <c r="Z2" s="723" t="s">
        <v>81</v>
      </c>
      <c r="AA2" s="723"/>
      <c r="AB2" s="723"/>
      <c r="AC2" s="723"/>
      <c r="AD2" s="723"/>
      <c r="AE2" s="724"/>
      <c r="AF2" s="788" t="s">
        <v>82</v>
      </c>
      <c r="AG2" s="788"/>
      <c r="AH2" s="788"/>
      <c r="AI2" s="788"/>
      <c r="AJ2" s="788"/>
      <c r="AK2" s="788"/>
      <c r="AL2" s="788" t="s">
        <v>83</v>
      </c>
      <c r="AM2" s="788"/>
      <c r="AN2" s="788"/>
      <c r="AO2" s="788"/>
      <c r="AP2" s="788"/>
      <c r="AQ2" s="788"/>
      <c r="AR2" s="788" t="s">
        <v>84</v>
      </c>
      <c r="AS2" s="788"/>
      <c r="AT2" s="788"/>
      <c r="AU2" s="788"/>
      <c r="AV2" s="788"/>
      <c r="AW2" s="788"/>
      <c r="AX2" s="788" t="s">
        <v>491</v>
      </c>
      <c r="AY2" s="788"/>
      <c r="AZ2" s="788"/>
      <c r="BA2" s="788"/>
      <c r="BB2" s="788"/>
      <c r="BC2" s="788"/>
      <c r="BD2" s="788"/>
      <c r="BE2" s="788"/>
      <c r="BF2" s="788"/>
      <c r="BG2" s="788"/>
      <c r="BH2" s="748"/>
      <c r="BI2" s="748"/>
    </row>
    <row r="3" spans="1:61" s="45" customFormat="1" ht="12.75" customHeight="1">
      <c r="A3" s="751"/>
      <c r="B3" s="737"/>
      <c r="C3" s="690"/>
      <c r="D3" s="692" t="s">
        <v>65</v>
      </c>
      <c r="E3" s="692" t="s">
        <v>581</v>
      </c>
      <c r="F3" s="344"/>
      <c r="G3" s="692" t="s">
        <v>588</v>
      </c>
      <c r="H3" s="702" t="s">
        <v>589</v>
      </c>
      <c r="I3" s="318"/>
      <c r="J3" s="790"/>
      <c r="K3" s="842"/>
      <c r="L3" s="843"/>
      <c r="M3" s="737"/>
      <c r="N3" s="832" t="s">
        <v>86</v>
      </c>
      <c r="O3" s="723"/>
      <c r="P3" s="723"/>
      <c r="Q3" s="723"/>
      <c r="R3" s="724"/>
      <c r="S3" s="832" t="s">
        <v>87</v>
      </c>
      <c r="T3" s="764"/>
      <c r="U3" s="725"/>
      <c r="V3" s="343"/>
      <c r="W3" s="792">
        <v>30</v>
      </c>
      <c r="X3" s="792"/>
      <c r="Y3" s="449"/>
      <c r="Z3" s="764"/>
      <c r="AA3" s="725"/>
      <c r="AB3" s="343"/>
      <c r="AC3" s="792">
        <v>30</v>
      </c>
      <c r="AD3" s="792"/>
      <c r="AE3" s="449"/>
      <c r="AF3" s="764"/>
      <c r="AG3" s="725"/>
      <c r="AH3" s="347"/>
      <c r="AI3" s="347"/>
      <c r="AJ3" s="792">
        <v>40</v>
      </c>
      <c r="AK3" s="839"/>
      <c r="AL3" s="764"/>
      <c r="AM3" s="725"/>
      <c r="AN3" s="347"/>
      <c r="AO3" s="792">
        <v>40</v>
      </c>
      <c r="AP3" s="792"/>
      <c r="AQ3" s="449"/>
      <c r="AR3" s="764"/>
      <c r="AS3" s="725"/>
      <c r="AT3" s="347"/>
      <c r="AU3" s="792">
        <v>40</v>
      </c>
      <c r="AV3" s="792"/>
      <c r="AW3" s="449"/>
      <c r="AX3" s="480"/>
      <c r="AY3" s="836"/>
      <c r="AZ3" s="837"/>
      <c r="BA3" s="837"/>
      <c r="BB3" s="349"/>
      <c r="BC3" s="838">
        <v>40</v>
      </c>
      <c r="BD3" s="838"/>
      <c r="BE3" s="838"/>
      <c r="BF3" s="274"/>
      <c r="BG3" s="482"/>
      <c r="BH3" s="748"/>
      <c r="BI3" s="748"/>
    </row>
    <row r="4" spans="1:61" s="45" customFormat="1" ht="12.75" customHeight="1">
      <c r="A4" s="751"/>
      <c r="B4" s="737"/>
      <c r="C4" s="690"/>
      <c r="D4" s="693"/>
      <c r="E4" s="693"/>
      <c r="F4" s="345"/>
      <c r="G4" s="693"/>
      <c r="H4" s="703"/>
      <c r="I4" s="318"/>
      <c r="J4" s="790"/>
      <c r="K4" s="842"/>
      <c r="L4" s="843"/>
      <c r="M4" s="737"/>
      <c r="N4" s="833"/>
      <c r="O4" s="832" t="s">
        <v>312</v>
      </c>
      <c r="P4" s="832" t="s">
        <v>70</v>
      </c>
      <c r="Q4" s="832" t="s">
        <v>232</v>
      </c>
      <c r="R4" s="832" t="s">
        <v>313</v>
      </c>
      <c r="S4" s="833"/>
      <c r="T4" s="696"/>
      <c r="U4" s="697"/>
      <c r="V4" s="346"/>
      <c r="W4" s="697" t="s">
        <v>490</v>
      </c>
      <c r="X4" s="697"/>
      <c r="Y4" s="450"/>
      <c r="Z4" s="696"/>
      <c r="AA4" s="697"/>
      <c r="AB4" s="346"/>
      <c r="AC4" s="697" t="s">
        <v>490</v>
      </c>
      <c r="AD4" s="697"/>
      <c r="AE4" s="450"/>
      <c r="AF4" s="696"/>
      <c r="AG4" s="697"/>
      <c r="AH4" s="346"/>
      <c r="AI4" s="346"/>
      <c r="AJ4" s="697" t="s">
        <v>490</v>
      </c>
      <c r="AK4" s="825"/>
      <c r="AL4" s="696"/>
      <c r="AM4" s="697"/>
      <c r="AN4" s="346"/>
      <c r="AO4" s="697" t="s">
        <v>490</v>
      </c>
      <c r="AP4" s="697"/>
      <c r="AQ4" s="450"/>
      <c r="AR4" s="696"/>
      <c r="AS4" s="697"/>
      <c r="AT4" s="346"/>
      <c r="AU4" s="697" t="s">
        <v>490</v>
      </c>
      <c r="AV4" s="697"/>
      <c r="AW4" s="450"/>
      <c r="AX4" s="478"/>
      <c r="AY4" s="760"/>
      <c r="AZ4" s="697"/>
      <c r="BA4" s="697"/>
      <c r="BB4" s="346"/>
      <c r="BC4" s="697" t="s">
        <v>490</v>
      </c>
      <c r="BD4" s="697"/>
      <c r="BE4" s="697"/>
      <c r="BF4" s="352"/>
      <c r="BG4" s="482"/>
      <c r="BH4" s="748"/>
      <c r="BI4" s="748"/>
    </row>
    <row r="5" spans="1:61" s="45" customFormat="1" ht="12.75" customHeight="1">
      <c r="A5" s="751"/>
      <c r="B5" s="737"/>
      <c r="C5" s="690"/>
      <c r="D5" s="693"/>
      <c r="E5" s="693"/>
      <c r="F5" s="345"/>
      <c r="G5" s="693"/>
      <c r="H5" s="703"/>
      <c r="I5" s="318"/>
      <c r="J5" s="790"/>
      <c r="K5" s="842"/>
      <c r="L5" s="843"/>
      <c r="M5" s="737"/>
      <c r="N5" s="833"/>
      <c r="O5" s="833"/>
      <c r="P5" s="833"/>
      <c r="Q5" s="833"/>
      <c r="R5" s="833"/>
      <c r="S5" s="833"/>
      <c r="T5" s="848" t="s">
        <v>148</v>
      </c>
      <c r="U5" s="824"/>
      <c r="V5" s="555"/>
      <c r="W5" s="555"/>
      <c r="X5" s="47">
        <f>IF((SUM(U81:Y81)+SUM(U76:Y76))=0,0,(SUM(U81:Y81)+SUM(U76:Y76))/Нормы!$G$38)</f>
        <v>0</v>
      </c>
      <c r="Y5" s="451" t="s">
        <v>149</v>
      </c>
      <c r="Z5" s="848" t="s">
        <v>148</v>
      </c>
      <c r="AA5" s="824"/>
      <c r="AB5" s="555"/>
      <c r="AC5" s="555"/>
      <c r="AD5" s="47">
        <f>IF((SUM(AA81:AE81)+SUM(AA76:AE76))=0,0,(SUM(AA81:AE81)+SUM(AA76:AE76))/Нормы!$G$38)</f>
        <v>9</v>
      </c>
      <c r="AE5" s="451" t="s">
        <v>149</v>
      </c>
      <c r="AF5" s="848" t="s">
        <v>148</v>
      </c>
      <c r="AG5" s="824"/>
      <c r="AH5" s="555"/>
      <c r="AI5" s="555"/>
      <c r="AJ5" s="47">
        <f>IF((SUM(AG81:AK81)+SUM(AG76:AK76))=0,0,(SUM(AG81:AK81)+SUM(AG76:AK76))/Нормы!$G$38)</f>
        <v>11</v>
      </c>
      <c r="AK5" s="451" t="s">
        <v>149</v>
      </c>
      <c r="AL5" s="848" t="s">
        <v>148</v>
      </c>
      <c r="AM5" s="824"/>
      <c r="AN5" s="555"/>
      <c r="AO5" s="555"/>
      <c r="AP5" s="47">
        <f>IF((SUM(AM81:AQ81)+SUM(AM76:AQ76))=0,0,(SUM(AM81:AQ81)+SUM(AM76:AQ76))/Нормы!$G$38)</f>
        <v>23</v>
      </c>
      <c r="AQ5" s="451" t="s">
        <v>149</v>
      </c>
      <c r="AR5" s="848" t="s">
        <v>148</v>
      </c>
      <c r="AS5" s="824"/>
      <c r="AT5" s="351"/>
      <c r="AU5" s="351"/>
      <c r="AV5" s="47">
        <f>IF((SUM(AS81:AW81)+SUM(AS76:AW76))=0,0,(SUM(AS81:AW81)+SUM(AS76:AW76))/Нормы!$G$38)</f>
        <v>12</v>
      </c>
      <c r="AW5" s="451" t="s">
        <v>149</v>
      </c>
      <c r="AX5" s="479"/>
      <c r="AY5" s="48"/>
      <c r="AZ5" s="824" t="s">
        <v>148</v>
      </c>
      <c r="BA5" s="824"/>
      <c r="BB5" s="351"/>
      <c r="BC5" s="351"/>
      <c r="BD5" s="46"/>
      <c r="BE5" s="47">
        <f>IF((SUM(AZ81:BF81)+SUM(AZ76:BF76))=0,0,(SUM(AZ81:BF81)+SUM(AZ76:BF76))/Нормы!$G$37)</f>
        <v>0</v>
      </c>
      <c r="BF5" s="49" t="s">
        <v>149</v>
      </c>
      <c r="BG5" s="482"/>
      <c r="BH5" s="748"/>
      <c r="BI5" s="748"/>
    </row>
    <row r="6" spans="1:61" s="45" customFormat="1" ht="12.75" customHeight="1">
      <c r="A6" s="751"/>
      <c r="B6" s="737"/>
      <c r="C6" s="690"/>
      <c r="D6" s="693"/>
      <c r="E6" s="693"/>
      <c r="F6" s="345"/>
      <c r="G6" s="693"/>
      <c r="H6" s="703"/>
      <c r="I6" s="318"/>
      <c r="J6" s="790"/>
      <c r="K6" s="844"/>
      <c r="L6" s="845"/>
      <c r="M6" s="737"/>
      <c r="N6" s="833"/>
      <c r="O6" s="833"/>
      <c r="P6" s="833"/>
      <c r="Q6" s="833"/>
      <c r="R6" s="833"/>
      <c r="S6" s="833"/>
      <c r="T6" s="854" t="s">
        <v>150</v>
      </c>
      <c r="U6" s="840"/>
      <c r="V6" s="840"/>
      <c r="W6" s="353"/>
      <c r="X6" s="50">
        <f>IF(SUM(U84:Y84)=0,0,SUM(U84:Y84)/Нормы!$G$37)</f>
        <v>0</v>
      </c>
      <c r="Y6" s="452" t="s">
        <v>149</v>
      </c>
      <c r="Z6" s="854" t="s">
        <v>150</v>
      </c>
      <c r="AA6" s="840"/>
      <c r="AB6" s="840"/>
      <c r="AC6" s="353"/>
      <c r="AD6" s="50">
        <f>IF(SUM(AA84:AE84)=0,0,SUM(AA84:AE84)/Нормы!$G$37)</f>
        <v>0</v>
      </c>
      <c r="AE6" s="452" t="s">
        <v>149</v>
      </c>
      <c r="AF6" s="854" t="s">
        <v>150</v>
      </c>
      <c r="AG6" s="840"/>
      <c r="AH6" s="840"/>
      <c r="AI6" s="353"/>
      <c r="AJ6" s="50">
        <f>IF(SUM(AG84:AK84)=0,0,SUM(AG84:AK84)/Нормы!$G$37)</f>
        <v>0</v>
      </c>
      <c r="AK6" s="452" t="s">
        <v>149</v>
      </c>
      <c r="AL6" s="854" t="s">
        <v>150</v>
      </c>
      <c r="AM6" s="840"/>
      <c r="AN6" s="840"/>
      <c r="AO6" s="353"/>
      <c r="AP6" s="50">
        <f>IF(SUM(AM84:AQ84)=0,0,SUM(AM84:AQ84)/Нормы!$G$37)</f>
        <v>0</v>
      </c>
      <c r="AQ6" s="452" t="s">
        <v>149</v>
      </c>
      <c r="AR6" s="854" t="s">
        <v>150</v>
      </c>
      <c r="AS6" s="840"/>
      <c r="AT6" s="840"/>
      <c r="AU6" s="353"/>
      <c r="AV6" s="50">
        <f>IF(SUM(AS84:AW84)=0,0,SUM(AS84:AW84)/Нормы!$G$37)</f>
        <v>4</v>
      </c>
      <c r="AW6" s="452" t="s">
        <v>149</v>
      </c>
      <c r="AX6" s="478"/>
      <c r="AY6" s="51"/>
      <c r="AZ6" s="840" t="s">
        <v>150</v>
      </c>
      <c r="BA6" s="840"/>
      <c r="BB6" s="840"/>
      <c r="BC6" s="840"/>
      <c r="BD6" s="840"/>
      <c r="BE6" s="50">
        <f>IF(SUM(AZ84:BF84)=0,0,SUM(AZ84:BF84)/Нормы!$G$37)</f>
        <v>0</v>
      </c>
      <c r="BF6" s="52" t="s">
        <v>149</v>
      </c>
      <c r="BG6" s="482"/>
      <c r="BH6" s="748"/>
      <c r="BI6" s="748"/>
    </row>
    <row r="7" spans="1:61" s="45" customFormat="1" ht="135.75" customHeight="1">
      <c r="A7" s="752"/>
      <c r="B7" s="738"/>
      <c r="C7" s="691"/>
      <c r="D7" s="693"/>
      <c r="E7" s="693"/>
      <c r="F7" s="345" t="s">
        <v>66</v>
      </c>
      <c r="G7" s="693"/>
      <c r="H7" s="703"/>
      <c r="I7" s="319"/>
      <c r="J7" s="791"/>
      <c r="K7" s="485" t="s">
        <v>179</v>
      </c>
      <c r="L7" s="485" t="s">
        <v>274</v>
      </c>
      <c r="M7" s="738"/>
      <c r="N7" s="834"/>
      <c r="O7" s="834"/>
      <c r="P7" s="834"/>
      <c r="Q7" s="834"/>
      <c r="R7" s="834"/>
      <c r="S7" s="834"/>
      <c r="T7" s="453" t="s">
        <v>139</v>
      </c>
      <c r="U7" s="454" t="s">
        <v>592</v>
      </c>
      <c r="V7" s="455" t="s">
        <v>593</v>
      </c>
      <c r="W7" s="454" t="s">
        <v>232</v>
      </c>
      <c r="X7" s="455" t="s">
        <v>313</v>
      </c>
      <c r="Y7" s="455" t="s">
        <v>71</v>
      </c>
      <c r="Z7" s="453" t="s">
        <v>139</v>
      </c>
      <c r="AA7" s="454" t="s">
        <v>592</v>
      </c>
      <c r="AB7" s="455" t="s">
        <v>593</v>
      </c>
      <c r="AC7" s="454" t="s">
        <v>232</v>
      </c>
      <c r="AD7" s="455" t="s">
        <v>313</v>
      </c>
      <c r="AE7" s="455" t="s">
        <v>71</v>
      </c>
      <c r="AF7" s="453" t="s">
        <v>139</v>
      </c>
      <c r="AG7" s="454" t="s">
        <v>592</v>
      </c>
      <c r="AH7" s="455" t="s">
        <v>593</v>
      </c>
      <c r="AI7" s="454" t="s">
        <v>232</v>
      </c>
      <c r="AJ7" s="455" t="s">
        <v>313</v>
      </c>
      <c r="AK7" s="455" t="s">
        <v>71</v>
      </c>
      <c r="AL7" s="453" t="s">
        <v>139</v>
      </c>
      <c r="AM7" s="454" t="s">
        <v>592</v>
      </c>
      <c r="AN7" s="455" t="s">
        <v>593</v>
      </c>
      <c r="AO7" s="454" t="s">
        <v>232</v>
      </c>
      <c r="AP7" s="455" t="s">
        <v>313</v>
      </c>
      <c r="AQ7" s="455" t="s">
        <v>71</v>
      </c>
      <c r="AR7" s="453" t="s">
        <v>139</v>
      </c>
      <c r="AS7" s="454" t="s">
        <v>592</v>
      </c>
      <c r="AT7" s="455" t="s">
        <v>593</v>
      </c>
      <c r="AU7" s="454" t="s">
        <v>232</v>
      </c>
      <c r="AV7" s="455" t="s">
        <v>313</v>
      </c>
      <c r="AW7" s="455" t="s">
        <v>71</v>
      </c>
      <c r="AX7" s="478" t="s">
        <v>140</v>
      </c>
      <c r="AY7" s="483" t="s">
        <v>139</v>
      </c>
      <c r="AZ7" s="54" t="s">
        <v>311</v>
      </c>
      <c r="BA7" s="54" t="s">
        <v>312</v>
      </c>
      <c r="BB7" s="54" t="s">
        <v>70</v>
      </c>
      <c r="BC7" s="54" t="s">
        <v>232</v>
      </c>
      <c r="BD7" s="54" t="s">
        <v>313</v>
      </c>
      <c r="BE7" s="54" t="s">
        <v>151</v>
      </c>
      <c r="BF7" s="55" t="s">
        <v>71</v>
      </c>
      <c r="BG7" s="484"/>
      <c r="BH7" s="749"/>
      <c r="BI7" s="749"/>
    </row>
    <row r="8" spans="1:61" s="45" customFormat="1">
      <c r="A8" s="348">
        <v>1</v>
      </c>
      <c r="B8" s="348">
        <v>2</v>
      </c>
      <c r="C8" s="348">
        <v>3</v>
      </c>
      <c r="D8" s="348">
        <v>4</v>
      </c>
      <c r="E8" s="348">
        <v>5</v>
      </c>
      <c r="F8" s="348">
        <v>6</v>
      </c>
      <c r="G8" s="348">
        <v>7</v>
      </c>
      <c r="H8" s="348">
        <v>8</v>
      </c>
      <c r="I8" s="471"/>
      <c r="J8" s="348"/>
      <c r="K8" s="348">
        <v>9</v>
      </c>
      <c r="L8" s="348">
        <v>10</v>
      </c>
      <c r="M8" s="348">
        <v>11</v>
      </c>
      <c r="N8" s="348">
        <v>12</v>
      </c>
      <c r="O8" s="348">
        <v>14</v>
      </c>
      <c r="P8" s="348">
        <v>15</v>
      </c>
      <c r="Q8" s="348">
        <v>16</v>
      </c>
      <c r="R8" s="348">
        <v>17</v>
      </c>
      <c r="S8" s="348">
        <v>19</v>
      </c>
      <c r="T8" s="348">
        <v>21</v>
      </c>
      <c r="U8" s="348">
        <v>23</v>
      </c>
      <c r="V8" s="348">
        <v>24</v>
      </c>
      <c r="W8" s="348">
        <v>25</v>
      </c>
      <c r="X8" s="348">
        <v>26</v>
      </c>
      <c r="Y8" s="348">
        <v>28</v>
      </c>
      <c r="Z8" s="348">
        <v>21</v>
      </c>
      <c r="AA8" s="348">
        <v>23</v>
      </c>
      <c r="AB8" s="348">
        <v>24</v>
      </c>
      <c r="AC8" s="348">
        <v>25</v>
      </c>
      <c r="AD8" s="348">
        <v>26</v>
      </c>
      <c r="AE8" s="348">
        <v>28</v>
      </c>
      <c r="AF8" s="348">
        <v>29</v>
      </c>
      <c r="AG8" s="348">
        <v>31</v>
      </c>
      <c r="AH8" s="348">
        <v>32</v>
      </c>
      <c r="AI8" s="348">
        <v>33</v>
      </c>
      <c r="AJ8" s="348">
        <v>34</v>
      </c>
      <c r="AK8" s="348">
        <v>36</v>
      </c>
      <c r="AL8" s="348">
        <v>37</v>
      </c>
      <c r="AM8" s="348">
        <v>39</v>
      </c>
      <c r="AN8" s="348">
        <v>40</v>
      </c>
      <c r="AO8" s="348">
        <v>41</v>
      </c>
      <c r="AP8" s="348">
        <v>42</v>
      </c>
      <c r="AQ8" s="348">
        <v>44</v>
      </c>
      <c r="AR8" s="348">
        <v>45</v>
      </c>
      <c r="AS8" s="348">
        <v>47</v>
      </c>
      <c r="AT8" s="348">
        <v>48</v>
      </c>
      <c r="AU8" s="348">
        <v>49</v>
      </c>
      <c r="AV8" s="348">
        <v>50</v>
      </c>
      <c r="AW8" s="348">
        <v>52</v>
      </c>
      <c r="AX8" s="348">
        <v>92</v>
      </c>
      <c r="AY8" s="348">
        <v>45</v>
      </c>
      <c r="AZ8" s="348">
        <v>46</v>
      </c>
      <c r="BA8" s="348">
        <v>47</v>
      </c>
      <c r="BB8" s="348">
        <v>48</v>
      </c>
      <c r="BC8" s="348">
        <v>49</v>
      </c>
      <c r="BD8" s="348">
        <v>50</v>
      </c>
      <c r="BE8" s="348">
        <v>51</v>
      </c>
      <c r="BF8" s="348">
        <v>52</v>
      </c>
      <c r="BG8" s="472"/>
      <c r="BH8" s="348">
        <v>53</v>
      </c>
      <c r="BI8" s="348">
        <v>54</v>
      </c>
    </row>
    <row r="9" spans="1:61" s="240" customFormat="1" ht="12.75" customHeight="1">
      <c r="A9" s="503"/>
      <c r="B9" s="853" t="s">
        <v>378</v>
      </c>
      <c r="C9" s="853"/>
      <c r="D9" s="853"/>
      <c r="E9" s="853"/>
      <c r="F9" s="853"/>
      <c r="G9" s="853"/>
      <c r="H9" s="853"/>
      <c r="I9" s="504"/>
      <c r="J9" s="505"/>
      <c r="K9" s="504">
        <f>'Учебный план'!K27</f>
        <v>5391</v>
      </c>
      <c r="L9" s="504">
        <f>'Учебный план'!L27</f>
        <v>3594</v>
      </c>
      <c r="M9" s="504">
        <f t="shared" ref="M9:AE9" si="0">SUM(M10+M16+M20)</f>
        <v>3821</v>
      </c>
      <c r="N9" s="504">
        <f t="shared" si="0"/>
        <v>528</v>
      </c>
      <c r="O9" s="504">
        <f t="shared" si="0"/>
        <v>357</v>
      </c>
      <c r="P9" s="504">
        <f t="shared" si="0"/>
        <v>114</v>
      </c>
      <c r="Q9" s="504">
        <f t="shared" si="0"/>
        <v>57</v>
      </c>
      <c r="R9" s="504">
        <f t="shared" si="0"/>
        <v>0</v>
      </c>
      <c r="S9" s="504">
        <f t="shared" si="0"/>
        <v>3293</v>
      </c>
      <c r="T9" s="504">
        <f t="shared" si="0"/>
        <v>936</v>
      </c>
      <c r="U9" s="504">
        <f t="shared" si="0"/>
        <v>122</v>
      </c>
      <c r="V9" s="504">
        <f t="shared" si="0"/>
        <v>38</v>
      </c>
      <c r="W9" s="504">
        <f t="shared" si="0"/>
        <v>0</v>
      </c>
      <c r="X9" s="504">
        <f t="shared" si="0"/>
        <v>0</v>
      </c>
      <c r="Y9" s="504">
        <f t="shared" si="0"/>
        <v>776</v>
      </c>
      <c r="Z9" s="504">
        <f t="shared" si="0"/>
        <v>1168</v>
      </c>
      <c r="AA9" s="504">
        <f>SUM(AA10+AA16+AA20)</f>
        <v>124</v>
      </c>
      <c r="AB9" s="504">
        <f t="shared" si="0"/>
        <v>14</v>
      </c>
      <c r="AC9" s="504">
        <f t="shared" si="0"/>
        <v>0</v>
      </c>
      <c r="AD9" s="504">
        <f t="shared" si="0"/>
        <v>0</v>
      </c>
      <c r="AE9" s="504">
        <f t="shared" si="0"/>
        <v>1030</v>
      </c>
      <c r="AF9" s="504">
        <f t="shared" ref="AF9:AW9" si="1">SUM(AF10+AF16+AF20)</f>
        <v>1144</v>
      </c>
      <c r="AG9" s="504">
        <f t="shared" si="1"/>
        <v>118</v>
      </c>
      <c r="AH9" s="504">
        <f t="shared" si="1"/>
        <v>42</v>
      </c>
      <c r="AI9" s="504">
        <f t="shared" si="1"/>
        <v>0</v>
      </c>
      <c r="AJ9" s="504">
        <f t="shared" si="1"/>
        <v>0</v>
      </c>
      <c r="AK9" s="504">
        <f t="shared" si="1"/>
        <v>984</v>
      </c>
      <c r="AL9" s="504">
        <f t="shared" si="1"/>
        <v>1159</v>
      </c>
      <c r="AM9" s="504">
        <f t="shared" si="1"/>
        <v>96</v>
      </c>
      <c r="AN9" s="504">
        <f t="shared" si="1"/>
        <v>34</v>
      </c>
      <c r="AO9" s="504">
        <f t="shared" si="1"/>
        <v>22</v>
      </c>
      <c r="AP9" s="504">
        <f t="shared" si="1"/>
        <v>0</v>
      </c>
      <c r="AQ9" s="504">
        <f t="shared" si="1"/>
        <v>1007</v>
      </c>
      <c r="AR9" s="504">
        <f t="shared" si="1"/>
        <v>984</v>
      </c>
      <c r="AS9" s="504">
        <f t="shared" si="1"/>
        <v>41</v>
      </c>
      <c r="AT9" s="504">
        <f t="shared" si="1"/>
        <v>51</v>
      </c>
      <c r="AU9" s="504">
        <f t="shared" si="1"/>
        <v>68</v>
      </c>
      <c r="AV9" s="504">
        <f t="shared" si="1"/>
        <v>0</v>
      </c>
      <c r="AW9" s="504">
        <f t="shared" si="1"/>
        <v>824</v>
      </c>
      <c r="AX9" s="504">
        <f>AX10+AX16+AX20</f>
        <v>0</v>
      </c>
      <c r="AY9" s="504">
        <f t="shared" ref="AY9:BF9" si="2">SUM(AY10+AY16+AY20)</f>
        <v>0</v>
      </c>
      <c r="AZ9" s="504">
        <f t="shared" si="2"/>
        <v>0</v>
      </c>
      <c r="BA9" s="504">
        <f t="shared" si="2"/>
        <v>0</v>
      </c>
      <c r="BB9" s="504">
        <f t="shared" si="2"/>
        <v>0</v>
      </c>
      <c r="BC9" s="504">
        <f t="shared" si="2"/>
        <v>0</v>
      </c>
      <c r="BD9" s="504">
        <f t="shared" si="2"/>
        <v>0</v>
      </c>
      <c r="BE9" s="504">
        <f t="shared" si="2"/>
        <v>0</v>
      </c>
      <c r="BF9" s="504">
        <f t="shared" si="2"/>
        <v>0</v>
      </c>
      <c r="BG9" s="180"/>
      <c r="BH9" s="505">
        <f>'Учебный план'!BZ27</f>
        <v>0</v>
      </c>
      <c r="BI9" s="505">
        <f>'Учебный план'!CA27</f>
        <v>0</v>
      </c>
    </row>
    <row r="10" spans="1:61" s="240" customFormat="1" ht="27" customHeight="1">
      <c r="A10" s="506" t="s">
        <v>172</v>
      </c>
      <c r="B10" s="852" t="s">
        <v>173</v>
      </c>
      <c r="C10" s="852"/>
      <c r="D10" s="852"/>
      <c r="E10" s="852"/>
      <c r="F10" s="852"/>
      <c r="G10" s="852"/>
      <c r="H10" s="852"/>
      <c r="I10" s="507"/>
      <c r="J10" s="508"/>
      <c r="K10" s="507">
        <f>'Учебный план'!K28</f>
        <v>943</v>
      </c>
      <c r="L10" s="507">
        <f>'Учебный план'!L28</f>
        <v>560</v>
      </c>
      <c r="M10" s="507">
        <f t="shared" ref="M10:AE10" si="3">SUM(M11:M15)</f>
        <v>943</v>
      </c>
      <c r="N10" s="507">
        <f t="shared" si="3"/>
        <v>84</v>
      </c>
      <c r="O10" s="507">
        <f t="shared" si="3"/>
        <v>38</v>
      </c>
      <c r="P10" s="507">
        <f t="shared" si="3"/>
        <v>46</v>
      </c>
      <c r="Q10" s="507">
        <f t="shared" si="3"/>
        <v>0</v>
      </c>
      <c r="R10" s="507">
        <f t="shared" si="3"/>
        <v>0</v>
      </c>
      <c r="S10" s="507">
        <f t="shared" si="3"/>
        <v>859</v>
      </c>
      <c r="T10" s="507">
        <f t="shared" si="3"/>
        <v>291</v>
      </c>
      <c r="U10" s="507">
        <f t="shared" si="3"/>
        <v>26</v>
      </c>
      <c r="V10" s="507">
        <f t="shared" si="3"/>
        <v>10</v>
      </c>
      <c r="W10" s="507">
        <f t="shared" si="3"/>
        <v>0</v>
      </c>
      <c r="X10" s="507">
        <f t="shared" si="3"/>
        <v>0</v>
      </c>
      <c r="Y10" s="507">
        <f t="shared" si="3"/>
        <v>255</v>
      </c>
      <c r="Z10" s="507">
        <f>SUM(Z11:Z15)</f>
        <v>217</v>
      </c>
      <c r="AA10" s="507">
        <f t="shared" si="3"/>
        <v>12</v>
      </c>
      <c r="AB10" s="507">
        <f t="shared" si="3"/>
        <v>10</v>
      </c>
      <c r="AC10" s="507">
        <f t="shared" si="3"/>
        <v>0</v>
      </c>
      <c r="AD10" s="507">
        <f t="shared" si="3"/>
        <v>0</v>
      </c>
      <c r="AE10" s="507">
        <f t="shared" si="3"/>
        <v>195</v>
      </c>
      <c r="AF10" s="507">
        <f t="shared" ref="AF10:BF10" si="4">SUM(AF11:AF15)</f>
        <v>145</v>
      </c>
      <c r="AG10" s="507">
        <f t="shared" si="4"/>
        <v>0</v>
      </c>
      <c r="AH10" s="507">
        <f t="shared" si="4"/>
        <v>8</v>
      </c>
      <c r="AI10" s="507">
        <f t="shared" si="4"/>
        <v>0</v>
      </c>
      <c r="AJ10" s="507">
        <f t="shared" si="4"/>
        <v>0</v>
      </c>
      <c r="AK10" s="507">
        <f t="shared" si="4"/>
        <v>137</v>
      </c>
      <c r="AL10" s="507">
        <f t="shared" si="4"/>
        <v>147</v>
      </c>
      <c r="AM10" s="507">
        <f t="shared" si="4"/>
        <v>0</v>
      </c>
      <c r="AN10" s="507">
        <f t="shared" si="4"/>
        <v>8</v>
      </c>
      <c r="AO10" s="507">
        <f t="shared" si="4"/>
        <v>0</v>
      </c>
      <c r="AP10" s="507">
        <f t="shared" si="4"/>
        <v>0</v>
      </c>
      <c r="AQ10" s="507">
        <f t="shared" si="4"/>
        <v>139</v>
      </c>
      <c r="AR10" s="507">
        <f t="shared" si="4"/>
        <v>143</v>
      </c>
      <c r="AS10" s="507">
        <f t="shared" si="4"/>
        <v>0</v>
      </c>
      <c r="AT10" s="507">
        <f t="shared" si="4"/>
        <v>10</v>
      </c>
      <c r="AU10" s="507">
        <f t="shared" si="4"/>
        <v>0</v>
      </c>
      <c r="AV10" s="507">
        <f t="shared" si="4"/>
        <v>0</v>
      </c>
      <c r="AW10" s="507">
        <f t="shared" si="4"/>
        <v>133</v>
      </c>
      <c r="AX10" s="507">
        <f t="shared" si="4"/>
        <v>0</v>
      </c>
      <c r="AY10" s="507">
        <f t="shared" si="4"/>
        <v>0</v>
      </c>
      <c r="AZ10" s="507">
        <f t="shared" si="4"/>
        <v>0</v>
      </c>
      <c r="BA10" s="507">
        <f t="shared" si="4"/>
        <v>0</v>
      </c>
      <c r="BB10" s="507">
        <f t="shared" si="4"/>
        <v>0</v>
      </c>
      <c r="BC10" s="507">
        <f t="shared" si="4"/>
        <v>0</v>
      </c>
      <c r="BD10" s="507">
        <f t="shared" si="4"/>
        <v>0</v>
      </c>
      <c r="BE10" s="507">
        <f t="shared" si="4"/>
        <v>0</v>
      </c>
      <c r="BF10" s="507">
        <f t="shared" si="4"/>
        <v>0</v>
      </c>
      <c r="BG10" s="180"/>
      <c r="BH10" s="508">
        <f>'Учебный план'!BZ28</f>
        <v>0</v>
      </c>
      <c r="BI10" s="508">
        <f>'Учебный план'!CA28</f>
        <v>0</v>
      </c>
    </row>
    <row r="11" spans="1:61" s="236" customFormat="1">
      <c r="A11" s="509" t="str">
        <f>'Учебный план'!A29</f>
        <v>ОГСЭ.01</v>
      </c>
      <c r="B11" s="509" t="str">
        <f>'Учебный план'!B29</f>
        <v>Основы философии</v>
      </c>
      <c r="C11" s="219"/>
      <c r="D11" s="405"/>
      <c r="E11" s="405" t="s">
        <v>27</v>
      </c>
      <c r="F11" s="405"/>
      <c r="G11" s="405"/>
      <c r="H11" s="405"/>
      <c r="I11" s="195">
        <f>K11-M11</f>
        <v>0</v>
      </c>
      <c r="J11" s="405">
        <f>L11*$J$1</f>
        <v>14.4</v>
      </c>
      <c r="K11" s="195">
        <f>'Учебный план'!K29</f>
        <v>72</v>
      </c>
      <c r="L11" s="195">
        <f>'Учебный план'!L29</f>
        <v>48</v>
      </c>
      <c r="M11" s="510">
        <f t="shared" ref="M11:M28" si="5">SUM(N11+S11)</f>
        <v>72</v>
      </c>
      <c r="N11" s="510">
        <f>SUM(O11:R11)</f>
        <v>12</v>
      </c>
      <c r="O11" s="510">
        <f t="shared" ref="O11:R15" si="6">U11+AG11+AM11+AS11+AA11+BA11</f>
        <v>12</v>
      </c>
      <c r="P11" s="510">
        <f t="shared" si="6"/>
        <v>0</v>
      </c>
      <c r="Q11" s="510">
        <f t="shared" si="6"/>
        <v>0</v>
      </c>
      <c r="R11" s="510">
        <f t="shared" si="6"/>
        <v>0</v>
      </c>
      <c r="S11" s="510">
        <f>Y11+AK11+AQ11+AW11+BF11+AE11</f>
        <v>60</v>
      </c>
      <c r="T11" s="397">
        <f t="shared" ref="T11:T28" si="7">SUM(U11:Y11)</f>
        <v>72</v>
      </c>
      <c r="U11" s="565">
        <v>12</v>
      </c>
      <c r="V11" s="565"/>
      <c r="W11" s="565"/>
      <c r="X11" s="565"/>
      <c r="Y11" s="565">
        <f>K11-SUM(U11:V11)</f>
        <v>60</v>
      </c>
      <c r="Z11" s="566">
        <f t="shared" ref="Z11:Z28" si="8">SUM(AA11:AE11)</f>
        <v>0</v>
      </c>
      <c r="AA11" s="565"/>
      <c r="AB11" s="565"/>
      <c r="AC11" s="565"/>
      <c r="AD11" s="565"/>
      <c r="AE11" s="565"/>
      <c r="AF11" s="566">
        <f>SUM(AG11:AK11)</f>
        <v>0</v>
      </c>
      <c r="AG11" s="565"/>
      <c r="AH11" s="565"/>
      <c r="AI11" s="565"/>
      <c r="AJ11" s="565"/>
      <c r="AK11" s="565"/>
      <c r="AL11" s="566">
        <f t="shared" ref="AL11:AL28" si="9">SUM(AM11:AQ11)</f>
        <v>0</v>
      </c>
      <c r="AM11" s="565"/>
      <c r="AN11" s="565"/>
      <c r="AO11" s="565"/>
      <c r="AP11" s="565"/>
      <c r="AQ11" s="565"/>
      <c r="AR11" s="566">
        <f>SUM(AS11:AW11)</f>
        <v>0</v>
      </c>
      <c r="AS11" s="565"/>
      <c r="AT11" s="565"/>
      <c r="AU11" s="565"/>
      <c r="AV11" s="565"/>
      <c r="AW11" s="565"/>
      <c r="AX11" s="511">
        <f>LEN(H11)-LEN(SUBSTITUTE(H11,"9",""))</f>
        <v>0</v>
      </c>
      <c r="AY11" s="397">
        <f>SUM(AZ11:BF11)</f>
        <v>0</v>
      </c>
      <c r="AZ11" s="195"/>
      <c r="BA11" s="195"/>
      <c r="BB11" s="195"/>
      <c r="BC11" s="195"/>
      <c r="BD11" s="195"/>
      <c r="BE11" s="195"/>
      <c r="BF11" s="195"/>
      <c r="BG11" s="198"/>
      <c r="BH11" s="405" t="str">
        <f>'Учебный план'!BZ29</f>
        <v>64-1</v>
      </c>
      <c r="BI11" s="495" t="str">
        <f>'Учебный план'!CA29</f>
        <v>ОК 1-10, ПК 1.1</v>
      </c>
    </row>
    <row r="12" spans="1:61" s="236" customFormat="1">
      <c r="A12" s="509" t="str">
        <f>'Учебный план'!A30</f>
        <v>ОГСЭ.02</v>
      </c>
      <c r="B12" s="509" t="str">
        <f>'Учебный план'!B30</f>
        <v>История</v>
      </c>
      <c r="C12" s="219"/>
      <c r="D12" s="405"/>
      <c r="E12" s="405" t="s">
        <v>27</v>
      </c>
      <c r="F12" s="405"/>
      <c r="G12" s="405"/>
      <c r="H12" s="405"/>
      <c r="I12" s="195">
        <f t="shared" ref="I12:I15" si="10">K12-M12</f>
        <v>0</v>
      </c>
      <c r="J12" s="405">
        <f>L12*$J$1</f>
        <v>14.4</v>
      </c>
      <c r="K12" s="195">
        <f>'Учебный план'!K30</f>
        <v>72</v>
      </c>
      <c r="L12" s="195">
        <f>'Учебный план'!L30</f>
        <v>48</v>
      </c>
      <c r="M12" s="510">
        <f t="shared" si="5"/>
        <v>72</v>
      </c>
      <c r="N12" s="510">
        <f>SUM(O12:R12)</f>
        <v>12</v>
      </c>
      <c r="O12" s="510">
        <f t="shared" si="6"/>
        <v>12</v>
      </c>
      <c r="P12" s="510">
        <f t="shared" si="6"/>
        <v>0</v>
      </c>
      <c r="Q12" s="510">
        <f t="shared" si="6"/>
        <v>0</v>
      </c>
      <c r="R12" s="510">
        <f t="shared" si="6"/>
        <v>0</v>
      </c>
      <c r="S12" s="510">
        <f>Y12+AK12+AQ12+AW12+BF12+AE12</f>
        <v>60</v>
      </c>
      <c r="T12" s="397">
        <f t="shared" si="7"/>
        <v>72</v>
      </c>
      <c r="U12" s="565">
        <v>12</v>
      </c>
      <c r="V12" s="565"/>
      <c r="W12" s="565"/>
      <c r="X12" s="565"/>
      <c r="Y12" s="565">
        <v>60</v>
      </c>
      <c r="Z12" s="566">
        <f t="shared" si="8"/>
        <v>0</v>
      </c>
      <c r="AA12" s="565"/>
      <c r="AB12" s="565"/>
      <c r="AC12" s="565"/>
      <c r="AD12" s="565"/>
      <c r="AE12" s="565"/>
      <c r="AF12" s="566">
        <f>SUM(AG12:AK12)</f>
        <v>0</v>
      </c>
      <c r="AG12" s="565"/>
      <c r="AH12" s="565"/>
      <c r="AI12" s="565"/>
      <c r="AJ12" s="565"/>
      <c r="AK12" s="565"/>
      <c r="AL12" s="566">
        <f t="shared" si="9"/>
        <v>0</v>
      </c>
      <c r="AM12" s="565"/>
      <c r="AN12" s="565"/>
      <c r="AO12" s="565"/>
      <c r="AP12" s="565"/>
      <c r="AQ12" s="565"/>
      <c r="AR12" s="566">
        <f>SUM(AS12:AW12)</f>
        <v>0</v>
      </c>
      <c r="AS12" s="565"/>
      <c r="AT12" s="565"/>
      <c r="AU12" s="565"/>
      <c r="AV12" s="565"/>
      <c r="AW12" s="565"/>
      <c r="AX12" s="511">
        <f>LEN(H12)-LEN(SUBSTITUTE(H12,"9",""))</f>
        <v>0</v>
      </c>
      <c r="AY12" s="397">
        <f>SUM(AZ12:BF12)</f>
        <v>0</v>
      </c>
      <c r="AZ12" s="195"/>
      <c r="BA12" s="195"/>
      <c r="BB12" s="195"/>
      <c r="BC12" s="195"/>
      <c r="BD12" s="195"/>
      <c r="BE12" s="195"/>
      <c r="BF12" s="195"/>
      <c r="BG12" s="198"/>
      <c r="BH12" s="405" t="str">
        <f>'Учебный план'!BZ30</f>
        <v>64-1</v>
      </c>
      <c r="BI12" s="495" t="str">
        <f>'Учебный план'!CA30</f>
        <v>ОК 1-10</v>
      </c>
    </row>
    <row r="13" spans="1:61" s="236" customFormat="1">
      <c r="A13" s="509" t="str">
        <f>'Учебный план'!A31</f>
        <v>ОГСЭ.03</v>
      </c>
      <c r="B13" s="509" t="str">
        <f>'Учебный план'!B31</f>
        <v>Психология общения</v>
      </c>
      <c r="C13" s="219"/>
      <c r="D13" s="405"/>
      <c r="E13" s="405" t="s">
        <v>31</v>
      </c>
      <c r="F13" s="405"/>
      <c r="G13" s="405"/>
      <c r="H13" s="405"/>
      <c r="I13" s="195">
        <f t="shared" si="10"/>
        <v>0</v>
      </c>
      <c r="J13" s="405">
        <f>L13*$J$1</f>
        <v>14.4</v>
      </c>
      <c r="K13" s="195">
        <f>'Учебный план'!K31</f>
        <v>72</v>
      </c>
      <c r="L13" s="195">
        <f>'Учебный план'!L31</f>
        <v>48</v>
      </c>
      <c r="M13" s="510">
        <f t="shared" si="5"/>
        <v>72</v>
      </c>
      <c r="N13" s="510">
        <f>SUM(O13:R13)</f>
        <v>12</v>
      </c>
      <c r="O13" s="510">
        <f t="shared" si="6"/>
        <v>12</v>
      </c>
      <c r="P13" s="510">
        <f t="shared" si="6"/>
        <v>0</v>
      </c>
      <c r="Q13" s="510">
        <f t="shared" si="6"/>
        <v>0</v>
      </c>
      <c r="R13" s="510">
        <f t="shared" si="6"/>
        <v>0</v>
      </c>
      <c r="S13" s="510">
        <f>Y13+AK13+AQ13+AW13+BF13+AE13</f>
        <v>60</v>
      </c>
      <c r="T13" s="397">
        <f t="shared" si="7"/>
        <v>0</v>
      </c>
      <c r="U13" s="565"/>
      <c r="V13" s="565"/>
      <c r="W13" s="565"/>
      <c r="X13" s="565"/>
      <c r="Y13" s="565"/>
      <c r="Z13" s="566">
        <f t="shared" si="8"/>
        <v>72</v>
      </c>
      <c r="AA13" s="565">
        <v>12</v>
      </c>
      <c r="AB13" s="565"/>
      <c r="AC13" s="565"/>
      <c r="AD13" s="565"/>
      <c r="AE13" s="565">
        <v>60</v>
      </c>
      <c r="AF13" s="566">
        <f>SUM(AG13:AK13)</f>
        <v>0</v>
      </c>
      <c r="AG13" s="565"/>
      <c r="AH13" s="565"/>
      <c r="AI13" s="565"/>
      <c r="AJ13" s="565"/>
      <c r="AK13" s="565"/>
      <c r="AL13" s="566">
        <f t="shared" si="9"/>
        <v>0</v>
      </c>
      <c r="AM13" s="565"/>
      <c r="AN13" s="565"/>
      <c r="AO13" s="565"/>
      <c r="AP13" s="565"/>
      <c r="AQ13" s="565"/>
      <c r="AR13" s="566">
        <f>SUM(AS13:AW13)</f>
        <v>0</v>
      </c>
      <c r="AS13" s="565"/>
      <c r="AT13" s="565"/>
      <c r="AU13" s="565"/>
      <c r="AV13" s="565"/>
      <c r="AW13" s="565"/>
      <c r="AX13" s="511">
        <f>LEN(H13)-LEN(SUBSTITUTE(H13,"9",""))</f>
        <v>0</v>
      </c>
      <c r="AY13" s="397">
        <f>SUM(AZ13:BF13)</f>
        <v>0</v>
      </c>
      <c r="AZ13" s="195"/>
      <c r="BA13" s="195"/>
      <c r="BB13" s="195"/>
      <c r="BC13" s="195"/>
      <c r="BD13" s="195"/>
      <c r="BE13" s="195"/>
      <c r="BF13" s="195"/>
      <c r="BG13" s="198"/>
      <c r="BH13" s="405" t="str">
        <f>'Учебный план'!BZ31</f>
        <v>64-1</v>
      </c>
      <c r="BI13" s="495" t="str">
        <f>'Учебный план'!CA31</f>
        <v>ОК 1-10, ПК 2.3-2.7</v>
      </c>
    </row>
    <row r="14" spans="1:61" s="236" customFormat="1">
      <c r="A14" s="509" t="str">
        <f>'Учебный план'!A32</f>
        <v>ОГСЭ.04</v>
      </c>
      <c r="B14" s="509" t="str">
        <f>'Учебный план'!B32</f>
        <v>Иностранный язык</v>
      </c>
      <c r="C14" s="219"/>
      <c r="D14" s="405" t="s">
        <v>30</v>
      </c>
      <c r="E14" s="405" t="s">
        <v>562</v>
      </c>
      <c r="F14" s="405"/>
      <c r="G14" s="405"/>
      <c r="H14" s="405"/>
      <c r="I14" s="195">
        <f t="shared" si="10"/>
        <v>0</v>
      </c>
      <c r="J14" s="405">
        <f>L14*$J$1</f>
        <v>62.4</v>
      </c>
      <c r="K14" s="195">
        <f>'Учебный план'!K32</f>
        <v>311</v>
      </c>
      <c r="L14" s="195">
        <f>'Учебный план'!L32</f>
        <v>208</v>
      </c>
      <c r="M14" s="510">
        <f t="shared" si="5"/>
        <v>311</v>
      </c>
      <c r="N14" s="510">
        <f>SUM(O14:R14)</f>
        <v>46</v>
      </c>
      <c r="O14" s="510">
        <f t="shared" si="6"/>
        <v>0</v>
      </c>
      <c r="P14" s="510">
        <f t="shared" si="6"/>
        <v>46</v>
      </c>
      <c r="Q14" s="510">
        <f t="shared" si="6"/>
        <v>0</v>
      </c>
      <c r="R14" s="510">
        <f t="shared" si="6"/>
        <v>0</v>
      </c>
      <c r="S14" s="510">
        <f>Y14+AK14+AQ14+AW14+BF14+AE14</f>
        <v>265</v>
      </c>
      <c r="T14" s="397">
        <f t="shared" si="7"/>
        <v>62</v>
      </c>
      <c r="U14" s="565"/>
      <c r="V14" s="565">
        <v>10</v>
      </c>
      <c r="W14" s="565"/>
      <c r="X14" s="565"/>
      <c r="Y14" s="565">
        <v>52</v>
      </c>
      <c r="Z14" s="566">
        <f t="shared" si="8"/>
        <v>62</v>
      </c>
      <c r="AA14" s="565"/>
      <c r="AB14" s="565">
        <v>10</v>
      </c>
      <c r="AC14" s="565"/>
      <c r="AD14" s="565"/>
      <c r="AE14" s="565">
        <v>52</v>
      </c>
      <c r="AF14" s="566">
        <f>SUM(AG14:AK14)</f>
        <v>62</v>
      </c>
      <c r="AG14" s="565"/>
      <c r="AH14" s="565">
        <v>8</v>
      </c>
      <c r="AI14" s="565"/>
      <c r="AJ14" s="565"/>
      <c r="AK14" s="565">
        <v>54</v>
      </c>
      <c r="AL14" s="566">
        <f t="shared" si="9"/>
        <v>64</v>
      </c>
      <c r="AM14" s="565"/>
      <c r="AN14" s="565">
        <v>8</v>
      </c>
      <c r="AO14" s="565"/>
      <c r="AP14" s="565"/>
      <c r="AQ14" s="565">
        <v>56</v>
      </c>
      <c r="AR14" s="566">
        <f>SUM(AS14:AW14)</f>
        <v>61</v>
      </c>
      <c r="AS14" s="565"/>
      <c r="AT14" s="565">
        <v>10</v>
      </c>
      <c r="AU14" s="565"/>
      <c r="AV14" s="565"/>
      <c r="AW14" s="565">
        <v>51</v>
      </c>
      <c r="AX14" s="511"/>
      <c r="AY14" s="397">
        <f t="shared" ref="AY14" si="11">SUM(AZ14:BF14)</f>
        <v>0</v>
      </c>
      <c r="AZ14" s="195"/>
      <c r="BA14" s="195"/>
      <c r="BB14" s="195"/>
      <c r="BC14" s="195"/>
      <c r="BD14" s="195"/>
      <c r="BE14" s="195"/>
      <c r="BF14" s="195"/>
      <c r="BG14" s="198"/>
      <c r="BH14" s="405" t="str">
        <f>'Учебный план'!BZ32</f>
        <v>64-1</v>
      </c>
      <c r="BI14" s="495" t="str">
        <f>'Учебный план'!CA32</f>
        <v>ОК 1-10; ПК 2.4,2.6,2.7</v>
      </c>
    </row>
    <row r="15" spans="1:61" s="236" customFormat="1">
      <c r="A15" s="509" t="str">
        <f>'Учебный план'!A33</f>
        <v>ОГСЭ.05</v>
      </c>
      <c r="B15" s="509" t="str">
        <f>'Учебный план'!B33</f>
        <v>Физическая культура</v>
      </c>
      <c r="C15" s="219"/>
      <c r="D15" s="405"/>
      <c r="E15" s="405"/>
      <c r="F15" s="99" t="s">
        <v>41</v>
      </c>
      <c r="G15" s="405"/>
      <c r="H15" s="405"/>
      <c r="I15" s="195">
        <f t="shared" si="10"/>
        <v>0</v>
      </c>
      <c r="J15" s="405"/>
      <c r="K15" s="195">
        <f>'Учебный план'!K33</f>
        <v>416</v>
      </c>
      <c r="L15" s="195">
        <f>'Учебный план'!L33</f>
        <v>208</v>
      </c>
      <c r="M15" s="510">
        <f t="shared" si="5"/>
        <v>416</v>
      </c>
      <c r="N15" s="510">
        <f>SUM(O15:R15)</f>
        <v>2</v>
      </c>
      <c r="O15" s="510">
        <f t="shared" si="6"/>
        <v>2</v>
      </c>
      <c r="P15" s="510">
        <f t="shared" si="6"/>
        <v>0</v>
      </c>
      <c r="Q15" s="510">
        <f t="shared" si="6"/>
        <v>0</v>
      </c>
      <c r="R15" s="510">
        <f t="shared" si="6"/>
        <v>0</v>
      </c>
      <c r="S15" s="510">
        <f>Y15+AK15+AQ15+AW15+BF15+AE15</f>
        <v>414</v>
      </c>
      <c r="T15" s="397">
        <f t="shared" si="7"/>
        <v>85</v>
      </c>
      <c r="U15" s="565">
        <v>2</v>
      </c>
      <c r="V15" s="565"/>
      <c r="W15" s="565"/>
      <c r="X15" s="565"/>
      <c r="Y15" s="565">
        <v>83</v>
      </c>
      <c r="Z15" s="566">
        <f t="shared" si="8"/>
        <v>83</v>
      </c>
      <c r="AA15" s="565"/>
      <c r="AB15" s="565"/>
      <c r="AC15" s="565"/>
      <c r="AD15" s="565"/>
      <c r="AE15" s="565">
        <v>83</v>
      </c>
      <c r="AF15" s="566">
        <f>SUM(AG15:AK15)</f>
        <v>83</v>
      </c>
      <c r="AG15" s="565"/>
      <c r="AH15" s="565"/>
      <c r="AI15" s="565"/>
      <c r="AJ15" s="565"/>
      <c r="AK15" s="565">
        <v>83</v>
      </c>
      <c r="AL15" s="566">
        <f t="shared" si="9"/>
        <v>83</v>
      </c>
      <c r="AM15" s="565"/>
      <c r="AN15" s="565"/>
      <c r="AO15" s="565"/>
      <c r="AP15" s="565"/>
      <c r="AQ15" s="565">
        <v>83</v>
      </c>
      <c r="AR15" s="566">
        <f>SUM(AS15:AW15)</f>
        <v>82</v>
      </c>
      <c r="AS15" s="565"/>
      <c r="AT15" s="565"/>
      <c r="AU15" s="565"/>
      <c r="AV15" s="565"/>
      <c r="AW15" s="565">
        <v>82</v>
      </c>
      <c r="AX15" s="511">
        <f>LEN(H15)-LEN(SUBSTITUTE(H15,"9",""))</f>
        <v>0</v>
      </c>
      <c r="AY15" s="397">
        <f>SUM(AZ15:BF15)</f>
        <v>0</v>
      </c>
      <c r="AZ15" s="195"/>
      <c r="BA15" s="195"/>
      <c r="BB15" s="195"/>
      <c r="BC15" s="195"/>
      <c r="BD15" s="195"/>
      <c r="BE15" s="195"/>
      <c r="BF15" s="195"/>
      <c r="BG15" s="198"/>
      <c r="BH15" s="405" t="str">
        <f>'Учебный план'!BZ33</f>
        <v>33</v>
      </c>
      <c r="BI15" s="495" t="str">
        <f>'Учебный план'!CA33</f>
        <v>ОК-2,3,6,7</v>
      </c>
    </row>
    <row r="16" spans="1:61" s="240" customFormat="1" ht="30" customHeight="1">
      <c r="A16" s="506" t="str">
        <f>'Учебный план'!A34</f>
        <v>ЕН.00</v>
      </c>
      <c r="B16" s="852" t="str">
        <f>'Учебный план'!B34</f>
        <v>Математический и общий естественнонаучный цикл</v>
      </c>
      <c r="C16" s="852"/>
      <c r="D16" s="852"/>
      <c r="E16" s="852"/>
      <c r="F16" s="852"/>
      <c r="G16" s="852"/>
      <c r="H16" s="852"/>
      <c r="I16" s="507"/>
      <c r="J16" s="508"/>
      <c r="K16" s="494">
        <f>'Учебный план'!K34</f>
        <v>198</v>
      </c>
      <c r="L16" s="494">
        <f>'Учебный план'!L34</f>
        <v>132</v>
      </c>
      <c r="M16" s="494">
        <f t="shared" si="5"/>
        <v>198</v>
      </c>
      <c r="N16" s="507">
        <f t="shared" ref="N16:S16" si="12">SUM(N17:N19)</f>
        <v>42</v>
      </c>
      <c r="O16" s="507">
        <f t="shared" si="12"/>
        <v>30</v>
      </c>
      <c r="P16" s="507">
        <f t="shared" si="12"/>
        <v>12</v>
      </c>
      <c r="Q16" s="507">
        <f t="shared" si="12"/>
        <v>0</v>
      </c>
      <c r="R16" s="507">
        <f t="shared" si="12"/>
        <v>0</v>
      </c>
      <c r="S16" s="507">
        <f t="shared" si="12"/>
        <v>156</v>
      </c>
      <c r="T16" s="494">
        <f t="shared" si="7"/>
        <v>198</v>
      </c>
      <c r="U16" s="567">
        <f t="shared" ref="U16:AV16" si="13">SUM(U17:U19)</f>
        <v>30</v>
      </c>
      <c r="V16" s="567">
        <f t="shared" si="13"/>
        <v>12</v>
      </c>
      <c r="W16" s="567">
        <f t="shared" si="13"/>
        <v>0</v>
      </c>
      <c r="X16" s="567">
        <f t="shared" si="13"/>
        <v>0</v>
      </c>
      <c r="Y16" s="567">
        <f t="shared" si="13"/>
        <v>156</v>
      </c>
      <c r="Z16" s="568">
        <f t="shared" si="8"/>
        <v>0</v>
      </c>
      <c r="AA16" s="567">
        <f t="shared" ref="AA16:AE16" si="14">SUM(AA17:AA19)</f>
        <v>0</v>
      </c>
      <c r="AB16" s="567">
        <f t="shared" si="14"/>
        <v>0</v>
      </c>
      <c r="AC16" s="567">
        <f t="shared" si="14"/>
        <v>0</v>
      </c>
      <c r="AD16" s="567">
        <f t="shared" si="14"/>
        <v>0</v>
      </c>
      <c r="AE16" s="567">
        <f t="shared" si="14"/>
        <v>0</v>
      </c>
      <c r="AF16" s="567">
        <f t="shared" si="13"/>
        <v>0</v>
      </c>
      <c r="AG16" s="567">
        <f t="shared" si="13"/>
        <v>0</v>
      </c>
      <c r="AH16" s="567">
        <f t="shared" si="13"/>
        <v>0</v>
      </c>
      <c r="AI16" s="567">
        <f t="shared" si="13"/>
        <v>0</v>
      </c>
      <c r="AJ16" s="567">
        <f t="shared" si="13"/>
        <v>0</v>
      </c>
      <c r="AK16" s="567">
        <f t="shared" si="13"/>
        <v>0</v>
      </c>
      <c r="AL16" s="568">
        <f t="shared" si="9"/>
        <v>0</v>
      </c>
      <c r="AM16" s="567">
        <f t="shared" si="13"/>
        <v>0</v>
      </c>
      <c r="AN16" s="567">
        <f t="shared" si="13"/>
        <v>0</v>
      </c>
      <c r="AO16" s="567">
        <f t="shared" si="13"/>
        <v>0</v>
      </c>
      <c r="AP16" s="567">
        <f t="shared" si="13"/>
        <v>0</v>
      </c>
      <c r="AQ16" s="567">
        <f t="shared" si="13"/>
        <v>0</v>
      </c>
      <c r="AR16" s="567">
        <f t="shared" si="13"/>
        <v>0</v>
      </c>
      <c r="AS16" s="567">
        <f t="shared" si="13"/>
        <v>0</v>
      </c>
      <c r="AT16" s="567">
        <f t="shared" si="13"/>
        <v>0</v>
      </c>
      <c r="AU16" s="567">
        <f t="shared" si="13"/>
        <v>0</v>
      </c>
      <c r="AV16" s="567">
        <f t="shared" si="13"/>
        <v>0</v>
      </c>
      <c r="AW16" s="567">
        <f>SUM(AW17:AW18)</f>
        <v>0</v>
      </c>
      <c r="AX16" s="507">
        <f>SUM(AX17:AX18)</f>
        <v>0</v>
      </c>
      <c r="AY16" s="507">
        <f t="shared" ref="AY16:BE16" si="15">SUM(AY17:AY19)</f>
        <v>0</v>
      </c>
      <c r="AZ16" s="507">
        <f t="shared" si="15"/>
        <v>0</v>
      </c>
      <c r="BA16" s="507">
        <f t="shared" si="15"/>
        <v>0</v>
      </c>
      <c r="BB16" s="507">
        <f t="shared" si="15"/>
        <v>0</v>
      </c>
      <c r="BC16" s="507">
        <f t="shared" si="15"/>
        <v>0</v>
      </c>
      <c r="BD16" s="507">
        <f t="shared" si="15"/>
        <v>0</v>
      </c>
      <c r="BE16" s="507">
        <f t="shared" si="15"/>
        <v>0</v>
      </c>
      <c r="BF16" s="507">
        <f>SUM(BF17:BF18)</f>
        <v>0</v>
      </c>
      <c r="BG16" s="180"/>
      <c r="BH16" s="508">
        <f>'Учебный план'!BZ34</f>
        <v>0</v>
      </c>
      <c r="BI16" s="508">
        <f>'Учебный план'!CA34</f>
        <v>0</v>
      </c>
    </row>
    <row r="17" spans="1:64" s="236" customFormat="1" ht="14.25" customHeight="1">
      <c r="A17" s="509" t="str">
        <f>'Учебный план'!A35</f>
        <v>ЕН.01</v>
      </c>
      <c r="B17" s="509" t="str">
        <f>'Учебный план'!B35</f>
        <v>Математика</v>
      </c>
      <c r="C17" s="219"/>
      <c r="D17" s="405" t="s">
        <v>27</v>
      </c>
      <c r="E17" s="405"/>
      <c r="F17" s="405"/>
      <c r="G17" s="405"/>
      <c r="H17" s="405"/>
      <c r="I17" s="195">
        <f t="shared" ref="I17:I19" si="16">K17-M17</f>
        <v>0</v>
      </c>
      <c r="J17" s="405">
        <f t="shared" ref="J17:J19" si="17">L17*$J$1</f>
        <v>18</v>
      </c>
      <c r="K17" s="195">
        <f>'Учебный план'!K35</f>
        <v>90</v>
      </c>
      <c r="L17" s="195">
        <f>'Учебный план'!L35</f>
        <v>60</v>
      </c>
      <c r="M17" s="510">
        <f t="shared" si="5"/>
        <v>90</v>
      </c>
      <c r="N17" s="510">
        <f>SUM(O17:R17)</f>
        <v>16</v>
      </c>
      <c r="O17" s="510">
        <f t="shared" ref="O17:R19" si="18">U17+AG17+AM17+AS17+AA17+BA17</f>
        <v>16</v>
      </c>
      <c r="P17" s="510">
        <f t="shared" si="18"/>
        <v>0</v>
      </c>
      <c r="Q17" s="510">
        <f t="shared" si="18"/>
        <v>0</v>
      </c>
      <c r="R17" s="510">
        <f t="shared" si="18"/>
        <v>0</v>
      </c>
      <c r="S17" s="510">
        <f>Y17+AK17+AQ17+AW17+BF17+AE17</f>
        <v>74</v>
      </c>
      <c r="T17" s="397">
        <f t="shared" si="7"/>
        <v>90</v>
      </c>
      <c r="U17" s="565">
        <v>16</v>
      </c>
      <c r="V17" s="565"/>
      <c r="W17" s="565"/>
      <c r="X17" s="565"/>
      <c r="Y17" s="565">
        <v>74</v>
      </c>
      <c r="Z17" s="566">
        <f t="shared" si="8"/>
        <v>0</v>
      </c>
      <c r="AA17" s="565"/>
      <c r="AB17" s="565"/>
      <c r="AC17" s="565"/>
      <c r="AD17" s="565"/>
      <c r="AE17" s="565"/>
      <c r="AF17" s="566">
        <f>SUM(AG17:AK17)</f>
        <v>0</v>
      </c>
      <c r="AG17" s="565"/>
      <c r="AH17" s="565"/>
      <c r="AI17" s="565"/>
      <c r="AJ17" s="565"/>
      <c r="AK17" s="565"/>
      <c r="AL17" s="566">
        <f t="shared" si="9"/>
        <v>0</v>
      </c>
      <c r="AM17" s="565"/>
      <c r="AN17" s="565"/>
      <c r="AO17" s="565"/>
      <c r="AP17" s="565"/>
      <c r="AQ17" s="565"/>
      <c r="AR17" s="566">
        <f>SUM(AS17:AW17)</f>
        <v>0</v>
      </c>
      <c r="AS17" s="565"/>
      <c r="AT17" s="565"/>
      <c r="AU17" s="565"/>
      <c r="AV17" s="565"/>
      <c r="AW17" s="565"/>
      <c r="AX17" s="511">
        <f>LEN(H17)-LEN(SUBSTITUTE(H17,"9",""))</f>
        <v>0</v>
      </c>
      <c r="AY17" s="397">
        <f>SUM(AZ17:BF17)</f>
        <v>0</v>
      </c>
      <c r="AZ17" s="195"/>
      <c r="BA17" s="195"/>
      <c r="BB17" s="195"/>
      <c r="BC17" s="195"/>
      <c r="BD17" s="195"/>
      <c r="BE17" s="195"/>
      <c r="BF17" s="195"/>
      <c r="BG17" s="198"/>
      <c r="BH17" s="405" t="str">
        <f>'Учебный план'!BZ35</f>
        <v>64-2</v>
      </c>
      <c r="BI17" s="495" t="str">
        <f>'Учебный план'!CA35</f>
        <v>ОК 1-10; ПК 1.1, 1.3. 3.1</v>
      </c>
    </row>
    <row r="18" spans="1:64" s="236" customFormat="1" ht="14.25" customHeight="1">
      <c r="A18" s="509" t="str">
        <f>'Учебный план'!A36</f>
        <v>ЕН.02</v>
      </c>
      <c r="B18" s="509" t="str">
        <f>'Учебный план'!B36</f>
        <v>Информатика</v>
      </c>
      <c r="C18" s="219"/>
      <c r="D18" s="405"/>
      <c r="E18" s="405" t="s">
        <v>27</v>
      </c>
      <c r="F18" s="405"/>
      <c r="G18" s="405"/>
      <c r="H18" s="405"/>
      <c r="I18" s="195">
        <f t="shared" si="16"/>
        <v>0</v>
      </c>
      <c r="J18" s="405">
        <f t="shared" si="17"/>
        <v>10.8</v>
      </c>
      <c r="K18" s="195">
        <f>'Учебный план'!K36</f>
        <v>54</v>
      </c>
      <c r="L18" s="195">
        <f>'Учебный план'!L36</f>
        <v>36</v>
      </c>
      <c r="M18" s="510">
        <f t="shared" si="5"/>
        <v>54</v>
      </c>
      <c r="N18" s="510">
        <f>SUM(O18:R18)</f>
        <v>14</v>
      </c>
      <c r="O18" s="510">
        <f t="shared" si="18"/>
        <v>2</v>
      </c>
      <c r="P18" s="510">
        <f t="shared" si="18"/>
        <v>12</v>
      </c>
      <c r="Q18" s="510">
        <f t="shared" si="18"/>
        <v>0</v>
      </c>
      <c r="R18" s="510">
        <f t="shared" si="18"/>
        <v>0</v>
      </c>
      <c r="S18" s="510">
        <f>Y18+AK18+AQ18+AW18+BF18+AE18</f>
        <v>40</v>
      </c>
      <c r="T18" s="397">
        <f t="shared" si="7"/>
        <v>54</v>
      </c>
      <c r="U18" s="565">
        <v>2</v>
      </c>
      <c r="V18" s="565">
        <v>12</v>
      </c>
      <c r="W18" s="565"/>
      <c r="X18" s="565"/>
      <c r="Y18" s="565">
        <f>K18-SUM(U18:V18)</f>
        <v>40</v>
      </c>
      <c r="Z18" s="566">
        <f t="shared" si="8"/>
        <v>0</v>
      </c>
      <c r="AA18" s="565"/>
      <c r="AB18" s="565"/>
      <c r="AC18" s="565"/>
      <c r="AD18" s="565"/>
      <c r="AE18" s="565"/>
      <c r="AF18" s="566">
        <f>SUM(AG18:AK18)</f>
        <v>0</v>
      </c>
      <c r="AG18" s="565"/>
      <c r="AH18" s="565"/>
      <c r="AI18" s="565"/>
      <c r="AJ18" s="565"/>
      <c r="AK18" s="565"/>
      <c r="AL18" s="566">
        <f t="shared" si="9"/>
        <v>0</v>
      </c>
      <c r="AM18" s="565"/>
      <c r="AN18" s="565"/>
      <c r="AO18" s="565"/>
      <c r="AP18" s="565"/>
      <c r="AQ18" s="565"/>
      <c r="AR18" s="566">
        <f>SUM(AS18:AW18)</f>
        <v>0</v>
      </c>
      <c r="AS18" s="565"/>
      <c r="AT18" s="565"/>
      <c r="AU18" s="565"/>
      <c r="AV18" s="565"/>
      <c r="AW18" s="565"/>
      <c r="AX18" s="511">
        <f>LEN(H18)-LEN(SUBSTITUTE(H18,"9",""))</f>
        <v>0</v>
      </c>
      <c r="AY18" s="397">
        <f>SUM(AZ18:BF18)</f>
        <v>0</v>
      </c>
      <c r="AZ18" s="195"/>
      <c r="BA18" s="195"/>
      <c r="BB18" s="195"/>
      <c r="BC18" s="195"/>
      <c r="BD18" s="195"/>
      <c r="BE18" s="195"/>
      <c r="BF18" s="195"/>
      <c r="BG18" s="198"/>
      <c r="BH18" s="405" t="str">
        <f>'Учебный план'!BZ36</f>
        <v>64-2</v>
      </c>
      <c r="BI18" s="495" t="str">
        <f>'Учебный план'!CA36</f>
        <v>ОК-1-10, ПК 1.3, 3.1, 4.2,4.3</v>
      </c>
    </row>
    <row r="19" spans="1:64" s="236" customFormat="1" ht="25.5" customHeight="1">
      <c r="A19" s="509" t="str">
        <f>'Учебный план'!A37</f>
        <v>ЕН.03</v>
      </c>
      <c r="B19" s="509" t="str">
        <f>'Учебный план'!B37</f>
        <v>Экологические основы природопользования</v>
      </c>
      <c r="C19" s="219"/>
      <c r="D19" s="405"/>
      <c r="E19" s="405" t="s">
        <v>27</v>
      </c>
      <c r="F19" s="405"/>
      <c r="G19" s="405"/>
      <c r="H19" s="405"/>
      <c r="I19" s="195">
        <f t="shared" si="16"/>
        <v>0</v>
      </c>
      <c r="J19" s="405">
        <f t="shared" si="17"/>
        <v>10.8</v>
      </c>
      <c r="K19" s="195">
        <f>'Учебный план'!K37</f>
        <v>54</v>
      </c>
      <c r="L19" s="195">
        <f>'Учебный план'!L37</f>
        <v>36</v>
      </c>
      <c r="M19" s="510">
        <f t="shared" si="5"/>
        <v>54</v>
      </c>
      <c r="N19" s="510">
        <f>SUM(O19:R19)</f>
        <v>12</v>
      </c>
      <c r="O19" s="510">
        <f t="shared" si="18"/>
        <v>12</v>
      </c>
      <c r="P19" s="510">
        <f t="shared" si="18"/>
        <v>0</v>
      </c>
      <c r="Q19" s="510">
        <f t="shared" si="18"/>
        <v>0</v>
      </c>
      <c r="R19" s="510">
        <f t="shared" si="18"/>
        <v>0</v>
      </c>
      <c r="S19" s="510">
        <f>Y19+AK19+AQ19+AW19+BF19+AE19</f>
        <v>42</v>
      </c>
      <c r="T19" s="397">
        <f t="shared" si="7"/>
        <v>54</v>
      </c>
      <c r="U19" s="565">
        <v>12</v>
      </c>
      <c r="V19" s="565"/>
      <c r="W19" s="565"/>
      <c r="X19" s="565"/>
      <c r="Y19" s="565">
        <v>42</v>
      </c>
      <c r="Z19" s="566">
        <f t="shared" si="8"/>
        <v>0</v>
      </c>
      <c r="AA19" s="565"/>
      <c r="AB19" s="565"/>
      <c r="AC19" s="565"/>
      <c r="AD19" s="565"/>
      <c r="AE19" s="565"/>
      <c r="AF19" s="566">
        <f>SUM(AG19:AK19)</f>
        <v>0</v>
      </c>
      <c r="AG19" s="565"/>
      <c r="AH19" s="565"/>
      <c r="AI19" s="565"/>
      <c r="AJ19" s="565"/>
      <c r="AK19" s="565"/>
      <c r="AL19" s="566">
        <f t="shared" si="9"/>
        <v>0</v>
      </c>
      <c r="AM19" s="565"/>
      <c r="AN19" s="565"/>
      <c r="AO19" s="565"/>
      <c r="AP19" s="565"/>
      <c r="AQ19" s="565"/>
      <c r="AR19" s="566">
        <v>0</v>
      </c>
      <c r="AS19" s="565"/>
      <c r="AT19" s="565"/>
      <c r="AU19" s="565"/>
      <c r="AV19" s="565"/>
      <c r="AW19" s="565"/>
      <c r="AX19" s="511"/>
      <c r="AY19" s="397">
        <v>0</v>
      </c>
      <c r="AZ19" s="195"/>
      <c r="BA19" s="195"/>
      <c r="BB19" s="195"/>
      <c r="BC19" s="195"/>
      <c r="BD19" s="195"/>
      <c r="BE19" s="195"/>
      <c r="BF19" s="195"/>
      <c r="BG19" s="198"/>
      <c r="BH19" s="405" t="str">
        <f>'Учебный план'!BZ37</f>
        <v>64-2</v>
      </c>
      <c r="BI19" s="495" t="str">
        <f>'Учебный план'!CA37</f>
        <v>ОК-1-10 ПК 2.7, 3.2</v>
      </c>
    </row>
    <row r="20" spans="1:64" s="240" customFormat="1" ht="12" customHeight="1">
      <c r="A20" s="506">
        <f>'Учебный план'!A38</f>
        <v>0</v>
      </c>
      <c r="B20" s="852" t="str">
        <f>'Учебный план'!B38</f>
        <v>Профессиональный цикл</v>
      </c>
      <c r="C20" s="852"/>
      <c r="D20" s="852"/>
      <c r="E20" s="852"/>
      <c r="F20" s="852"/>
      <c r="G20" s="852"/>
      <c r="H20" s="852"/>
      <c r="I20" s="507"/>
      <c r="J20" s="508"/>
      <c r="K20" s="494">
        <f>'Учебный план'!K38</f>
        <v>4250</v>
      </c>
      <c r="L20" s="494">
        <f>'Учебный план'!L38</f>
        <v>2902</v>
      </c>
      <c r="M20" s="494">
        <f t="shared" si="5"/>
        <v>2680</v>
      </c>
      <c r="N20" s="507">
        <f>SUM(N21+N29)</f>
        <v>402</v>
      </c>
      <c r="O20" s="507">
        <f t="shared" ref="O20:S20" si="19">SUM(O21+O29)</f>
        <v>289</v>
      </c>
      <c r="P20" s="507">
        <f t="shared" si="19"/>
        <v>56</v>
      </c>
      <c r="Q20" s="507">
        <f t="shared" si="19"/>
        <v>57</v>
      </c>
      <c r="R20" s="507">
        <f t="shared" si="19"/>
        <v>0</v>
      </c>
      <c r="S20" s="507">
        <f t="shared" si="19"/>
        <v>2278</v>
      </c>
      <c r="T20" s="397">
        <f t="shared" si="7"/>
        <v>447</v>
      </c>
      <c r="U20" s="568">
        <f t="shared" ref="U20:AW20" si="20">U21+U29</f>
        <v>66</v>
      </c>
      <c r="V20" s="568">
        <f t="shared" si="20"/>
        <v>16</v>
      </c>
      <c r="W20" s="568">
        <f t="shared" si="20"/>
        <v>0</v>
      </c>
      <c r="X20" s="568">
        <f t="shared" si="20"/>
        <v>0</v>
      </c>
      <c r="Y20" s="568">
        <f t="shared" si="20"/>
        <v>365</v>
      </c>
      <c r="Z20" s="568">
        <f t="shared" si="8"/>
        <v>951</v>
      </c>
      <c r="AA20" s="568">
        <f>AA21+AA29</f>
        <v>112</v>
      </c>
      <c r="AB20" s="568">
        <f t="shared" ref="AB20:AE20" si="21">AB21+AB29</f>
        <v>4</v>
      </c>
      <c r="AC20" s="568">
        <f t="shared" si="21"/>
        <v>0</v>
      </c>
      <c r="AD20" s="568">
        <f t="shared" si="21"/>
        <v>0</v>
      </c>
      <c r="AE20" s="568">
        <f t="shared" si="21"/>
        <v>835</v>
      </c>
      <c r="AF20" s="568">
        <f t="shared" si="20"/>
        <v>999</v>
      </c>
      <c r="AG20" s="568">
        <f t="shared" si="20"/>
        <v>118</v>
      </c>
      <c r="AH20" s="567">
        <f t="shared" si="20"/>
        <v>34</v>
      </c>
      <c r="AI20" s="567">
        <f t="shared" si="20"/>
        <v>0</v>
      </c>
      <c r="AJ20" s="567">
        <f t="shared" si="20"/>
        <v>0</v>
      </c>
      <c r="AK20" s="567">
        <f t="shared" si="20"/>
        <v>847</v>
      </c>
      <c r="AL20" s="568">
        <f t="shared" si="9"/>
        <v>1012</v>
      </c>
      <c r="AM20" s="567">
        <f t="shared" si="20"/>
        <v>96</v>
      </c>
      <c r="AN20" s="567">
        <f t="shared" si="20"/>
        <v>26</v>
      </c>
      <c r="AO20" s="567">
        <f t="shared" si="20"/>
        <v>22</v>
      </c>
      <c r="AP20" s="567">
        <f t="shared" si="20"/>
        <v>0</v>
      </c>
      <c r="AQ20" s="567">
        <f t="shared" si="20"/>
        <v>868</v>
      </c>
      <c r="AR20" s="567">
        <f t="shared" si="20"/>
        <v>841</v>
      </c>
      <c r="AS20" s="567">
        <f t="shared" si="20"/>
        <v>41</v>
      </c>
      <c r="AT20" s="567">
        <f t="shared" si="20"/>
        <v>41</v>
      </c>
      <c r="AU20" s="567">
        <f t="shared" si="20"/>
        <v>68</v>
      </c>
      <c r="AV20" s="567">
        <f t="shared" si="20"/>
        <v>0</v>
      </c>
      <c r="AW20" s="567">
        <f t="shared" si="20"/>
        <v>691</v>
      </c>
      <c r="AX20" s="507">
        <f t="shared" ref="AX20:BF20" si="22">AX21+AX29</f>
        <v>0</v>
      </c>
      <c r="AY20" s="507">
        <f t="shared" si="22"/>
        <v>0</v>
      </c>
      <c r="AZ20" s="507">
        <f t="shared" si="22"/>
        <v>0</v>
      </c>
      <c r="BA20" s="507">
        <f t="shared" si="22"/>
        <v>0</v>
      </c>
      <c r="BB20" s="507">
        <f t="shared" si="22"/>
        <v>0</v>
      </c>
      <c r="BC20" s="507">
        <f t="shared" si="22"/>
        <v>0</v>
      </c>
      <c r="BD20" s="507">
        <f t="shared" si="22"/>
        <v>0</v>
      </c>
      <c r="BE20" s="507">
        <f t="shared" si="22"/>
        <v>0</v>
      </c>
      <c r="BF20" s="507">
        <f t="shared" si="22"/>
        <v>0</v>
      </c>
      <c r="BG20" s="180"/>
      <c r="BH20" s="508">
        <f>'Учебный план'!BZ38</f>
        <v>0</v>
      </c>
      <c r="BI20" s="508">
        <f>'Учебный план'!CA38</f>
        <v>0</v>
      </c>
    </row>
    <row r="21" spans="1:64" s="240" customFormat="1" ht="28.5" customHeight="1">
      <c r="A21" s="512" t="str">
        <f>'Учебный план'!A39</f>
        <v>П.00</v>
      </c>
      <c r="B21" s="851" t="str">
        <f>'Учебный план'!B39</f>
        <v>Общепрофессиональные дисциплины</v>
      </c>
      <c r="C21" s="851"/>
      <c r="D21" s="851"/>
      <c r="E21" s="851"/>
      <c r="F21" s="851"/>
      <c r="G21" s="851"/>
      <c r="H21" s="851"/>
      <c r="I21" s="507"/>
      <c r="J21" s="508"/>
      <c r="K21" s="494">
        <f>'Учебный план'!K39</f>
        <v>620</v>
      </c>
      <c r="L21" s="494">
        <f>'Учебный план'!L39</f>
        <v>413</v>
      </c>
      <c r="M21" s="494">
        <f t="shared" si="5"/>
        <v>620</v>
      </c>
      <c r="N21" s="507">
        <f t="shared" ref="N21:S21" si="23">SUM(N22:N28)</f>
        <v>106</v>
      </c>
      <c r="O21" s="507">
        <f t="shared" si="23"/>
        <v>90</v>
      </c>
      <c r="P21" s="507">
        <f t="shared" si="23"/>
        <v>16</v>
      </c>
      <c r="Q21" s="507">
        <f t="shared" si="23"/>
        <v>0</v>
      </c>
      <c r="R21" s="507">
        <f t="shared" si="23"/>
        <v>0</v>
      </c>
      <c r="S21" s="507">
        <f t="shared" si="23"/>
        <v>514</v>
      </c>
      <c r="T21" s="397">
        <f t="shared" si="7"/>
        <v>447</v>
      </c>
      <c r="U21" s="568">
        <f>SUM(U22:U28)</f>
        <v>66</v>
      </c>
      <c r="V21" s="568">
        <f t="shared" ref="V21:AW21" si="24">SUM(V22:V28)</f>
        <v>16</v>
      </c>
      <c r="W21" s="568">
        <f t="shared" si="24"/>
        <v>0</v>
      </c>
      <c r="X21" s="568">
        <f t="shared" si="24"/>
        <v>0</v>
      </c>
      <c r="Y21" s="568">
        <f t="shared" si="24"/>
        <v>365</v>
      </c>
      <c r="Z21" s="568">
        <f t="shared" si="8"/>
        <v>74</v>
      </c>
      <c r="AA21" s="568">
        <f t="shared" ref="AA21:AE21" si="25">SUM(AA22:AA28)</f>
        <v>12</v>
      </c>
      <c r="AB21" s="568">
        <f t="shared" si="25"/>
        <v>0</v>
      </c>
      <c r="AC21" s="568">
        <f t="shared" si="25"/>
        <v>0</v>
      </c>
      <c r="AD21" s="568">
        <f t="shared" si="25"/>
        <v>0</v>
      </c>
      <c r="AE21" s="568">
        <f t="shared" si="25"/>
        <v>62</v>
      </c>
      <c r="AF21" s="568">
        <f t="shared" si="24"/>
        <v>0</v>
      </c>
      <c r="AG21" s="568">
        <f t="shared" si="24"/>
        <v>0</v>
      </c>
      <c r="AH21" s="567">
        <f t="shared" si="24"/>
        <v>0</v>
      </c>
      <c r="AI21" s="567">
        <f t="shared" si="24"/>
        <v>0</v>
      </c>
      <c r="AJ21" s="567">
        <f t="shared" si="24"/>
        <v>0</v>
      </c>
      <c r="AK21" s="567">
        <f t="shared" si="24"/>
        <v>0</v>
      </c>
      <c r="AL21" s="568">
        <f t="shared" si="9"/>
        <v>99</v>
      </c>
      <c r="AM21" s="567">
        <f t="shared" si="24"/>
        <v>12</v>
      </c>
      <c r="AN21" s="567">
        <f t="shared" si="24"/>
        <v>0</v>
      </c>
      <c r="AO21" s="567">
        <f t="shared" si="24"/>
        <v>0</v>
      </c>
      <c r="AP21" s="567">
        <f t="shared" si="24"/>
        <v>0</v>
      </c>
      <c r="AQ21" s="567">
        <f t="shared" si="24"/>
        <v>87</v>
      </c>
      <c r="AR21" s="567">
        <f t="shared" si="24"/>
        <v>0</v>
      </c>
      <c r="AS21" s="567">
        <f t="shared" si="24"/>
        <v>0</v>
      </c>
      <c r="AT21" s="567">
        <f t="shared" si="24"/>
        <v>0</v>
      </c>
      <c r="AU21" s="567">
        <f t="shared" si="24"/>
        <v>0</v>
      </c>
      <c r="AV21" s="567">
        <f t="shared" si="24"/>
        <v>0</v>
      </c>
      <c r="AW21" s="567">
        <f t="shared" si="24"/>
        <v>0</v>
      </c>
      <c r="AX21" s="513">
        <f>SUM(AX22:AX28)</f>
        <v>0</v>
      </c>
      <c r="AY21" s="507">
        <f t="shared" ref="AY21:BF21" si="26">SUM(AY22:AY28)</f>
        <v>0</v>
      </c>
      <c r="AZ21" s="507">
        <f t="shared" si="26"/>
        <v>0</v>
      </c>
      <c r="BA21" s="507">
        <f t="shared" si="26"/>
        <v>0</v>
      </c>
      <c r="BB21" s="507">
        <f t="shared" si="26"/>
        <v>0</v>
      </c>
      <c r="BC21" s="507">
        <f t="shared" si="26"/>
        <v>0</v>
      </c>
      <c r="BD21" s="507">
        <f t="shared" si="26"/>
        <v>0</v>
      </c>
      <c r="BE21" s="507">
        <f t="shared" si="26"/>
        <v>0</v>
      </c>
      <c r="BF21" s="507">
        <f t="shared" si="26"/>
        <v>0</v>
      </c>
      <c r="BG21" s="514"/>
      <c r="BH21" s="508">
        <f>'Учебный план'!BZ39</f>
        <v>0</v>
      </c>
      <c r="BI21" s="508">
        <f>'Учебный план'!CA39</f>
        <v>0</v>
      </c>
    </row>
    <row r="22" spans="1:64" s="236" customFormat="1">
      <c r="A22" s="509" t="str">
        <f>'Учебный план'!A40</f>
        <v>ОП.01</v>
      </c>
      <c r="B22" s="509" t="str">
        <f>'Учебный план'!B40</f>
        <v>Инженерная графика</v>
      </c>
      <c r="C22" s="219"/>
      <c r="D22" s="405"/>
      <c r="E22" s="405" t="s">
        <v>27</v>
      </c>
      <c r="F22" s="405"/>
      <c r="G22" s="405"/>
      <c r="H22" s="405" t="s">
        <v>30</v>
      </c>
      <c r="I22" s="195">
        <f t="shared" ref="I22:I28" si="27">K22-M22</f>
        <v>0</v>
      </c>
      <c r="J22" s="405">
        <f t="shared" ref="J22:J28" si="28">L22*$J$1</f>
        <v>15</v>
      </c>
      <c r="K22" s="195">
        <f>'Учебный план'!K40</f>
        <v>76</v>
      </c>
      <c r="L22" s="195">
        <f>'Учебный план'!L40</f>
        <v>50</v>
      </c>
      <c r="M22" s="510">
        <f t="shared" si="5"/>
        <v>76</v>
      </c>
      <c r="N22" s="510">
        <f t="shared" ref="N22:N28" si="29">SUM(O22:R22)</f>
        <v>14</v>
      </c>
      <c r="O22" s="510">
        <f t="shared" ref="O22:R28" si="30">U22+AG22+AM22+AS22+AA22+BA22</f>
        <v>2</v>
      </c>
      <c r="P22" s="510">
        <f t="shared" si="30"/>
        <v>12</v>
      </c>
      <c r="Q22" s="510">
        <f t="shared" si="30"/>
        <v>0</v>
      </c>
      <c r="R22" s="510">
        <f t="shared" si="30"/>
        <v>0</v>
      </c>
      <c r="S22" s="510">
        <f t="shared" ref="S22:S28" si="31">Y22+AK22+AQ22+AW22+BF22+AE22</f>
        <v>62</v>
      </c>
      <c r="T22" s="397">
        <f t="shared" si="7"/>
        <v>76</v>
      </c>
      <c r="U22" s="565">
        <v>2</v>
      </c>
      <c r="V22" s="565">
        <v>12</v>
      </c>
      <c r="W22" s="565"/>
      <c r="X22" s="565"/>
      <c r="Y22" s="565">
        <v>62</v>
      </c>
      <c r="Z22" s="566">
        <f t="shared" si="8"/>
        <v>0</v>
      </c>
      <c r="AA22" s="565"/>
      <c r="AB22" s="565"/>
      <c r="AC22" s="565"/>
      <c r="AD22" s="565"/>
      <c r="AE22" s="565"/>
      <c r="AF22" s="566">
        <f t="shared" ref="AF22:AF28" si="32">SUM(AG22:AK22)</f>
        <v>0</v>
      </c>
      <c r="AG22" s="565"/>
      <c r="AH22" s="565"/>
      <c r="AI22" s="565"/>
      <c r="AJ22" s="565"/>
      <c r="AK22" s="565"/>
      <c r="AL22" s="566">
        <f t="shared" si="9"/>
        <v>0</v>
      </c>
      <c r="AM22" s="565"/>
      <c r="AN22" s="565"/>
      <c r="AO22" s="565"/>
      <c r="AP22" s="565"/>
      <c r="AQ22" s="565"/>
      <c r="AR22" s="566">
        <f t="shared" ref="AR22:AR28" si="33">SUM(AS22:AW22)</f>
        <v>0</v>
      </c>
      <c r="AS22" s="565"/>
      <c r="AT22" s="565"/>
      <c r="AU22" s="565"/>
      <c r="AV22" s="565"/>
      <c r="AW22" s="565"/>
      <c r="AX22" s="511">
        <f t="shared" ref="AX22:AX28" si="34">LEN(H22)-LEN(SUBSTITUTE(H22,"9",""))</f>
        <v>0</v>
      </c>
      <c r="AY22" s="397">
        <f>SUM(AZ22:BF22)</f>
        <v>0</v>
      </c>
      <c r="AZ22" s="195"/>
      <c r="BA22" s="195"/>
      <c r="BB22" s="195"/>
      <c r="BC22" s="195"/>
      <c r="BD22" s="195"/>
      <c r="BE22" s="195"/>
      <c r="BF22" s="195"/>
      <c r="BG22" s="198"/>
      <c r="BH22" s="405" t="str">
        <f>'Учебный план'!BZ40</f>
        <v>64-2</v>
      </c>
      <c r="BI22" s="495" t="str">
        <f>'Учебный план'!CA40</f>
        <v>ОК-1-10 ПК 1.1-1.4, 3.1</v>
      </c>
    </row>
    <row r="23" spans="1:64" s="236" customFormat="1" ht="12.75" customHeight="1">
      <c r="A23" s="509" t="str">
        <f>'Учебный план'!A41</f>
        <v>ОП.02</v>
      </c>
      <c r="B23" s="509" t="str">
        <f>'Учебный план'!B41</f>
        <v>Механика</v>
      </c>
      <c r="C23" s="219"/>
      <c r="D23" s="405"/>
      <c r="E23" s="405" t="s">
        <v>31</v>
      </c>
      <c r="F23" s="405"/>
      <c r="G23" s="405"/>
      <c r="H23" s="405"/>
      <c r="I23" s="195">
        <f t="shared" si="27"/>
        <v>0</v>
      </c>
      <c r="J23" s="515">
        <f t="shared" si="28"/>
        <v>15.3</v>
      </c>
      <c r="K23" s="195">
        <f>'Учебный план'!K41</f>
        <v>76</v>
      </c>
      <c r="L23" s="195">
        <f>'Учебный план'!L41</f>
        <v>51</v>
      </c>
      <c r="M23" s="510">
        <f t="shared" si="5"/>
        <v>76</v>
      </c>
      <c r="N23" s="510">
        <f t="shared" si="29"/>
        <v>14</v>
      </c>
      <c r="O23" s="510">
        <f t="shared" si="30"/>
        <v>14</v>
      </c>
      <c r="P23" s="510">
        <f t="shared" si="30"/>
        <v>0</v>
      </c>
      <c r="Q23" s="510">
        <f t="shared" si="30"/>
        <v>0</v>
      </c>
      <c r="R23" s="510">
        <f t="shared" si="30"/>
        <v>0</v>
      </c>
      <c r="S23" s="510">
        <f t="shared" si="31"/>
        <v>62</v>
      </c>
      <c r="T23" s="397">
        <f t="shared" si="7"/>
        <v>76</v>
      </c>
      <c r="U23" s="565">
        <v>14</v>
      </c>
      <c r="V23" s="565"/>
      <c r="W23" s="565"/>
      <c r="X23" s="565"/>
      <c r="Y23" s="565">
        <v>62</v>
      </c>
      <c r="Z23" s="566">
        <f t="shared" si="8"/>
        <v>0</v>
      </c>
      <c r="AA23" s="565"/>
      <c r="AB23" s="565"/>
      <c r="AC23" s="565"/>
      <c r="AD23" s="565"/>
      <c r="AE23" s="565"/>
      <c r="AF23" s="566">
        <f t="shared" si="32"/>
        <v>0</v>
      </c>
      <c r="AG23" s="565"/>
      <c r="AH23" s="565"/>
      <c r="AI23" s="565"/>
      <c r="AJ23" s="565"/>
      <c r="AK23" s="565"/>
      <c r="AL23" s="566">
        <f t="shared" si="9"/>
        <v>0</v>
      </c>
      <c r="AM23" s="565"/>
      <c r="AN23" s="565"/>
      <c r="AO23" s="565"/>
      <c r="AP23" s="565"/>
      <c r="AQ23" s="565"/>
      <c r="AR23" s="566">
        <f t="shared" si="33"/>
        <v>0</v>
      </c>
      <c r="AS23" s="565"/>
      <c r="AT23" s="565"/>
      <c r="AU23" s="565"/>
      <c r="AV23" s="565"/>
      <c r="AW23" s="565"/>
      <c r="AX23" s="511">
        <f t="shared" si="34"/>
        <v>0</v>
      </c>
      <c r="AY23" s="397">
        <f t="shared" ref="AY23:AY28" si="35">SUM(AZ23:BF23)</f>
        <v>0</v>
      </c>
      <c r="AZ23" s="195"/>
      <c r="BA23" s="195"/>
      <c r="BB23" s="195"/>
      <c r="BC23" s="195"/>
      <c r="BD23" s="195"/>
      <c r="BE23" s="195"/>
      <c r="BF23" s="195"/>
      <c r="BG23" s="198"/>
      <c r="BH23" s="405" t="str">
        <f>'Учебный план'!BZ41</f>
        <v>64-2</v>
      </c>
      <c r="BI23" s="195" t="str">
        <f>'Учебный план'!CA41</f>
        <v>ОК-1-10 ПК 1.2 - 1.4</v>
      </c>
    </row>
    <row r="24" spans="1:64" s="236" customFormat="1" ht="30.6" customHeight="1">
      <c r="A24" s="509" t="str">
        <f>'Учебный план'!A42</f>
        <v>ОП.03</v>
      </c>
      <c r="B24" s="509" t="str">
        <f>'Учебный план'!B42</f>
        <v>Электроника и электротехника</v>
      </c>
      <c r="C24" s="219"/>
      <c r="D24" s="405"/>
      <c r="E24" s="405" t="s">
        <v>27</v>
      </c>
      <c r="F24" s="405"/>
      <c r="G24" s="405"/>
      <c r="H24" s="405"/>
      <c r="I24" s="195">
        <f t="shared" si="27"/>
        <v>0</v>
      </c>
      <c r="J24" s="405">
        <f t="shared" si="28"/>
        <v>13.2</v>
      </c>
      <c r="K24" s="195">
        <f>'Учебный план'!K42</f>
        <v>66</v>
      </c>
      <c r="L24" s="195">
        <f>'Учебный план'!L42</f>
        <v>44</v>
      </c>
      <c r="M24" s="510">
        <f t="shared" si="5"/>
        <v>66</v>
      </c>
      <c r="N24" s="510">
        <f t="shared" si="29"/>
        <v>12</v>
      </c>
      <c r="O24" s="510">
        <f t="shared" si="30"/>
        <v>8</v>
      </c>
      <c r="P24" s="510">
        <f t="shared" si="30"/>
        <v>4</v>
      </c>
      <c r="Q24" s="510">
        <f t="shared" si="30"/>
        <v>0</v>
      </c>
      <c r="R24" s="510">
        <f t="shared" si="30"/>
        <v>0</v>
      </c>
      <c r="S24" s="510">
        <f t="shared" si="31"/>
        <v>54</v>
      </c>
      <c r="T24" s="397">
        <f t="shared" si="7"/>
        <v>66</v>
      </c>
      <c r="U24" s="565">
        <v>8</v>
      </c>
      <c r="V24" s="565">
        <v>4</v>
      </c>
      <c r="W24" s="565"/>
      <c r="X24" s="565"/>
      <c r="Y24" s="565">
        <v>54</v>
      </c>
      <c r="Z24" s="566">
        <f t="shared" si="8"/>
        <v>0</v>
      </c>
      <c r="AA24" s="565"/>
      <c r="AB24" s="565"/>
      <c r="AC24" s="565"/>
      <c r="AD24" s="565"/>
      <c r="AE24" s="565"/>
      <c r="AF24" s="566">
        <f t="shared" si="32"/>
        <v>0</v>
      </c>
      <c r="AG24" s="565"/>
      <c r="AH24" s="565"/>
      <c r="AI24" s="565"/>
      <c r="AJ24" s="565"/>
      <c r="AK24" s="565"/>
      <c r="AL24" s="566">
        <f t="shared" si="9"/>
        <v>0</v>
      </c>
      <c r="AM24" s="565"/>
      <c r="AN24" s="565"/>
      <c r="AO24" s="565"/>
      <c r="AP24" s="565"/>
      <c r="AQ24" s="565"/>
      <c r="AR24" s="566">
        <f t="shared" si="33"/>
        <v>0</v>
      </c>
      <c r="AS24" s="565"/>
      <c r="AT24" s="565"/>
      <c r="AU24" s="565"/>
      <c r="AV24" s="565"/>
      <c r="AW24" s="565"/>
      <c r="AX24" s="511">
        <f t="shared" si="34"/>
        <v>0</v>
      </c>
      <c r="AY24" s="397">
        <f t="shared" si="35"/>
        <v>0</v>
      </c>
      <c r="AZ24" s="195"/>
      <c r="BA24" s="195"/>
      <c r="BB24" s="195"/>
      <c r="BC24" s="195"/>
      <c r="BD24" s="195"/>
      <c r="BE24" s="195"/>
      <c r="BF24" s="195"/>
      <c r="BG24" s="198"/>
      <c r="BH24" s="405" t="str">
        <f>'Учебный план'!BZ42</f>
        <v>64-5</v>
      </c>
      <c r="BI24" s="195" t="str">
        <f>'Учебный план'!CA42</f>
        <v>ОК 1-10; ПК-1.3</v>
      </c>
    </row>
    <row r="25" spans="1:64" s="236" customFormat="1" ht="57" customHeight="1">
      <c r="A25" s="509" t="str">
        <f>'Учебный план'!A43</f>
        <v>ОП.04</v>
      </c>
      <c r="B25" s="509" t="str">
        <f>'Учебный план'!B43</f>
        <v xml:space="preserve">Правовые основы профессиональной деятельности                                               </v>
      </c>
      <c r="C25" s="219"/>
      <c r="D25" s="99" t="s">
        <v>40</v>
      </c>
      <c r="E25" s="405"/>
      <c r="F25" s="405"/>
      <c r="G25" s="405"/>
      <c r="H25" s="99" t="s">
        <v>40</v>
      </c>
      <c r="I25" s="195">
        <f t="shared" si="27"/>
        <v>0</v>
      </c>
      <c r="J25" s="405">
        <f t="shared" si="28"/>
        <v>19.8</v>
      </c>
      <c r="K25" s="195">
        <f>'Учебный план'!K43</f>
        <v>99</v>
      </c>
      <c r="L25" s="195">
        <f>'Учебный план'!L43</f>
        <v>66</v>
      </c>
      <c r="M25" s="510">
        <f t="shared" si="5"/>
        <v>99</v>
      </c>
      <c r="N25" s="510">
        <f t="shared" si="29"/>
        <v>12</v>
      </c>
      <c r="O25" s="510">
        <f t="shared" si="30"/>
        <v>12</v>
      </c>
      <c r="P25" s="510">
        <f t="shared" si="30"/>
        <v>0</v>
      </c>
      <c r="Q25" s="510">
        <f t="shared" si="30"/>
        <v>0</v>
      </c>
      <c r="R25" s="510">
        <f t="shared" si="30"/>
        <v>0</v>
      </c>
      <c r="S25" s="510">
        <f t="shared" si="31"/>
        <v>87</v>
      </c>
      <c r="T25" s="397">
        <f t="shared" si="7"/>
        <v>0</v>
      </c>
      <c r="U25" s="565"/>
      <c r="V25" s="565"/>
      <c r="W25" s="565"/>
      <c r="X25" s="565"/>
      <c r="Y25" s="565"/>
      <c r="Z25" s="566">
        <f t="shared" si="8"/>
        <v>0</v>
      </c>
      <c r="AA25" s="565"/>
      <c r="AB25" s="565"/>
      <c r="AC25" s="565"/>
      <c r="AD25" s="565"/>
      <c r="AE25" s="565"/>
      <c r="AF25" s="566">
        <f t="shared" si="32"/>
        <v>0</v>
      </c>
      <c r="AG25" s="565"/>
      <c r="AH25" s="565"/>
      <c r="AI25" s="565"/>
      <c r="AJ25" s="565"/>
      <c r="AK25" s="565"/>
      <c r="AL25" s="566">
        <f t="shared" si="9"/>
        <v>99</v>
      </c>
      <c r="AM25" s="565">
        <v>12</v>
      </c>
      <c r="AN25" s="565"/>
      <c r="AO25" s="565"/>
      <c r="AP25" s="565"/>
      <c r="AQ25" s="565">
        <v>87</v>
      </c>
      <c r="AR25" s="566">
        <f t="shared" si="33"/>
        <v>0</v>
      </c>
      <c r="AS25" s="565"/>
      <c r="AT25" s="565"/>
      <c r="AU25" s="565"/>
      <c r="AV25" s="565"/>
      <c r="AW25" s="565"/>
      <c r="AX25" s="511">
        <f t="shared" si="34"/>
        <v>0</v>
      </c>
      <c r="AY25" s="397">
        <f t="shared" si="35"/>
        <v>0</v>
      </c>
      <c r="AZ25" s="195"/>
      <c r="BA25" s="195"/>
      <c r="BB25" s="195"/>
      <c r="BC25" s="195"/>
      <c r="BD25" s="195"/>
      <c r="BE25" s="195"/>
      <c r="BF25" s="195"/>
      <c r="BG25" s="198"/>
      <c r="BH25" s="405" t="str">
        <f>'Учебный план'!BZ43</f>
        <v>64-4</v>
      </c>
      <c r="BI25" s="195" t="str">
        <f>'Учебный план'!CA43</f>
        <v>ОК-1-10 ПК 1.1 - 1.4, 2.1 - 2.7, 3.1, 3.2, 4.1-4.3</v>
      </c>
    </row>
    <row r="26" spans="1:64" s="236" customFormat="1" ht="28.7" customHeight="1">
      <c r="A26" s="509" t="str">
        <f>'Учебный план'!A44</f>
        <v>ОП.05</v>
      </c>
      <c r="B26" s="509" t="str">
        <f>'Учебный план'!B44</f>
        <v>Метрология и стандартизация</v>
      </c>
      <c r="C26" s="219"/>
      <c r="D26" s="405"/>
      <c r="E26" s="405" t="s">
        <v>27</v>
      </c>
      <c r="F26" s="405"/>
      <c r="G26" s="405"/>
      <c r="H26" s="405"/>
      <c r="I26" s="195">
        <f t="shared" si="27"/>
        <v>0</v>
      </c>
      <c r="J26" s="405">
        <f t="shared" si="28"/>
        <v>10.8</v>
      </c>
      <c r="K26" s="195">
        <f>'Учебный план'!K44</f>
        <v>54</v>
      </c>
      <c r="L26" s="195">
        <f>'Учебный план'!L44</f>
        <v>36</v>
      </c>
      <c r="M26" s="510">
        <f t="shared" si="5"/>
        <v>54</v>
      </c>
      <c r="N26" s="510">
        <f t="shared" si="29"/>
        <v>10</v>
      </c>
      <c r="O26" s="510">
        <f t="shared" si="30"/>
        <v>10</v>
      </c>
      <c r="P26" s="510">
        <f t="shared" si="30"/>
        <v>0</v>
      </c>
      <c r="Q26" s="510">
        <f t="shared" si="30"/>
        <v>0</v>
      </c>
      <c r="R26" s="510">
        <f t="shared" si="30"/>
        <v>0</v>
      </c>
      <c r="S26" s="510">
        <f t="shared" si="31"/>
        <v>44</v>
      </c>
      <c r="T26" s="397">
        <f t="shared" si="7"/>
        <v>54</v>
      </c>
      <c r="U26" s="565">
        <v>10</v>
      </c>
      <c r="V26" s="565"/>
      <c r="W26" s="565"/>
      <c r="X26" s="565"/>
      <c r="Y26" s="565">
        <v>44</v>
      </c>
      <c r="Z26" s="566">
        <f t="shared" si="8"/>
        <v>0</v>
      </c>
      <c r="AA26" s="565"/>
      <c r="AB26" s="565"/>
      <c r="AC26" s="565"/>
      <c r="AD26" s="565"/>
      <c r="AE26" s="565"/>
      <c r="AF26" s="566">
        <f t="shared" si="32"/>
        <v>0</v>
      </c>
      <c r="AG26" s="565"/>
      <c r="AH26" s="565"/>
      <c r="AI26" s="565"/>
      <c r="AJ26" s="565"/>
      <c r="AK26" s="565"/>
      <c r="AL26" s="566">
        <f t="shared" si="9"/>
        <v>0</v>
      </c>
      <c r="AM26" s="565"/>
      <c r="AN26" s="565"/>
      <c r="AO26" s="565"/>
      <c r="AP26" s="565"/>
      <c r="AQ26" s="565"/>
      <c r="AR26" s="566">
        <f t="shared" si="33"/>
        <v>0</v>
      </c>
      <c r="AS26" s="565"/>
      <c r="AT26" s="565"/>
      <c r="AU26" s="565"/>
      <c r="AV26" s="565"/>
      <c r="AW26" s="565"/>
      <c r="AX26" s="511">
        <f t="shared" si="34"/>
        <v>0</v>
      </c>
      <c r="AY26" s="397">
        <f t="shared" si="35"/>
        <v>0</v>
      </c>
      <c r="AZ26" s="195"/>
      <c r="BA26" s="195"/>
      <c r="BB26" s="195"/>
      <c r="BC26" s="195"/>
      <c r="BD26" s="195"/>
      <c r="BE26" s="195"/>
      <c r="BF26" s="195"/>
      <c r="BG26" s="198"/>
      <c r="BH26" s="405" t="str">
        <f>'Учебный план'!BZ44</f>
        <v>64-3</v>
      </c>
      <c r="BI26" s="195" t="str">
        <f>'Учебный план'!CA44</f>
        <v>ОК 1-10, ПК 1.1 - 1.4, 3.1, 3.2,4.1-4.3</v>
      </c>
    </row>
    <row r="27" spans="1:64" s="236" customFormat="1" ht="25.5">
      <c r="A27" s="509" t="str">
        <f>'Учебный план'!A45</f>
        <v>ОП.06</v>
      </c>
      <c r="B27" s="509" t="str">
        <f>'Учебный план'!B45</f>
        <v>Теория и устройство судна</v>
      </c>
      <c r="C27" s="219"/>
      <c r="D27" s="405" t="s">
        <v>31</v>
      </c>
      <c r="E27" s="405"/>
      <c r="F27" s="405"/>
      <c r="G27" s="405"/>
      <c r="H27" s="99" t="s">
        <v>27</v>
      </c>
      <c r="I27" s="195">
        <f t="shared" si="27"/>
        <v>0</v>
      </c>
      <c r="J27" s="405">
        <f t="shared" si="28"/>
        <v>29.4</v>
      </c>
      <c r="K27" s="195">
        <f>'Учебный план'!K45</f>
        <v>147</v>
      </c>
      <c r="L27" s="195">
        <f>'Учебный план'!L45</f>
        <v>98</v>
      </c>
      <c r="M27" s="510">
        <f t="shared" si="5"/>
        <v>147</v>
      </c>
      <c r="N27" s="510">
        <f t="shared" si="29"/>
        <v>28</v>
      </c>
      <c r="O27" s="510">
        <f t="shared" si="30"/>
        <v>28</v>
      </c>
      <c r="P27" s="510">
        <f t="shared" si="30"/>
        <v>0</v>
      </c>
      <c r="Q27" s="510">
        <f t="shared" si="30"/>
        <v>0</v>
      </c>
      <c r="R27" s="510">
        <f t="shared" si="30"/>
        <v>0</v>
      </c>
      <c r="S27" s="510">
        <f t="shared" si="31"/>
        <v>119</v>
      </c>
      <c r="T27" s="397">
        <f t="shared" si="7"/>
        <v>73</v>
      </c>
      <c r="U27" s="565">
        <v>16</v>
      </c>
      <c r="V27" s="565"/>
      <c r="W27" s="565"/>
      <c r="X27" s="565"/>
      <c r="Y27" s="565">
        <v>57</v>
      </c>
      <c r="Z27" s="566">
        <f t="shared" si="8"/>
        <v>74</v>
      </c>
      <c r="AA27" s="565">
        <v>12</v>
      </c>
      <c r="AB27" s="565"/>
      <c r="AC27" s="565"/>
      <c r="AD27" s="565"/>
      <c r="AE27" s="565">
        <v>62</v>
      </c>
      <c r="AF27" s="566">
        <f t="shared" si="32"/>
        <v>0</v>
      </c>
      <c r="AG27" s="565"/>
      <c r="AH27" s="565"/>
      <c r="AI27" s="565"/>
      <c r="AJ27" s="565"/>
      <c r="AK27" s="565"/>
      <c r="AL27" s="566">
        <f t="shared" si="9"/>
        <v>0</v>
      </c>
      <c r="AM27" s="565"/>
      <c r="AN27" s="565"/>
      <c r="AO27" s="565"/>
      <c r="AP27" s="565"/>
      <c r="AQ27" s="565"/>
      <c r="AR27" s="566">
        <f t="shared" si="33"/>
        <v>0</v>
      </c>
      <c r="AS27" s="565"/>
      <c r="AT27" s="565"/>
      <c r="AU27" s="565"/>
      <c r="AV27" s="565"/>
      <c r="AW27" s="565"/>
      <c r="AX27" s="511">
        <f t="shared" si="34"/>
        <v>0</v>
      </c>
      <c r="AY27" s="397">
        <f t="shared" si="35"/>
        <v>0</v>
      </c>
      <c r="AZ27" s="195"/>
      <c r="BA27" s="195"/>
      <c r="BB27" s="195"/>
      <c r="BC27" s="195"/>
      <c r="BD27" s="195"/>
      <c r="BE27" s="195"/>
      <c r="BF27" s="195"/>
      <c r="BG27" s="198"/>
      <c r="BH27" s="405" t="str">
        <f>'Учебный план'!BZ45</f>
        <v>64-4</v>
      </c>
      <c r="BI27" s="195" t="str">
        <f>'Учебный план'!CA45</f>
        <v>ОК 1-10 ПК 1.1 - 1.4, 2.1-2.7, 3.1, 3.2, 4.1-4.3</v>
      </c>
    </row>
    <row r="28" spans="1:64" s="236" customFormat="1" ht="36.75" customHeight="1">
      <c r="A28" s="509" t="str">
        <f>'Учебный план'!A46</f>
        <v>ОП.07</v>
      </c>
      <c r="B28" s="509" t="str">
        <f>'Учебный план'!B46</f>
        <v>Безопасность жизнедеятельности</v>
      </c>
      <c r="C28" s="219"/>
      <c r="D28" s="405" t="s">
        <v>27</v>
      </c>
      <c r="E28" s="405"/>
      <c r="F28" s="405"/>
      <c r="G28" s="405"/>
      <c r="H28" s="405"/>
      <c r="I28" s="195">
        <f t="shared" si="27"/>
        <v>0</v>
      </c>
      <c r="J28" s="405">
        <f t="shared" si="28"/>
        <v>20.399999999999999</v>
      </c>
      <c r="K28" s="195">
        <f>'Учебный план'!K46</f>
        <v>102</v>
      </c>
      <c r="L28" s="195">
        <f>'Учебный план'!L46</f>
        <v>68</v>
      </c>
      <c r="M28" s="510">
        <f t="shared" si="5"/>
        <v>102</v>
      </c>
      <c r="N28" s="510">
        <f t="shared" si="29"/>
        <v>16</v>
      </c>
      <c r="O28" s="510">
        <f t="shared" si="30"/>
        <v>16</v>
      </c>
      <c r="P28" s="510">
        <f t="shared" si="30"/>
        <v>0</v>
      </c>
      <c r="Q28" s="510">
        <f t="shared" si="30"/>
        <v>0</v>
      </c>
      <c r="R28" s="510">
        <f t="shared" si="30"/>
        <v>0</v>
      </c>
      <c r="S28" s="510">
        <f t="shared" si="31"/>
        <v>86</v>
      </c>
      <c r="T28" s="397">
        <f t="shared" si="7"/>
        <v>102</v>
      </c>
      <c r="U28" s="565">
        <v>16</v>
      </c>
      <c r="V28" s="565"/>
      <c r="W28" s="565"/>
      <c r="X28" s="565"/>
      <c r="Y28" s="565">
        <v>86</v>
      </c>
      <c r="Z28" s="566">
        <f t="shared" si="8"/>
        <v>0</v>
      </c>
      <c r="AA28" s="565"/>
      <c r="AB28" s="565"/>
      <c r="AC28" s="565"/>
      <c r="AD28" s="565"/>
      <c r="AE28" s="565"/>
      <c r="AF28" s="566">
        <f t="shared" si="32"/>
        <v>0</v>
      </c>
      <c r="AG28" s="565"/>
      <c r="AH28" s="565"/>
      <c r="AI28" s="565"/>
      <c r="AJ28" s="565"/>
      <c r="AK28" s="565"/>
      <c r="AL28" s="566">
        <f t="shared" si="9"/>
        <v>0</v>
      </c>
      <c r="AM28" s="565"/>
      <c r="AN28" s="565"/>
      <c r="AO28" s="565"/>
      <c r="AP28" s="565"/>
      <c r="AQ28" s="565"/>
      <c r="AR28" s="566">
        <f t="shared" si="33"/>
        <v>0</v>
      </c>
      <c r="AS28" s="565"/>
      <c r="AT28" s="565"/>
      <c r="AU28" s="565"/>
      <c r="AV28" s="565"/>
      <c r="AW28" s="565"/>
      <c r="AX28" s="511">
        <f t="shared" si="34"/>
        <v>0</v>
      </c>
      <c r="AY28" s="397">
        <f t="shared" si="35"/>
        <v>0</v>
      </c>
      <c r="AZ28" s="195"/>
      <c r="BA28" s="195"/>
      <c r="BB28" s="195"/>
      <c r="BC28" s="195"/>
      <c r="BD28" s="195"/>
      <c r="BE28" s="195"/>
      <c r="BF28" s="195"/>
      <c r="BG28" s="198"/>
      <c r="BH28" s="405" t="str">
        <f>'Учебный план'!BZ46</f>
        <v>64-4</v>
      </c>
      <c r="BI28" s="195" t="str">
        <f>'Учебный план'!CA46</f>
        <v>ОК-1-10, ПК 1.1-1.4. 2.1-2.7, 3.1, 3.2, 4.1-4.3</v>
      </c>
      <c r="BL28" s="236" t="s">
        <v>26</v>
      </c>
    </row>
    <row r="29" spans="1:64" s="240" customFormat="1">
      <c r="A29" s="516" t="str">
        <f>'Учебный план'!A47</f>
        <v>ПМ.00</v>
      </c>
      <c r="B29" s="850" t="str">
        <f>'Учебный план'!B47</f>
        <v>Профессиональные модули</v>
      </c>
      <c r="C29" s="850"/>
      <c r="D29" s="850"/>
      <c r="E29" s="850"/>
      <c r="F29" s="850"/>
      <c r="G29" s="850"/>
      <c r="H29" s="850"/>
      <c r="I29" s="494"/>
      <c r="J29" s="517"/>
      <c r="K29" s="494">
        <f>'Учебный план'!K47</f>
        <v>3630</v>
      </c>
      <c r="L29" s="494">
        <f>'Учебный план'!L47</f>
        <v>2489</v>
      </c>
      <c r="M29" s="494">
        <f t="shared" ref="M29:T29" si="36">SUM(M30+M56+M62+M67+M70)</f>
        <v>3462</v>
      </c>
      <c r="N29" s="494">
        <f t="shared" si="36"/>
        <v>296</v>
      </c>
      <c r="O29" s="494">
        <f t="shared" si="36"/>
        <v>199</v>
      </c>
      <c r="P29" s="494">
        <f t="shared" si="36"/>
        <v>40</v>
      </c>
      <c r="Q29" s="494">
        <f t="shared" si="36"/>
        <v>57</v>
      </c>
      <c r="R29" s="494">
        <f t="shared" si="36"/>
        <v>0</v>
      </c>
      <c r="S29" s="494">
        <f t="shared" si="36"/>
        <v>1764</v>
      </c>
      <c r="T29" s="494">
        <f t="shared" si="36"/>
        <v>0</v>
      </c>
      <c r="U29" s="568">
        <f t="shared" ref="U29:AW29" si="37">SUM(U30+U56+U62+U67+U70)</f>
        <v>0</v>
      </c>
      <c r="V29" s="568">
        <f t="shared" si="37"/>
        <v>0</v>
      </c>
      <c r="W29" s="568">
        <f t="shared" si="37"/>
        <v>0</v>
      </c>
      <c r="X29" s="568">
        <f t="shared" si="37"/>
        <v>0</v>
      </c>
      <c r="Y29" s="568">
        <f t="shared" si="37"/>
        <v>0</v>
      </c>
      <c r="Z29" s="568">
        <f t="shared" si="37"/>
        <v>877</v>
      </c>
      <c r="AA29" s="568">
        <f t="shared" si="37"/>
        <v>100</v>
      </c>
      <c r="AB29" s="568">
        <f t="shared" si="37"/>
        <v>4</v>
      </c>
      <c r="AC29" s="568">
        <f t="shared" si="37"/>
        <v>0</v>
      </c>
      <c r="AD29" s="568">
        <f t="shared" si="37"/>
        <v>0</v>
      </c>
      <c r="AE29" s="568">
        <f t="shared" si="37"/>
        <v>773</v>
      </c>
      <c r="AF29" s="568">
        <f t="shared" si="37"/>
        <v>999</v>
      </c>
      <c r="AG29" s="568">
        <f t="shared" si="37"/>
        <v>118</v>
      </c>
      <c r="AH29" s="568">
        <f t="shared" si="37"/>
        <v>34</v>
      </c>
      <c r="AI29" s="568">
        <f t="shared" si="37"/>
        <v>0</v>
      </c>
      <c r="AJ29" s="568">
        <f t="shared" si="37"/>
        <v>0</v>
      </c>
      <c r="AK29" s="568">
        <f t="shared" si="37"/>
        <v>847</v>
      </c>
      <c r="AL29" s="568">
        <f t="shared" si="37"/>
        <v>913</v>
      </c>
      <c r="AM29" s="568">
        <f t="shared" si="37"/>
        <v>84</v>
      </c>
      <c r="AN29" s="568">
        <f t="shared" si="37"/>
        <v>26</v>
      </c>
      <c r="AO29" s="568">
        <f t="shared" si="37"/>
        <v>22</v>
      </c>
      <c r="AP29" s="568">
        <f t="shared" si="37"/>
        <v>0</v>
      </c>
      <c r="AQ29" s="568">
        <f t="shared" si="37"/>
        <v>781</v>
      </c>
      <c r="AR29" s="568">
        <f t="shared" si="37"/>
        <v>841</v>
      </c>
      <c r="AS29" s="568">
        <f t="shared" si="37"/>
        <v>41</v>
      </c>
      <c r="AT29" s="568">
        <f t="shared" si="37"/>
        <v>41</v>
      </c>
      <c r="AU29" s="568">
        <f t="shared" si="37"/>
        <v>68</v>
      </c>
      <c r="AV29" s="568">
        <f t="shared" si="37"/>
        <v>0</v>
      </c>
      <c r="AW29" s="568">
        <f t="shared" si="37"/>
        <v>691</v>
      </c>
      <c r="AX29" s="494">
        <f>SUM(AX30+AX56+AX62)</f>
        <v>0</v>
      </c>
      <c r="AY29" s="494">
        <f t="shared" ref="AY29:BF29" si="38">SUM(AY30+AY56+AY62+AY67+AY70)</f>
        <v>0</v>
      </c>
      <c r="AZ29" s="494">
        <f t="shared" si="38"/>
        <v>0</v>
      </c>
      <c r="BA29" s="494">
        <f t="shared" si="38"/>
        <v>0</v>
      </c>
      <c r="BB29" s="494">
        <f t="shared" si="38"/>
        <v>0</v>
      </c>
      <c r="BC29" s="494">
        <f t="shared" si="38"/>
        <v>0</v>
      </c>
      <c r="BD29" s="494">
        <f t="shared" si="38"/>
        <v>0</v>
      </c>
      <c r="BE29" s="494">
        <f t="shared" si="38"/>
        <v>0</v>
      </c>
      <c r="BF29" s="494">
        <f t="shared" si="38"/>
        <v>0</v>
      </c>
      <c r="BG29" s="494"/>
      <c r="BH29" s="517">
        <f>'Учебный план'!BZ47</f>
        <v>0</v>
      </c>
      <c r="BI29" s="517">
        <f>'Учебный план'!CA47</f>
        <v>0</v>
      </c>
    </row>
    <row r="30" spans="1:64" s="240" customFormat="1" ht="29.25" customHeight="1">
      <c r="A30" s="498" t="str">
        <f>'Учебный план'!A48</f>
        <v>ПМ.01</v>
      </c>
      <c r="B30" s="849" t="str">
        <f>'Учебный план'!B48</f>
        <v>Управление и эксплуатация судна с правом эксплуатации
судовых энергетических установок</v>
      </c>
      <c r="C30" s="849"/>
      <c r="D30" s="849"/>
      <c r="E30" s="849"/>
      <c r="F30" s="849"/>
      <c r="G30" s="849"/>
      <c r="H30" s="849"/>
      <c r="I30" s="398"/>
      <c r="J30" s="518"/>
      <c r="K30" s="398">
        <f>'Учебный план'!K48</f>
        <v>2856</v>
      </c>
      <c r="L30" s="398">
        <f>'Учебный план'!L48</f>
        <v>1951</v>
      </c>
      <c r="M30" s="398">
        <f>SUM(M31+M37+M44+M51)</f>
        <v>2688</v>
      </c>
      <c r="N30" s="398">
        <f t="shared" ref="N30:Y30" si="39">SUM(N31+N37)</f>
        <v>202</v>
      </c>
      <c r="O30" s="398">
        <f t="shared" si="39"/>
        <v>127</v>
      </c>
      <c r="P30" s="398">
        <f t="shared" si="39"/>
        <v>40</v>
      </c>
      <c r="Q30" s="398">
        <f t="shared" si="39"/>
        <v>35</v>
      </c>
      <c r="R30" s="398">
        <f t="shared" si="39"/>
        <v>0</v>
      </c>
      <c r="S30" s="398">
        <f t="shared" si="39"/>
        <v>1084</v>
      </c>
      <c r="T30" s="398">
        <f t="shared" si="39"/>
        <v>0</v>
      </c>
      <c r="U30" s="569">
        <f t="shared" si="39"/>
        <v>0</v>
      </c>
      <c r="V30" s="569">
        <f t="shared" si="39"/>
        <v>0</v>
      </c>
      <c r="W30" s="569">
        <f t="shared" si="39"/>
        <v>0</v>
      </c>
      <c r="X30" s="569">
        <f t="shared" si="39"/>
        <v>0</v>
      </c>
      <c r="Y30" s="569">
        <f t="shared" si="39"/>
        <v>0</v>
      </c>
      <c r="Z30" s="569">
        <f>SUM(Z31+Z37+Z44+Z51)</f>
        <v>355</v>
      </c>
      <c r="AA30" s="569">
        <f t="shared" ref="AA30:AW30" si="40">SUM(AA31+AA37+AA44+AA51)</f>
        <v>56</v>
      </c>
      <c r="AB30" s="569">
        <f t="shared" si="40"/>
        <v>4</v>
      </c>
      <c r="AC30" s="569">
        <f t="shared" si="40"/>
        <v>0</v>
      </c>
      <c r="AD30" s="569">
        <f t="shared" si="40"/>
        <v>0</v>
      </c>
      <c r="AE30" s="569">
        <f t="shared" si="40"/>
        <v>295</v>
      </c>
      <c r="AF30" s="569">
        <f t="shared" si="40"/>
        <v>934</v>
      </c>
      <c r="AG30" s="569">
        <f t="shared" si="40"/>
        <v>108</v>
      </c>
      <c r="AH30" s="569">
        <f t="shared" si="40"/>
        <v>34</v>
      </c>
      <c r="AI30" s="569">
        <f t="shared" si="40"/>
        <v>0</v>
      </c>
      <c r="AJ30" s="569">
        <f t="shared" si="40"/>
        <v>0</v>
      </c>
      <c r="AK30" s="569">
        <f t="shared" si="40"/>
        <v>792</v>
      </c>
      <c r="AL30" s="569">
        <f t="shared" si="40"/>
        <v>726</v>
      </c>
      <c r="AM30" s="569">
        <f t="shared" si="40"/>
        <v>66</v>
      </c>
      <c r="AN30" s="569">
        <f t="shared" si="40"/>
        <v>26</v>
      </c>
      <c r="AO30" s="569">
        <f t="shared" si="40"/>
        <v>0</v>
      </c>
      <c r="AP30" s="569">
        <f t="shared" si="40"/>
        <v>0</v>
      </c>
      <c r="AQ30" s="569">
        <f t="shared" si="40"/>
        <v>634</v>
      </c>
      <c r="AR30" s="569">
        <f t="shared" si="40"/>
        <v>841</v>
      </c>
      <c r="AS30" s="569">
        <f t="shared" si="40"/>
        <v>41</v>
      </c>
      <c r="AT30" s="569">
        <f t="shared" si="40"/>
        <v>41</v>
      </c>
      <c r="AU30" s="569">
        <f t="shared" si="40"/>
        <v>68</v>
      </c>
      <c r="AV30" s="569">
        <f t="shared" si="40"/>
        <v>0</v>
      </c>
      <c r="AW30" s="569">
        <f t="shared" si="40"/>
        <v>691</v>
      </c>
      <c r="AX30" s="398"/>
      <c r="AY30" s="398">
        <f t="shared" ref="AY30:BB30" si="41">SUM(AY31+AY37)</f>
        <v>0</v>
      </c>
      <c r="AZ30" s="398">
        <f t="shared" si="41"/>
        <v>0</v>
      </c>
      <c r="BA30" s="398">
        <f t="shared" si="41"/>
        <v>0</v>
      </c>
      <c r="BB30" s="398">
        <f t="shared" si="41"/>
        <v>0</v>
      </c>
      <c r="BC30" s="398">
        <f>SUM(BC31+BC37)</f>
        <v>0</v>
      </c>
      <c r="BD30" s="398">
        <f t="shared" ref="BD30:BF30" si="42">SUM(BD31+BD37)</f>
        <v>0</v>
      </c>
      <c r="BE30" s="398">
        <f t="shared" si="42"/>
        <v>0</v>
      </c>
      <c r="BF30" s="398">
        <f t="shared" si="42"/>
        <v>0</v>
      </c>
      <c r="BG30" s="398"/>
      <c r="BH30" s="518">
        <f>'Учебный план'!BZ48</f>
        <v>0</v>
      </c>
      <c r="BI30" s="519" t="str">
        <f>'Учебный план'!CA48</f>
        <v>ОК 1-10, ПК1.1-1.4</v>
      </c>
    </row>
    <row r="31" spans="1:64" s="240" customFormat="1" ht="30" customHeight="1">
      <c r="A31" s="576" t="str">
        <f>'Учебный план'!A49</f>
        <v>МДК.01.01</v>
      </c>
      <c r="B31" s="829" t="str">
        <f>'Учебный план'!B49</f>
        <v>Навигация, навигационная гидрометеорология и лоция</v>
      </c>
      <c r="C31" s="829"/>
      <c r="D31" s="829"/>
      <c r="E31" s="829"/>
      <c r="F31" s="829"/>
      <c r="G31" s="829"/>
      <c r="H31" s="829"/>
      <c r="I31" s="580"/>
      <c r="J31" s="587"/>
      <c r="K31" s="580">
        <f>'Учебный план'!K49</f>
        <v>726</v>
      </c>
      <c r="L31" s="580">
        <f>'Учебный план'!L49</f>
        <v>484</v>
      </c>
      <c r="M31" s="580">
        <f t="shared" ref="M31:BF31" si="43">SUM(M32:M36)</f>
        <v>726</v>
      </c>
      <c r="N31" s="580">
        <f t="shared" si="43"/>
        <v>116</v>
      </c>
      <c r="O31" s="580">
        <f t="shared" si="43"/>
        <v>69</v>
      </c>
      <c r="P31" s="580">
        <f t="shared" si="43"/>
        <v>12</v>
      </c>
      <c r="Q31" s="580">
        <f t="shared" si="43"/>
        <v>35</v>
      </c>
      <c r="R31" s="580">
        <f t="shared" si="43"/>
        <v>0</v>
      </c>
      <c r="S31" s="580">
        <f t="shared" si="43"/>
        <v>610</v>
      </c>
      <c r="T31" s="580">
        <f>SUM(T32:T36)</f>
        <v>0</v>
      </c>
      <c r="U31" s="570">
        <f t="shared" ref="U31:Y31" si="44">SUM(U32:U36)</f>
        <v>0</v>
      </c>
      <c r="V31" s="570">
        <f t="shared" si="44"/>
        <v>0</v>
      </c>
      <c r="W31" s="570">
        <f t="shared" si="44"/>
        <v>0</v>
      </c>
      <c r="X31" s="570">
        <f t="shared" si="44"/>
        <v>0</v>
      </c>
      <c r="Y31" s="570">
        <f t="shared" si="44"/>
        <v>0</v>
      </c>
      <c r="Z31" s="570">
        <f t="shared" ref="Z31:AW31" si="45">SUM(Z32:Z36)</f>
        <v>57</v>
      </c>
      <c r="AA31" s="570">
        <f t="shared" si="45"/>
        <v>12</v>
      </c>
      <c r="AB31" s="570">
        <f t="shared" si="45"/>
        <v>0</v>
      </c>
      <c r="AC31" s="570">
        <f t="shared" si="45"/>
        <v>0</v>
      </c>
      <c r="AD31" s="570">
        <f t="shared" si="45"/>
        <v>0</v>
      </c>
      <c r="AE31" s="570">
        <f t="shared" si="45"/>
        <v>45</v>
      </c>
      <c r="AF31" s="570">
        <f t="shared" si="45"/>
        <v>281</v>
      </c>
      <c r="AG31" s="570">
        <f t="shared" si="45"/>
        <v>28</v>
      </c>
      <c r="AH31" s="570">
        <f t="shared" si="45"/>
        <v>12</v>
      </c>
      <c r="AI31" s="570">
        <f t="shared" si="45"/>
        <v>0</v>
      </c>
      <c r="AJ31" s="570">
        <f t="shared" si="45"/>
        <v>0</v>
      </c>
      <c r="AK31" s="570">
        <f t="shared" si="45"/>
        <v>241</v>
      </c>
      <c r="AL31" s="570">
        <f t="shared" si="45"/>
        <v>158</v>
      </c>
      <c r="AM31" s="570">
        <f t="shared" si="45"/>
        <v>16</v>
      </c>
      <c r="AN31" s="570">
        <f t="shared" si="45"/>
        <v>0</v>
      </c>
      <c r="AO31" s="570">
        <f t="shared" si="45"/>
        <v>0</v>
      </c>
      <c r="AP31" s="570">
        <f t="shared" si="45"/>
        <v>0</v>
      </c>
      <c r="AQ31" s="570">
        <f t="shared" si="45"/>
        <v>142</v>
      </c>
      <c r="AR31" s="570">
        <f t="shared" si="45"/>
        <v>230</v>
      </c>
      <c r="AS31" s="570">
        <f t="shared" si="45"/>
        <v>13</v>
      </c>
      <c r="AT31" s="570">
        <f t="shared" si="45"/>
        <v>0</v>
      </c>
      <c r="AU31" s="570">
        <f t="shared" si="45"/>
        <v>35</v>
      </c>
      <c r="AV31" s="570">
        <f t="shared" si="45"/>
        <v>0</v>
      </c>
      <c r="AW31" s="570">
        <f t="shared" si="45"/>
        <v>182</v>
      </c>
      <c r="AX31" s="580">
        <f t="shared" si="43"/>
        <v>0</v>
      </c>
      <c r="AY31" s="580">
        <f t="shared" si="43"/>
        <v>0</v>
      </c>
      <c r="AZ31" s="580">
        <f t="shared" si="43"/>
        <v>0</v>
      </c>
      <c r="BA31" s="580">
        <f t="shared" si="43"/>
        <v>0</v>
      </c>
      <c r="BB31" s="580">
        <f t="shared" si="43"/>
        <v>0</v>
      </c>
      <c r="BC31" s="580">
        <f t="shared" si="43"/>
        <v>0</v>
      </c>
      <c r="BD31" s="580">
        <f t="shared" si="43"/>
        <v>0</v>
      </c>
      <c r="BE31" s="580">
        <f t="shared" si="43"/>
        <v>0</v>
      </c>
      <c r="BF31" s="580">
        <f t="shared" si="43"/>
        <v>0</v>
      </c>
      <c r="BG31" s="580"/>
      <c r="BH31" s="580">
        <f>'Учебный план'!BZ49</f>
        <v>0</v>
      </c>
      <c r="BI31" s="580" t="str">
        <f>'Учебный план'!CA49</f>
        <v>ОК-1-10; ПК-1.1</v>
      </c>
    </row>
    <row r="32" spans="1:64" s="237" customFormat="1">
      <c r="A32" s="509">
        <f>'Учебный план'!A50</f>
        <v>0</v>
      </c>
      <c r="B32" s="509" t="str">
        <f>'Учебный план'!B50</f>
        <v>Навигация и лоция</v>
      </c>
      <c r="C32" s="219"/>
      <c r="D32" s="405"/>
      <c r="E32" s="405" t="s">
        <v>41</v>
      </c>
      <c r="F32" s="405"/>
      <c r="G32" s="405" t="s">
        <v>41</v>
      </c>
      <c r="H32" s="99" t="s">
        <v>625</v>
      </c>
      <c r="I32" s="195">
        <f t="shared" ref="I32:I36" si="46">K32-M32</f>
        <v>0</v>
      </c>
      <c r="J32" s="405">
        <f t="shared" ref="J32:J36" si="47">L32*$J$1</f>
        <v>61.2</v>
      </c>
      <c r="K32" s="195">
        <f>'Учебный план'!K50</f>
        <v>312</v>
      </c>
      <c r="L32" s="195">
        <f>'Учебный план'!L50</f>
        <v>204</v>
      </c>
      <c r="M32" s="510">
        <f>SUM(N32+S32)</f>
        <v>312</v>
      </c>
      <c r="N32" s="510">
        <f>SUM(O32:R32)</f>
        <v>52</v>
      </c>
      <c r="O32" s="510">
        <f t="shared" ref="O32:R36" si="48">U32+AG32+AM32+AS32+AA32+BA32</f>
        <v>17</v>
      </c>
      <c r="P32" s="510">
        <f t="shared" si="48"/>
        <v>0</v>
      </c>
      <c r="Q32" s="510">
        <f t="shared" si="48"/>
        <v>35</v>
      </c>
      <c r="R32" s="510">
        <f t="shared" si="48"/>
        <v>0</v>
      </c>
      <c r="S32" s="510">
        <f>Y32+AK32+AQ32+AW32+BF32+AE32</f>
        <v>260</v>
      </c>
      <c r="T32" s="397">
        <f>SUM(U32:Y32)</f>
        <v>0</v>
      </c>
      <c r="U32" s="565"/>
      <c r="V32" s="565"/>
      <c r="W32" s="565"/>
      <c r="X32" s="565"/>
      <c r="Y32" s="565"/>
      <c r="Z32" s="566">
        <f>SUM(AA32:AE32)</f>
        <v>0</v>
      </c>
      <c r="AA32" s="565"/>
      <c r="AB32" s="565"/>
      <c r="AC32" s="565"/>
      <c r="AD32" s="565"/>
      <c r="AE32" s="565"/>
      <c r="AF32" s="566">
        <f>SUM(AG32:AK32)</f>
        <v>90</v>
      </c>
      <c r="AG32" s="565">
        <v>8</v>
      </c>
      <c r="AH32" s="565"/>
      <c r="AI32" s="565"/>
      <c r="AJ32" s="565"/>
      <c r="AK32" s="565">
        <v>82</v>
      </c>
      <c r="AL32" s="566">
        <f>SUM(AM32:AQ32)</f>
        <v>90</v>
      </c>
      <c r="AM32" s="565">
        <v>8</v>
      </c>
      <c r="AN32" s="565"/>
      <c r="AO32" s="565"/>
      <c r="AP32" s="565"/>
      <c r="AQ32" s="565">
        <v>82</v>
      </c>
      <c r="AR32" s="566">
        <f>SUM(AS32:AW32)</f>
        <v>132</v>
      </c>
      <c r="AS32" s="565">
        <v>1</v>
      </c>
      <c r="AT32" s="565"/>
      <c r="AU32" s="565">
        <v>35</v>
      </c>
      <c r="AV32" s="565"/>
      <c r="AW32" s="565">
        <v>96</v>
      </c>
      <c r="AX32" s="511">
        <f>LEN(H32)-LEN(SUBSTITUTE(H32,"9",""))</f>
        <v>0</v>
      </c>
      <c r="AY32" s="397">
        <f>SUM(AZ32:BF32)</f>
        <v>0</v>
      </c>
      <c r="AZ32" s="195"/>
      <c r="BA32" s="195"/>
      <c r="BB32" s="195"/>
      <c r="BC32" s="195"/>
      <c r="BD32" s="195"/>
      <c r="BE32" s="195"/>
      <c r="BF32" s="195"/>
      <c r="BG32" s="198"/>
      <c r="BH32" s="405" t="str">
        <f>'Учебный план'!BZ50</f>
        <v>64-4</v>
      </c>
      <c r="BI32" s="195" t="str">
        <f>'Учебный план'!CA50</f>
        <v>ОК-1-10; ПК-1.1</v>
      </c>
    </row>
    <row r="33" spans="1:61" s="237" customFormat="1" ht="25.5">
      <c r="A33" s="509">
        <f>'Учебный план'!A51</f>
        <v>0</v>
      </c>
      <c r="B33" s="509" t="str">
        <f>'Учебный план'!B51</f>
        <v>Основы картографии и навигационные карты</v>
      </c>
      <c r="C33" s="219"/>
      <c r="D33" s="405"/>
      <c r="E33" s="405" t="s">
        <v>30</v>
      </c>
      <c r="F33" s="405"/>
      <c r="G33" s="405"/>
      <c r="H33" s="99" t="s">
        <v>31</v>
      </c>
      <c r="I33" s="195">
        <f t="shared" si="46"/>
        <v>0</v>
      </c>
      <c r="J33" s="405">
        <f t="shared" si="47"/>
        <v>24.6</v>
      </c>
      <c r="K33" s="195">
        <f>'Учебный план'!K51</f>
        <v>120</v>
      </c>
      <c r="L33" s="195">
        <f>'Учебный план'!L51</f>
        <v>82</v>
      </c>
      <c r="M33" s="510">
        <f>SUM(N33+S33)</f>
        <v>120</v>
      </c>
      <c r="N33" s="510">
        <f>SUM(O33:R33)</f>
        <v>20</v>
      </c>
      <c r="O33" s="510">
        <f t="shared" si="48"/>
        <v>20</v>
      </c>
      <c r="P33" s="510">
        <f t="shared" si="48"/>
        <v>0</v>
      </c>
      <c r="Q33" s="510">
        <f t="shared" si="48"/>
        <v>0</v>
      </c>
      <c r="R33" s="510">
        <f t="shared" si="48"/>
        <v>0</v>
      </c>
      <c r="S33" s="510">
        <f>Y33+AK33+AQ33+AW33+BF33+AE33</f>
        <v>100</v>
      </c>
      <c r="T33" s="397">
        <f>SUM(U33:Y33)</f>
        <v>0</v>
      </c>
      <c r="U33" s="565"/>
      <c r="V33" s="565"/>
      <c r="W33" s="565"/>
      <c r="X33" s="565"/>
      <c r="Y33" s="565"/>
      <c r="Z33" s="566">
        <f>SUM(AA33:AE33)</f>
        <v>57</v>
      </c>
      <c r="AA33" s="565">
        <v>12</v>
      </c>
      <c r="AB33" s="565"/>
      <c r="AC33" s="565"/>
      <c r="AD33" s="565"/>
      <c r="AE33" s="565">
        <v>45</v>
      </c>
      <c r="AF33" s="566">
        <f>SUM(AG33:AK33)</f>
        <v>63</v>
      </c>
      <c r="AG33" s="565">
        <v>8</v>
      </c>
      <c r="AH33" s="565"/>
      <c r="AI33" s="565"/>
      <c r="AJ33" s="565"/>
      <c r="AK33" s="565">
        <v>55</v>
      </c>
      <c r="AL33" s="566">
        <f>SUM(AM33:AQ33)</f>
        <v>0</v>
      </c>
      <c r="AM33" s="565"/>
      <c r="AN33" s="565"/>
      <c r="AO33" s="565"/>
      <c r="AP33" s="565"/>
      <c r="AQ33" s="565"/>
      <c r="AR33" s="566">
        <f>SUM(AS33:AW33)</f>
        <v>0</v>
      </c>
      <c r="AS33" s="565"/>
      <c r="AT33" s="565"/>
      <c r="AU33" s="565"/>
      <c r="AV33" s="565"/>
      <c r="AW33" s="565"/>
      <c r="AX33" s="511">
        <f>LEN(H33)-LEN(SUBSTITUTE(H33,"9",""))</f>
        <v>0</v>
      </c>
      <c r="AY33" s="397">
        <f>SUM(AZ33:BF33)</f>
        <v>0</v>
      </c>
      <c r="AZ33" s="195"/>
      <c r="BA33" s="195"/>
      <c r="BB33" s="195"/>
      <c r="BC33" s="195"/>
      <c r="BD33" s="195"/>
      <c r="BE33" s="195"/>
      <c r="BF33" s="195"/>
      <c r="BG33" s="198"/>
      <c r="BH33" s="405" t="str">
        <f>'Учебный план'!BZ51</f>
        <v>64-4</v>
      </c>
      <c r="BI33" s="195" t="str">
        <f>'Учебный план'!CA51</f>
        <v>ОК-1-10; ПК-1.1</v>
      </c>
    </row>
    <row r="34" spans="1:61" s="237" customFormat="1" ht="25.5">
      <c r="A34" s="509">
        <f>'Учебный план'!A52</f>
        <v>0</v>
      </c>
      <c r="B34" s="509" t="str">
        <f>'Учебный план'!B52</f>
        <v>Навигационная гидрометеорология</v>
      </c>
      <c r="C34" s="219"/>
      <c r="D34" s="405"/>
      <c r="E34" s="405" t="s">
        <v>41</v>
      </c>
      <c r="F34" s="405"/>
      <c r="G34" s="405"/>
      <c r="H34" s="99" t="s">
        <v>41</v>
      </c>
      <c r="I34" s="195">
        <f t="shared" si="46"/>
        <v>0</v>
      </c>
      <c r="J34" s="405">
        <f t="shared" si="47"/>
        <v>19.8</v>
      </c>
      <c r="K34" s="195">
        <f>'Учебный план'!K52</f>
        <v>98</v>
      </c>
      <c r="L34" s="195">
        <f>'Учебный план'!L52</f>
        <v>66</v>
      </c>
      <c r="M34" s="510">
        <f>SUM(N34+S34)</f>
        <v>98</v>
      </c>
      <c r="N34" s="510">
        <f>SUM(O34:R34)</f>
        <v>12</v>
      </c>
      <c r="O34" s="510">
        <f t="shared" si="48"/>
        <v>12</v>
      </c>
      <c r="P34" s="510">
        <f t="shared" si="48"/>
        <v>0</v>
      </c>
      <c r="Q34" s="510">
        <f t="shared" si="48"/>
        <v>0</v>
      </c>
      <c r="R34" s="510">
        <f t="shared" si="48"/>
        <v>0</v>
      </c>
      <c r="S34" s="510">
        <f>Y34+AK34+AQ34+AW34+BF34+AE34</f>
        <v>86</v>
      </c>
      <c r="T34" s="397">
        <f>SUM(U34:Y34)</f>
        <v>0</v>
      </c>
      <c r="U34" s="565"/>
      <c r="V34" s="565"/>
      <c r="W34" s="565"/>
      <c r="X34" s="565"/>
      <c r="Y34" s="565"/>
      <c r="Z34" s="566">
        <f>SUM(AA34:AE34)</f>
        <v>0</v>
      </c>
      <c r="AA34" s="565"/>
      <c r="AB34" s="565"/>
      <c r="AC34" s="565"/>
      <c r="AD34" s="565"/>
      <c r="AE34" s="565"/>
      <c r="AF34" s="566">
        <f>SUM(AG34:AK34)</f>
        <v>0</v>
      </c>
      <c r="AG34" s="565"/>
      <c r="AH34" s="565"/>
      <c r="AI34" s="565"/>
      <c r="AJ34" s="565"/>
      <c r="AK34" s="565"/>
      <c r="AL34" s="566">
        <f>SUM(AM34:AQ34)</f>
        <v>0</v>
      </c>
      <c r="AM34" s="565"/>
      <c r="AN34" s="565"/>
      <c r="AO34" s="565"/>
      <c r="AP34" s="565"/>
      <c r="AQ34" s="565"/>
      <c r="AR34" s="566">
        <f>SUM(AS34:AW34)</f>
        <v>98</v>
      </c>
      <c r="AS34" s="565">
        <v>12</v>
      </c>
      <c r="AT34" s="565"/>
      <c r="AU34" s="565"/>
      <c r="AV34" s="565"/>
      <c r="AW34" s="565">
        <f>K34-AS34</f>
        <v>86</v>
      </c>
      <c r="AX34" s="511"/>
      <c r="AY34" s="397">
        <f t="shared" ref="AY34:AY36" si="49">SUM(AZ34:BF34)</f>
        <v>0</v>
      </c>
      <c r="AZ34" s="195"/>
      <c r="BA34" s="195"/>
      <c r="BB34" s="195"/>
      <c r="BC34" s="195"/>
      <c r="BD34" s="195"/>
      <c r="BE34" s="195"/>
      <c r="BF34" s="195"/>
      <c r="BG34" s="198"/>
      <c r="BH34" s="405" t="str">
        <f>'Учебный план'!BZ52</f>
        <v>64-4</v>
      </c>
      <c r="BI34" s="195" t="str">
        <f>'Учебный план'!CA52</f>
        <v>ОК-1-10; ПК-1.1</v>
      </c>
    </row>
    <row r="35" spans="1:61" s="237" customFormat="1">
      <c r="A35" s="509">
        <f>'Учебный план'!A53</f>
        <v>0</v>
      </c>
      <c r="B35" s="509" t="str">
        <f>'Учебный план'!B53</f>
        <v>Мореходная астрономия</v>
      </c>
      <c r="C35" s="219"/>
      <c r="D35" s="405" t="s">
        <v>40</v>
      </c>
      <c r="E35" s="405"/>
      <c r="F35" s="405"/>
      <c r="G35" s="405"/>
      <c r="H35" s="99" t="s">
        <v>30</v>
      </c>
      <c r="I35" s="195">
        <f t="shared" si="46"/>
        <v>0</v>
      </c>
      <c r="J35" s="405">
        <f t="shared" si="47"/>
        <v>26.4</v>
      </c>
      <c r="K35" s="195">
        <f>'Учебный план'!K53</f>
        <v>130</v>
      </c>
      <c r="L35" s="195">
        <f>'Учебный план'!L53</f>
        <v>88</v>
      </c>
      <c r="M35" s="510">
        <f>SUM(N35+S35)</f>
        <v>130</v>
      </c>
      <c r="N35" s="510">
        <f>SUM(O35:R35)</f>
        <v>20</v>
      </c>
      <c r="O35" s="510">
        <f t="shared" si="48"/>
        <v>20</v>
      </c>
      <c r="P35" s="510">
        <f t="shared" si="48"/>
        <v>0</v>
      </c>
      <c r="Q35" s="510">
        <f t="shared" si="48"/>
        <v>0</v>
      </c>
      <c r="R35" s="510">
        <f t="shared" si="48"/>
        <v>0</v>
      </c>
      <c r="S35" s="510">
        <f>Y35+AK35+AQ35+AW35+BF35+AE35</f>
        <v>110</v>
      </c>
      <c r="T35" s="397">
        <f>SUM(U35:Y35)</f>
        <v>0</v>
      </c>
      <c r="U35" s="565"/>
      <c r="V35" s="565"/>
      <c r="W35" s="565"/>
      <c r="X35" s="565"/>
      <c r="Y35" s="565"/>
      <c r="Z35" s="566">
        <f>SUM(AA35:AE35)</f>
        <v>0</v>
      </c>
      <c r="AA35" s="565"/>
      <c r="AB35" s="565"/>
      <c r="AC35" s="565"/>
      <c r="AD35" s="565"/>
      <c r="AE35" s="565"/>
      <c r="AF35" s="566">
        <f>SUM(AG35:AK35)</f>
        <v>62</v>
      </c>
      <c r="AG35" s="565">
        <v>12</v>
      </c>
      <c r="AH35" s="565"/>
      <c r="AI35" s="565"/>
      <c r="AJ35" s="565"/>
      <c r="AK35" s="565">
        <v>50</v>
      </c>
      <c r="AL35" s="566">
        <f>SUM(AM35:AQ35)</f>
        <v>68</v>
      </c>
      <c r="AM35" s="565">
        <v>8</v>
      </c>
      <c r="AN35" s="565"/>
      <c r="AO35" s="565"/>
      <c r="AP35" s="565"/>
      <c r="AQ35" s="565">
        <v>60</v>
      </c>
      <c r="AR35" s="566">
        <f>SUM(AS35:AW35)</f>
        <v>0</v>
      </c>
      <c r="AS35" s="565"/>
      <c r="AT35" s="565"/>
      <c r="AU35" s="565"/>
      <c r="AV35" s="565"/>
      <c r="AW35" s="565"/>
      <c r="AX35" s="511"/>
      <c r="AY35" s="397">
        <f t="shared" si="49"/>
        <v>0</v>
      </c>
      <c r="AZ35" s="195"/>
      <c r="BA35" s="195"/>
      <c r="BB35" s="195"/>
      <c r="BC35" s="195"/>
      <c r="BD35" s="195"/>
      <c r="BE35" s="195"/>
      <c r="BF35" s="195"/>
      <c r="BG35" s="198"/>
      <c r="BH35" s="405" t="str">
        <f>'Учебный план'!BZ53</f>
        <v>64-4</v>
      </c>
      <c r="BI35" s="195" t="str">
        <f>'Учебный план'!CA53</f>
        <v>ОК-1-10; ПК-1.1</v>
      </c>
    </row>
    <row r="36" spans="1:61" s="237" customFormat="1" ht="25.5">
      <c r="A36" s="509">
        <f>'Учебный план'!A54</f>
        <v>0</v>
      </c>
      <c r="B36" s="509" t="str">
        <f>'Учебный план'!B54</f>
        <v>Тренажерная подготовка. Использование ЭКНИС</v>
      </c>
      <c r="C36" s="219"/>
      <c r="D36" s="405"/>
      <c r="E36" s="405"/>
      <c r="F36" s="99" t="s">
        <v>30</v>
      </c>
      <c r="G36" s="405"/>
      <c r="H36" s="405"/>
      <c r="I36" s="195">
        <f t="shared" si="46"/>
        <v>0</v>
      </c>
      <c r="J36" s="405">
        <f t="shared" si="47"/>
        <v>13.2</v>
      </c>
      <c r="K36" s="195">
        <f>'Учебный план'!K54</f>
        <v>66</v>
      </c>
      <c r="L36" s="195">
        <f>'Учебный план'!L54</f>
        <v>44</v>
      </c>
      <c r="M36" s="510">
        <f>SUM(N36+S36)</f>
        <v>66</v>
      </c>
      <c r="N36" s="510">
        <f>SUM(O36:R36)</f>
        <v>12</v>
      </c>
      <c r="O36" s="510">
        <f t="shared" si="48"/>
        <v>0</v>
      </c>
      <c r="P36" s="510">
        <f t="shared" si="48"/>
        <v>12</v>
      </c>
      <c r="Q36" s="510">
        <f t="shared" si="48"/>
        <v>0</v>
      </c>
      <c r="R36" s="510">
        <f t="shared" si="48"/>
        <v>0</v>
      </c>
      <c r="S36" s="510">
        <f>Y36+AK36+AQ36+AW36+BF36+AE36</f>
        <v>54</v>
      </c>
      <c r="T36" s="397">
        <f>SUM(U36:Y36)</f>
        <v>0</v>
      </c>
      <c r="U36" s="565"/>
      <c r="V36" s="565"/>
      <c r="W36" s="565"/>
      <c r="X36" s="565"/>
      <c r="Y36" s="565"/>
      <c r="Z36" s="566">
        <f>SUM(AA36:AE36)</f>
        <v>0</v>
      </c>
      <c r="AA36" s="565"/>
      <c r="AB36" s="565"/>
      <c r="AC36" s="565"/>
      <c r="AD36" s="565"/>
      <c r="AE36" s="565"/>
      <c r="AF36" s="566">
        <f>SUM(AG36:AK36)</f>
        <v>66</v>
      </c>
      <c r="AG36" s="565"/>
      <c r="AH36" s="565">
        <v>12</v>
      </c>
      <c r="AI36" s="565"/>
      <c r="AJ36" s="565"/>
      <c r="AK36" s="565">
        <v>54</v>
      </c>
      <c r="AL36" s="566">
        <f>SUM(AM36:AQ36)</f>
        <v>0</v>
      </c>
      <c r="AM36" s="565"/>
      <c r="AN36" s="565"/>
      <c r="AO36" s="565"/>
      <c r="AP36" s="565"/>
      <c r="AQ36" s="565"/>
      <c r="AR36" s="566">
        <f>SUM(AS36:AW36)</f>
        <v>0</v>
      </c>
      <c r="AS36" s="565"/>
      <c r="AT36" s="565"/>
      <c r="AU36" s="565"/>
      <c r="AV36" s="565"/>
      <c r="AW36" s="565"/>
      <c r="AX36" s="511"/>
      <c r="AY36" s="397">
        <f t="shared" si="49"/>
        <v>0</v>
      </c>
      <c r="AZ36" s="195"/>
      <c r="BA36" s="195"/>
      <c r="BB36" s="195"/>
      <c r="BC36" s="195"/>
      <c r="BD36" s="195"/>
      <c r="BE36" s="195"/>
      <c r="BF36" s="195"/>
      <c r="BG36" s="198"/>
      <c r="BH36" s="405" t="str">
        <f>'Учебный план'!BZ54</f>
        <v>64-4</v>
      </c>
      <c r="BI36" s="195" t="str">
        <f>'Учебный план'!CA54</f>
        <v>ОК 1-10; 
ПК-1.1,1.2,1.4</v>
      </c>
    </row>
    <row r="37" spans="1:61" s="240" customFormat="1" ht="42.75" customHeight="1">
      <c r="A37" s="576" t="str">
        <f>'Учебный план'!A55</f>
        <v>МДК.01.02</v>
      </c>
      <c r="B37" s="829" t="str">
        <f>'Учебный план'!B55</f>
        <v>Управление судном и технические средства судовождения</v>
      </c>
      <c r="C37" s="829"/>
      <c r="D37" s="829"/>
      <c r="E37" s="829"/>
      <c r="F37" s="829"/>
      <c r="G37" s="829"/>
      <c r="H37" s="829"/>
      <c r="I37" s="580"/>
      <c r="J37" s="587"/>
      <c r="K37" s="580">
        <f>'Учебный план'!K55</f>
        <v>700</v>
      </c>
      <c r="L37" s="580">
        <f>'Учебный план'!L55</f>
        <v>481</v>
      </c>
      <c r="M37" s="580">
        <f t="shared" ref="M37:T37" si="50">SUM(M38:M43)</f>
        <v>560</v>
      </c>
      <c r="N37" s="580">
        <f t="shared" si="50"/>
        <v>86</v>
      </c>
      <c r="O37" s="580">
        <f t="shared" si="50"/>
        <v>58</v>
      </c>
      <c r="P37" s="580">
        <f t="shared" si="50"/>
        <v>28</v>
      </c>
      <c r="Q37" s="580">
        <f t="shared" si="50"/>
        <v>0</v>
      </c>
      <c r="R37" s="580">
        <f t="shared" si="50"/>
        <v>0</v>
      </c>
      <c r="S37" s="580">
        <f t="shared" si="50"/>
        <v>474</v>
      </c>
      <c r="T37" s="580">
        <f t="shared" si="50"/>
        <v>0</v>
      </c>
      <c r="U37" s="570">
        <f t="shared" ref="U37:AW37" si="51">SUM(U38:U43)</f>
        <v>0</v>
      </c>
      <c r="V37" s="570">
        <f t="shared" si="51"/>
        <v>0</v>
      </c>
      <c r="W37" s="570">
        <f t="shared" si="51"/>
        <v>0</v>
      </c>
      <c r="X37" s="570">
        <f t="shared" si="51"/>
        <v>0</v>
      </c>
      <c r="Y37" s="570">
        <f t="shared" si="51"/>
        <v>0</v>
      </c>
      <c r="Z37" s="570">
        <f t="shared" si="51"/>
        <v>0</v>
      </c>
      <c r="AA37" s="570">
        <f t="shared" si="51"/>
        <v>0</v>
      </c>
      <c r="AB37" s="570">
        <f t="shared" si="51"/>
        <v>0</v>
      </c>
      <c r="AC37" s="570">
        <f t="shared" si="51"/>
        <v>0</v>
      </c>
      <c r="AD37" s="570">
        <f t="shared" si="51"/>
        <v>0</v>
      </c>
      <c r="AE37" s="570">
        <f t="shared" si="51"/>
        <v>0</v>
      </c>
      <c r="AF37" s="570">
        <f t="shared" si="51"/>
        <v>292</v>
      </c>
      <c r="AG37" s="570">
        <f t="shared" si="51"/>
        <v>40</v>
      </c>
      <c r="AH37" s="570">
        <f t="shared" si="51"/>
        <v>10</v>
      </c>
      <c r="AI37" s="570">
        <f t="shared" si="51"/>
        <v>0</v>
      </c>
      <c r="AJ37" s="570">
        <f t="shared" si="51"/>
        <v>0</v>
      </c>
      <c r="AK37" s="570">
        <f t="shared" si="51"/>
        <v>242</v>
      </c>
      <c r="AL37" s="570">
        <f t="shared" si="51"/>
        <v>144</v>
      </c>
      <c r="AM37" s="570">
        <f t="shared" si="51"/>
        <v>16</v>
      </c>
      <c r="AN37" s="570">
        <f t="shared" si="51"/>
        <v>6</v>
      </c>
      <c r="AO37" s="570">
        <f t="shared" si="51"/>
        <v>0</v>
      </c>
      <c r="AP37" s="570">
        <f t="shared" si="51"/>
        <v>0</v>
      </c>
      <c r="AQ37" s="570">
        <f t="shared" si="51"/>
        <v>122</v>
      </c>
      <c r="AR37" s="570">
        <f t="shared" si="51"/>
        <v>264</v>
      </c>
      <c r="AS37" s="570">
        <f t="shared" si="51"/>
        <v>3</v>
      </c>
      <c r="AT37" s="570">
        <f t="shared" si="51"/>
        <v>23</v>
      </c>
      <c r="AU37" s="570">
        <f t="shared" si="51"/>
        <v>0</v>
      </c>
      <c r="AV37" s="570">
        <f t="shared" si="51"/>
        <v>0</v>
      </c>
      <c r="AW37" s="570">
        <f t="shared" si="51"/>
        <v>238</v>
      </c>
      <c r="AX37" s="580">
        <f t="shared" ref="AX37:BF37" si="52">SUM(AX38:AX43)</f>
        <v>0</v>
      </c>
      <c r="AY37" s="580">
        <f t="shared" si="52"/>
        <v>0</v>
      </c>
      <c r="AZ37" s="580">
        <f t="shared" si="52"/>
        <v>0</v>
      </c>
      <c r="BA37" s="580">
        <f t="shared" si="52"/>
        <v>0</v>
      </c>
      <c r="BB37" s="580">
        <f t="shared" si="52"/>
        <v>0</v>
      </c>
      <c r="BC37" s="580">
        <f t="shared" si="52"/>
        <v>0</v>
      </c>
      <c r="BD37" s="580">
        <f t="shared" si="52"/>
        <v>0</v>
      </c>
      <c r="BE37" s="580">
        <f t="shared" si="52"/>
        <v>0</v>
      </c>
      <c r="BF37" s="580">
        <f t="shared" si="52"/>
        <v>0</v>
      </c>
      <c r="BG37" s="580"/>
      <c r="BH37" s="580">
        <f>'Учебный план'!BZ55</f>
        <v>0</v>
      </c>
      <c r="BI37" s="580">
        <f>'Учебный план'!CA55</f>
        <v>0</v>
      </c>
    </row>
    <row r="38" spans="1:61" s="237" customFormat="1">
      <c r="A38" s="509">
        <f>'Учебный план'!A56</f>
        <v>0</v>
      </c>
      <c r="B38" s="509" t="str">
        <f>'Учебный план'!B56</f>
        <v>Управление судном</v>
      </c>
      <c r="C38" s="219"/>
      <c r="D38" s="405"/>
      <c r="E38" s="405" t="s">
        <v>40</v>
      </c>
      <c r="F38" s="405"/>
      <c r="G38" s="405"/>
      <c r="H38" s="128" t="s">
        <v>30</v>
      </c>
      <c r="I38" s="195">
        <f t="shared" ref="I38:I43" si="53">K38-M38</f>
        <v>0</v>
      </c>
      <c r="J38" s="405">
        <f t="shared" ref="J38:J54" si="54">L38*$J$1</f>
        <v>33</v>
      </c>
      <c r="K38" s="195">
        <f>'Учебный план'!K56</f>
        <v>161</v>
      </c>
      <c r="L38" s="195">
        <f>'Учебный план'!L56</f>
        <v>110</v>
      </c>
      <c r="M38" s="510">
        <f t="shared" ref="M38:M50" si="55">SUM(N38+S38)</f>
        <v>161</v>
      </c>
      <c r="N38" s="510">
        <f t="shared" ref="N38:N50" si="56">SUM(O38:R38)</f>
        <v>26</v>
      </c>
      <c r="O38" s="510">
        <f t="shared" ref="O38:R43" si="57">U38+AG38+AM38+AS38+AA38+BA38</f>
        <v>18</v>
      </c>
      <c r="P38" s="510">
        <f t="shared" si="57"/>
        <v>8</v>
      </c>
      <c r="Q38" s="510">
        <f t="shared" si="57"/>
        <v>0</v>
      </c>
      <c r="R38" s="510">
        <f t="shared" si="57"/>
        <v>0</v>
      </c>
      <c r="S38" s="510">
        <f>Y38+AK38+AQ38+AW38+BF38+AE38</f>
        <v>135</v>
      </c>
      <c r="T38" s="397">
        <f>SUM(U38:Y38)</f>
        <v>0</v>
      </c>
      <c r="U38" s="565"/>
      <c r="V38" s="565"/>
      <c r="W38" s="565"/>
      <c r="X38" s="565"/>
      <c r="Y38" s="565"/>
      <c r="Z38" s="566">
        <f>SUM(AA38:AE38)</f>
        <v>0</v>
      </c>
      <c r="AA38" s="565"/>
      <c r="AB38" s="565"/>
      <c r="AC38" s="565"/>
      <c r="AD38" s="565"/>
      <c r="AE38" s="565"/>
      <c r="AF38" s="566">
        <f>SUM(AG38:AK38)</f>
        <v>81</v>
      </c>
      <c r="AG38" s="565">
        <v>10</v>
      </c>
      <c r="AH38" s="565">
        <v>4</v>
      </c>
      <c r="AI38" s="565"/>
      <c r="AJ38" s="565"/>
      <c r="AK38" s="565">
        <v>67</v>
      </c>
      <c r="AL38" s="566">
        <f t="shared" ref="AL38:AL43" si="58">SUM(AM38:AQ38)</f>
        <v>80</v>
      </c>
      <c r="AM38" s="565">
        <v>8</v>
      </c>
      <c r="AN38" s="565">
        <v>4</v>
      </c>
      <c r="AO38" s="565"/>
      <c r="AP38" s="565"/>
      <c r="AQ38" s="565">
        <v>68</v>
      </c>
      <c r="AR38" s="566">
        <f t="shared" ref="AR38:AR43" si="59">SUM(AS38:AW38)</f>
        <v>0</v>
      </c>
      <c r="AS38" s="565"/>
      <c r="AT38" s="565"/>
      <c r="AU38" s="565"/>
      <c r="AV38" s="565"/>
      <c r="AW38" s="565"/>
      <c r="AX38" s="511"/>
      <c r="AY38" s="397">
        <f t="shared" ref="AY38:AY43" si="60">SUM(AZ38:BF38)</f>
        <v>0</v>
      </c>
      <c r="AZ38" s="195"/>
      <c r="BA38" s="195"/>
      <c r="BB38" s="195"/>
      <c r="BC38" s="195"/>
      <c r="BD38" s="195"/>
      <c r="BE38" s="195"/>
      <c r="BF38" s="195"/>
      <c r="BG38" s="198"/>
      <c r="BH38" s="195" t="str">
        <f>'Учебный план'!BZ56</f>
        <v>64-4</v>
      </c>
      <c r="BI38" s="195" t="str">
        <f>'Учебный план'!CA56</f>
        <v>ОК-1-10; ПК-1.1,1.2</v>
      </c>
    </row>
    <row r="39" spans="1:61" s="237" customFormat="1" ht="25.5">
      <c r="A39" s="509">
        <f>'Учебный план'!A57</f>
        <v>0</v>
      </c>
      <c r="B39" s="509" t="str">
        <f>'Учебный план'!B57</f>
        <v xml:space="preserve">Радионавигационные системы </v>
      </c>
      <c r="C39" s="219"/>
      <c r="D39" s="405"/>
      <c r="E39" s="405" t="s">
        <v>30</v>
      </c>
      <c r="F39" s="405"/>
      <c r="G39" s="405"/>
      <c r="H39" s="128" t="s">
        <v>30</v>
      </c>
      <c r="I39" s="195">
        <f t="shared" si="53"/>
        <v>0</v>
      </c>
      <c r="J39" s="405">
        <f t="shared" si="54"/>
        <v>19.8</v>
      </c>
      <c r="K39" s="195">
        <f>'Учебный план'!K57</f>
        <v>95</v>
      </c>
      <c r="L39" s="195">
        <f>'Учебный план'!L57</f>
        <v>66</v>
      </c>
      <c r="M39" s="510">
        <f t="shared" si="55"/>
        <v>95</v>
      </c>
      <c r="N39" s="510">
        <f t="shared" si="56"/>
        <v>16</v>
      </c>
      <c r="O39" s="510">
        <f t="shared" si="57"/>
        <v>12</v>
      </c>
      <c r="P39" s="510">
        <f t="shared" si="57"/>
        <v>4</v>
      </c>
      <c r="Q39" s="510">
        <f t="shared" si="57"/>
        <v>0</v>
      </c>
      <c r="R39" s="510">
        <f t="shared" si="57"/>
        <v>0</v>
      </c>
      <c r="S39" s="510">
        <f>Y39+AK39+AQ39+AW39+BF39+AE39</f>
        <v>79</v>
      </c>
      <c r="T39" s="397">
        <f>SUM(U39:Y39)</f>
        <v>0</v>
      </c>
      <c r="U39" s="565"/>
      <c r="V39" s="565"/>
      <c r="W39" s="565"/>
      <c r="X39" s="565"/>
      <c r="Y39" s="565"/>
      <c r="Z39" s="566">
        <f>SUM(AA39:AE39)</f>
        <v>0</v>
      </c>
      <c r="AA39" s="565"/>
      <c r="AB39" s="565"/>
      <c r="AC39" s="565"/>
      <c r="AD39" s="565"/>
      <c r="AE39" s="565"/>
      <c r="AF39" s="566">
        <f>SUM(AG39:AK39)</f>
        <v>95</v>
      </c>
      <c r="AG39" s="565">
        <v>12</v>
      </c>
      <c r="AH39" s="565">
        <v>4</v>
      </c>
      <c r="AI39" s="565"/>
      <c r="AJ39" s="565"/>
      <c r="AK39" s="565">
        <v>79</v>
      </c>
      <c r="AL39" s="566">
        <f t="shared" si="58"/>
        <v>0</v>
      </c>
      <c r="AM39" s="565"/>
      <c r="AN39" s="565"/>
      <c r="AO39" s="565"/>
      <c r="AP39" s="565"/>
      <c r="AQ39" s="565"/>
      <c r="AR39" s="566">
        <f t="shared" si="59"/>
        <v>0</v>
      </c>
      <c r="AS39" s="565"/>
      <c r="AT39" s="565"/>
      <c r="AU39" s="565"/>
      <c r="AV39" s="565"/>
      <c r="AW39" s="565"/>
      <c r="AX39" s="511"/>
      <c r="AY39" s="397">
        <f t="shared" si="60"/>
        <v>0</v>
      </c>
      <c r="AZ39" s="195"/>
      <c r="BA39" s="195"/>
      <c r="BB39" s="195"/>
      <c r="BC39" s="195"/>
      <c r="BD39" s="195"/>
      <c r="BE39" s="195"/>
      <c r="BF39" s="195"/>
      <c r="BG39" s="198"/>
      <c r="BH39" s="195" t="str">
        <f>'Учебный план'!BZ57</f>
        <v>64-4</v>
      </c>
      <c r="BI39" s="195" t="str">
        <f>'Учебный план'!CA57</f>
        <v>ОК-1-10; ПК-1.4</v>
      </c>
    </row>
    <row r="40" spans="1:61" s="238" customFormat="1" ht="25.5">
      <c r="A40" s="509">
        <f>'Учебный план'!A58</f>
        <v>0</v>
      </c>
      <c r="B40" s="509" t="str">
        <f>'Учебный план'!B58</f>
        <v>Электронавигационные приборы и системы</v>
      </c>
      <c r="C40" s="219"/>
      <c r="D40" s="405" t="s">
        <v>40</v>
      </c>
      <c r="E40" s="405"/>
      <c r="F40" s="405"/>
      <c r="G40" s="405"/>
      <c r="H40" s="99" t="s">
        <v>30</v>
      </c>
      <c r="I40" s="195">
        <f t="shared" si="53"/>
        <v>0</v>
      </c>
      <c r="J40" s="405">
        <f t="shared" si="54"/>
        <v>26.4</v>
      </c>
      <c r="K40" s="195">
        <f>'Учебный план'!K58</f>
        <v>128</v>
      </c>
      <c r="L40" s="195">
        <f>'Учебный план'!L58</f>
        <v>88</v>
      </c>
      <c r="M40" s="510">
        <f t="shared" si="55"/>
        <v>128</v>
      </c>
      <c r="N40" s="510">
        <f t="shared" si="56"/>
        <v>22</v>
      </c>
      <c r="O40" s="510">
        <f t="shared" si="57"/>
        <v>18</v>
      </c>
      <c r="P40" s="510">
        <f t="shared" si="57"/>
        <v>4</v>
      </c>
      <c r="Q40" s="510">
        <f t="shared" si="57"/>
        <v>0</v>
      </c>
      <c r="R40" s="510">
        <f t="shared" si="57"/>
        <v>0</v>
      </c>
      <c r="S40" s="510">
        <f>Y40+AK40+AQ40+AW40+BF40+AE40</f>
        <v>106</v>
      </c>
      <c r="T40" s="397">
        <f>SUM(U40:Y40)</f>
        <v>0</v>
      </c>
      <c r="U40" s="565"/>
      <c r="V40" s="565"/>
      <c r="W40" s="565"/>
      <c r="X40" s="565"/>
      <c r="Y40" s="565"/>
      <c r="Z40" s="566">
        <f>SUM(AA40:AE40)</f>
        <v>0</v>
      </c>
      <c r="AA40" s="565"/>
      <c r="AB40" s="565"/>
      <c r="AC40" s="565"/>
      <c r="AD40" s="565"/>
      <c r="AE40" s="565"/>
      <c r="AF40" s="566">
        <f>SUM(AG40:AK40)</f>
        <v>64</v>
      </c>
      <c r="AG40" s="565">
        <v>10</v>
      </c>
      <c r="AH40" s="565">
        <v>2</v>
      </c>
      <c r="AI40" s="565"/>
      <c r="AJ40" s="565"/>
      <c r="AK40" s="565">
        <v>52</v>
      </c>
      <c r="AL40" s="566">
        <f t="shared" si="58"/>
        <v>64</v>
      </c>
      <c r="AM40" s="565">
        <v>8</v>
      </c>
      <c r="AN40" s="565">
        <v>2</v>
      </c>
      <c r="AO40" s="565"/>
      <c r="AP40" s="565"/>
      <c r="AQ40" s="565">
        <v>54</v>
      </c>
      <c r="AR40" s="566">
        <f t="shared" si="59"/>
        <v>0</v>
      </c>
      <c r="AS40" s="565"/>
      <c r="AT40" s="565"/>
      <c r="AU40" s="565"/>
      <c r="AV40" s="565"/>
      <c r="AW40" s="565"/>
      <c r="AX40" s="511">
        <f>LEN(H40)-LEN(SUBSTITUTE(H40,"9",""))</f>
        <v>0</v>
      </c>
      <c r="AY40" s="397">
        <f t="shared" ref="AY40" si="61">SUM(AZ40:BF40)</f>
        <v>0</v>
      </c>
      <c r="AZ40" s="195"/>
      <c r="BA40" s="195"/>
      <c r="BB40" s="195"/>
      <c r="BC40" s="195"/>
      <c r="BD40" s="195"/>
      <c r="BE40" s="195"/>
      <c r="BF40" s="195"/>
      <c r="BG40" s="198"/>
      <c r="BH40" s="195" t="str">
        <f>'Учебный план'!BZ58</f>
        <v>64-4</v>
      </c>
      <c r="BI40" s="195" t="str">
        <f>'Учебный план'!CA58</f>
        <v>ОК-1-10; ПК-1.4</v>
      </c>
    </row>
    <row r="41" spans="1:61" s="238" customFormat="1" ht="25.5">
      <c r="A41" s="509">
        <f>'Учебный план'!A59</f>
        <v>0</v>
      </c>
      <c r="B41" s="509" t="str">
        <f>'Учебный план'!B59</f>
        <v>Тренажерная подготовка. Использование РЛС и САРП</v>
      </c>
      <c r="C41" s="219"/>
      <c r="D41" s="405"/>
      <c r="E41" s="405"/>
      <c r="F41" s="99" t="s">
        <v>41</v>
      </c>
      <c r="G41" s="405"/>
      <c r="H41" s="99" t="s">
        <v>41</v>
      </c>
      <c r="I41" s="195"/>
      <c r="J41" s="405"/>
      <c r="K41" s="195"/>
      <c r="L41" s="195"/>
      <c r="M41" s="510"/>
      <c r="N41" s="510"/>
      <c r="O41" s="510"/>
      <c r="P41" s="510"/>
      <c r="Q41" s="510"/>
      <c r="R41" s="510"/>
      <c r="S41" s="510"/>
      <c r="T41" s="397"/>
      <c r="U41" s="565"/>
      <c r="V41" s="565"/>
      <c r="W41" s="565"/>
      <c r="X41" s="565"/>
      <c r="Y41" s="565"/>
      <c r="Z41" s="566">
        <f>SUM(AA41:AE41)</f>
        <v>0</v>
      </c>
      <c r="AA41" s="565"/>
      <c r="AB41" s="565"/>
      <c r="AC41" s="565"/>
      <c r="AD41" s="565"/>
      <c r="AE41" s="565"/>
      <c r="AF41" s="566">
        <f>SUM(AG41:AK41)</f>
        <v>0</v>
      </c>
      <c r="AG41" s="565"/>
      <c r="AH41" s="565"/>
      <c r="AI41" s="565"/>
      <c r="AJ41" s="565"/>
      <c r="AK41" s="565"/>
      <c r="AL41" s="566">
        <f t="shared" si="58"/>
        <v>0</v>
      </c>
      <c r="AM41" s="565"/>
      <c r="AN41" s="565"/>
      <c r="AO41" s="565"/>
      <c r="AP41" s="565"/>
      <c r="AQ41" s="565"/>
      <c r="AR41" s="566">
        <f t="shared" si="59"/>
        <v>140</v>
      </c>
      <c r="AS41" s="565">
        <v>1</v>
      </c>
      <c r="AT41" s="565">
        <v>11</v>
      </c>
      <c r="AU41" s="565"/>
      <c r="AV41" s="565"/>
      <c r="AW41" s="565">
        <v>128</v>
      </c>
      <c r="AX41" s="511"/>
      <c r="AY41" s="397"/>
      <c r="AZ41" s="195"/>
      <c r="BA41" s="195"/>
      <c r="BB41" s="195"/>
      <c r="BC41" s="195"/>
      <c r="BD41" s="195"/>
      <c r="BE41" s="195"/>
      <c r="BF41" s="195"/>
      <c r="BG41" s="198"/>
      <c r="BH41" s="195"/>
      <c r="BI41" s="195"/>
    </row>
    <row r="42" spans="1:61" s="238" customFormat="1" ht="25.5">
      <c r="A42" s="509">
        <f>'Учебный план'!A60</f>
        <v>0</v>
      </c>
      <c r="B42" s="509" t="str">
        <f>'Учебный план'!B60</f>
        <v>Радиооборудование судов</v>
      </c>
      <c r="C42" s="219"/>
      <c r="D42" s="405"/>
      <c r="E42" s="99" t="s">
        <v>30</v>
      </c>
      <c r="F42" s="405"/>
      <c r="G42" s="405"/>
      <c r="H42" s="405"/>
      <c r="I42" s="195">
        <f t="shared" si="53"/>
        <v>88</v>
      </c>
      <c r="J42" s="405">
        <f t="shared" si="54"/>
        <v>28.8</v>
      </c>
      <c r="K42" s="195">
        <f>'Учебный план'!K59</f>
        <v>140</v>
      </c>
      <c r="L42" s="195">
        <f>'Учебный план'!L59</f>
        <v>96</v>
      </c>
      <c r="M42" s="510">
        <f t="shared" si="55"/>
        <v>52</v>
      </c>
      <c r="N42" s="510">
        <f t="shared" si="56"/>
        <v>8</v>
      </c>
      <c r="O42" s="510">
        <f t="shared" si="57"/>
        <v>8</v>
      </c>
      <c r="P42" s="510">
        <f t="shared" si="57"/>
        <v>0</v>
      </c>
      <c r="Q42" s="510">
        <f t="shared" si="57"/>
        <v>0</v>
      </c>
      <c r="R42" s="510">
        <f t="shared" si="57"/>
        <v>0</v>
      </c>
      <c r="S42" s="510">
        <f>Y42+AK42+AQ42+AW42+BF42+AE42</f>
        <v>44</v>
      </c>
      <c r="T42" s="397">
        <f>SUM(U42:Y42)</f>
        <v>0</v>
      </c>
      <c r="U42" s="565"/>
      <c r="V42" s="565"/>
      <c r="W42" s="565"/>
      <c r="X42" s="565"/>
      <c r="Y42" s="565"/>
      <c r="Z42" s="566">
        <f t="shared" ref="Z42:Z43" si="62">SUM(AA42:AE42)</f>
        <v>0</v>
      </c>
      <c r="AA42" s="565"/>
      <c r="AB42" s="565"/>
      <c r="AC42" s="565"/>
      <c r="AD42" s="565"/>
      <c r="AE42" s="565"/>
      <c r="AF42" s="566">
        <f t="shared" ref="AF42:AF43" si="63">SUM(AG42:AK42)</f>
        <v>52</v>
      </c>
      <c r="AG42" s="565">
        <v>8</v>
      </c>
      <c r="AH42" s="565"/>
      <c r="AI42" s="565"/>
      <c r="AJ42" s="565"/>
      <c r="AK42" s="565">
        <v>44</v>
      </c>
      <c r="AL42" s="566">
        <f t="shared" si="58"/>
        <v>0</v>
      </c>
      <c r="AM42" s="565"/>
      <c r="AN42" s="565"/>
      <c r="AO42" s="565"/>
      <c r="AP42" s="565"/>
      <c r="AQ42" s="565"/>
      <c r="AR42" s="566">
        <f t="shared" si="59"/>
        <v>0</v>
      </c>
      <c r="AS42" s="565"/>
      <c r="AT42" s="565"/>
      <c r="AU42" s="565"/>
      <c r="AV42" s="565"/>
      <c r="AW42" s="565"/>
      <c r="AX42" s="511">
        <f>LEN(H42)-LEN(SUBSTITUTE(H42,"9",""))</f>
        <v>0</v>
      </c>
      <c r="AY42" s="397">
        <f t="shared" si="60"/>
        <v>0</v>
      </c>
      <c r="AZ42" s="195"/>
      <c r="BA42" s="195"/>
      <c r="BB42" s="195"/>
      <c r="BC42" s="195"/>
      <c r="BD42" s="195"/>
      <c r="BE42" s="195"/>
      <c r="BF42" s="195"/>
      <c r="BG42" s="198"/>
      <c r="BH42" s="195" t="str">
        <f>'Учебный план'!BZ59</f>
        <v>64-4</v>
      </c>
      <c r="BI42" s="195" t="str">
        <f>'Учебный план'!CA59</f>
        <v>ОК 1-10; 
ПК-1.1,1.2,1.4,4.2,4.3</v>
      </c>
    </row>
    <row r="43" spans="1:61" s="237" customFormat="1" ht="38.25">
      <c r="A43" s="509">
        <f>'Учебный план'!A61</f>
        <v>0</v>
      </c>
      <c r="B43" s="509" t="str">
        <f>'Учебный план'!B61</f>
        <v>Оператор связи ГМССБ</v>
      </c>
      <c r="C43" s="219"/>
      <c r="D43" s="405"/>
      <c r="E43" s="405"/>
      <c r="F43" s="99" t="s">
        <v>41</v>
      </c>
      <c r="G43" s="405"/>
      <c r="H43" s="99" t="s">
        <v>41</v>
      </c>
      <c r="I43" s="195">
        <f t="shared" si="53"/>
        <v>0</v>
      </c>
      <c r="J43" s="405">
        <f t="shared" si="54"/>
        <v>25.5</v>
      </c>
      <c r="K43" s="195">
        <f>'Учебный план'!K61</f>
        <v>124</v>
      </c>
      <c r="L43" s="195">
        <f>'Учебный план'!L61</f>
        <v>85</v>
      </c>
      <c r="M43" s="510">
        <f t="shared" si="55"/>
        <v>124</v>
      </c>
      <c r="N43" s="510">
        <f t="shared" si="56"/>
        <v>14</v>
      </c>
      <c r="O43" s="510">
        <f t="shared" si="57"/>
        <v>2</v>
      </c>
      <c r="P43" s="510">
        <f t="shared" si="57"/>
        <v>12</v>
      </c>
      <c r="Q43" s="510">
        <f t="shared" si="57"/>
        <v>0</v>
      </c>
      <c r="R43" s="510">
        <f t="shared" si="57"/>
        <v>0</v>
      </c>
      <c r="S43" s="510">
        <f>Y43+AK43+AQ43+AW43+BF43+AE43</f>
        <v>110</v>
      </c>
      <c r="T43" s="397">
        <f>SUM(U43:Y43)</f>
        <v>0</v>
      </c>
      <c r="U43" s="565"/>
      <c r="V43" s="565"/>
      <c r="W43" s="565"/>
      <c r="X43" s="565"/>
      <c r="Y43" s="565"/>
      <c r="Z43" s="566">
        <f t="shared" si="62"/>
        <v>0</v>
      </c>
      <c r="AA43" s="565"/>
      <c r="AB43" s="565"/>
      <c r="AC43" s="565"/>
      <c r="AD43" s="565"/>
      <c r="AE43" s="565"/>
      <c r="AF43" s="566">
        <f t="shared" si="63"/>
        <v>0</v>
      </c>
      <c r="AG43" s="565"/>
      <c r="AH43" s="565"/>
      <c r="AI43" s="565"/>
      <c r="AJ43" s="565"/>
      <c r="AK43" s="565"/>
      <c r="AL43" s="566">
        <f t="shared" si="58"/>
        <v>0</v>
      </c>
      <c r="AM43" s="565"/>
      <c r="AN43" s="565"/>
      <c r="AO43" s="565"/>
      <c r="AP43" s="565"/>
      <c r="AQ43" s="565"/>
      <c r="AR43" s="566">
        <f t="shared" si="59"/>
        <v>124</v>
      </c>
      <c r="AS43" s="565">
        <v>2</v>
      </c>
      <c r="AT43" s="565">
        <v>12</v>
      </c>
      <c r="AU43" s="565"/>
      <c r="AV43" s="565"/>
      <c r="AW43" s="565">
        <v>110</v>
      </c>
      <c r="AX43" s="511"/>
      <c r="AY43" s="397">
        <f t="shared" si="60"/>
        <v>0</v>
      </c>
      <c r="AZ43" s="195"/>
      <c r="BA43" s="195"/>
      <c r="BB43" s="195"/>
      <c r="BC43" s="195"/>
      <c r="BD43" s="195"/>
      <c r="BE43" s="195"/>
      <c r="BF43" s="195"/>
      <c r="BG43" s="198"/>
      <c r="BH43" s="195" t="str">
        <f>'Учебный план'!BZ61</f>
        <v>64-4</v>
      </c>
      <c r="BI43" s="195" t="str">
        <f>'Учебный план'!CA61</f>
        <v>ОК 1-10; 
ПК-1.1,1.2,1.4,2.1
ПК-4.2,4.3</v>
      </c>
    </row>
    <row r="44" spans="1:61" s="240" customFormat="1" ht="50.25" customHeight="1">
      <c r="A44" s="576" t="str">
        <f>'Учебный план'!A62</f>
        <v>МДК.01.03</v>
      </c>
      <c r="B44" s="829" t="str">
        <f>'Учебный план'!B62</f>
        <v>Судовые энергетические установки и электрооборудование судов</v>
      </c>
      <c r="C44" s="829"/>
      <c r="D44" s="829"/>
      <c r="E44" s="829"/>
      <c r="F44" s="829"/>
      <c r="G44" s="829"/>
      <c r="H44" s="829"/>
      <c r="I44" s="580"/>
      <c r="J44" s="587"/>
      <c r="K44" s="580">
        <f>'Учебный план'!K62</f>
        <v>874</v>
      </c>
      <c r="L44" s="580">
        <f>'Учебный план'!L62</f>
        <v>613</v>
      </c>
      <c r="M44" s="580">
        <f t="shared" si="55"/>
        <v>846</v>
      </c>
      <c r="N44" s="580">
        <f t="shared" si="56"/>
        <v>108</v>
      </c>
      <c r="O44" s="580">
        <f>U44+AG44+AM44+AS44+BA44</f>
        <v>68</v>
      </c>
      <c r="P44" s="580">
        <f>V44+AH44+AN44+AT44+BB44</f>
        <v>40</v>
      </c>
      <c r="Q44" s="580">
        <f>W44+AI44+AO44+AU44+BC44</f>
        <v>0</v>
      </c>
      <c r="R44" s="580">
        <f>X44+AJ44+AP44+AV44+BD44</f>
        <v>0</v>
      </c>
      <c r="S44" s="580">
        <f>SUM(S45:S50)</f>
        <v>738</v>
      </c>
      <c r="T44" s="580">
        <f>SUM(T45:T50)</f>
        <v>0</v>
      </c>
      <c r="U44" s="570">
        <f t="shared" ref="U44:Y44" si="64">SUM(U45:U50)</f>
        <v>0</v>
      </c>
      <c r="V44" s="570">
        <f t="shared" si="64"/>
        <v>0</v>
      </c>
      <c r="W44" s="570">
        <f t="shared" si="64"/>
        <v>0</v>
      </c>
      <c r="X44" s="570">
        <f t="shared" si="64"/>
        <v>0</v>
      </c>
      <c r="Y44" s="570">
        <f t="shared" si="64"/>
        <v>0</v>
      </c>
      <c r="Z44" s="570">
        <f>SUM(Z45:Z50)</f>
        <v>172</v>
      </c>
      <c r="AA44" s="570">
        <f t="shared" ref="AA44:AE44" si="65">SUM(AA45:AA50)</f>
        <v>24</v>
      </c>
      <c r="AB44" s="570">
        <f t="shared" si="65"/>
        <v>4</v>
      </c>
      <c r="AC44" s="570">
        <f t="shared" si="65"/>
        <v>0</v>
      </c>
      <c r="AD44" s="570">
        <f t="shared" si="65"/>
        <v>0</v>
      </c>
      <c r="AE44" s="570">
        <f t="shared" si="65"/>
        <v>144</v>
      </c>
      <c r="AF44" s="570">
        <f>SUM(AF45:AF50)</f>
        <v>235</v>
      </c>
      <c r="AG44" s="570">
        <f t="shared" ref="AG44:AK44" si="66">SUM(AG45:AG50)</f>
        <v>24</v>
      </c>
      <c r="AH44" s="570">
        <f t="shared" si="66"/>
        <v>12</v>
      </c>
      <c r="AI44" s="570">
        <f t="shared" si="66"/>
        <v>0</v>
      </c>
      <c r="AJ44" s="570">
        <f t="shared" si="66"/>
        <v>0</v>
      </c>
      <c r="AK44" s="570">
        <f t="shared" si="66"/>
        <v>199</v>
      </c>
      <c r="AL44" s="570">
        <f>SUM(AL45:AL50)</f>
        <v>227</v>
      </c>
      <c r="AM44" s="570">
        <f t="shared" ref="AM44:AQ44" si="67">SUM(AM45:AM50)</f>
        <v>24</v>
      </c>
      <c r="AN44" s="570">
        <f t="shared" si="67"/>
        <v>10</v>
      </c>
      <c r="AO44" s="570">
        <f t="shared" si="67"/>
        <v>0</v>
      </c>
      <c r="AP44" s="570">
        <f t="shared" si="67"/>
        <v>0</v>
      </c>
      <c r="AQ44" s="570">
        <f t="shared" si="67"/>
        <v>193</v>
      </c>
      <c r="AR44" s="570">
        <f>SUM(AR45:AR50)</f>
        <v>240</v>
      </c>
      <c r="AS44" s="570">
        <f t="shared" ref="AS44:AW44" si="68">SUM(AS45:AS50)</f>
        <v>20</v>
      </c>
      <c r="AT44" s="570">
        <f t="shared" si="68"/>
        <v>18</v>
      </c>
      <c r="AU44" s="570">
        <f t="shared" si="68"/>
        <v>0</v>
      </c>
      <c r="AV44" s="570">
        <f t="shared" si="68"/>
        <v>0</v>
      </c>
      <c r="AW44" s="570">
        <f t="shared" si="68"/>
        <v>202</v>
      </c>
      <c r="AX44" s="580">
        <f>SUM(AX56:AX59)</f>
        <v>0</v>
      </c>
      <c r="AY44" s="580">
        <f>SUM(AY45:AY50)</f>
        <v>0</v>
      </c>
      <c r="AZ44" s="580">
        <f t="shared" ref="AZ44:BF44" si="69">SUM(AZ45:AZ50)</f>
        <v>0</v>
      </c>
      <c r="BA44" s="580">
        <f t="shared" si="69"/>
        <v>0</v>
      </c>
      <c r="BB44" s="580">
        <f t="shared" si="69"/>
        <v>0</v>
      </c>
      <c r="BC44" s="580">
        <f t="shared" si="69"/>
        <v>0</v>
      </c>
      <c r="BD44" s="580">
        <f t="shared" si="69"/>
        <v>0</v>
      </c>
      <c r="BE44" s="580">
        <f t="shared" si="69"/>
        <v>0</v>
      </c>
      <c r="BF44" s="580">
        <f t="shared" si="69"/>
        <v>0</v>
      </c>
      <c r="BG44" s="580"/>
      <c r="BH44" s="580">
        <f>'Учебный план'!BZ62</f>
        <v>0</v>
      </c>
      <c r="BI44" s="580">
        <f>'Учебный план'!CA62</f>
        <v>0</v>
      </c>
    </row>
    <row r="45" spans="1:61" s="237" customFormat="1" ht="25.5">
      <c r="A45" s="509">
        <f>'Учебный план'!A63</f>
        <v>0</v>
      </c>
      <c r="B45" s="509" t="str">
        <f>'Учебный план'!B63</f>
        <v>Судовые вспомогательные механизмы и системы</v>
      </c>
      <c r="C45" s="219"/>
      <c r="D45" s="405"/>
      <c r="E45" s="405" t="s">
        <v>30</v>
      </c>
      <c r="F45" s="405"/>
      <c r="G45" s="405"/>
      <c r="H45" s="99" t="s">
        <v>31</v>
      </c>
      <c r="I45" s="195">
        <f t="shared" ref="I45:I50" si="70">K45-M45</f>
        <v>0</v>
      </c>
      <c r="J45" s="405">
        <f t="shared" si="54"/>
        <v>29.4</v>
      </c>
      <c r="K45" s="195">
        <f>'Учебный план'!K63</f>
        <v>142</v>
      </c>
      <c r="L45" s="195">
        <f>'Учебный план'!L63</f>
        <v>98</v>
      </c>
      <c r="M45" s="510">
        <f t="shared" si="55"/>
        <v>142</v>
      </c>
      <c r="N45" s="510">
        <f t="shared" si="56"/>
        <v>28</v>
      </c>
      <c r="O45" s="510">
        <f t="shared" ref="O45:R50" si="71">U45+AG45+AM45+AS45+AA45+BA45</f>
        <v>20</v>
      </c>
      <c r="P45" s="510">
        <f t="shared" si="71"/>
        <v>8</v>
      </c>
      <c r="Q45" s="510">
        <f t="shared" si="71"/>
        <v>0</v>
      </c>
      <c r="R45" s="510">
        <f t="shared" si="71"/>
        <v>0</v>
      </c>
      <c r="S45" s="510">
        <f t="shared" ref="S45:S50" si="72">Y45+AK45+AQ45+AW45+BF45+AE45</f>
        <v>114</v>
      </c>
      <c r="T45" s="397">
        <f t="shared" ref="T45:T50" si="73">SUM(U45:Y45)</f>
        <v>0</v>
      </c>
      <c r="U45" s="565"/>
      <c r="V45" s="565"/>
      <c r="W45" s="565"/>
      <c r="X45" s="565"/>
      <c r="Y45" s="565"/>
      <c r="Z45" s="566">
        <f t="shared" ref="Z45:Z50" si="74">SUM(AA45:AE45)</f>
        <v>74</v>
      </c>
      <c r="AA45" s="565">
        <v>12</v>
      </c>
      <c r="AB45" s="565">
        <v>4</v>
      </c>
      <c r="AC45" s="565"/>
      <c r="AD45" s="565"/>
      <c r="AE45" s="565">
        <v>58</v>
      </c>
      <c r="AF45" s="566">
        <f t="shared" ref="AF45:AF50" si="75">SUM(AG45:AK45)</f>
        <v>68</v>
      </c>
      <c r="AG45" s="565">
        <v>8</v>
      </c>
      <c r="AH45" s="565">
        <v>4</v>
      </c>
      <c r="AI45" s="565"/>
      <c r="AJ45" s="565"/>
      <c r="AK45" s="565">
        <v>56</v>
      </c>
      <c r="AL45" s="566">
        <f t="shared" ref="AL45:AL50" si="76">SUM(AM45:AQ45)</f>
        <v>0</v>
      </c>
      <c r="AM45" s="565"/>
      <c r="AN45" s="565"/>
      <c r="AO45" s="565"/>
      <c r="AP45" s="565"/>
      <c r="AQ45" s="565"/>
      <c r="AR45" s="566">
        <f t="shared" ref="AR45:AR50" si="77">SUM(AS45:AW45)</f>
        <v>0</v>
      </c>
      <c r="AS45" s="565"/>
      <c r="AT45" s="565"/>
      <c r="AU45" s="565"/>
      <c r="AV45" s="565"/>
      <c r="AW45" s="565"/>
      <c r="AX45" s="511"/>
      <c r="AY45" s="397">
        <f t="shared" ref="AY45:AY50" si="78">SUM(AZ45:BF45)</f>
        <v>0</v>
      </c>
      <c r="AZ45" s="195"/>
      <c r="BA45" s="195"/>
      <c r="BB45" s="195"/>
      <c r="BC45" s="195"/>
      <c r="BD45" s="195"/>
      <c r="BE45" s="195"/>
      <c r="BF45" s="195"/>
      <c r="BG45" s="198"/>
      <c r="BH45" s="195" t="str">
        <f>'Учебный план'!BZ63</f>
        <v>64-5</v>
      </c>
      <c r="BI45" s="195" t="str">
        <f>'Учебный план'!CA63</f>
        <v>ОК-1-10; ПК-1.3</v>
      </c>
    </row>
    <row r="46" spans="1:61" s="237" customFormat="1" ht="38.25">
      <c r="A46" s="509">
        <f>'Учебный план'!A64</f>
        <v>0</v>
      </c>
      <c r="B46" s="509" t="str">
        <f>'Учебный план'!B64</f>
        <v>Судовые энергетические установки (включая тренажер вахтенного механика)</v>
      </c>
      <c r="C46" s="219"/>
      <c r="D46" s="405"/>
      <c r="E46" s="405" t="s">
        <v>563</v>
      </c>
      <c r="F46" s="405"/>
      <c r="G46" s="405"/>
      <c r="H46" s="99" t="s">
        <v>626</v>
      </c>
      <c r="I46" s="195">
        <f t="shared" si="70"/>
        <v>0</v>
      </c>
      <c r="J46" s="405">
        <f t="shared" si="54"/>
        <v>85.5</v>
      </c>
      <c r="K46" s="195">
        <f>'Учебный план'!K64</f>
        <v>414</v>
      </c>
      <c r="L46" s="195">
        <f>'Учебный план'!L64</f>
        <v>285</v>
      </c>
      <c r="M46" s="510">
        <f t="shared" si="55"/>
        <v>414</v>
      </c>
      <c r="N46" s="510">
        <f t="shared" si="56"/>
        <v>58</v>
      </c>
      <c r="O46" s="510">
        <f t="shared" si="71"/>
        <v>36</v>
      </c>
      <c r="P46" s="510">
        <f t="shared" si="71"/>
        <v>22</v>
      </c>
      <c r="Q46" s="510">
        <f t="shared" si="71"/>
        <v>0</v>
      </c>
      <c r="R46" s="510">
        <f t="shared" si="71"/>
        <v>0</v>
      </c>
      <c r="S46" s="510">
        <f t="shared" si="72"/>
        <v>356</v>
      </c>
      <c r="T46" s="397">
        <f t="shared" si="73"/>
        <v>0</v>
      </c>
      <c r="U46" s="565"/>
      <c r="V46" s="565"/>
      <c r="W46" s="565"/>
      <c r="X46" s="565"/>
      <c r="Y46" s="565"/>
      <c r="Z46" s="566">
        <f t="shared" si="74"/>
        <v>98</v>
      </c>
      <c r="AA46" s="565">
        <v>12</v>
      </c>
      <c r="AB46" s="565"/>
      <c r="AC46" s="565"/>
      <c r="AD46" s="565"/>
      <c r="AE46" s="565">
        <v>86</v>
      </c>
      <c r="AF46" s="566">
        <f t="shared" si="75"/>
        <v>102</v>
      </c>
      <c r="AG46" s="565">
        <v>8</v>
      </c>
      <c r="AH46" s="565">
        <v>4</v>
      </c>
      <c r="AI46" s="565"/>
      <c r="AJ46" s="565"/>
      <c r="AK46" s="565">
        <v>90</v>
      </c>
      <c r="AL46" s="566">
        <f t="shared" si="76"/>
        <v>102</v>
      </c>
      <c r="AM46" s="565">
        <v>8</v>
      </c>
      <c r="AN46" s="565">
        <v>4</v>
      </c>
      <c r="AO46" s="565"/>
      <c r="AP46" s="565"/>
      <c r="AQ46" s="565">
        <v>90</v>
      </c>
      <c r="AR46" s="566">
        <f t="shared" si="77"/>
        <v>112</v>
      </c>
      <c r="AS46" s="565">
        <v>8</v>
      </c>
      <c r="AT46" s="565">
        <v>14</v>
      </c>
      <c r="AU46" s="565"/>
      <c r="AV46" s="565"/>
      <c r="AW46" s="565">
        <v>90</v>
      </c>
      <c r="AX46" s="511"/>
      <c r="AY46" s="397">
        <f t="shared" si="78"/>
        <v>0</v>
      </c>
      <c r="AZ46" s="195"/>
      <c r="BA46" s="195"/>
      <c r="BB46" s="195"/>
      <c r="BC46" s="195"/>
      <c r="BD46" s="195"/>
      <c r="BE46" s="195"/>
      <c r="BF46" s="195"/>
      <c r="BG46" s="198"/>
      <c r="BH46" s="195" t="str">
        <f>'Учебный план'!BZ64</f>
        <v>64-5</v>
      </c>
      <c r="BI46" s="195" t="str">
        <f>'Учебный план'!CA64</f>
        <v>ОК-1-10; ПК-1.3</v>
      </c>
    </row>
    <row r="47" spans="1:61" s="237" customFormat="1" ht="38.25">
      <c r="A47" s="509">
        <f>'Учебный план'!A65</f>
        <v>0</v>
      </c>
      <c r="B47" s="509" t="str">
        <f>'Учебный план'!B65</f>
        <v>Судовая автоматика и контрольно-измерительные приборы</v>
      </c>
      <c r="C47" s="219"/>
      <c r="D47" s="405"/>
      <c r="E47" s="405" t="s">
        <v>40</v>
      </c>
      <c r="F47" s="405"/>
      <c r="G47" s="405"/>
      <c r="H47" s="99" t="s">
        <v>40</v>
      </c>
      <c r="I47" s="195">
        <f t="shared" si="70"/>
        <v>0</v>
      </c>
      <c r="J47" s="405">
        <f t="shared" si="54"/>
        <v>16.2</v>
      </c>
      <c r="K47" s="195">
        <f>'Учебный план'!K65</f>
        <v>76</v>
      </c>
      <c r="L47" s="195">
        <f>'Учебный план'!L65</f>
        <v>54</v>
      </c>
      <c r="M47" s="510">
        <f t="shared" si="55"/>
        <v>76</v>
      </c>
      <c r="N47" s="510">
        <f t="shared" si="56"/>
        <v>12</v>
      </c>
      <c r="O47" s="510">
        <f t="shared" si="71"/>
        <v>8</v>
      </c>
      <c r="P47" s="510">
        <f t="shared" si="71"/>
        <v>4</v>
      </c>
      <c r="Q47" s="510">
        <f t="shared" si="71"/>
        <v>0</v>
      </c>
      <c r="R47" s="510">
        <f t="shared" si="71"/>
        <v>0</v>
      </c>
      <c r="S47" s="510">
        <f t="shared" si="72"/>
        <v>64</v>
      </c>
      <c r="T47" s="397">
        <f t="shared" si="73"/>
        <v>0</v>
      </c>
      <c r="U47" s="565"/>
      <c r="V47" s="565"/>
      <c r="W47" s="565"/>
      <c r="X47" s="565"/>
      <c r="Y47" s="565"/>
      <c r="Z47" s="566">
        <f t="shared" si="74"/>
        <v>0</v>
      </c>
      <c r="AA47" s="565"/>
      <c r="AB47" s="565"/>
      <c r="AC47" s="565"/>
      <c r="AD47" s="565"/>
      <c r="AE47" s="565"/>
      <c r="AF47" s="566">
        <f t="shared" si="75"/>
        <v>0</v>
      </c>
      <c r="AG47" s="565"/>
      <c r="AH47" s="565"/>
      <c r="AI47" s="565"/>
      <c r="AJ47" s="565"/>
      <c r="AK47" s="565"/>
      <c r="AL47" s="566">
        <f t="shared" si="76"/>
        <v>76</v>
      </c>
      <c r="AM47" s="565">
        <v>8</v>
      </c>
      <c r="AN47" s="565">
        <v>4</v>
      </c>
      <c r="AO47" s="565"/>
      <c r="AP47" s="565"/>
      <c r="AQ47" s="565">
        <v>64</v>
      </c>
      <c r="AR47" s="566">
        <f t="shared" si="77"/>
        <v>0</v>
      </c>
      <c r="AS47" s="565"/>
      <c r="AT47" s="565"/>
      <c r="AU47" s="565"/>
      <c r="AV47" s="565"/>
      <c r="AW47" s="565"/>
      <c r="AX47" s="511"/>
      <c r="AY47" s="397">
        <f t="shared" si="78"/>
        <v>0</v>
      </c>
      <c r="AZ47" s="195"/>
      <c r="BA47" s="195"/>
      <c r="BB47" s="195"/>
      <c r="BC47" s="195"/>
      <c r="BD47" s="195"/>
      <c r="BE47" s="195"/>
      <c r="BF47" s="195"/>
      <c r="BG47" s="198"/>
      <c r="BH47" s="195" t="str">
        <f>'Учебный план'!BZ65</f>
        <v>64-6</v>
      </c>
      <c r="BI47" s="195" t="str">
        <f>'Учебный план'!CA65</f>
        <v>ОК-1-10; ПК-1.3</v>
      </c>
    </row>
    <row r="48" spans="1:61" s="238" customFormat="1" ht="38.25">
      <c r="A48" s="509">
        <f>'Учебный план'!A66</f>
        <v>0</v>
      </c>
      <c r="B48" s="509" t="str">
        <f>'Учебный план'!B66</f>
        <v>Обслуживание и ремонт судовых энергетических установок</v>
      </c>
      <c r="C48" s="219"/>
      <c r="D48" s="405"/>
      <c r="E48" s="405" t="s">
        <v>41</v>
      </c>
      <c r="F48" s="405"/>
      <c r="G48" s="405"/>
      <c r="H48" s="99" t="s">
        <v>41</v>
      </c>
      <c r="I48" s="195">
        <f t="shared" si="70"/>
        <v>0</v>
      </c>
      <c r="J48" s="405">
        <f t="shared" si="54"/>
        <v>26.4</v>
      </c>
      <c r="K48" s="195">
        <f>'Учебный план'!K66</f>
        <v>128</v>
      </c>
      <c r="L48" s="195">
        <f>'Учебный план'!L66</f>
        <v>88</v>
      </c>
      <c r="M48" s="510">
        <f t="shared" si="55"/>
        <v>128</v>
      </c>
      <c r="N48" s="510">
        <f t="shared" si="56"/>
        <v>16</v>
      </c>
      <c r="O48" s="510">
        <f t="shared" si="71"/>
        <v>12</v>
      </c>
      <c r="P48" s="510">
        <f t="shared" si="71"/>
        <v>4</v>
      </c>
      <c r="Q48" s="510">
        <f t="shared" si="71"/>
        <v>0</v>
      </c>
      <c r="R48" s="510">
        <f t="shared" si="71"/>
        <v>0</v>
      </c>
      <c r="S48" s="510">
        <f t="shared" si="72"/>
        <v>112</v>
      </c>
      <c r="T48" s="397">
        <f t="shared" si="73"/>
        <v>0</v>
      </c>
      <c r="U48" s="565"/>
      <c r="V48" s="565"/>
      <c r="W48" s="565"/>
      <c r="X48" s="565"/>
      <c r="Y48" s="565"/>
      <c r="Z48" s="566">
        <f t="shared" si="74"/>
        <v>0</v>
      </c>
      <c r="AA48" s="565"/>
      <c r="AB48" s="565"/>
      <c r="AC48" s="565"/>
      <c r="AD48" s="565"/>
      <c r="AE48" s="565"/>
      <c r="AF48" s="566">
        <f t="shared" si="75"/>
        <v>0</v>
      </c>
      <c r="AG48" s="565"/>
      <c r="AH48" s="565"/>
      <c r="AI48" s="565"/>
      <c r="AJ48" s="565"/>
      <c r="AK48" s="565"/>
      <c r="AL48" s="566">
        <f t="shared" si="76"/>
        <v>0</v>
      </c>
      <c r="AM48" s="565"/>
      <c r="AN48" s="565"/>
      <c r="AO48" s="565"/>
      <c r="AP48" s="565"/>
      <c r="AQ48" s="565"/>
      <c r="AR48" s="566">
        <f t="shared" si="77"/>
        <v>128</v>
      </c>
      <c r="AS48" s="565">
        <v>12</v>
      </c>
      <c r="AT48" s="565">
        <v>4</v>
      </c>
      <c r="AU48" s="565"/>
      <c r="AV48" s="565"/>
      <c r="AW48" s="565">
        <v>112</v>
      </c>
      <c r="AX48" s="511">
        <f>LEN(H48)-LEN(SUBSTITUTE(H48,"9",""))</f>
        <v>0</v>
      </c>
      <c r="AY48" s="397">
        <f t="shared" si="78"/>
        <v>0</v>
      </c>
      <c r="AZ48" s="195"/>
      <c r="BA48" s="195"/>
      <c r="BB48" s="195"/>
      <c r="BC48" s="195"/>
      <c r="BD48" s="195"/>
      <c r="BE48" s="195"/>
      <c r="BF48" s="195"/>
      <c r="BG48" s="198"/>
      <c r="BH48" s="195" t="str">
        <f>'Учебный план'!BZ66</f>
        <v>64-5</v>
      </c>
      <c r="BI48" s="195" t="str">
        <f>'Учебный план'!CA66</f>
        <v>ОК-1-10; ПК-1.3</v>
      </c>
    </row>
    <row r="49" spans="1:61" s="237" customFormat="1">
      <c r="A49" s="509">
        <f>'Учебный план'!A67</f>
        <v>0</v>
      </c>
      <c r="B49" s="509" t="str">
        <f>'Учебный план'!B67</f>
        <v>Электрооборудование судов</v>
      </c>
      <c r="C49" s="219"/>
      <c r="D49" s="405"/>
      <c r="E49" s="405" t="s">
        <v>30</v>
      </c>
      <c r="F49" s="405"/>
      <c r="G49" s="405"/>
      <c r="H49" s="99" t="s">
        <v>30</v>
      </c>
      <c r="I49" s="195">
        <f t="shared" si="70"/>
        <v>0</v>
      </c>
      <c r="J49" s="405">
        <f t="shared" si="54"/>
        <v>16.5</v>
      </c>
      <c r="K49" s="195">
        <f>'Учебный план'!K67</f>
        <v>65</v>
      </c>
      <c r="L49" s="195">
        <f>'Учебный план'!L67</f>
        <v>55</v>
      </c>
      <c r="M49" s="510">
        <f t="shared" si="55"/>
        <v>65</v>
      </c>
      <c r="N49" s="510">
        <f t="shared" si="56"/>
        <v>12</v>
      </c>
      <c r="O49" s="510">
        <f t="shared" si="71"/>
        <v>8</v>
      </c>
      <c r="P49" s="510">
        <f t="shared" si="71"/>
        <v>4</v>
      </c>
      <c r="Q49" s="510">
        <f t="shared" si="71"/>
        <v>0</v>
      </c>
      <c r="R49" s="510">
        <f t="shared" si="71"/>
        <v>0</v>
      </c>
      <c r="S49" s="510">
        <f t="shared" si="72"/>
        <v>53</v>
      </c>
      <c r="T49" s="397">
        <f t="shared" si="73"/>
        <v>0</v>
      </c>
      <c r="U49" s="565"/>
      <c r="V49" s="565"/>
      <c r="W49" s="565"/>
      <c r="X49" s="565"/>
      <c r="Y49" s="565"/>
      <c r="Z49" s="566">
        <f t="shared" si="74"/>
        <v>0</v>
      </c>
      <c r="AA49" s="565"/>
      <c r="AB49" s="565"/>
      <c r="AC49" s="565"/>
      <c r="AD49" s="565"/>
      <c r="AE49" s="565"/>
      <c r="AF49" s="566">
        <f t="shared" si="75"/>
        <v>65</v>
      </c>
      <c r="AG49" s="565">
        <v>8</v>
      </c>
      <c r="AH49" s="565">
        <v>4</v>
      </c>
      <c r="AI49" s="565"/>
      <c r="AJ49" s="565"/>
      <c r="AK49" s="565">
        <v>53</v>
      </c>
      <c r="AL49" s="566">
        <f t="shared" si="76"/>
        <v>0</v>
      </c>
      <c r="AM49" s="565"/>
      <c r="AN49" s="565"/>
      <c r="AO49" s="565"/>
      <c r="AP49" s="565"/>
      <c r="AQ49" s="565"/>
      <c r="AR49" s="566">
        <f t="shared" si="77"/>
        <v>0</v>
      </c>
      <c r="AS49" s="565"/>
      <c r="AT49" s="565"/>
      <c r="AU49" s="565"/>
      <c r="AV49" s="565"/>
      <c r="AW49" s="565"/>
      <c r="AX49" s="511"/>
      <c r="AY49" s="397">
        <f t="shared" si="78"/>
        <v>0</v>
      </c>
      <c r="AZ49" s="195"/>
      <c r="BA49" s="195"/>
      <c r="BB49" s="195"/>
      <c r="BC49" s="195"/>
      <c r="BD49" s="195"/>
      <c r="BE49" s="195"/>
      <c r="BF49" s="195"/>
      <c r="BG49" s="198"/>
      <c r="BH49" s="195" t="str">
        <f>'Учебный план'!BZ67</f>
        <v>64-6</v>
      </c>
      <c r="BI49" s="195" t="str">
        <f>'Учебный план'!CA67</f>
        <v>ОК 2,3,6,9; ПК-1.3</v>
      </c>
    </row>
    <row r="50" spans="1:61" s="237" customFormat="1" ht="38.25">
      <c r="A50" s="509">
        <f>'Учебный план'!A68</f>
        <v>0</v>
      </c>
      <c r="B50" s="509" t="str">
        <f>'Учебный план'!B68</f>
        <v>Обслуживание и ремонт судового электрического и электронного оборудования</v>
      </c>
      <c r="C50" s="219"/>
      <c r="D50" s="405"/>
      <c r="E50" s="405" t="s">
        <v>40</v>
      </c>
      <c r="F50" s="405"/>
      <c r="G50" s="405"/>
      <c r="H50" s="405"/>
      <c r="I50" s="195">
        <f t="shared" si="70"/>
        <v>0</v>
      </c>
      <c r="J50" s="405">
        <f t="shared" si="54"/>
        <v>9.9</v>
      </c>
      <c r="K50" s="195">
        <f>'Учебный план'!K68</f>
        <v>49</v>
      </c>
      <c r="L50" s="195">
        <f>'Учебный план'!L68</f>
        <v>33</v>
      </c>
      <c r="M50" s="510">
        <f t="shared" si="55"/>
        <v>49</v>
      </c>
      <c r="N50" s="510">
        <f t="shared" si="56"/>
        <v>10</v>
      </c>
      <c r="O50" s="510">
        <f t="shared" si="71"/>
        <v>8</v>
      </c>
      <c r="P50" s="510">
        <f t="shared" si="71"/>
        <v>2</v>
      </c>
      <c r="Q50" s="510">
        <f t="shared" si="71"/>
        <v>0</v>
      </c>
      <c r="R50" s="510">
        <f t="shared" si="71"/>
        <v>0</v>
      </c>
      <c r="S50" s="510">
        <f t="shared" si="72"/>
        <v>39</v>
      </c>
      <c r="T50" s="397">
        <f t="shared" si="73"/>
        <v>0</v>
      </c>
      <c r="U50" s="565"/>
      <c r="V50" s="565"/>
      <c r="W50" s="565"/>
      <c r="X50" s="565"/>
      <c r="Y50" s="565"/>
      <c r="Z50" s="566">
        <f t="shared" si="74"/>
        <v>0</v>
      </c>
      <c r="AA50" s="565"/>
      <c r="AB50" s="565"/>
      <c r="AC50" s="565"/>
      <c r="AD50" s="565"/>
      <c r="AE50" s="565"/>
      <c r="AF50" s="566">
        <f t="shared" si="75"/>
        <v>0</v>
      </c>
      <c r="AG50" s="565"/>
      <c r="AH50" s="565"/>
      <c r="AI50" s="565"/>
      <c r="AJ50" s="565"/>
      <c r="AK50" s="565"/>
      <c r="AL50" s="566">
        <f t="shared" si="76"/>
        <v>49</v>
      </c>
      <c r="AM50" s="565">
        <v>8</v>
      </c>
      <c r="AN50" s="565">
        <v>2</v>
      </c>
      <c r="AO50" s="565"/>
      <c r="AP50" s="565"/>
      <c r="AQ50" s="565">
        <v>39</v>
      </c>
      <c r="AR50" s="566">
        <f t="shared" si="77"/>
        <v>0</v>
      </c>
      <c r="AS50" s="565"/>
      <c r="AT50" s="565"/>
      <c r="AU50" s="565"/>
      <c r="AV50" s="565"/>
      <c r="AW50" s="565"/>
      <c r="AX50" s="511"/>
      <c r="AY50" s="397">
        <f t="shared" si="78"/>
        <v>0</v>
      </c>
      <c r="AZ50" s="195"/>
      <c r="BA50" s="195"/>
      <c r="BB50" s="195"/>
      <c r="BC50" s="195"/>
      <c r="BD50" s="195"/>
      <c r="BE50" s="195"/>
      <c r="BF50" s="195"/>
      <c r="BG50" s="198"/>
      <c r="BH50" s="195" t="str">
        <f>'Учебный план'!BZ68</f>
        <v>64-6</v>
      </c>
      <c r="BI50" s="195" t="str">
        <f>'Учебный план'!CA68</f>
        <v>ОК-2,3,5,7; ПК-1.3</v>
      </c>
    </row>
    <row r="51" spans="1:61" s="240" customFormat="1" ht="36.75" customHeight="1">
      <c r="A51" s="588" t="str">
        <f>'Учебный план'!A69</f>
        <v>МДК.01.04</v>
      </c>
      <c r="B51" s="829" t="str">
        <f>'Учебный план'!B69</f>
        <v>Судовождение на внутренних водных путях</v>
      </c>
      <c r="C51" s="829"/>
      <c r="D51" s="829"/>
      <c r="E51" s="829"/>
      <c r="F51" s="829"/>
      <c r="G51" s="829"/>
      <c r="H51" s="829"/>
      <c r="I51" s="580"/>
      <c r="J51" s="587"/>
      <c r="K51" s="580">
        <f>'Учебный план'!K69</f>
        <v>556</v>
      </c>
      <c r="L51" s="580">
        <f>'Учебный план'!L69</f>
        <v>373</v>
      </c>
      <c r="M51" s="580">
        <f>SUM(M52:M54)</f>
        <v>556</v>
      </c>
      <c r="N51" s="580">
        <f t="shared" ref="N51:T51" si="79">SUM(N52:N54)</f>
        <v>94</v>
      </c>
      <c r="O51" s="580">
        <f t="shared" si="79"/>
        <v>51</v>
      </c>
      <c r="P51" s="580">
        <f t="shared" si="79"/>
        <v>10</v>
      </c>
      <c r="Q51" s="580">
        <f t="shared" si="79"/>
        <v>33</v>
      </c>
      <c r="R51" s="580">
        <f t="shared" si="79"/>
        <v>0</v>
      </c>
      <c r="S51" s="580">
        <f t="shared" si="79"/>
        <v>462</v>
      </c>
      <c r="T51" s="580">
        <f t="shared" si="79"/>
        <v>0</v>
      </c>
      <c r="U51" s="570">
        <f t="shared" ref="U51:Y51" si="80">SUM(U52:U54)</f>
        <v>0</v>
      </c>
      <c r="V51" s="570">
        <f t="shared" si="80"/>
        <v>0</v>
      </c>
      <c r="W51" s="570">
        <f t="shared" si="80"/>
        <v>0</v>
      </c>
      <c r="X51" s="570">
        <f t="shared" si="80"/>
        <v>0</v>
      </c>
      <c r="Y51" s="570">
        <f t="shared" si="80"/>
        <v>0</v>
      </c>
      <c r="Z51" s="570">
        <f t="shared" ref="Z51:AW51" si="81">SUM(Z52:Z54)</f>
        <v>126</v>
      </c>
      <c r="AA51" s="570">
        <f t="shared" si="81"/>
        <v>20</v>
      </c>
      <c r="AB51" s="570">
        <f t="shared" si="81"/>
        <v>0</v>
      </c>
      <c r="AC51" s="570">
        <f t="shared" si="81"/>
        <v>0</v>
      </c>
      <c r="AD51" s="570">
        <f t="shared" si="81"/>
        <v>0</v>
      </c>
      <c r="AE51" s="570">
        <f t="shared" si="81"/>
        <v>106</v>
      </c>
      <c r="AF51" s="570">
        <f t="shared" si="81"/>
        <v>126</v>
      </c>
      <c r="AG51" s="570">
        <f t="shared" si="81"/>
        <v>16</v>
      </c>
      <c r="AH51" s="570">
        <f t="shared" si="81"/>
        <v>0</v>
      </c>
      <c r="AI51" s="570">
        <f t="shared" si="81"/>
        <v>0</v>
      </c>
      <c r="AJ51" s="570">
        <f t="shared" si="81"/>
        <v>0</v>
      </c>
      <c r="AK51" s="570">
        <f t="shared" si="81"/>
        <v>110</v>
      </c>
      <c r="AL51" s="570">
        <f t="shared" si="81"/>
        <v>197</v>
      </c>
      <c r="AM51" s="570">
        <f t="shared" si="81"/>
        <v>10</v>
      </c>
      <c r="AN51" s="570">
        <f t="shared" si="81"/>
        <v>10</v>
      </c>
      <c r="AO51" s="570">
        <f t="shared" si="81"/>
        <v>0</v>
      </c>
      <c r="AP51" s="570">
        <f t="shared" si="81"/>
        <v>0</v>
      </c>
      <c r="AQ51" s="570">
        <f t="shared" si="81"/>
        <v>177</v>
      </c>
      <c r="AR51" s="570">
        <f t="shared" si="81"/>
        <v>107</v>
      </c>
      <c r="AS51" s="570">
        <f t="shared" si="81"/>
        <v>5</v>
      </c>
      <c r="AT51" s="570">
        <f t="shared" si="81"/>
        <v>0</v>
      </c>
      <c r="AU51" s="570">
        <f t="shared" si="81"/>
        <v>33</v>
      </c>
      <c r="AV51" s="570">
        <f t="shared" si="81"/>
        <v>0</v>
      </c>
      <c r="AW51" s="570">
        <f t="shared" si="81"/>
        <v>69</v>
      </c>
      <c r="AX51" s="580"/>
      <c r="AY51" s="580">
        <f t="shared" ref="AY51:BF51" si="82">SUM(AY52:AY54)</f>
        <v>0</v>
      </c>
      <c r="AZ51" s="580">
        <f t="shared" si="82"/>
        <v>0</v>
      </c>
      <c r="BA51" s="580">
        <f t="shared" si="82"/>
        <v>0</v>
      </c>
      <c r="BB51" s="580">
        <f t="shared" si="82"/>
        <v>0</v>
      </c>
      <c r="BC51" s="580">
        <f t="shared" si="82"/>
        <v>0</v>
      </c>
      <c r="BD51" s="580">
        <f t="shared" si="82"/>
        <v>0</v>
      </c>
      <c r="BE51" s="580">
        <f t="shared" si="82"/>
        <v>0</v>
      </c>
      <c r="BF51" s="580">
        <f t="shared" si="82"/>
        <v>0</v>
      </c>
      <c r="BG51" s="580"/>
      <c r="BH51" s="587">
        <f>'Учебный план'!BZ69</f>
        <v>0</v>
      </c>
      <c r="BI51" s="580">
        <f>'Учебный план'!CA69</f>
        <v>0</v>
      </c>
    </row>
    <row r="52" spans="1:61" s="237" customFormat="1" ht="25.5">
      <c r="A52" s="509">
        <f>'Учебный план'!A70</f>
        <v>0</v>
      </c>
      <c r="B52" s="509" t="str">
        <f>'Учебный план'!B70</f>
        <v>Правила плавания и управление судами на ВВП</v>
      </c>
      <c r="C52" s="219"/>
      <c r="D52" s="405" t="s">
        <v>40</v>
      </c>
      <c r="E52" s="405" t="s">
        <v>41</v>
      </c>
      <c r="F52" s="405"/>
      <c r="G52" s="405" t="s">
        <v>41</v>
      </c>
      <c r="H52" s="99" t="s">
        <v>625</v>
      </c>
      <c r="I52" s="195">
        <f t="shared" ref="I52:I54" si="83">K52-M52</f>
        <v>0</v>
      </c>
      <c r="J52" s="405">
        <f t="shared" si="54"/>
        <v>61.2</v>
      </c>
      <c r="K52" s="195">
        <f>'Учебный план'!K70</f>
        <v>297</v>
      </c>
      <c r="L52" s="195">
        <f>'Учебный план'!L70</f>
        <v>204</v>
      </c>
      <c r="M52" s="510">
        <f>SUM(N52+S52)</f>
        <v>297</v>
      </c>
      <c r="N52" s="510">
        <f>SUM(O52:R52)</f>
        <v>62</v>
      </c>
      <c r="O52" s="510">
        <f t="shared" ref="O52:R54" si="84">U52+AG52+AM52+AS52+AA52+BA52</f>
        <v>29</v>
      </c>
      <c r="P52" s="510">
        <f t="shared" si="84"/>
        <v>0</v>
      </c>
      <c r="Q52" s="510">
        <f t="shared" si="84"/>
        <v>33</v>
      </c>
      <c r="R52" s="510">
        <f t="shared" si="84"/>
        <v>0</v>
      </c>
      <c r="S52" s="510">
        <f>Y52+AK52+AQ52+AW52+BF52+AE52</f>
        <v>235</v>
      </c>
      <c r="T52" s="397">
        <f>SUM(U52:Y52)</f>
        <v>0</v>
      </c>
      <c r="U52" s="565"/>
      <c r="V52" s="565"/>
      <c r="W52" s="565"/>
      <c r="X52" s="565"/>
      <c r="Y52" s="565"/>
      <c r="Z52" s="566">
        <f>SUM(AA52:AE52)</f>
        <v>62</v>
      </c>
      <c r="AA52" s="565">
        <v>8</v>
      </c>
      <c r="AB52" s="565"/>
      <c r="AC52" s="565"/>
      <c r="AD52" s="565"/>
      <c r="AE52" s="565">
        <v>54</v>
      </c>
      <c r="AF52" s="566">
        <f>SUM(AG52:AK52)</f>
        <v>64</v>
      </c>
      <c r="AG52" s="565">
        <v>8</v>
      </c>
      <c r="AH52" s="565"/>
      <c r="AI52" s="565"/>
      <c r="AJ52" s="565"/>
      <c r="AK52" s="565">
        <v>56</v>
      </c>
      <c r="AL52" s="566">
        <f>SUM(AM52:AQ52)</f>
        <v>64</v>
      </c>
      <c r="AM52" s="565">
        <v>8</v>
      </c>
      <c r="AN52" s="565"/>
      <c r="AO52" s="565"/>
      <c r="AP52" s="565"/>
      <c r="AQ52" s="565">
        <v>56</v>
      </c>
      <c r="AR52" s="566">
        <f>SUM(AS52:AW52)</f>
        <v>107</v>
      </c>
      <c r="AS52" s="565">
        <v>5</v>
      </c>
      <c r="AT52" s="565"/>
      <c r="AU52" s="565">
        <v>33</v>
      </c>
      <c r="AV52" s="565"/>
      <c r="AW52" s="565">
        <v>69</v>
      </c>
      <c r="AX52" s="511"/>
      <c r="AY52" s="397">
        <f t="shared" ref="AY52:AY54" si="85">SUM(AZ52:BF52)</f>
        <v>0</v>
      </c>
      <c r="AZ52" s="195"/>
      <c r="BA52" s="195"/>
      <c r="BB52" s="195"/>
      <c r="BC52" s="195"/>
      <c r="BD52" s="195"/>
      <c r="BE52" s="195"/>
      <c r="BF52" s="195"/>
      <c r="BG52" s="198"/>
      <c r="BH52" s="405" t="str">
        <f>'Учебный план'!BZ70</f>
        <v>64-4</v>
      </c>
      <c r="BI52" s="195" t="str">
        <f>'Учебный план'!CA70</f>
        <v>ОК-1-10; ПК-1.3</v>
      </c>
    </row>
    <row r="53" spans="1:61" s="237" customFormat="1" ht="25.5">
      <c r="A53" s="509">
        <f>'Учебный план'!A71</f>
        <v>0</v>
      </c>
      <c r="B53" s="509" t="str">
        <f>'Учебный план'!B71</f>
        <v>Лоция внутренних водных путей</v>
      </c>
      <c r="C53" s="219"/>
      <c r="D53" s="405"/>
      <c r="E53" s="405" t="s">
        <v>30</v>
      </c>
      <c r="F53" s="405"/>
      <c r="G53" s="405"/>
      <c r="H53" s="99" t="s">
        <v>31</v>
      </c>
      <c r="I53" s="195">
        <f t="shared" si="83"/>
        <v>0</v>
      </c>
      <c r="J53" s="405">
        <f t="shared" si="54"/>
        <v>26.4</v>
      </c>
      <c r="K53" s="195">
        <f>'Учебный план'!K71</f>
        <v>126</v>
      </c>
      <c r="L53" s="195">
        <f>'Учебный план'!L71</f>
        <v>88</v>
      </c>
      <c r="M53" s="510">
        <f>SUM(N53+S53)</f>
        <v>126</v>
      </c>
      <c r="N53" s="510">
        <f>SUM(O53:R53)</f>
        <v>20</v>
      </c>
      <c r="O53" s="510">
        <f t="shared" si="84"/>
        <v>20</v>
      </c>
      <c r="P53" s="510">
        <f t="shared" si="84"/>
        <v>0</v>
      </c>
      <c r="Q53" s="510">
        <f t="shared" si="84"/>
        <v>0</v>
      </c>
      <c r="R53" s="510">
        <f t="shared" si="84"/>
        <v>0</v>
      </c>
      <c r="S53" s="510">
        <f>Y53+AK53+AQ53+AW53+BF53+AE53</f>
        <v>106</v>
      </c>
      <c r="T53" s="397">
        <f>SUM(U53:Y53)</f>
        <v>0</v>
      </c>
      <c r="U53" s="565"/>
      <c r="V53" s="565"/>
      <c r="W53" s="565"/>
      <c r="X53" s="565"/>
      <c r="Y53" s="565"/>
      <c r="Z53" s="566">
        <f>SUM(AA53:AE53)</f>
        <v>64</v>
      </c>
      <c r="AA53" s="565">
        <v>12</v>
      </c>
      <c r="AB53" s="565"/>
      <c r="AC53" s="565"/>
      <c r="AD53" s="565"/>
      <c r="AE53" s="565">
        <v>52</v>
      </c>
      <c r="AF53" s="566">
        <f>SUM(AG53:AK53)</f>
        <v>62</v>
      </c>
      <c r="AG53" s="565">
        <v>8</v>
      </c>
      <c r="AH53" s="565"/>
      <c r="AI53" s="565"/>
      <c r="AJ53" s="565"/>
      <c r="AK53" s="565">
        <v>54</v>
      </c>
      <c r="AL53" s="566">
        <f>SUM(AM53:AQ53)</f>
        <v>0</v>
      </c>
      <c r="AM53" s="565"/>
      <c r="AN53" s="565"/>
      <c r="AO53" s="565"/>
      <c r="AP53" s="565"/>
      <c r="AQ53" s="565"/>
      <c r="AR53" s="566">
        <f>SUM(AS53:AW53)</f>
        <v>0</v>
      </c>
      <c r="AS53" s="565"/>
      <c r="AT53" s="565"/>
      <c r="AU53" s="565"/>
      <c r="AV53" s="565"/>
      <c r="AW53" s="565"/>
      <c r="AX53" s="511"/>
      <c r="AY53" s="397">
        <f t="shared" si="85"/>
        <v>0</v>
      </c>
      <c r="AZ53" s="195"/>
      <c r="BA53" s="195"/>
      <c r="BB53" s="195"/>
      <c r="BC53" s="195"/>
      <c r="BD53" s="195"/>
      <c r="BE53" s="195"/>
      <c r="BF53" s="195"/>
      <c r="BG53" s="198"/>
      <c r="BH53" s="405" t="str">
        <f>'Учебный план'!BZ71</f>
        <v>64-4</v>
      </c>
      <c r="BI53" s="195" t="str">
        <f>'Учебный план'!CA71</f>
        <v>ОК-1-10; ПК-1.3</v>
      </c>
    </row>
    <row r="54" spans="1:61" s="237" customFormat="1">
      <c r="A54" s="509">
        <f>'Учебный план'!A72</f>
        <v>0</v>
      </c>
      <c r="B54" s="509" t="str">
        <f>'Учебный план'!B72</f>
        <v>Использование РЛС на ВВП</v>
      </c>
      <c r="C54" s="219"/>
      <c r="D54" s="405"/>
      <c r="E54" s="405"/>
      <c r="F54" s="99" t="s">
        <v>40</v>
      </c>
      <c r="G54" s="405"/>
      <c r="H54" s="99" t="s">
        <v>40</v>
      </c>
      <c r="I54" s="195">
        <f t="shared" si="83"/>
        <v>0</v>
      </c>
      <c r="J54" s="405">
        <f t="shared" si="54"/>
        <v>24.3</v>
      </c>
      <c r="K54" s="195">
        <f>'Учебный план'!K72</f>
        <v>133</v>
      </c>
      <c r="L54" s="195">
        <f>'Учебный план'!L72</f>
        <v>81</v>
      </c>
      <c r="M54" s="510">
        <f>SUM(N54+S54)</f>
        <v>133</v>
      </c>
      <c r="N54" s="510">
        <f>SUM(O54:R54)</f>
        <v>12</v>
      </c>
      <c r="O54" s="510">
        <f t="shared" si="84"/>
        <v>2</v>
      </c>
      <c r="P54" s="510">
        <f t="shared" si="84"/>
        <v>10</v>
      </c>
      <c r="Q54" s="510">
        <f t="shared" si="84"/>
        <v>0</v>
      </c>
      <c r="R54" s="510">
        <f t="shared" si="84"/>
        <v>0</v>
      </c>
      <c r="S54" s="510">
        <f>Y54+AK54+AQ54+AW54+BF54+AE54</f>
        <v>121</v>
      </c>
      <c r="T54" s="397">
        <f>SUM(U54:Y54)</f>
        <v>0</v>
      </c>
      <c r="U54" s="565"/>
      <c r="V54" s="565"/>
      <c r="W54" s="565"/>
      <c r="X54" s="565"/>
      <c r="Y54" s="565"/>
      <c r="Z54" s="566">
        <f>SUM(AA54:AE54)</f>
        <v>0</v>
      </c>
      <c r="AA54" s="565"/>
      <c r="AB54" s="565"/>
      <c r="AC54" s="565"/>
      <c r="AD54" s="565"/>
      <c r="AE54" s="565"/>
      <c r="AF54" s="566">
        <f>SUM(AG54:AK54)</f>
        <v>0</v>
      </c>
      <c r="AG54" s="565"/>
      <c r="AH54" s="565"/>
      <c r="AI54" s="565"/>
      <c r="AJ54" s="565"/>
      <c r="AK54" s="565"/>
      <c r="AL54" s="566">
        <f>SUM(AM54:AQ54)</f>
        <v>133</v>
      </c>
      <c r="AM54" s="565">
        <v>2</v>
      </c>
      <c r="AN54" s="565">
        <v>10</v>
      </c>
      <c r="AO54" s="565"/>
      <c r="AP54" s="565"/>
      <c r="AQ54" s="565">
        <v>121</v>
      </c>
      <c r="AR54" s="566">
        <f>SUM(AS54:AW54)</f>
        <v>0</v>
      </c>
      <c r="AS54" s="565"/>
      <c r="AT54" s="565"/>
      <c r="AU54" s="565"/>
      <c r="AV54" s="565"/>
      <c r="AW54" s="565"/>
      <c r="AX54" s="511"/>
      <c r="AY54" s="397">
        <f t="shared" si="85"/>
        <v>0</v>
      </c>
      <c r="AZ54" s="195"/>
      <c r="BA54" s="195"/>
      <c r="BB54" s="195"/>
      <c r="BC54" s="195"/>
      <c r="BD54" s="195"/>
      <c r="BE54" s="195"/>
      <c r="BF54" s="195"/>
      <c r="BG54" s="198"/>
      <c r="BH54" s="405" t="str">
        <f>'Учебный план'!BZ72</f>
        <v>64-4</v>
      </c>
      <c r="BI54" s="195" t="str">
        <f>'Учебный план'!CA72</f>
        <v>ОК-1-10; ПК-1.3</v>
      </c>
    </row>
    <row r="55" spans="1:61" s="237" customFormat="1">
      <c r="A55" s="830" t="str">
        <f>'Учебный план'!A73</f>
        <v xml:space="preserve"> Экзамен квалификационный</v>
      </c>
      <c r="B55" s="831"/>
      <c r="C55" s="520"/>
      <c r="D55" s="521" t="s">
        <v>41</v>
      </c>
      <c r="E55" s="521"/>
      <c r="F55" s="521"/>
      <c r="G55" s="521"/>
      <c r="H55" s="521"/>
      <c r="I55" s="497"/>
      <c r="J55" s="521"/>
      <c r="K55" s="497">
        <f>'Учебный план'!K73</f>
        <v>0</v>
      </c>
      <c r="L55" s="497">
        <f>'Учебный план'!L73</f>
        <v>0</v>
      </c>
      <c r="M55" s="419"/>
      <c r="N55" s="419"/>
      <c r="O55" s="419"/>
      <c r="P55" s="419"/>
      <c r="Q55" s="419"/>
      <c r="R55" s="419"/>
      <c r="S55" s="419"/>
      <c r="T55" s="419"/>
      <c r="U55" s="571"/>
      <c r="V55" s="571"/>
      <c r="W55" s="571"/>
      <c r="X55" s="571"/>
      <c r="Y55" s="571"/>
      <c r="Z55" s="572"/>
      <c r="AA55" s="571"/>
      <c r="AB55" s="571"/>
      <c r="AC55" s="571"/>
      <c r="AD55" s="571"/>
      <c r="AE55" s="571"/>
      <c r="AF55" s="572"/>
      <c r="AG55" s="571"/>
      <c r="AH55" s="571"/>
      <c r="AI55" s="571"/>
      <c r="AJ55" s="571"/>
      <c r="AK55" s="571"/>
      <c r="AL55" s="572"/>
      <c r="AM55" s="571"/>
      <c r="AN55" s="571"/>
      <c r="AO55" s="571"/>
      <c r="AP55" s="571"/>
      <c r="AQ55" s="571"/>
      <c r="AR55" s="572"/>
      <c r="AS55" s="571"/>
      <c r="AT55" s="571"/>
      <c r="AU55" s="571"/>
      <c r="AV55" s="571"/>
      <c r="AW55" s="571"/>
      <c r="AX55" s="497"/>
      <c r="AY55" s="419"/>
      <c r="AZ55" s="497"/>
      <c r="BA55" s="497"/>
      <c r="BB55" s="497"/>
      <c r="BC55" s="497"/>
      <c r="BD55" s="497"/>
      <c r="BE55" s="497"/>
      <c r="BF55" s="497"/>
      <c r="BG55" s="497"/>
      <c r="BH55" s="521">
        <f>'Учебный план'!BZ73</f>
        <v>0</v>
      </c>
      <c r="BI55" s="522">
        <f>'Учебный план'!CA73</f>
        <v>0</v>
      </c>
    </row>
    <row r="56" spans="1:61" s="240" customFormat="1" ht="29.25" customHeight="1">
      <c r="A56" s="498" t="str">
        <f>'Учебный план'!A74</f>
        <v>ПМ.02</v>
      </c>
      <c r="B56" s="828" t="str">
        <f>'Учебный план'!B74</f>
        <v>Обеспечение безопасности плавания</v>
      </c>
      <c r="C56" s="828"/>
      <c r="D56" s="828"/>
      <c r="E56" s="828"/>
      <c r="F56" s="828"/>
      <c r="G56" s="828"/>
      <c r="H56" s="828"/>
      <c r="I56" s="398"/>
      <c r="J56" s="398"/>
      <c r="K56" s="398">
        <f>'Учебный план'!K74</f>
        <v>420</v>
      </c>
      <c r="L56" s="398">
        <f>'Учебный план'!L74</f>
        <v>300</v>
      </c>
      <c r="M56" s="398">
        <f>SUM(M58:M60)</f>
        <v>420</v>
      </c>
      <c r="N56" s="398">
        <f>SUM(N58:N60)</f>
        <v>28</v>
      </c>
      <c r="O56" s="398">
        <f t="shared" ref="O56:S56" si="86">SUM(O58:O60)</f>
        <v>28</v>
      </c>
      <c r="P56" s="398">
        <f t="shared" si="86"/>
        <v>0</v>
      </c>
      <c r="Q56" s="398">
        <f t="shared" si="86"/>
        <v>0</v>
      </c>
      <c r="R56" s="398">
        <f t="shared" si="86"/>
        <v>0</v>
      </c>
      <c r="S56" s="398">
        <f t="shared" si="86"/>
        <v>392</v>
      </c>
      <c r="T56" s="398">
        <f>SUM(T57:T59)</f>
        <v>0</v>
      </c>
      <c r="U56" s="569">
        <f t="shared" ref="U56:Y56" si="87">SUM(U57:U59)</f>
        <v>0</v>
      </c>
      <c r="V56" s="569">
        <f t="shared" si="87"/>
        <v>0</v>
      </c>
      <c r="W56" s="569">
        <f t="shared" si="87"/>
        <v>0</v>
      </c>
      <c r="X56" s="569">
        <f t="shared" si="87"/>
        <v>0</v>
      </c>
      <c r="Y56" s="569">
        <f t="shared" si="87"/>
        <v>0</v>
      </c>
      <c r="Z56" s="569">
        <f>SUM(Z57:Z60)</f>
        <v>420</v>
      </c>
      <c r="AA56" s="569">
        <f>SUM(AA57:AA60)</f>
        <v>28</v>
      </c>
      <c r="AB56" s="569">
        <f t="shared" ref="AB56:AF56" si="88">SUM(AB57:AB60)</f>
        <v>0</v>
      </c>
      <c r="AC56" s="569">
        <f t="shared" si="88"/>
        <v>0</v>
      </c>
      <c r="AD56" s="569">
        <f t="shared" si="88"/>
        <v>0</v>
      </c>
      <c r="AE56" s="569">
        <f t="shared" si="88"/>
        <v>392</v>
      </c>
      <c r="AF56" s="569">
        <f t="shared" si="88"/>
        <v>0</v>
      </c>
      <c r="AG56" s="569">
        <f>SUM(AG57:AG60)</f>
        <v>0</v>
      </c>
      <c r="AH56" s="569">
        <f>SUM(AH57:AH60)</f>
        <v>0</v>
      </c>
      <c r="AI56" s="569">
        <f>SUM(AI57:AI60)</f>
        <v>0</v>
      </c>
      <c r="AJ56" s="569">
        <f>SUM(AJ57:AJ60)</f>
        <v>0</v>
      </c>
      <c r="AK56" s="569">
        <f>SUM(AK57:AK60)</f>
        <v>0</v>
      </c>
      <c r="AL56" s="569">
        <f t="shared" ref="AL56:AW56" si="89">SUM(AL57:AL59)</f>
        <v>0</v>
      </c>
      <c r="AM56" s="569">
        <f t="shared" si="89"/>
        <v>0</v>
      </c>
      <c r="AN56" s="569">
        <f t="shared" si="89"/>
        <v>0</v>
      </c>
      <c r="AO56" s="569">
        <f t="shared" si="89"/>
        <v>0</v>
      </c>
      <c r="AP56" s="569">
        <f t="shared" si="89"/>
        <v>0</v>
      </c>
      <c r="AQ56" s="569">
        <f t="shared" si="89"/>
        <v>0</v>
      </c>
      <c r="AR56" s="569">
        <f t="shared" si="89"/>
        <v>0</v>
      </c>
      <c r="AS56" s="569">
        <f t="shared" si="89"/>
        <v>0</v>
      </c>
      <c r="AT56" s="569">
        <f t="shared" si="89"/>
        <v>0</v>
      </c>
      <c r="AU56" s="569">
        <f t="shared" si="89"/>
        <v>0</v>
      </c>
      <c r="AV56" s="569">
        <f t="shared" si="89"/>
        <v>0</v>
      </c>
      <c r="AW56" s="569">
        <f t="shared" si="89"/>
        <v>0</v>
      </c>
      <c r="AX56" s="398"/>
      <c r="AY56" s="398">
        <f t="shared" ref="AY56:BF56" si="90">SUM(AY57:AY59)</f>
        <v>0</v>
      </c>
      <c r="AZ56" s="398">
        <f t="shared" si="90"/>
        <v>0</v>
      </c>
      <c r="BA56" s="398">
        <f t="shared" si="90"/>
        <v>0</v>
      </c>
      <c r="BB56" s="398">
        <f t="shared" si="90"/>
        <v>0</v>
      </c>
      <c r="BC56" s="398">
        <f t="shared" si="90"/>
        <v>0</v>
      </c>
      <c r="BD56" s="398">
        <f t="shared" si="90"/>
        <v>0</v>
      </c>
      <c r="BE56" s="398">
        <f t="shared" si="90"/>
        <v>0</v>
      </c>
      <c r="BF56" s="398">
        <f t="shared" si="90"/>
        <v>0</v>
      </c>
      <c r="BG56" s="398"/>
      <c r="BH56" s="518">
        <f>'Учебный план'!BZ74</f>
        <v>0</v>
      </c>
      <c r="BI56" s="519" t="str">
        <f>'Учебный план'!CA74</f>
        <v>ОК 1-10; ПК 2.1-2.7</v>
      </c>
    </row>
    <row r="57" spans="1:61" s="237" customFormat="1" ht="38.25">
      <c r="A57" s="576" t="str">
        <f>'Учебный план'!A75</f>
        <v>МДК.02.01</v>
      </c>
      <c r="B57" s="577" t="str">
        <f>'Учебный план'!B75</f>
        <v>Безопасность жизнедеятельности на судне и транспортная безопасность</v>
      </c>
      <c r="C57" s="578"/>
      <c r="D57" s="579"/>
      <c r="E57" s="579"/>
      <c r="F57" s="579"/>
      <c r="G57" s="580"/>
      <c r="H57" s="579"/>
      <c r="I57" s="581">
        <f t="shared" ref="I57:I60" si="91">K57-M57</f>
        <v>420</v>
      </c>
      <c r="J57" s="579"/>
      <c r="K57" s="581">
        <f>'Учебный план'!K75</f>
        <v>420</v>
      </c>
      <c r="L57" s="581">
        <f>'Учебный план'!L75</f>
        <v>300</v>
      </c>
      <c r="M57" s="580">
        <f>SUM(N57+S57)</f>
        <v>0</v>
      </c>
      <c r="N57" s="580">
        <f>SUM(O57:R57)</f>
        <v>0</v>
      </c>
      <c r="O57" s="580">
        <f>U57+AG57+AM57+AS57</f>
        <v>0</v>
      </c>
      <c r="P57" s="580">
        <f>V57+AH57+AN57+AT57</f>
        <v>0</v>
      </c>
      <c r="Q57" s="580">
        <f>W57+AI57+AO57+AU57</f>
        <v>0</v>
      </c>
      <c r="R57" s="580">
        <f>X57+AJ57+AP57+AV57</f>
        <v>0</v>
      </c>
      <c r="S57" s="580">
        <f>Y57+AK57+AQ57+AW57</f>
        <v>0</v>
      </c>
      <c r="T57" s="580">
        <f>SUM(U57:Y57)</f>
        <v>0</v>
      </c>
      <c r="U57" s="573"/>
      <c r="V57" s="573"/>
      <c r="W57" s="573"/>
      <c r="X57" s="573"/>
      <c r="Y57" s="573"/>
      <c r="Z57" s="570">
        <f>SUM(AA57:AE57)</f>
        <v>0</v>
      </c>
      <c r="AA57" s="573"/>
      <c r="AB57" s="573"/>
      <c r="AC57" s="573"/>
      <c r="AD57" s="573"/>
      <c r="AE57" s="573"/>
      <c r="AF57" s="570">
        <f>SUM(AG57:AK57)</f>
        <v>0</v>
      </c>
      <c r="AG57" s="573"/>
      <c r="AH57" s="573"/>
      <c r="AI57" s="573"/>
      <c r="AJ57" s="573"/>
      <c r="AK57" s="573"/>
      <c r="AL57" s="570">
        <f>SUM(AM57:AQ57)</f>
        <v>0</v>
      </c>
      <c r="AM57" s="573"/>
      <c r="AN57" s="573"/>
      <c r="AO57" s="573"/>
      <c r="AP57" s="573"/>
      <c r="AQ57" s="573"/>
      <c r="AR57" s="570">
        <f>SUM(AS57:AW57)</f>
        <v>0</v>
      </c>
      <c r="AS57" s="573"/>
      <c r="AT57" s="573"/>
      <c r="AU57" s="573"/>
      <c r="AV57" s="573"/>
      <c r="AW57" s="573"/>
      <c r="AX57" s="511">
        <f>LEN(H57)-LEN(SUBSTITUTE(H57,"9",""))</f>
        <v>0</v>
      </c>
      <c r="AY57" s="397">
        <f t="shared" ref="AY57:AY59" si="92">SUM(AZ57:BF57)</f>
        <v>0</v>
      </c>
      <c r="AZ57" s="195">
        <v>0</v>
      </c>
      <c r="BA57" s="195"/>
      <c r="BB57" s="195"/>
      <c r="BC57" s="195"/>
      <c r="BD57" s="195"/>
      <c r="BE57" s="195"/>
      <c r="BF57" s="195"/>
      <c r="BG57" s="198"/>
      <c r="BH57" s="581">
        <f>'Учебный план'!BZ75</f>
        <v>0</v>
      </c>
      <c r="BI57" s="581">
        <f>'Учебный план'!CA75</f>
        <v>0</v>
      </c>
    </row>
    <row r="58" spans="1:61" s="237" customFormat="1" ht="28.5" customHeight="1">
      <c r="A58" s="509">
        <f>'Учебный план'!A76</f>
        <v>0</v>
      </c>
      <c r="B58" s="509" t="str">
        <f>'Учебный план'!B76</f>
        <v>Безопасность жизнедеятельности на судне</v>
      </c>
      <c r="C58" s="219"/>
      <c r="D58" s="405"/>
      <c r="E58" s="405"/>
      <c r="F58" s="99" t="s">
        <v>31</v>
      </c>
      <c r="G58" s="496"/>
      <c r="H58" s="99" t="s">
        <v>31</v>
      </c>
      <c r="I58" s="195">
        <f t="shared" si="91"/>
        <v>0</v>
      </c>
      <c r="J58" s="405">
        <f t="shared" ref="J58:J60" si="93">L58*$J$1</f>
        <v>63</v>
      </c>
      <c r="K58" s="195">
        <f>'Учебный план'!K76</f>
        <v>291</v>
      </c>
      <c r="L58" s="195">
        <f>'Учебный план'!L76</f>
        <v>210</v>
      </c>
      <c r="M58" s="510">
        <f>SUM(N58+S58)</f>
        <v>291</v>
      </c>
      <c r="N58" s="510">
        <f>SUM(O58:R58)</f>
        <v>8</v>
      </c>
      <c r="O58" s="510">
        <f t="shared" ref="O58:R60" si="94">U58+AG58+AM58+AS58+AA58+BA58</f>
        <v>8</v>
      </c>
      <c r="P58" s="510">
        <f t="shared" si="94"/>
        <v>0</v>
      </c>
      <c r="Q58" s="510">
        <f t="shared" si="94"/>
        <v>0</v>
      </c>
      <c r="R58" s="510">
        <f t="shared" si="94"/>
        <v>0</v>
      </c>
      <c r="S58" s="510">
        <f>Y58+AK58+AQ58+AW58+BF58+AE58</f>
        <v>283</v>
      </c>
      <c r="T58" s="397">
        <f>SUM(U58:Y58)</f>
        <v>0</v>
      </c>
      <c r="U58" s="565"/>
      <c r="V58" s="565"/>
      <c r="W58" s="565"/>
      <c r="X58" s="565"/>
      <c r="Y58" s="565"/>
      <c r="Z58" s="566">
        <f>SUM(AA58:AE58)</f>
        <v>291</v>
      </c>
      <c r="AA58" s="565">
        <v>8</v>
      </c>
      <c r="AB58" s="565"/>
      <c r="AC58" s="565"/>
      <c r="AD58" s="565"/>
      <c r="AE58" s="565">
        <v>283</v>
      </c>
      <c r="AF58" s="566">
        <f>SUM(AG58:AK58)</f>
        <v>0</v>
      </c>
      <c r="AG58" s="565"/>
      <c r="AH58" s="565"/>
      <c r="AI58" s="565"/>
      <c r="AJ58" s="565"/>
      <c r="AK58" s="565"/>
      <c r="AL58" s="566">
        <f>SUM(AM58:AQ58)</f>
        <v>0</v>
      </c>
      <c r="AM58" s="565"/>
      <c r="AN58" s="565"/>
      <c r="AO58" s="565"/>
      <c r="AP58" s="565"/>
      <c r="AQ58" s="565"/>
      <c r="AR58" s="566">
        <f>SUM(AS58:AW58)</f>
        <v>0</v>
      </c>
      <c r="AS58" s="565"/>
      <c r="AT58" s="565"/>
      <c r="AU58" s="565"/>
      <c r="AV58" s="565"/>
      <c r="AW58" s="565"/>
      <c r="AX58" s="511">
        <f>LEN(H58)-LEN(SUBSTITUTE(H58,"9",""))</f>
        <v>0</v>
      </c>
      <c r="AY58" s="397">
        <f t="shared" si="92"/>
        <v>0</v>
      </c>
      <c r="AZ58" s="195"/>
      <c r="BA58" s="195"/>
      <c r="BB58" s="195"/>
      <c r="BC58" s="195"/>
      <c r="BD58" s="195"/>
      <c r="BE58" s="195"/>
      <c r="BF58" s="195"/>
      <c r="BG58" s="198"/>
      <c r="BH58" s="524" t="str">
        <f>'Учебный план'!BZ76</f>
        <v>5</v>
      </c>
      <c r="BI58" s="524" t="str">
        <f>'Учебный план'!CA76</f>
        <v>ОК-1-10; ПК 2.1-2.7</v>
      </c>
    </row>
    <row r="59" spans="1:61" s="237" customFormat="1" ht="15.75" customHeight="1">
      <c r="A59" s="509">
        <f>'Учебный план'!A77</f>
        <v>0</v>
      </c>
      <c r="B59" s="509" t="str">
        <f>'Учебный план'!B77</f>
        <v>Транспортная безопасность</v>
      </c>
      <c r="C59" s="219"/>
      <c r="D59" s="405"/>
      <c r="E59" s="405" t="s">
        <v>31</v>
      </c>
      <c r="F59" s="405"/>
      <c r="G59" s="496"/>
      <c r="H59" s="405"/>
      <c r="I59" s="195">
        <f t="shared" si="91"/>
        <v>0</v>
      </c>
      <c r="J59" s="405">
        <f t="shared" si="93"/>
        <v>16.2</v>
      </c>
      <c r="K59" s="195">
        <f>'Учебный план'!K77</f>
        <v>79</v>
      </c>
      <c r="L59" s="195">
        <f>'Учебный план'!L77</f>
        <v>54</v>
      </c>
      <c r="M59" s="510">
        <f>SUM(N59+S59)</f>
        <v>79</v>
      </c>
      <c r="N59" s="510">
        <f>SUM(O59:R59)</f>
        <v>12</v>
      </c>
      <c r="O59" s="510">
        <f t="shared" si="94"/>
        <v>12</v>
      </c>
      <c r="P59" s="510">
        <f t="shared" si="94"/>
        <v>0</v>
      </c>
      <c r="Q59" s="510">
        <f t="shared" si="94"/>
        <v>0</v>
      </c>
      <c r="R59" s="510">
        <f t="shared" si="94"/>
        <v>0</v>
      </c>
      <c r="S59" s="510">
        <f>Y59+AK59+AQ59+AW59+BF59+AE59</f>
        <v>67</v>
      </c>
      <c r="T59" s="397">
        <f>SUM(U59:Y59)</f>
        <v>0</v>
      </c>
      <c r="U59" s="565"/>
      <c r="V59" s="565"/>
      <c r="W59" s="565"/>
      <c r="X59" s="565"/>
      <c r="Y59" s="565"/>
      <c r="Z59" s="566">
        <f>SUM(AA59:AE59)</f>
        <v>79</v>
      </c>
      <c r="AA59" s="565">
        <v>12</v>
      </c>
      <c r="AB59" s="565"/>
      <c r="AC59" s="565"/>
      <c r="AD59" s="565"/>
      <c r="AE59" s="565">
        <v>67</v>
      </c>
      <c r="AF59" s="566">
        <f>SUM(AG59:AK59)</f>
        <v>0</v>
      </c>
      <c r="AG59" s="565"/>
      <c r="AH59" s="565"/>
      <c r="AI59" s="565"/>
      <c r="AJ59" s="565"/>
      <c r="AK59" s="565"/>
      <c r="AL59" s="566">
        <f>SUM(AM59:AQ59)</f>
        <v>0</v>
      </c>
      <c r="AM59" s="565"/>
      <c r="AN59" s="565"/>
      <c r="AO59" s="565"/>
      <c r="AP59" s="565"/>
      <c r="AQ59" s="565"/>
      <c r="AR59" s="566">
        <f>SUM(AS59:AW59)</f>
        <v>0</v>
      </c>
      <c r="AS59" s="565"/>
      <c r="AT59" s="565"/>
      <c r="AU59" s="565"/>
      <c r="AV59" s="565"/>
      <c r="AW59" s="565"/>
      <c r="AX59" s="511"/>
      <c r="AY59" s="397">
        <f t="shared" si="92"/>
        <v>0</v>
      </c>
      <c r="AZ59" s="195"/>
      <c r="BA59" s="195"/>
      <c r="BB59" s="195"/>
      <c r="BC59" s="195"/>
      <c r="BD59" s="195"/>
      <c r="BE59" s="195"/>
      <c r="BF59" s="195"/>
      <c r="BG59" s="198"/>
      <c r="BH59" s="524" t="str">
        <f>'Учебный план'!BZ77</f>
        <v>64-4</v>
      </c>
      <c r="BI59" s="524" t="str">
        <f>'Учебный план'!CA77</f>
        <v>ОК 1-10; ПК 2.1</v>
      </c>
    </row>
    <row r="60" spans="1:61" s="237" customFormat="1" ht="31.5" customHeight="1">
      <c r="A60" s="509">
        <f>'Учебный план'!A78</f>
        <v>0</v>
      </c>
      <c r="B60" s="509" t="str">
        <f>'Учебный план'!B78</f>
        <v>Техника безопасности на судах</v>
      </c>
      <c r="C60" s="219"/>
      <c r="D60" s="405" t="s">
        <v>31</v>
      </c>
      <c r="E60" s="405"/>
      <c r="F60" s="405"/>
      <c r="G60" s="496"/>
      <c r="H60" s="405"/>
      <c r="I60" s="195">
        <f t="shared" si="91"/>
        <v>0</v>
      </c>
      <c r="J60" s="405">
        <f t="shared" si="93"/>
        <v>10.8</v>
      </c>
      <c r="K60" s="195">
        <f>'Учебный план'!K78</f>
        <v>50</v>
      </c>
      <c r="L60" s="195">
        <f>'Учебный план'!L78</f>
        <v>36</v>
      </c>
      <c r="M60" s="510">
        <f>SUM(N60+S60)</f>
        <v>50</v>
      </c>
      <c r="N60" s="510">
        <f>SUM(O60:R60)</f>
        <v>8</v>
      </c>
      <c r="O60" s="510">
        <f t="shared" si="94"/>
        <v>8</v>
      </c>
      <c r="P60" s="510">
        <f t="shared" si="94"/>
        <v>0</v>
      </c>
      <c r="Q60" s="510">
        <f t="shared" si="94"/>
        <v>0</v>
      </c>
      <c r="R60" s="510">
        <f t="shared" si="94"/>
        <v>0</v>
      </c>
      <c r="S60" s="510">
        <f>Y60+AK60+AQ60+AW60+BF60+AE60</f>
        <v>42</v>
      </c>
      <c r="T60" s="397"/>
      <c r="U60" s="565"/>
      <c r="V60" s="565"/>
      <c r="W60" s="565"/>
      <c r="X60" s="565"/>
      <c r="Y60" s="565"/>
      <c r="Z60" s="566">
        <f>SUM(AA60:AE60)</f>
        <v>50</v>
      </c>
      <c r="AA60" s="565">
        <v>8</v>
      </c>
      <c r="AB60" s="565"/>
      <c r="AC60" s="565"/>
      <c r="AD60" s="565"/>
      <c r="AE60" s="565">
        <v>42</v>
      </c>
      <c r="AF60" s="566">
        <f>SUM(AG60:AK60)</f>
        <v>0</v>
      </c>
      <c r="AG60" s="565"/>
      <c r="AH60" s="565"/>
      <c r="AI60" s="565"/>
      <c r="AJ60" s="565"/>
      <c r="AK60" s="565"/>
      <c r="AL60" s="566"/>
      <c r="AM60" s="565"/>
      <c r="AN60" s="565"/>
      <c r="AO60" s="565"/>
      <c r="AP60" s="565"/>
      <c r="AQ60" s="565"/>
      <c r="AR60" s="566">
        <f>SUM(AS60:AW60)</f>
        <v>0</v>
      </c>
      <c r="AS60" s="565"/>
      <c r="AT60" s="565"/>
      <c r="AU60" s="565"/>
      <c r="AV60" s="565"/>
      <c r="AW60" s="565"/>
      <c r="AX60" s="511"/>
      <c r="AY60" s="397"/>
      <c r="AZ60" s="195"/>
      <c r="BA60" s="195"/>
      <c r="BB60" s="195"/>
      <c r="BC60" s="195"/>
      <c r="BD60" s="195"/>
      <c r="BE60" s="195"/>
      <c r="BF60" s="195"/>
      <c r="BG60" s="198"/>
      <c r="BH60" s="524" t="str">
        <f>'Учебный план'!BZ78</f>
        <v>64-4</v>
      </c>
      <c r="BI60" s="524" t="str">
        <f>'Учебный план'!CA78</f>
        <v>ОК 1-10; ПК 2.1-2.7</v>
      </c>
    </row>
    <row r="61" spans="1:61" s="237" customFormat="1">
      <c r="A61" s="830" t="str">
        <f>'Учебный план'!A79</f>
        <v xml:space="preserve"> Экзамен квалификационный</v>
      </c>
      <c r="B61" s="831"/>
      <c r="C61" s="520"/>
      <c r="D61" s="521" t="s">
        <v>31</v>
      </c>
      <c r="E61" s="521"/>
      <c r="F61" s="521"/>
      <c r="G61" s="419"/>
      <c r="H61" s="521"/>
      <c r="I61" s="497"/>
      <c r="J61" s="521"/>
      <c r="K61" s="497">
        <f>'Учебный план'!K79</f>
        <v>0</v>
      </c>
      <c r="L61" s="497">
        <f>'Учебный план'!L79</f>
        <v>0</v>
      </c>
      <c r="M61" s="419"/>
      <c r="N61" s="419"/>
      <c r="O61" s="419"/>
      <c r="P61" s="419"/>
      <c r="Q61" s="419"/>
      <c r="R61" s="419"/>
      <c r="S61" s="419"/>
      <c r="T61" s="419"/>
      <c r="U61" s="571"/>
      <c r="V61" s="571"/>
      <c r="W61" s="571"/>
      <c r="X61" s="571"/>
      <c r="Y61" s="571"/>
      <c r="Z61" s="572"/>
      <c r="AA61" s="571"/>
      <c r="AB61" s="571"/>
      <c r="AC61" s="571"/>
      <c r="AD61" s="571"/>
      <c r="AE61" s="571"/>
      <c r="AF61" s="572"/>
      <c r="AG61" s="571"/>
      <c r="AH61" s="571"/>
      <c r="AI61" s="571"/>
      <c r="AJ61" s="571"/>
      <c r="AK61" s="571"/>
      <c r="AL61" s="572"/>
      <c r="AM61" s="571"/>
      <c r="AN61" s="571"/>
      <c r="AO61" s="571"/>
      <c r="AP61" s="571"/>
      <c r="AQ61" s="571"/>
      <c r="AR61" s="572"/>
      <c r="AS61" s="571"/>
      <c r="AT61" s="571"/>
      <c r="AU61" s="571"/>
      <c r="AV61" s="571"/>
      <c r="AW61" s="571"/>
      <c r="AX61" s="497"/>
      <c r="AY61" s="419"/>
      <c r="AZ61" s="497"/>
      <c r="BA61" s="497"/>
      <c r="BB61" s="497"/>
      <c r="BC61" s="497"/>
      <c r="BD61" s="497"/>
      <c r="BE61" s="497"/>
      <c r="BF61" s="497"/>
      <c r="BG61" s="497"/>
      <c r="BH61" s="521">
        <f>'Учебный план'!BZ79</f>
        <v>0</v>
      </c>
      <c r="BI61" s="521">
        <f>'Учебный план'!CA79</f>
        <v>0</v>
      </c>
    </row>
    <row r="62" spans="1:61" s="240" customFormat="1" ht="28.5" customHeight="1">
      <c r="A62" s="498" t="str">
        <f>'Учебный план'!A80</f>
        <v>ПМ.03</v>
      </c>
      <c r="B62" s="828" t="str">
        <f>'Учебный план'!B80</f>
        <v>Обработка и размещение груза</v>
      </c>
      <c r="C62" s="828"/>
      <c r="D62" s="828"/>
      <c r="E62" s="828"/>
      <c r="F62" s="828"/>
      <c r="G62" s="828"/>
      <c r="H62" s="828"/>
      <c r="I62" s="398"/>
      <c r="J62" s="398"/>
      <c r="K62" s="398">
        <f>'Учебный план'!K80</f>
        <v>163</v>
      </c>
      <c r="L62" s="398">
        <f>'Учебный план'!L80</f>
        <v>110</v>
      </c>
      <c r="M62" s="398">
        <f>SUM(M64:M65)</f>
        <v>163</v>
      </c>
      <c r="N62" s="398">
        <f>SUM(N64:N65)</f>
        <v>38</v>
      </c>
      <c r="O62" s="398">
        <f t="shared" ref="O62:AW62" si="95">SUM(O64:O65)</f>
        <v>16</v>
      </c>
      <c r="P62" s="398">
        <f t="shared" si="95"/>
        <v>0</v>
      </c>
      <c r="Q62" s="398">
        <f t="shared" si="95"/>
        <v>22</v>
      </c>
      <c r="R62" s="398">
        <f t="shared" si="95"/>
        <v>0</v>
      </c>
      <c r="S62" s="398">
        <f t="shared" si="95"/>
        <v>125</v>
      </c>
      <c r="T62" s="398">
        <f t="shared" si="95"/>
        <v>0</v>
      </c>
      <c r="U62" s="569">
        <f t="shared" si="95"/>
        <v>0</v>
      </c>
      <c r="V62" s="569">
        <f t="shared" si="95"/>
        <v>0</v>
      </c>
      <c r="W62" s="569">
        <f t="shared" si="95"/>
        <v>0</v>
      </c>
      <c r="X62" s="569">
        <f t="shared" si="95"/>
        <v>0</v>
      </c>
      <c r="Y62" s="569">
        <f t="shared" si="95"/>
        <v>0</v>
      </c>
      <c r="Z62" s="569">
        <f t="shared" si="95"/>
        <v>0</v>
      </c>
      <c r="AA62" s="569">
        <f t="shared" si="95"/>
        <v>0</v>
      </c>
      <c r="AB62" s="569">
        <f t="shared" si="95"/>
        <v>0</v>
      </c>
      <c r="AC62" s="569">
        <f t="shared" si="95"/>
        <v>0</v>
      </c>
      <c r="AD62" s="569">
        <f t="shared" si="95"/>
        <v>0</v>
      </c>
      <c r="AE62" s="569">
        <f t="shared" si="95"/>
        <v>0</v>
      </c>
      <c r="AF62" s="569">
        <f t="shared" si="95"/>
        <v>65</v>
      </c>
      <c r="AG62" s="569">
        <f t="shared" si="95"/>
        <v>10</v>
      </c>
      <c r="AH62" s="569">
        <f t="shared" si="95"/>
        <v>0</v>
      </c>
      <c r="AI62" s="569">
        <f t="shared" si="95"/>
        <v>0</v>
      </c>
      <c r="AJ62" s="569">
        <f t="shared" si="95"/>
        <v>0</v>
      </c>
      <c r="AK62" s="569">
        <f t="shared" si="95"/>
        <v>55</v>
      </c>
      <c r="AL62" s="569">
        <f t="shared" si="95"/>
        <v>98</v>
      </c>
      <c r="AM62" s="569">
        <f t="shared" si="95"/>
        <v>6</v>
      </c>
      <c r="AN62" s="569">
        <f t="shared" si="95"/>
        <v>0</v>
      </c>
      <c r="AO62" s="569">
        <f t="shared" si="95"/>
        <v>22</v>
      </c>
      <c r="AP62" s="569">
        <f t="shared" si="95"/>
        <v>0</v>
      </c>
      <c r="AQ62" s="569">
        <f t="shared" si="95"/>
        <v>70</v>
      </c>
      <c r="AR62" s="569">
        <f t="shared" si="95"/>
        <v>0</v>
      </c>
      <c r="AS62" s="569">
        <f t="shared" si="95"/>
        <v>0</v>
      </c>
      <c r="AT62" s="569">
        <f t="shared" si="95"/>
        <v>0</v>
      </c>
      <c r="AU62" s="569">
        <f t="shared" si="95"/>
        <v>0</v>
      </c>
      <c r="AV62" s="569">
        <f t="shared" si="95"/>
        <v>0</v>
      </c>
      <c r="AW62" s="569">
        <f t="shared" si="95"/>
        <v>0</v>
      </c>
      <c r="AX62" s="398"/>
      <c r="AY62" s="398">
        <f t="shared" ref="AY62:BF62" si="96">SUM(AY64:AY65)</f>
        <v>0</v>
      </c>
      <c r="AZ62" s="398">
        <f t="shared" si="96"/>
        <v>0</v>
      </c>
      <c r="BA62" s="398">
        <f t="shared" si="96"/>
        <v>0</v>
      </c>
      <c r="BB62" s="398">
        <f t="shared" si="96"/>
        <v>0</v>
      </c>
      <c r="BC62" s="398">
        <f t="shared" si="96"/>
        <v>0</v>
      </c>
      <c r="BD62" s="398">
        <f t="shared" si="96"/>
        <v>0</v>
      </c>
      <c r="BE62" s="398">
        <f t="shared" si="96"/>
        <v>0</v>
      </c>
      <c r="BF62" s="398">
        <f t="shared" si="96"/>
        <v>0</v>
      </c>
      <c r="BG62" s="398"/>
      <c r="BH62" s="518">
        <f>'Учебный план'!BZ80</f>
        <v>0</v>
      </c>
      <c r="BI62" s="519" t="str">
        <f>'Учебный план'!CA80</f>
        <v>ОК 1-10; ПК 3.1 - 3.2</v>
      </c>
    </row>
    <row r="63" spans="1:61" s="237" customFormat="1">
      <c r="A63" s="576" t="str">
        <f>'Учебный план'!A81</f>
        <v>МДК 03.01</v>
      </c>
      <c r="B63" s="582" t="str">
        <f>'Учебный план'!B81</f>
        <v>Технология перевозки груза</v>
      </c>
      <c r="C63" s="583"/>
      <c r="D63" s="579"/>
      <c r="E63" s="579"/>
      <c r="F63" s="579"/>
      <c r="G63" s="579"/>
      <c r="H63" s="579"/>
      <c r="I63" s="581"/>
      <c r="J63" s="579"/>
      <c r="K63" s="581">
        <f>'Учебный план'!K81</f>
        <v>163</v>
      </c>
      <c r="L63" s="581">
        <f>'Учебный план'!L81</f>
        <v>110</v>
      </c>
      <c r="M63" s="580">
        <f>SUM(N63+S63)</f>
        <v>0</v>
      </c>
      <c r="N63" s="580">
        <f>SUM(O63:R63)</f>
        <v>0</v>
      </c>
      <c r="O63" s="580">
        <f>U63+AG63+AM63+AS63</f>
        <v>0</v>
      </c>
      <c r="P63" s="580">
        <f>V63+AH63+AN63+AT63</f>
        <v>0</v>
      </c>
      <c r="Q63" s="580">
        <f>W63+AI63+AO63+AU63</f>
        <v>0</v>
      </c>
      <c r="R63" s="580">
        <f>X63+AJ63+AP63+AV63</f>
        <v>0</v>
      </c>
      <c r="S63" s="580">
        <f>Y63+AK63+AQ63+AW63</f>
        <v>0</v>
      </c>
      <c r="T63" s="580">
        <f>SUM(U63:Y63)</f>
        <v>0</v>
      </c>
      <c r="U63" s="573">
        <v>0</v>
      </c>
      <c r="V63" s="573">
        <v>0</v>
      </c>
      <c r="W63" s="573">
        <v>0</v>
      </c>
      <c r="X63" s="573">
        <v>0</v>
      </c>
      <c r="Y63" s="573">
        <v>0</v>
      </c>
      <c r="Z63" s="570">
        <f>SUM(AA63:AE63)</f>
        <v>0</v>
      </c>
      <c r="AA63" s="573">
        <v>0</v>
      </c>
      <c r="AB63" s="573">
        <v>0</v>
      </c>
      <c r="AC63" s="573">
        <v>0</v>
      </c>
      <c r="AD63" s="573">
        <v>0</v>
      </c>
      <c r="AE63" s="573">
        <v>0</v>
      </c>
      <c r="AF63" s="570">
        <f>SUM(AG63:AK63)</f>
        <v>0</v>
      </c>
      <c r="AG63" s="573">
        <v>0</v>
      </c>
      <c r="AH63" s="573">
        <v>0</v>
      </c>
      <c r="AI63" s="573">
        <v>0</v>
      </c>
      <c r="AJ63" s="573">
        <v>0</v>
      </c>
      <c r="AK63" s="573">
        <v>0</v>
      </c>
      <c r="AL63" s="570">
        <f>SUM(AM63:AQ63)</f>
        <v>0</v>
      </c>
      <c r="AM63" s="573">
        <v>0</v>
      </c>
      <c r="AN63" s="573">
        <v>0</v>
      </c>
      <c r="AO63" s="573">
        <v>0</v>
      </c>
      <c r="AP63" s="573">
        <v>0</v>
      </c>
      <c r="AQ63" s="573">
        <v>0</v>
      </c>
      <c r="AR63" s="570">
        <f>SUM(AS63:AW63)</f>
        <v>0</v>
      </c>
      <c r="AS63" s="573">
        <v>0</v>
      </c>
      <c r="AT63" s="573">
        <v>0</v>
      </c>
      <c r="AU63" s="573">
        <v>0</v>
      </c>
      <c r="AV63" s="573">
        <v>0</v>
      </c>
      <c r="AW63" s="573">
        <v>0</v>
      </c>
      <c r="AX63" s="511"/>
      <c r="AY63" s="397">
        <f t="shared" ref="AY63:AY65" si="97">SUM(AZ63:BF63)</f>
        <v>0</v>
      </c>
      <c r="AZ63" s="195">
        <v>0</v>
      </c>
      <c r="BA63" s="195">
        <v>0</v>
      </c>
      <c r="BB63" s="195">
        <v>0</v>
      </c>
      <c r="BC63" s="195">
        <v>0</v>
      </c>
      <c r="BD63" s="195">
        <v>0</v>
      </c>
      <c r="BE63" s="195">
        <v>0</v>
      </c>
      <c r="BF63" s="195">
        <v>0</v>
      </c>
      <c r="BG63" s="198"/>
      <c r="BH63" s="579">
        <f>'Учебный план'!BZ81</f>
        <v>0</v>
      </c>
      <c r="BI63" s="586">
        <f>'Учебный план'!CA81</f>
        <v>0</v>
      </c>
    </row>
    <row r="64" spans="1:61" s="237" customFormat="1">
      <c r="A64" s="523">
        <f>'Учебный план'!A82</f>
        <v>0</v>
      </c>
      <c r="B64" s="509" t="str">
        <f>'Учебный план'!B82</f>
        <v>Коммерческая эксплуатация</v>
      </c>
      <c r="C64" s="219"/>
      <c r="D64" s="405"/>
      <c r="E64" s="405" t="s">
        <v>30</v>
      </c>
      <c r="F64" s="405"/>
      <c r="G64" s="405"/>
      <c r="H64" s="99" t="s">
        <v>30</v>
      </c>
      <c r="I64" s="195">
        <f t="shared" ref="I64:I65" si="98">K64-M64</f>
        <v>0</v>
      </c>
      <c r="J64" s="405">
        <f t="shared" ref="J64:J65" si="99">L64*$J$1</f>
        <v>13.2</v>
      </c>
      <c r="K64" s="195">
        <f>'Учебный план'!K82</f>
        <v>65</v>
      </c>
      <c r="L64" s="195">
        <f>'Учебный план'!L82</f>
        <v>44</v>
      </c>
      <c r="M64" s="510">
        <f>SUM(N64+S64)</f>
        <v>65</v>
      </c>
      <c r="N64" s="510">
        <f>SUM(O64:R64)</f>
        <v>10</v>
      </c>
      <c r="O64" s="510">
        <f t="shared" ref="O64:R65" si="100">U64+AG64+AM64+AS64+AA64+BA64</f>
        <v>10</v>
      </c>
      <c r="P64" s="510">
        <f t="shared" si="100"/>
        <v>0</v>
      </c>
      <c r="Q64" s="510">
        <f t="shared" si="100"/>
        <v>0</v>
      </c>
      <c r="R64" s="510">
        <f t="shared" si="100"/>
        <v>0</v>
      </c>
      <c r="S64" s="510">
        <f>Y64+AK64+AQ64+AW64+BF64+AE64</f>
        <v>55</v>
      </c>
      <c r="T64" s="397">
        <f>SUM(U64:Y64)</f>
        <v>0</v>
      </c>
      <c r="U64" s="565"/>
      <c r="V64" s="565"/>
      <c r="W64" s="565"/>
      <c r="X64" s="565"/>
      <c r="Y64" s="565"/>
      <c r="Z64" s="566">
        <f>SUM(AA64:AE64)</f>
        <v>0</v>
      </c>
      <c r="AA64" s="565"/>
      <c r="AB64" s="565"/>
      <c r="AC64" s="565"/>
      <c r="AD64" s="565"/>
      <c r="AE64" s="565"/>
      <c r="AF64" s="566">
        <f>SUM(AG64:AK64)</f>
        <v>65</v>
      </c>
      <c r="AG64" s="565">
        <v>10</v>
      </c>
      <c r="AH64" s="565"/>
      <c r="AI64" s="565"/>
      <c r="AJ64" s="565"/>
      <c r="AK64" s="565">
        <v>55</v>
      </c>
      <c r="AL64" s="566">
        <f>SUM(AM64:AQ64)</f>
        <v>0</v>
      </c>
      <c r="AM64" s="565"/>
      <c r="AN64" s="565"/>
      <c r="AO64" s="565"/>
      <c r="AP64" s="565"/>
      <c r="AQ64" s="565"/>
      <c r="AR64" s="566">
        <f>SUM(AS64:AW64)</f>
        <v>0</v>
      </c>
      <c r="AS64" s="565"/>
      <c r="AT64" s="565"/>
      <c r="AU64" s="565"/>
      <c r="AV64" s="565"/>
      <c r="AW64" s="565"/>
      <c r="AX64" s="511"/>
      <c r="AY64" s="397">
        <f t="shared" si="97"/>
        <v>0</v>
      </c>
      <c r="AZ64" s="195"/>
      <c r="BA64" s="195"/>
      <c r="BB64" s="195"/>
      <c r="BC64" s="195"/>
      <c r="BD64" s="195"/>
      <c r="BE64" s="195"/>
      <c r="BF64" s="195"/>
      <c r="BG64" s="198"/>
      <c r="BH64" s="405" t="str">
        <f>'Учебный план'!BZ82</f>
        <v>64-9</v>
      </c>
      <c r="BI64" s="495" t="str">
        <f>'Учебный план'!CA82</f>
        <v>ОК 1-10; ПК 3.1 - 3.2</v>
      </c>
    </row>
    <row r="65" spans="1:62" s="237" customFormat="1">
      <c r="A65" s="523">
        <f>'Учебный план'!A83</f>
        <v>0</v>
      </c>
      <c r="B65" s="509" t="str">
        <f>'Учебный план'!B83</f>
        <v>Технология перевозок</v>
      </c>
      <c r="C65" s="219"/>
      <c r="D65" s="405"/>
      <c r="E65" s="405" t="s">
        <v>40</v>
      </c>
      <c r="F65" s="405"/>
      <c r="G65" s="405" t="s">
        <v>40</v>
      </c>
      <c r="H65" s="99" t="s">
        <v>40</v>
      </c>
      <c r="I65" s="195">
        <f t="shared" si="98"/>
        <v>0</v>
      </c>
      <c r="J65" s="405">
        <f t="shared" si="99"/>
        <v>19.8</v>
      </c>
      <c r="K65" s="195">
        <f>'Учебный план'!K83</f>
        <v>98</v>
      </c>
      <c r="L65" s="195">
        <f>'Учебный план'!L83</f>
        <v>66</v>
      </c>
      <c r="M65" s="510">
        <f>SUM(N65+S65)</f>
        <v>98</v>
      </c>
      <c r="N65" s="510">
        <f>SUM(O65:R65)</f>
        <v>28</v>
      </c>
      <c r="O65" s="510">
        <f t="shared" si="100"/>
        <v>6</v>
      </c>
      <c r="P65" s="510">
        <f t="shared" si="100"/>
        <v>0</v>
      </c>
      <c r="Q65" s="510">
        <f t="shared" si="100"/>
        <v>22</v>
      </c>
      <c r="R65" s="510">
        <f t="shared" si="100"/>
        <v>0</v>
      </c>
      <c r="S65" s="510">
        <f>Y65+AK65+AQ65+AW65+BF65+AE65</f>
        <v>70</v>
      </c>
      <c r="T65" s="397">
        <f>SUM(U65:Y65)</f>
        <v>0</v>
      </c>
      <c r="U65" s="565"/>
      <c r="V65" s="565"/>
      <c r="W65" s="565"/>
      <c r="X65" s="565"/>
      <c r="Y65" s="565"/>
      <c r="Z65" s="566">
        <f>SUM(AA65:AE65)</f>
        <v>0</v>
      </c>
      <c r="AA65" s="565"/>
      <c r="AB65" s="565"/>
      <c r="AC65" s="565"/>
      <c r="AD65" s="565"/>
      <c r="AE65" s="565"/>
      <c r="AF65" s="566">
        <f>SUM(AG65:AK65)</f>
        <v>0</v>
      </c>
      <c r="AG65" s="565"/>
      <c r="AH65" s="565"/>
      <c r="AI65" s="565"/>
      <c r="AJ65" s="565"/>
      <c r="AK65" s="565"/>
      <c r="AL65" s="566">
        <f>SUM(AM65:AQ65)</f>
        <v>98</v>
      </c>
      <c r="AM65" s="565">
        <v>6</v>
      </c>
      <c r="AN65" s="565"/>
      <c r="AO65" s="565">
        <v>22</v>
      </c>
      <c r="AP65" s="565"/>
      <c r="AQ65" s="565">
        <v>70</v>
      </c>
      <c r="AR65" s="566">
        <f>SUM(AS65:AW65)</f>
        <v>0</v>
      </c>
      <c r="AS65" s="565"/>
      <c r="AT65" s="565"/>
      <c r="AU65" s="565"/>
      <c r="AV65" s="565"/>
      <c r="AW65" s="565"/>
      <c r="AX65" s="511"/>
      <c r="AY65" s="397">
        <f t="shared" si="97"/>
        <v>0</v>
      </c>
      <c r="AZ65" s="195"/>
      <c r="BA65" s="195"/>
      <c r="BB65" s="195"/>
      <c r="BC65" s="195"/>
      <c r="BD65" s="195"/>
      <c r="BE65" s="195"/>
      <c r="BF65" s="195"/>
      <c r="BG65" s="198"/>
      <c r="BH65" s="405" t="str">
        <f>'Учебный план'!BZ83</f>
        <v>64-9</v>
      </c>
      <c r="BI65" s="495" t="str">
        <f>'Учебный план'!CA83</f>
        <v>ОК 1-10; ПК 3.1 - 3.2</v>
      </c>
    </row>
    <row r="66" spans="1:62" s="237" customFormat="1">
      <c r="A66" s="830" t="str">
        <f>'Учебный план'!A84</f>
        <v xml:space="preserve"> Экзамен квалификационный</v>
      </c>
      <c r="B66" s="831"/>
      <c r="C66" s="520"/>
      <c r="D66" s="521" t="s">
        <v>40</v>
      </c>
      <c r="E66" s="521"/>
      <c r="F66" s="521"/>
      <c r="G66" s="521"/>
      <c r="H66" s="521"/>
      <c r="I66" s="497"/>
      <c r="J66" s="521"/>
      <c r="K66" s="497">
        <f>'Учебный план'!K84</f>
        <v>0</v>
      </c>
      <c r="L66" s="497">
        <f>'Учебный план'!L84</f>
        <v>0</v>
      </c>
      <c r="M66" s="419"/>
      <c r="N66" s="419"/>
      <c r="O66" s="419"/>
      <c r="P66" s="419"/>
      <c r="Q66" s="419"/>
      <c r="R66" s="419"/>
      <c r="S66" s="419"/>
      <c r="T66" s="419"/>
      <c r="U66" s="571"/>
      <c r="V66" s="571"/>
      <c r="W66" s="571"/>
      <c r="X66" s="571"/>
      <c r="Y66" s="571"/>
      <c r="Z66" s="572"/>
      <c r="AA66" s="571"/>
      <c r="AB66" s="571"/>
      <c r="AC66" s="571"/>
      <c r="AD66" s="571"/>
      <c r="AE66" s="571"/>
      <c r="AF66" s="572"/>
      <c r="AG66" s="571"/>
      <c r="AH66" s="571"/>
      <c r="AI66" s="571"/>
      <c r="AJ66" s="571"/>
      <c r="AK66" s="571"/>
      <c r="AL66" s="572"/>
      <c r="AM66" s="571"/>
      <c r="AN66" s="571"/>
      <c r="AO66" s="571"/>
      <c r="AP66" s="571"/>
      <c r="AQ66" s="571"/>
      <c r="AR66" s="572"/>
      <c r="AS66" s="571"/>
      <c r="AT66" s="571"/>
      <c r="AU66" s="571"/>
      <c r="AV66" s="571"/>
      <c r="AW66" s="571"/>
      <c r="AX66" s="497"/>
      <c r="AY66" s="419"/>
      <c r="AZ66" s="497"/>
      <c r="BA66" s="497"/>
      <c r="BB66" s="497"/>
      <c r="BC66" s="497"/>
      <c r="BD66" s="497"/>
      <c r="BE66" s="497"/>
      <c r="BF66" s="497"/>
      <c r="BG66" s="497"/>
      <c r="BH66" s="521">
        <f>'Учебный план'!BZ84</f>
        <v>0</v>
      </c>
      <c r="BI66" s="522">
        <f>'Учебный план'!CA84</f>
        <v>0</v>
      </c>
    </row>
    <row r="67" spans="1:62" s="240" customFormat="1" ht="29.25" customHeight="1">
      <c r="A67" s="498" t="str">
        <f>'Учебный план'!A85</f>
        <v>ПМ.04</v>
      </c>
      <c r="B67" s="828" t="str">
        <f>'Учебный план'!B85</f>
        <v>Анализ эффективности работы судна</v>
      </c>
      <c r="C67" s="828"/>
      <c r="D67" s="828"/>
      <c r="E67" s="828"/>
      <c r="F67" s="828"/>
      <c r="G67" s="828"/>
      <c r="H67" s="828"/>
      <c r="I67" s="398"/>
      <c r="J67" s="518"/>
      <c r="K67" s="398">
        <f>'Учебный план'!K85</f>
        <v>89</v>
      </c>
      <c r="L67" s="398">
        <f>'Учебный план'!L85</f>
        <v>60</v>
      </c>
      <c r="M67" s="398">
        <f>M68</f>
        <v>89</v>
      </c>
      <c r="N67" s="398">
        <f t="shared" ref="N67:S67" si="101">N68</f>
        <v>12</v>
      </c>
      <c r="O67" s="398">
        <f t="shared" si="101"/>
        <v>12</v>
      </c>
      <c r="P67" s="398">
        <f t="shared" si="101"/>
        <v>0</v>
      </c>
      <c r="Q67" s="398">
        <f t="shared" si="101"/>
        <v>0</v>
      </c>
      <c r="R67" s="398">
        <f t="shared" si="101"/>
        <v>0</v>
      </c>
      <c r="S67" s="398">
        <f t="shared" si="101"/>
        <v>77</v>
      </c>
      <c r="T67" s="398">
        <f>T68</f>
        <v>0</v>
      </c>
      <c r="U67" s="569">
        <f t="shared" ref="U67:Y67" si="102">U68</f>
        <v>0</v>
      </c>
      <c r="V67" s="569">
        <f t="shared" si="102"/>
        <v>0</v>
      </c>
      <c r="W67" s="569">
        <f t="shared" si="102"/>
        <v>0</v>
      </c>
      <c r="X67" s="569">
        <f t="shared" si="102"/>
        <v>0</v>
      </c>
      <c r="Y67" s="569">
        <f t="shared" si="102"/>
        <v>0</v>
      </c>
      <c r="Z67" s="569">
        <f>Z68</f>
        <v>0</v>
      </c>
      <c r="AA67" s="569">
        <f t="shared" ref="AA67:AE67" si="103">AA68</f>
        <v>0</v>
      </c>
      <c r="AB67" s="569">
        <f t="shared" si="103"/>
        <v>0</v>
      </c>
      <c r="AC67" s="569">
        <f t="shared" si="103"/>
        <v>0</v>
      </c>
      <c r="AD67" s="569">
        <f t="shared" si="103"/>
        <v>0</v>
      </c>
      <c r="AE67" s="569">
        <f t="shared" si="103"/>
        <v>0</v>
      </c>
      <c r="AF67" s="569">
        <f>AF68</f>
        <v>0</v>
      </c>
      <c r="AG67" s="569">
        <f t="shared" ref="AG67:AK67" si="104">AG68</f>
        <v>0</v>
      </c>
      <c r="AH67" s="569">
        <f t="shared" si="104"/>
        <v>0</v>
      </c>
      <c r="AI67" s="569">
        <f t="shared" si="104"/>
        <v>0</v>
      </c>
      <c r="AJ67" s="569">
        <f t="shared" si="104"/>
        <v>0</v>
      </c>
      <c r="AK67" s="569">
        <f t="shared" si="104"/>
        <v>0</v>
      </c>
      <c r="AL67" s="569">
        <f>AL68</f>
        <v>89</v>
      </c>
      <c r="AM67" s="569">
        <f t="shared" ref="AM67:AQ67" si="105">AM68</f>
        <v>12</v>
      </c>
      <c r="AN67" s="569">
        <f t="shared" si="105"/>
        <v>0</v>
      </c>
      <c r="AO67" s="569">
        <f t="shared" si="105"/>
        <v>0</v>
      </c>
      <c r="AP67" s="569">
        <f t="shared" si="105"/>
        <v>0</v>
      </c>
      <c r="AQ67" s="569">
        <f t="shared" si="105"/>
        <v>77</v>
      </c>
      <c r="AR67" s="569">
        <f>AR68</f>
        <v>0</v>
      </c>
      <c r="AS67" s="569">
        <f t="shared" ref="AS67:AW67" si="106">AS68</f>
        <v>0</v>
      </c>
      <c r="AT67" s="569">
        <f t="shared" si="106"/>
        <v>0</v>
      </c>
      <c r="AU67" s="569">
        <f t="shared" si="106"/>
        <v>0</v>
      </c>
      <c r="AV67" s="569">
        <f t="shared" si="106"/>
        <v>0</v>
      </c>
      <c r="AW67" s="569">
        <f t="shared" si="106"/>
        <v>0</v>
      </c>
      <c r="AX67" s="398"/>
      <c r="AY67" s="398">
        <f>AY68</f>
        <v>0</v>
      </c>
      <c r="AZ67" s="398">
        <f t="shared" ref="AZ67:BF67" si="107">AZ68</f>
        <v>0</v>
      </c>
      <c r="BA67" s="398">
        <f t="shared" si="107"/>
        <v>0</v>
      </c>
      <c r="BB67" s="398">
        <f t="shared" si="107"/>
        <v>0</v>
      </c>
      <c r="BC67" s="398">
        <f t="shared" si="107"/>
        <v>0</v>
      </c>
      <c r="BD67" s="398">
        <f t="shared" si="107"/>
        <v>0</v>
      </c>
      <c r="BE67" s="398">
        <f t="shared" si="107"/>
        <v>0</v>
      </c>
      <c r="BF67" s="398">
        <f t="shared" si="107"/>
        <v>0</v>
      </c>
      <c r="BG67" s="398"/>
      <c r="BH67" s="525">
        <f>'Учебный план'!BZ85</f>
        <v>0</v>
      </c>
      <c r="BI67" s="525" t="str">
        <f>'Учебный план'!CA85</f>
        <v>ОК 1-10; ПК 4.1 - 4.3</v>
      </c>
    </row>
    <row r="68" spans="1:62" s="237" customFormat="1" ht="51">
      <c r="A68" s="584" t="str">
        <f>'Учебный план'!A86</f>
        <v>МДК.04.01</v>
      </c>
      <c r="B68" s="584" t="str">
        <f>'Учебный план'!B86</f>
        <v>Основы анализа эффективности работы судна с применением информационных технологий</v>
      </c>
      <c r="C68" s="585"/>
      <c r="D68" s="579"/>
      <c r="E68" s="579" t="s">
        <v>40</v>
      </c>
      <c r="F68" s="579"/>
      <c r="G68" s="579"/>
      <c r="H68" s="589" t="s">
        <v>40</v>
      </c>
      <c r="I68" s="581">
        <f>K68-M68</f>
        <v>0</v>
      </c>
      <c r="J68" s="579">
        <f t="shared" ref="J68" si="108">L68*$J$1</f>
        <v>18</v>
      </c>
      <c r="K68" s="581">
        <f>'Учебный план'!K86</f>
        <v>89</v>
      </c>
      <c r="L68" s="581">
        <f>'Учебный план'!L86</f>
        <v>60</v>
      </c>
      <c r="M68" s="580">
        <f>SUM(N68+S68)</f>
        <v>89</v>
      </c>
      <c r="N68" s="580">
        <f>SUM(O68:R68)</f>
        <v>12</v>
      </c>
      <c r="O68" s="580">
        <f>U68+AG68+AM68+AS68+AA68+BA68</f>
        <v>12</v>
      </c>
      <c r="P68" s="580">
        <f>V68+AH68+AN68+AT68+AB68+BB68</f>
        <v>0</v>
      </c>
      <c r="Q68" s="580">
        <f>W68+AI68+AO68+AU68+AC68+BC68</f>
        <v>0</v>
      </c>
      <c r="R68" s="580">
        <f>X68+AJ68+AP68+AV68+AD68+BD68</f>
        <v>0</v>
      </c>
      <c r="S68" s="580">
        <f>Y68+AK68+AQ68+AW68+BF68+AE68</f>
        <v>77</v>
      </c>
      <c r="T68" s="580">
        <f>SUM(U68:Y68)</f>
        <v>0</v>
      </c>
      <c r="U68" s="573"/>
      <c r="V68" s="573"/>
      <c r="W68" s="573"/>
      <c r="X68" s="573"/>
      <c r="Y68" s="573"/>
      <c r="Z68" s="570">
        <f>SUM(AA68:AE68)</f>
        <v>0</v>
      </c>
      <c r="AA68" s="573"/>
      <c r="AB68" s="573"/>
      <c r="AC68" s="573"/>
      <c r="AD68" s="573"/>
      <c r="AE68" s="573"/>
      <c r="AF68" s="570">
        <f>SUM(AG68:AK68)</f>
        <v>0</v>
      </c>
      <c r="AG68" s="573"/>
      <c r="AH68" s="573"/>
      <c r="AI68" s="573"/>
      <c r="AJ68" s="573"/>
      <c r="AK68" s="573"/>
      <c r="AL68" s="570">
        <f>SUM(AM68:AQ68)</f>
        <v>89</v>
      </c>
      <c r="AM68" s="573">
        <v>12</v>
      </c>
      <c r="AN68" s="573"/>
      <c r="AO68" s="573"/>
      <c r="AP68" s="573"/>
      <c r="AQ68" s="573">
        <v>77</v>
      </c>
      <c r="AR68" s="570">
        <f>SUM(AS68:AW68)</f>
        <v>0</v>
      </c>
      <c r="AS68" s="573"/>
      <c r="AT68" s="573"/>
      <c r="AU68" s="573"/>
      <c r="AV68" s="573"/>
      <c r="AW68" s="573"/>
      <c r="AX68" s="511"/>
      <c r="AY68" s="397">
        <f t="shared" ref="AY68" si="109">SUM(AZ68:BF68)</f>
        <v>0</v>
      </c>
      <c r="AZ68" s="195">
        <v>0</v>
      </c>
      <c r="BA68" s="195"/>
      <c r="BB68" s="195"/>
      <c r="BC68" s="195"/>
      <c r="BD68" s="195"/>
      <c r="BE68" s="195"/>
      <c r="BF68" s="195"/>
      <c r="BG68" s="198"/>
      <c r="BH68" s="579" t="str">
        <f>'Учебный план'!BZ86</f>
        <v>64-5</v>
      </c>
      <c r="BI68" s="579" t="str">
        <f>'Учебный план'!CA86</f>
        <v>ОК 1-10; ПК 4.1 - 4.3</v>
      </c>
    </row>
    <row r="69" spans="1:62" s="237" customFormat="1">
      <c r="A69" s="830" t="str">
        <f>'Учебный план'!A87</f>
        <v xml:space="preserve"> Экзамен квалификационный</v>
      </c>
      <c r="B69" s="831"/>
      <c r="C69" s="520"/>
      <c r="D69" s="521" t="s">
        <v>40</v>
      </c>
      <c r="E69" s="521"/>
      <c r="F69" s="521"/>
      <c r="G69" s="521"/>
      <c r="H69" s="521"/>
      <c r="I69" s="497"/>
      <c r="J69" s="521"/>
      <c r="K69" s="497">
        <f>'Учебный план'!K87</f>
        <v>0</v>
      </c>
      <c r="L69" s="497">
        <f>'Учебный план'!L87</f>
        <v>0</v>
      </c>
      <c r="M69" s="419"/>
      <c r="N69" s="419"/>
      <c r="O69" s="419"/>
      <c r="P69" s="419"/>
      <c r="Q69" s="419"/>
      <c r="R69" s="419"/>
      <c r="S69" s="419"/>
      <c r="T69" s="419"/>
      <c r="U69" s="571"/>
      <c r="V69" s="571"/>
      <c r="W69" s="571"/>
      <c r="X69" s="571"/>
      <c r="Y69" s="571"/>
      <c r="Z69" s="572"/>
      <c r="AA69" s="571"/>
      <c r="AB69" s="571"/>
      <c r="AC69" s="571"/>
      <c r="AD69" s="571"/>
      <c r="AE69" s="571"/>
      <c r="AF69" s="572"/>
      <c r="AG69" s="571"/>
      <c r="AH69" s="571"/>
      <c r="AI69" s="571"/>
      <c r="AJ69" s="571"/>
      <c r="AK69" s="571"/>
      <c r="AL69" s="572"/>
      <c r="AM69" s="571"/>
      <c r="AN69" s="571"/>
      <c r="AO69" s="571"/>
      <c r="AP69" s="571"/>
      <c r="AQ69" s="571"/>
      <c r="AR69" s="572"/>
      <c r="AS69" s="571"/>
      <c r="AT69" s="571"/>
      <c r="AU69" s="571"/>
      <c r="AV69" s="571"/>
      <c r="AW69" s="571"/>
      <c r="AX69" s="497"/>
      <c r="AY69" s="419"/>
      <c r="AZ69" s="497"/>
      <c r="BA69" s="497"/>
      <c r="BB69" s="497"/>
      <c r="BC69" s="497"/>
      <c r="BD69" s="497"/>
      <c r="BE69" s="497"/>
      <c r="BF69" s="497"/>
      <c r="BG69" s="497"/>
      <c r="BH69" s="521">
        <f>'Учебный план'!BZ87</f>
        <v>0</v>
      </c>
      <c r="BI69" s="521">
        <f>'Учебный план'!CA87</f>
        <v>0</v>
      </c>
    </row>
    <row r="70" spans="1:62" s="240" customFormat="1" ht="33" customHeight="1">
      <c r="A70" s="498" t="str">
        <f>'Учебный план'!A88</f>
        <v>ПМ 05</v>
      </c>
      <c r="B70" s="828" t="str">
        <f>'Учебный план'!B88</f>
        <v>Выполнение работ по одной или нескольким профессиям рабочих, должностям служащих</v>
      </c>
      <c r="C70" s="828"/>
      <c r="D70" s="828"/>
      <c r="E70" s="828"/>
      <c r="F70" s="828"/>
      <c r="G70" s="828"/>
      <c r="H70" s="828"/>
      <c r="I70" s="398"/>
      <c r="J70" s="518"/>
      <c r="K70" s="398">
        <f>'Учебный план'!K88</f>
        <v>102</v>
      </c>
      <c r="L70" s="398">
        <f>'Учебный план'!L88</f>
        <v>68</v>
      </c>
      <c r="M70" s="398">
        <f t="shared" ref="M70:S70" si="110" xml:space="preserve"> SUM(M71:M71)</f>
        <v>102</v>
      </c>
      <c r="N70" s="398">
        <f t="shared" si="110"/>
        <v>16</v>
      </c>
      <c r="O70" s="398">
        <f t="shared" si="110"/>
        <v>16</v>
      </c>
      <c r="P70" s="398">
        <f t="shared" si="110"/>
        <v>0</v>
      </c>
      <c r="Q70" s="398">
        <f t="shared" si="110"/>
        <v>0</v>
      </c>
      <c r="R70" s="398">
        <f t="shared" si="110"/>
        <v>0</v>
      </c>
      <c r="S70" s="398">
        <f t="shared" si="110"/>
        <v>86</v>
      </c>
      <c r="T70" s="398">
        <f xml:space="preserve"> SUM(T71:T71)</f>
        <v>0</v>
      </c>
      <c r="U70" s="569">
        <f t="shared" ref="U70:AW70" si="111" xml:space="preserve"> SUM(U71:U71)</f>
        <v>0</v>
      </c>
      <c r="V70" s="569">
        <f t="shared" si="111"/>
        <v>0</v>
      </c>
      <c r="W70" s="569">
        <f t="shared" si="111"/>
        <v>0</v>
      </c>
      <c r="X70" s="569">
        <f t="shared" si="111"/>
        <v>0</v>
      </c>
      <c r="Y70" s="569">
        <f t="shared" si="111"/>
        <v>0</v>
      </c>
      <c r="Z70" s="569">
        <f t="shared" si="111"/>
        <v>102</v>
      </c>
      <c r="AA70" s="569">
        <f t="shared" si="111"/>
        <v>16</v>
      </c>
      <c r="AB70" s="569">
        <f t="shared" si="111"/>
        <v>0</v>
      </c>
      <c r="AC70" s="569">
        <f t="shared" si="111"/>
        <v>0</v>
      </c>
      <c r="AD70" s="569">
        <f t="shared" si="111"/>
        <v>0</v>
      </c>
      <c r="AE70" s="569">
        <f t="shared" si="111"/>
        <v>86</v>
      </c>
      <c r="AF70" s="569">
        <f t="shared" si="111"/>
        <v>0</v>
      </c>
      <c r="AG70" s="569">
        <f xml:space="preserve"> SUM(AG71:AG71)</f>
        <v>0</v>
      </c>
      <c r="AH70" s="569">
        <f t="shared" si="111"/>
        <v>0</v>
      </c>
      <c r="AI70" s="569">
        <f t="shared" si="111"/>
        <v>0</v>
      </c>
      <c r="AJ70" s="569">
        <f t="shared" si="111"/>
        <v>0</v>
      </c>
      <c r="AK70" s="569">
        <f t="shared" si="111"/>
        <v>0</v>
      </c>
      <c r="AL70" s="569">
        <f t="shared" si="111"/>
        <v>0</v>
      </c>
      <c r="AM70" s="569">
        <f t="shared" si="111"/>
        <v>0</v>
      </c>
      <c r="AN70" s="569">
        <f t="shared" si="111"/>
        <v>0</v>
      </c>
      <c r="AO70" s="569">
        <f t="shared" si="111"/>
        <v>0</v>
      </c>
      <c r="AP70" s="569">
        <f t="shared" si="111"/>
        <v>0</v>
      </c>
      <c r="AQ70" s="569">
        <f t="shared" si="111"/>
        <v>0</v>
      </c>
      <c r="AR70" s="569">
        <f t="shared" si="111"/>
        <v>0</v>
      </c>
      <c r="AS70" s="569">
        <f t="shared" si="111"/>
        <v>0</v>
      </c>
      <c r="AT70" s="569">
        <f t="shared" si="111"/>
        <v>0</v>
      </c>
      <c r="AU70" s="569">
        <f t="shared" si="111"/>
        <v>0</v>
      </c>
      <c r="AV70" s="569">
        <f t="shared" si="111"/>
        <v>0</v>
      </c>
      <c r="AW70" s="569">
        <f t="shared" si="111"/>
        <v>0</v>
      </c>
      <c r="AX70" s="398"/>
      <c r="AY70" s="398">
        <f t="shared" ref="AY70:BF70" si="112" xml:space="preserve"> SUM(AY71:AY71)</f>
        <v>0</v>
      </c>
      <c r="AZ70" s="398">
        <f t="shared" si="112"/>
        <v>0</v>
      </c>
      <c r="BA70" s="398">
        <f t="shared" si="112"/>
        <v>0</v>
      </c>
      <c r="BB70" s="398">
        <f t="shared" si="112"/>
        <v>0</v>
      </c>
      <c r="BC70" s="398">
        <f t="shared" si="112"/>
        <v>0</v>
      </c>
      <c r="BD70" s="398">
        <f t="shared" si="112"/>
        <v>0</v>
      </c>
      <c r="BE70" s="398">
        <f t="shared" si="112"/>
        <v>0</v>
      </c>
      <c r="BF70" s="398">
        <f t="shared" si="112"/>
        <v>0</v>
      </c>
      <c r="BG70" s="180"/>
      <c r="BH70" s="525">
        <f>'Учебный план'!BZ88</f>
        <v>0</v>
      </c>
      <c r="BI70" s="525">
        <f>'Учебный план'!CA88</f>
        <v>0</v>
      </c>
      <c r="BJ70" s="326"/>
    </row>
    <row r="71" spans="1:62" s="237" customFormat="1" ht="18" customHeight="1">
      <c r="A71" s="509">
        <f>'Учебный план'!A89</f>
        <v>0</v>
      </c>
      <c r="B71" s="509" t="str">
        <f>'Учебный план'!B89</f>
        <v>Матрос</v>
      </c>
      <c r="C71" s="219"/>
      <c r="D71" s="405"/>
      <c r="E71" s="405" t="s">
        <v>31</v>
      </c>
      <c r="F71" s="405"/>
      <c r="G71" s="405"/>
      <c r="H71" s="405"/>
      <c r="I71" s="195">
        <f>K71-M71</f>
        <v>0</v>
      </c>
      <c r="J71" s="405">
        <f>L71*$J$1</f>
        <v>20.399999999999999</v>
      </c>
      <c r="K71" s="195">
        <f>'Учебный план'!K89</f>
        <v>102</v>
      </c>
      <c r="L71" s="195">
        <f>'Учебный план'!L89</f>
        <v>68</v>
      </c>
      <c r="M71" s="510">
        <f>SUM(N71+S71)</f>
        <v>102</v>
      </c>
      <c r="N71" s="510">
        <f>SUM(O71:R71)</f>
        <v>16</v>
      </c>
      <c r="O71" s="510">
        <f>U71+AG71+AM71+AS71+AA71+BA71</f>
        <v>16</v>
      </c>
      <c r="P71" s="510">
        <f>V71+AH71+AN71+AT71+AB71+BB71</f>
        <v>0</v>
      </c>
      <c r="Q71" s="510">
        <f>W71+AI71+AO71+AU71+AC71+BC71</f>
        <v>0</v>
      </c>
      <c r="R71" s="510">
        <f>X71+AJ71+AP71+AV71+AD71+BD71</f>
        <v>0</v>
      </c>
      <c r="S71" s="510">
        <f>Y71+AK71+AQ71+AW71+BF71+AE71</f>
        <v>86</v>
      </c>
      <c r="T71" s="397">
        <f>SUM(U71:Y71)</f>
        <v>0</v>
      </c>
      <c r="U71" s="565"/>
      <c r="V71" s="565"/>
      <c r="W71" s="565"/>
      <c r="X71" s="565"/>
      <c r="Y71" s="565"/>
      <c r="Z71" s="566">
        <f>SUM(AA71:AE71)</f>
        <v>102</v>
      </c>
      <c r="AA71" s="565">
        <v>16</v>
      </c>
      <c r="AB71" s="565"/>
      <c r="AC71" s="565"/>
      <c r="AD71" s="565"/>
      <c r="AE71" s="565">
        <v>86</v>
      </c>
      <c r="AF71" s="566">
        <f>SUM(AG71:AK71)</f>
        <v>0</v>
      </c>
      <c r="AG71" s="565"/>
      <c r="AH71" s="565"/>
      <c r="AI71" s="565"/>
      <c r="AJ71" s="565"/>
      <c r="AK71" s="565"/>
      <c r="AL71" s="566">
        <f>SUM(AM71:AQ71)</f>
        <v>0</v>
      </c>
      <c r="AM71" s="565"/>
      <c r="AN71" s="565"/>
      <c r="AO71" s="565"/>
      <c r="AP71" s="565"/>
      <c r="AQ71" s="565"/>
      <c r="AR71" s="566">
        <f>SUM(AS71:AW71)</f>
        <v>0</v>
      </c>
      <c r="AS71" s="565"/>
      <c r="AT71" s="565"/>
      <c r="AU71" s="565"/>
      <c r="AV71" s="565"/>
      <c r="AW71" s="565"/>
      <c r="AX71" s="511"/>
      <c r="AY71" s="397">
        <f t="shared" ref="AY71" si="113">SUM(AZ71:BF71)</f>
        <v>0</v>
      </c>
      <c r="AZ71" s="195"/>
      <c r="BA71" s="195"/>
      <c r="BB71" s="195"/>
      <c r="BC71" s="195"/>
      <c r="BD71" s="195"/>
      <c r="BE71" s="195"/>
      <c r="BF71" s="195"/>
      <c r="BG71" s="198"/>
      <c r="BH71" s="405" t="str">
        <f>'Учебный план'!BZ89</f>
        <v>64-5</v>
      </c>
      <c r="BI71" s="495" t="str">
        <f>'Учебный план'!CA89</f>
        <v>ОК-1-10</v>
      </c>
    </row>
    <row r="72" spans="1:62" s="237" customFormat="1" ht="14.25" customHeight="1">
      <c r="A72" s="830" t="str">
        <f>'Учебный план'!A90</f>
        <v xml:space="preserve"> Экзамен квалификационный</v>
      </c>
      <c r="B72" s="831"/>
      <c r="C72" s="520"/>
      <c r="D72" s="521" t="s">
        <v>30</v>
      </c>
      <c r="E72" s="521"/>
      <c r="F72" s="521"/>
      <c r="G72" s="521"/>
      <c r="H72" s="521"/>
      <c r="I72" s="497"/>
      <c r="J72" s="521"/>
      <c r="K72" s="497">
        <f>'Учебный план'!K90</f>
        <v>0</v>
      </c>
      <c r="L72" s="497">
        <f>'Учебный план'!L90</f>
        <v>0</v>
      </c>
      <c r="M72" s="419"/>
      <c r="N72" s="419"/>
      <c r="O72" s="419"/>
      <c r="P72" s="419"/>
      <c r="Q72" s="419"/>
      <c r="R72" s="419"/>
      <c r="S72" s="419"/>
      <c r="T72" s="419"/>
      <c r="U72" s="571"/>
      <c r="V72" s="571"/>
      <c r="W72" s="571"/>
      <c r="X72" s="571"/>
      <c r="Y72" s="571"/>
      <c r="Z72" s="572"/>
      <c r="AA72" s="571"/>
      <c r="AB72" s="571"/>
      <c r="AC72" s="571"/>
      <c r="AD72" s="571"/>
      <c r="AE72" s="571"/>
      <c r="AF72" s="572"/>
      <c r="AG72" s="571"/>
      <c r="AH72" s="571"/>
      <c r="AI72" s="571"/>
      <c r="AJ72" s="571"/>
      <c r="AK72" s="571"/>
      <c r="AL72" s="572"/>
      <c r="AM72" s="571"/>
      <c r="AN72" s="571"/>
      <c r="AO72" s="571"/>
      <c r="AP72" s="571"/>
      <c r="AQ72" s="571"/>
      <c r="AR72" s="572"/>
      <c r="AS72" s="571"/>
      <c r="AT72" s="571"/>
      <c r="AU72" s="571"/>
      <c r="AV72" s="571"/>
      <c r="AW72" s="571"/>
      <c r="AX72" s="497"/>
      <c r="AY72" s="419"/>
      <c r="AZ72" s="497"/>
      <c r="BA72" s="497"/>
      <c r="BB72" s="497"/>
      <c r="BC72" s="497"/>
      <c r="BD72" s="497"/>
      <c r="BE72" s="497"/>
      <c r="BF72" s="497"/>
      <c r="BG72" s="497"/>
      <c r="BH72" s="521">
        <f>'Учебный план'!BZ90</f>
        <v>0</v>
      </c>
      <c r="BI72" s="522">
        <f>'Учебный план'!CA90</f>
        <v>0</v>
      </c>
    </row>
    <row r="73" spans="1:62" s="240" customFormat="1" ht="26.25" customHeight="1">
      <c r="A73" s="526" t="str">
        <f>'Учебный план'!A91</f>
        <v>ВЧ.00</v>
      </c>
      <c r="B73" s="827" t="str">
        <f>'Учебный план'!B91</f>
        <v>Вариативная часть циклов ППССЗ</v>
      </c>
      <c r="C73" s="827"/>
      <c r="D73" s="827"/>
      <c r="E73" s="827"/>
      <c r="F73" s="827"/>
      <c r="G73" s="827"/>
      <c r="H73" s="827"/>
      <c r="I73" s="499"/>
      <c r="J73" s="527"/>
      <c r="K73" s="499">
        <f>'Учебный план'!K91</f>
        <v>225</v>
      </c>
      <c r="L73" s="499">
        <f>'Учебный план'!L91</f>
        <v>150</v>
      </c>
      <c r="M73" s="499">
        <f>SUM(M74:M75)</f>
        <v>225</v>
      </c>
      <c r="N73" s="499">
        <f t="shared" ref="N73:S73" si="114">SUM(N74:N75)</f>
        <v>30</v>
      </c>
      <c r="O73" s="499">
        <f t="shared" si="114"/>
        <v>18</v>
      </c>
      <c r="P73" s="499">
        <f t="shared" si="114"/>
        <v>12</v>
      </c>
      <c r="Q73" s="499">
        <f t="shared" si="114"/>
        <v>0</v>
      </c>
      <c r="R73" s="499">
        <f t="shared" si="114"/>
        <v>0</v>
      </c>
      <c r="S73" s="499">
        <f t="shared" si="114"/>
        <v>195</v>
      </c>
      <c r="T73" s="499">
        <f xml:space="preserve"> SUM(T74:T75)</f>
        <v>0</v>
      </c>
      <c r="U73" s="574">
        <f xml:space="preserve"> SUM(U74:U75)</f>
        <v>0</v>
      </c>
      <c r="V73" s="574">
        <f t="shared" ref="V73:Y73" si="115" xml:space="preserve"> SUM(V74:V75)</f>
        <v>0</v>
      </c>
      <c r="W73" s="574">
        <f t="shared" si="115"/>
        <v>0</v>
      </c>
      <c r="X73" s="574">
        <f t="shared" si="115"/>
        <v>0</v>
      </c>
      <c r="Y73" s="574">
        <f t="shared" si="115"/>
        <v>0</v>
      </c>
      <c r="Z73" s="574">
        <f xml:space="preserve"> SUM(Z74:Z75)</f>
        <v>150</v>
      </c>
      <c r="AA73" s="574">
        <f xml:space="preserve"> SUM(AA74:AA75)</f>
        <v>18</v>
      </c>
      <c r="AB73" s="574">
        <f t="shared" ref="AB73:AE73" si="116" xml:space="preserve"> SUM(AB74:AB75)</f>
        <v>4</v>
      </c>
      <c r="AC73" s="574">
        <f t="shared" si="116"/>
        <v>0</v>
      </c>
      <c r="AD73" s="574">
        <f t="shared" si="116"/>
        <v>0</v>
      </c>
      <c r="AE73" s="574">
        <f t="shared" si="116"/>
        <v>128</v>
      </c>
      <c r="AF73" s="574">
        <f xml:space="preserve"> SUM(AF74:AF75)</f>
        <v>0</v>
      </c>
      <c r="AG73" s="574">
        <f xml:space="preserve"> SUM(AG74:AG75)</f>
        <v>0</v>
      </c>
      <c r="AH73" s="574">
        <f t="shared" ref="AH73:AK73" si="117" xml:space="preserve"> SUM(AH74:AH75)</f>
        <v>0</v>
      </c>
      <c r="AI73" s="574">
        <f t="shared" si="117"/>
        <v>0</v>
      </c>
      <c r="AJ73" s="574">
        <f t="shared" si="117"/>
        <v>0</v>
      </c>
      <c r="AK73" s="574">
        <f t="shared" si="117"/>
        <v>0</v>
      </c>
      <c r="AL73" s="574">
        <f xml:space="preserve"> SUM(AL74:AL75)</f>
        <v>75</v>
      </c>
      <c r="AM73" s="574">
        <f xml:space="preserve"> SUM(AM74:AM75)</f>
        <v>0</v>
      </c>
      <c r="AN73" s="574">
        <f t="shared" ref="AN73:AQ73" si="118" xml:space="preserve"> SUM(AN74:AN75)</f>
        <v>8</v>
      </c>
      <c r="AO73" s="574">
        <f t="shared" si="118"/>
        <v>0</v>
      </c>
      <c r="AP73" s="574">
        <f t="shared" si="118"/>
        <v>0</v>
      </c>
      <c r="AQ73" s="574">
        <f t="shared" si="118"/>
        <v>67</v>
      </c>
      <c r="AR73" s="574">
        <f xml:space="preserve"> SUM(AR74:AR75)</f>
        <v>0</v>
      </c>
      <c r="AS73" s="574">
        <f xml:space="preserve"> SUM(AS74:AS75)</f>
        <v>0</v>
      </c>
      <c r="AT73" s="574">
        <f t="shared" ref="AT73:AW73" si="119" xml:space="preserve"> SUM(AT74:AT75)</f>
        <v>0</v>
      </c>
      <c r="AU73" s="574">
        <f t="shared" si="119"/>
        <v>0</v>
      </c>
      <c r="AV73" s="574">
        <f t="shared" si="119"/>
        <v>0</v>
      </c>
      <c r="AW73" s="574">
        <f t="shared" si="119"/>
        <v>0</v>
      </c>
      <c r="AX73" s="499" t="e">
        <f>SUM(#REF!)</f>
        <v>#REF!</v>
      </c>
      <c r="AY73" s="499"/>
      <c r="AZ73" s="499"/>
      <c r="BA73" s="499"/>
      <c r="BB73" s="499"/>
      <c r="BC73" s="499"/>
      <c r="BD73" s="499"/>
      <c r="BE73" s="499"/>
      <c r="BF73" s="499"/>
      <c r="BG73" s="499"/>
      <c r="BH73" s="527">
        <f>'Учебный план'!BZ91</f>
        <v>0</v>
      </c>
      <c r="BI73" s="528">
        <f>'Учебный план'!CA91</f>
        <v>0</v>
      </c>
    </row>
    <row r="74" spans="1:62" s="237" customFormat="1" ht="38.25">
      <c r="A74" s="529" t="str">
        <f>'Учебный план'!A92</f>
        <v>ВЧ.01</v>
      </c>
      <c r="B74" s="509" t="str">
        <f>'Учебный план'!B92</f>
        <v>Эксплуатация судовых энергетических установок на вспомогательном уровне</v>
      </c>
      <c r="C74" s="219"/>
      <c r="D74" s="405" t="s">
        <v>31</v>
      </c>
      <c r="E74" s="405"/>
      <c r="F74" s="405"/>
      <c r="G74" s="405"/>
      <c r="H74" s="99" t="s">
        <v>31</v>
      </c>
      <c r="I74" s="195">
        <f t="shared" ref="I74:I75" si="120">K74-M74</f>
        <v>0</v>
      </c>
      <c r="J74" s="405">
        <f t="shared" ref="J74" si="121">L74*$J$1</f>
        <v>30</v>
      </c>
      <c r="K74" s="195">
        <f>'Учебный план'!K92</f>
        <v>150</v>
      </c>
      <c r="L74" s="195">
        <f>'Учебный план'!L92</f>
        <v>100</v>
      </c>
      <c r="M74" s="510">
        <f>SUM(N74+S74)</f>
        <v>150</v>
      </c>
      <c r="N74" s="510">
        <f>SUM(O74:R74)</f>
        <v>22</v>
      </c>
      <c r="O74" s="510">
        <f t="shared" ref="O74:R75" si="122">U74+AG74+AM74+AS74+AA74+BA74</f>
        <v>18</v>
      </c>
      <c r="P74" s="510">
        <f t="shared" si="122"/>
        <v>4</v>
      </c>
      <c r="Q74" s="510">
        <f t="shared" si="122"/>
        <v>0</v>
      </c>
      <c r="R74" s="510">
        <f t="shared" si="122"/>
        <v>0</v>
      </c>
      <c r="S74" s="510">
        <f>Y74+AK74+AQ74+AW74+BF74+AE74</f>
        <v>128</v>
      </c>
      <c r="T74" s="397">
        <f>SUM(U74:Y74)</f>
        <v>0</v>
      </c>
      <c r="U74" s="565"/>
      <c r="V74" s="565"/>
      <c r="W74" s="565"/>
      <c r="X74" s="565"/>
      <c r="Y74" s="565"/>
      <c r="Z74" s="566">
        <f>SUM(AA74:AE74)</f>
        <v>150</v>
      </c>
      <c r="AA74" s="565">
        <v>18</v>
      </c>
      <c r="AB74" s="565">
        <v>4</v>
      </c>
      <c r="AC74" s="565"/>
      <c r="AD74" s="565"/>
      <c r="AE74" s="565">
        <v>128</v>
      </c>
      <c r="AF74" s="566">
        <f>SUM(AG74:AK74)</f>
        <v>0</v>
      </c>
      <c r="AG74" s="565"/>
      <c r="AH74" s="565"/>
      <c r="AI74" s="565"/>
      <c r="AJ74" s="565"/>
      <c r="AK74" s="565"/>
      <c r="AL74" s="566">
        <f>SUM(AM74:AQ74)</f>
        <v>0</v>
      </c>
      <c r="AM74" s="565"/>
      <c r="AN74" s="565"/>
      <c r="AO74" s="565"/>
      <c r="AP74" s="565"/>
      <c r="AQ74" s="565"/>
      <c r="AR74" s="566">
        <f>SUM(AS74:AW74)</f>
        <v>0</v>
      </c>
      <c r="AS74" s="565"/>
      <c r="AT74" s="565"/>
      <c r="AU74" s="565"/>
      <c r="AV74" s="565"/>
      <c r="AW74" s="565"/>
      <c r="AX74" s="511"/>
      <c r="AY74" s="397">
        <f t="shared" ref="AY74" si="123">SUM(AZ74:BF74)</f>
        <v>0</v>
      </c>
      <c r="AZ74" s="195"/>
      <c r="BA74" s="195"/>
      <c r="BB74" s="195"/>
      <c r="BC74" s="195"/>
      <c r="BD74" s="195"/>
      <c r="BE74" s="195"/>
      <c r="BF74" s="195"/>
      <c r="BG74" s="198"/>
      <c r="BH74" s="405" t="str">
        <f>'Учебный план'!BZ92</f>
        <v>64-5</v>
      </c>
      <c r="BI74" s="495" t="str">
        <f>'Учебный план'!CA92</f>
        <v>ОК 1-10, ПК-1.3</v>
      </c>
    </row>
    <row r="75" spans="1:62" s="240" customFormat="1" ht="25.5">
      <c r="A75" s="529" t="str">
        <f>'Учебный план'!A93</f>
        <v>ВЧ.02</v>
      </c>
      <c r="B75" s="509" t="str">
        <f>'Учебный план'!B93</f>
        <v>Профессиональный  английский язык</v>
      </c>
      <c r="C75" s="530"/>
      <c r="D75" s="105"/>
      <c r="E75" s="105" t="s">
        <v>40</v>
      </c>
      <c r="F75" s="105"/>
      <c r="G75" s="105"/>
      <c r="H75" s="105"/>
      <c r="I75" s="195">
        <f t="shared" si="120"/>
        <v>0</v>
      </c>
      <c r="J75" s="405">
        <f t="shared" ref="J75" si="124">L75*$J$1</f>
        <v>15</v>
      </c>
      <c r="K75" s="195">
        <f>'Учебный план'!K93</f>
        <v>75</v>
      </c>
      <c r="L75" s="195">
        <f>'Учебный план'!L93</f>
        <v>50</v>
      </c>
      <c r="M75" s="510">
        <f>SUM(N75+S75)</f>
        <v>75</v>
      </c>
      <c r="N75" s="510">
        <f>SUM(O75:R75)</f>
        <v>8</v>
      </c>
      <c r="O75" s="510">
        <f t="shared" si="122"/>
        <v>0</v>
      </c>
      <c r="P75" s="510">
        <f t="shared" si="122"/>
        <v>8</v>
      </c>
      <c r="Q75" s="510">
        <f t="shared" si="122"/>
        <v>0</v>
      </c>
      <c r="R75" s="510">
        <f t="shared" si="122"/>
        <v>0</v>
      </c>
      <c r="S75" s="510">
        <f>Y75+AK75+AQ75+AW75+BF75+AE75</f>
        <v>67</v>
      </c>
      <c r="T75" s="397">
        <f>SUM(U75:Y75)</f>
        <v>0</v>
      </c>
      <c r="U75" s="575"/>
      <c r="V75" s="575"/>
      <c r="W75" s="575"/>
      <c r="X75" s="575"/>
      <c r="Y75" s="575"/>
      <c r="Z75" s="566">
        <f>SUM(AA75:AE75)</f>
        <v>0</v>
      </c>
      <c r="AA75" s="575"/>
      <c r="AB75" s="575"/>
      <c r="AC75" s="575"/>
      <c r="AD75" s="575"/>
      <c r="AE75" s="575"/>
      <c r="AF75" s="566">
        <f>SUM(AG75:AK75)</f>
        <v>0</v>
      </c>
      <c r="AG75" s="575"/>
      <c r="AH75" s="575"/>
      <c r="AI75" s="575"/>
      <c r="AJ75" s="575"/>
      <c r="AK75" s="575"/>
      <c r="AL75" s="566">
        <f>SUM(AM75:AQ75)</f>
        <v>75</v>
      </c>
      <c r="AM75" s="575"/>
      <c r="AN75" s="575">
        <v>8</v>
      </c>
      <c r="AO75" s="575"/>
      <c r="AP75" s="575"/>
      <c r="AQ75" s="575">
        <v>67</v>
      </c>
      <c r="AR75" s="566">
        <f>SUM(AS75:AW75)</f>
        <v>0</v>
      </c>
      <c r="AS75" s="575"/>
      <c r="AT75" s="575"/>
      <c r="AU75" s="575"/>
      <c r="AV75" s="575"/>
      <c r="AW75" s="575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405" t="str">
        <f>'Учебный план'!BZ93</f>
        <v>64-1</v>
      </c>
      <c r="BI75" s="495" t="str">
        <f>'Учебный план'!CA93</f>
        <v>ОК 1-10; ПК 2,4, 2.6, 2,7</v>
      </c>
    </row>
    <row r="76" spans="1:62" s="240" customFormat="1" ht="25.5">
      <c r="A76" s="526" t="str">
        <f>'Учебный план'!A94</f>
        <v>УП.00</v>
      </c>
      <c r="B76" s="531" t="str">
        <f>'Учебный план'!B94</f>
        <v>Учебная практика</v>
      </c>
      <c r="C76" s="531"/>
      <c r="D76" s="527"/>
      <c r="E76" s="527" t="s">
        <v>31</v>
      </c>
      <c r="F76" s="527"/>
      <c r="G76" s="527"/>
      <c r="H76" s="527"/>
      <c r="I76" s="499"/>
      <c r="J76" s="527"/>
      <c r="K76" s="500">
        <f>'Учебный план'!K94</f>
        <v>324</v>
      </c>
      <c r="L76" s="500">
        <f>'Учебный план'!L94</f>
        <v>324</v>
      </c>
      <c r="M76" s="499">
        <f t="shared" ref="M76:AW76" si="125">SUM(M77:M80)</f>
        <v>324</v>
      </c>
      <c r="N76" s="499">
        <f t="shared" si="125"/>
        <v>324</v>
      </c>
      <c r="O76" s="499">
        <f t="shared" si="125"/>
        <v>0</v>
      </c>
      <c r="P76" s="499">
        <f t="shared" si="125"/>
        <v>0</v>
      </c>
      <c r="Q76" s="499">
        <f t="shared" si="125"/>
        <v>0</v>
      </c>
      <c r="R76" s="499">
        <f t="shared" si="125"/>
        <v>324</v>
      </c>
      <c r="S76" s="499">
        <f t="shared" si="125"/>
        <v>0</v>
      </c>
      <c r="T76" s="499">
        <f t="shared" si="125"/>
        <v>0</v>
      </c>
      <c r="U76" s="499">
        <f t="shared" si="125"/>
        <v>0</v>
      </c>
      <c r="V76" s="499">
        <f t="shared" si="125"/>
        <v>0</v>
      </c>
      <c r="W76" s="499">
        <f t="shared" si="125"/>
        <v>0</v>
      </c>
      <c r="X76" s="499">
        <f t="shared" si="125"/>
        <v>0</v>
      </c>
      <c r="Y76" s="499">
        <f t="shared" si="125"/>
        <v>0</v>
      </c>
      <c r="Z76" s="499">
        <f t="shared" ref="Z76:AE76" si="126">SUM(Z77:Z80)</f>
        <v>324</v>
      </c>
      <c r="AA76" s="499">
        <f t="shared" si="126"/>
        <v>0</v>
      </c>
      <c r="AB76" s="499">
        <f t="shared" si="126"/>
        <v>0</v>
      </c>
      <c r="AC76" s="499">
        <f t="shared" si="126"/>
        <v>0</v>
      </c>
      <c r="AD76" s="499">
        <f t="shared" si="126"/>
        <v>324</v>
      </c>
      <c r="AE76" s="499">
        <f t="shared" si="126"/>
        <v>0</v>
      </c>
      <c r="AF76" s="499">
        <f t="shared" si="125"/>
        <v>0</v>
      </c>
      <c r="AG76" s="499">
        <f t="shared" si="125"/>
        <v>0</v>
      </c>
      <c r="AH76" s="499">
        <f t="shared" si="125"/>
        <v>0</v>
      </c>
      <c r="AI76" s="499">
        <f t="shared" si="125"/>
        <v>0</v>
      </c>
      <c r="AJ76" s="499">
        <f t="shared" si="125"/>
        <v>0</v>
      </c>
      <c r="AK76" s="499">
        <f t="shared" si="125"/>
        <v>0</v>
      </c>
      <c r="AL76" s="499">
        <f t="shared" si="125"/>
        <v>0</v>
      </c>
      <c r="AM76" s="499">
        <f t="shared" si="125"/>
        <v>0</v>
      </c>
      <c r="AN76" s="499">
        <f t="shared" si="125"/>
        <v>0</v>
      </c>
      <c r="AO76" s="499">
        <f t="shared" si="125"/>
        <v>0</v>
      </c>
      <c r="AP76" s="499">
        <f t="shared" si="125"/>
        <v>0</v>
      </c>
      <c r="AQ76" s="499">
        <f t="shared" si="125"/>
        <v>0</v>
      </c>
      <c r="AR76" s="499">
        <f t="shared" si="125"/>
        <v>0</v>
      </c>
      <c r="AS76" s="499">
        <f t="shared" si="125"/>
        <v>0</v>
      </c>
      <c r="AT76" s="499">
        <f t="shared" si="125"/>
        <v>0</v>
      </c>
      <c r="AU76" s="499">
        <f t="shared" si="125"/>
        <v>0</v>
      </c>
      <c r="AV76" s="499">
        <f t="shared" si="125"/>
        <v>0</v>
      </c>
      <c r="AW76" s="499">
        <f t="shared" si="125"/>
        <v>0</v>
      </c>
      <c r="AX76" s="499">
        <f>SUM(AX77:AX81)</f>
        <v>0</v>
      </c>
      <c r="AY76" s="499">
        <f t="shared" ref="AY76:BF76" si="127">SUM(AY77:AY80)</f>
        <v>0</v>
      </c>
      <c r="AZ76" s="499">
        <f t="shared" si="127"/>
        <v>0</v>
      </c>
      <c r="BA76" s="499">
        <f t="shared" si="127"/>
        <v>0</v>
      </c>
      <c r="BB76" s="499">
        <f t="shared" si="127"/>
        <v>0</v>
      </c>
      <c r="BC76" s="499">
        <f t="shared" si="127"/>
        <v>0</v>
      </c>
      <c r="BD76" s="499">
        <f t="shared" si="127"/>
        <v>0</v>
      </c>
      <c r="BE76" s="499">
        <f t="shared" si="127"/>
        <v>0</v>
      </c>
      <c r="BF76" s="499">
        <f t="shared" si="127"/>
        <v>0</v>
      </c>
      <c r="BG76" s="499"/>
      <c r="BH76" s="532" t="str">
        <f>'Учебный план'!BZ94</f>
        <v>64-4, 64-5</v>
      </c>
      <c r="BI76" s="532" t="str">
        <f>'Учебный план'!CA94</f>
        <v>ОК 1-10; ПК 1.1-1.3, 2.1-2.7, 3.1-3.2</v>
      </c>
    </row>
    <row r="77" spans="1:62" s="236" customFormat="1" ht="25.5" hidden="1">
      <c r="A77" s="533" t="str">
        <f>'Учебный план'!A95</f>
        <v>УП.01</v>
      </c>
      <c r="B77" s="533" t="str">
        <f>'Учебный план'!B95</f>
        <v>Слесарная практика</v>
      </c>
      <c r="C77" s="219"/>
      <c r="D77" s="405"/>
      <c r="E77" s="405"/>
      <c r="F77" s="405"/>
      <c r="G77" s="405"/>
      <c r="H77" s="405"/>
      <c r="I77" s="195"/>
      <c r="J77" s="405"/>
      <c r="K77" s="500">
        <f>'Учебный план'!K95</f>
        <v>36</v>
      </c>
      <c r="L77" s="500">
        <f>'Учебный план'!L95</f>
        <v>36</v>
      </c>
      <c r="M77" s="510">
        <f>SUM(N77+S77)</f>
        <v>324</v>
      </c>
      <c r="N77" s="510">
        <f>SUM(O77:R77)</f>
        <v>324</v>
      </c>
      <c r="O77" s="510">
        <f t="shared" ref="O77:R80" si="128">U77+AG77+AM77+AS77+AA77+BA77</f>
        <v>0</v>
      </c>
      <c r="P77" s="510">
        <f t="shared" si="128"/>
        <v>0</v>
      </c>
      <c r="Q77" s="510">
        <f t="shared" si="128"/>
        <v>0</v>
      </c>
      <c r="R77" s="510">
        <f t="shared" si="128"/>
        <v>324</v>
      </c>
      <c r="S77" s="510">
        <f>Y77+AK77+AQ77+AW77+BF77+AE77</f>
        <v>0</v>
      </c>
      <c r="T77" s="397">
        <f>SUM(U77:Y77)</f>
        <v>0</v>
      </c>
      <c r="U77" s="195"/>
      <c r="V77" s="195"/>
      <c r="W77" s="195"/>
      <c r="X77" s="195"/>
      <c r="Y77" s="195"/>
      <c r="Z77" s="397">
        <f>SUM(AA77:AE77)</f>
        <v>324</v>
      </c>
      <c r="AA77" s="195"/>
      <c r="AB77" s="195"/>
      <c r="AC77" s="195"/>
      <c r="AD77" s="195">
        <v>324</v>
      </c>
      <c r="AE77" s="195"/>
      <c r="AF77" s="397">
        <f>SUM(AG77:AK77)</f>
        <v>0</v>
      </c>
      <c r="AG77" s="195"/>
      <c r="AH77" s="195"/>
      <c r="AI77" s="195"/>
      <c r="AJ77" s="195"/>
      <c r="AK77" s="195"/>
      <c r="AL77" s="397">
        <f>SUM(AM77:AQ77)</f>
        <v>0</v>
      </c>
      <c r="AM77" s="195"/>
      <c r="AN77" s="195"/>
      <c r="AO77" s="195"/>
      <c r="AP77" s="195"/>
      <c r="AQ77" s="195"/>
      <c r="AR77" s="397">
        <f>SUM(AS77:AW77)</f>
        <v>0</v>
      </c>
      <c r="AS77" s="195"/>
      <c r="AT77" s="195"/>
      <c r="AU77" s="195"/>
      <c r="AV77" s="195"/>
      <c r="AW77" s="195"/>
      <c r="AX77" s="511">
        <f>LEN(H77)-LEN(SUBSTITUTE(H77,"9",""))</f>
        <v>0</v>
      </c>
      <c r="AY77" s="397">
        <f t="shared" ref="AY77:AY80" si="129">SUM(AZ77:BF77)</f>
        <v>0</v>
      </c>
      <c r="AZ77" s="195"/>
      <c r="BA77" s="195"/>
      <c r="BB77" s="195"/>
      <c r="BC77" s="195"/>
      <c r="BD77" s="195"/>
      <c r="BE77" s="195"/>
      <c r="BF77" s="195"/>
      <c r="BG77" s="198"/>
      <c r="BH77" s="524" t="str">
        <f>'Учебный план'!BZ95</f>
        <v>64-5</v>
      </c>
      <c r="BI77" s="534" t="str">
        <f>'Учебный план'!CA95</f>
        <v>ОК 1-10; ПК 1.1-1.3, 2.1-2.7, 3.1-3.2</v>
      </c>
    </row>
    <row r="78" spans="1:62" s="236" customFormat="1" ht="25.5" hidden="1">
      <c r="A78" s="533" t="str">
        <f>'Учебный план'!A96</f>
        <v>УП.02</v>
      </c>
      <c r="B78" s="533" t="str">
        <f>'Учебный план'!B96</f>
        <v>Шлюпочно-такелажная практика</v>
      </c>
      <c r="C78" s="219"/>
      <c r="D78" s="405"/>
      <c r="E78" s="405"/>
      <c r="F78" s="405"/>
      <c r="G78" s="405"/>
      <c r="H78" s="405"/>
      <c r="I78" s="195"/>
      <c r="J78" s="405"/>
      <c r="K78" s="500">
        <f>'Учебный план'!K96</f>
        <v>72</v>
      </c>
      <c r="L78" s="500">
        <f>'Учебный план'!L96</f>
        <v>72</v>
      </c>
      <c r="M78" s="510">
        <f>SUM(N78+S78)</f>
        <v>0</v>
      </c>
      <c r="N78" s="510">
        <f>SUM(O78:R78)</f>
        <v>0</v>
      </c>
      <c r="O78" s="510">
        <f t="shared" si="128"/>
        <v>0</v>
      </c>
      <c r="P78" s="510">
        <f t="shared" si="128"/>
        <v>0</v>
      </c>
      <c r="Q78" s="510">
        <f t="shared" si="128"/>
        <v>0</v>
      </c>
      <c r="R78" s="510">
        <f t="shared" si="128"/>
        <v>0</v>
      </c>
      <c r="S78" s="510">
        <f>Y78+AK78+AQ78+AW78+BF78+AE78</f>
        <v>0</v>
      </c>
      <c r="T78" s="397">
        <f>SUM(U78:Y78)</f>
        <v>0</v>
      </c>
      <c r="U78" s="195"/>
      <c r="V78" s="195"/>
      <c r="W78" s="195"/>
      <c r="X78" s="195"/>
      <c r="Y78" s="195"/>
      <c r="Z78" s="397">
        <f>SUM(AA78:AE78)</f>
        <v>0</v>
      </c>
      <c r="AA78" s="195"/>
      <c r="AB78" s="195"/>
      <c r="AC78" s="195"/>
      <c r="AD78" s="195"/>
      <c r="AE78" s="195"/>
      <c r="AF78" s="397">
        <f>SUM(AG78:AK78)</f>
        <v>0</v>
      </c>
      <c r="AG78" s="195"/>
      <c r="AH78" s="195"/>
      <c r="AI78" s="195"/>
      <c r="AJ78" s="195"/>
      <c r="AK78" s="195"/>
      <c r="AL78" s="397">
        <f>SUM(AM78:AQ78)</f>
        <v>0</v>
      </c>
      <c r="AM78" s="195"/>
      <c r="AN78" s="195"/>
      <c r="AO78" s="195"/>
      <c r="AP78" s="195"/>
      <c r="AQ78" s="195"/>
      <c r="AR78" s="397">
        <f>SUM(AS78:AW78)</f>
        <v>0</v>
      </c>
      <c r="AS78" s="195"/>
      <c r="AT78" s="195"/>
      <c r="AU78" s="195"/>
      <c r="AV78" s="195"/>
      <c r="AW78" s="195"/>
      <c r="AX78" s="511"/>
      <c r="AY78" s="397">
        <f t="shared" si="129"/>
        <v>0</v>
      </c>
      <c r="AZ78" s="195"/>
      <c r="BA78" s="195"/>
      <c r="BB78" s="195"/>
      <c r="BC78" s="195"/>
      <c r="BD78" s="195"/>
      <c r="BE78" s="195"/>
      <c r="BF78" s="195"/>
      <c r="BG78" s="198"/>
      <c r="BH78" s="524" t="str">
        <f>'Учебный план'!BZ96</f>
        <v>64-4</v>
      </c>
      <c r="BI78" s="534" t="str">
        <f>'Учебный план'!CA96</f>
        <v>ОК 1-10; ПК 1.1-1.3, 2.1-2.7, 3.1-3.2</v>
      </c>
    </row>
    <row r="79" spans="1:62" s="236" customFormat="1" hidden="1">
      <c r="A79" s="533" t="e">
        <f>'Учебный план'!#REF!</f>
        <v>#REF!</v>
      </c>
      <c r="B79" s="533" t="e">
        <f>'Учебный план'!#REF!</f>
        <v>#REF!</v>
      </c>
      <c r="C79" s="219"/>
      <c r="D79" s="405"/>
      <c r="E79" s="405"/>
      <c r="F79" s="405"/>
      <c r="G79" s="405"/>
      <c r="H79" s="405"/>
      <c r="I79" s="195"/>
      <c r="J79" s="405"/>
      <c r="K79" s="500" t="e">
        <f>'Учебный план'!#REF!</f>
        <v>#REF!</v>
      </c>
      <c r="L79" s="500" t="e">
        <f>'Учебный план'!#REF!</f>
        <v>#REF!</v>
      </c>
      <c r="M79" s="510">
        <f>SUM(N79+S79)</f>
        <v>0</v>
      </c>
      <c r="N79" s="510">
        <f>SUM(O79:R79)</f>
        <v>0</v>
      </c>
      <c r="O79" s="510">
        <f t="shared" si="128"/>
        <v>0</v>
      </c>
      <c r="P79" s="510">
        <f t="shared" si="128"/>
        <v>0</v>
      </c>
      <c r="Q79" s="510">
        <f t="shared" si="128"/>
        <v>0</v>
      </c>
      <c r="R79" s="510">
        <f t="shared" si="128"/>
        <v>0</v>
      </c>
      <c r="S79" s="510">
        <f>Y79+AK79+AQ79+AW79+BF79+AE79</f>
        <v>0</v>
      </c>
      <c r="T79" s="397">
        <f>SUM(U79:Y79)</f>
        <v>0</v>
      </c>
      <c r="U79" s="195"/>
      <c r="V79" s="195"/>
      <c r="W79" s="195"/>
      <c r="X79" s="195"/>
      <c r="Y79" s="195"/>
      <c r="Z79" s="397">
        <f>SUM(AA79:AE79)</f>
        <v>0</v>
      </c>
      <c r="AA79" s="195"/>
      <c r="AB79" s="195"/>
      <c r="AC79" s="195"/>
      <c r="AD79" s="195"/>
      <c r="AE79" s="195"/>
      <c r="AF79" s="397">
        <f>SUM(AG79:AK79)</f>
        <v>0</v>
      </c>
      <c r="AG79" s="195"/>
      <c r="AH79" s="195"/>
      <c r="AI79" s="195"/>
      <c r="AJ79" s="195"/>
      <c r="AK79" s="195"/>
      <c r="AL79" s="397">
        <f>SUM(AM79:AQ79)</f>
        <v>0</v>
      </c>
      <c r="AM79" s="195"/>
      <c r="AN79" s="195"/>
      <c r="AO79" s="195"/>
      <c r="AP79" s="195"/>
      <c r="AQ79" s="195"/>
      <c r="AR79" s="397">
        <f>SUM(AS79:AW79)</f>
        <v>0</v>
      </c>
      <c r="AS79" s="195"/>
      <c r="AT79" s="195"/>
      <c r="AU79" s="195"/>
      <c r="AV79" s="195"/>
      <c r="AW79" s="195"/>
      <c r="AX79" s="511"/>
      <c r="AY79" s="397">
        <f t="shared" si="129"/>
        <v>0</v>
      </c>
      <c r="AZ79" s="195"/>
      <c r="BA79" s="195"/>
      <c r="BB79" s="195"/>
      <c r="BC79" s="195"/>
      <c r="BD79" s="195"/>
      <c r="BE79" s="195"/>
      <c r="BF79" s="195"/>
      <c r="BG79" s="198"/>
      <c r="BH79" s="524" t="e">
        <f>'Учебный план'!#REF!</f>
        <v>#REF!</v>
      </c>
      <c r="BI79" s="534" t="e">
        <f>'Учебный план'!#REF!</f>
        <v>#REF!</v>
      </c>
    </row>
    <row r="80" spans="1:62" s="236" customFormat="1" ht="25.5" hidden="1">
      <c r="A80" s="533" t="str">
        <f>'Учебный план'!A97</f>
        <v>УП.03</v>
      </c>
      <c r="B80" s="533" t="str">
        <f>'Учебный план'!B97</f>
        <v>Учебная плавательная (групповая)</v>
      </c>
      <c r="C80" s="219"/>
      <c r="D80" s="405"/>
      <c r="E80" s="405"/>
      <c r="F80" s="405"/>
      <c r="G80" s="405"/>
      <c r="H80" s="405"/>
      <c r="I80" s="195"/>
      <c r="J80" s="405"/>
      <c r="K80" s="500">
        <f>'Учебный план'!K97</f>
        <v>216</v>
      </c>
      <c r="L80" s="500">
        <f>'Учебный план'!L97</f>
        <v>216</v>
      </c>
      <c r="M80" s="510">
        <f>SUM(N80+S80)</f>
        <v>0</v>
      </c>
      <c r="N80" s="510">
        <f>SUM(O80:R80)</f>
        <v>0</v>
      </c>
      <c r="O80" s="510">
        <f t="shared" si="128"/>
        <v>0</v>
      </c>
      <c r="P80" s="510">
        <f t="shared" si="128"/>
        <v>0</v>
      </c>
      <c r="Q80" s="510">
        <f t="shared" si="128"/>
        <v>0</v>
      </c>
      <c r="R80" s="510">
        <f t="shared" si="128"/>
        <v>0</v>
      </c>
      <c r="S80" s="510">
        <f>Y80+AK80+AQ80+AW80+BF80+AE80</f>
        <v>0</v>
      </c>
      <c r="T80" s="397">
        <f>SUM(U80:Y80)</f>
        <v>0</v>
      </c>
      <c r="U80" s="195"/>
      <c r="V80" s="195"/>
      <c r="W80" s="195"/>
      <c r="X80" s="195"/>
      <c r="Y80" s="195"/>
      <c r="Z80" s="397">
        <f>SUM(AA80:AE80)</f>
        <v>0</v>
      </c>
      <c r="AA80" s="195"/>
      <c r="AB80" s="195"/>
      <c r="AC80" s="195"/>
      <c r="AD80" s="195"/>
      <c r="AE80" s="195"/>
      <c r="AF80" s="397">
        <f>SUM(AG80:AK80)</f>
        <v>0</v>
      </c>
      <c r="AG80" s="195"/>
      <c r="AH80" s="195"/>
      <c r="AI80" s="195"/>
      <c r="AJ80" s="195"/>
      <c r="AK80" s="195"/>
      <c r="AL80" s="397">
        <f>SUM(AM80:AQ80)</f>
        <v>0</v>
      </c>
      <c r="AM80" s="195"/>
      <c r="AN80" s="195"/>
      <c r="AO80" s="195"/>
      <c r="AP80" s="195"/>
      <c r="AQ80" s="195"/>
      <c r="AR80" s="397">
        <f>SUM(AS80:AW80)</f>
        <v>0</v>
      </c>
      <c r="AS80" s="195"/>
      <c r="AT80" s="195"/>
      <c r="AU80" s="195"/>
      <c r="AV80" s="195"/>
      <c r="AW80" s="195"/>
      <c r="AX80" s="511"/>
      <c r="AY80" s="397">
        <f t="shared" si="129"/>
        <v>0</v>
      </c>
      <c r="AZ80" s="195"/>
      <c r="BA80" s="195"/>
      <c r="BB80" s="195"/>
      <c r="BC80" s="195"/>
      <c r="BD80" s="195"/>
      <c r="BE80" s="195"/>
      <c r="BF80" s="195"/>
      <c r="BG80" s="198"/>
      <c r="BH80" s="534" t="str">
        <f>'Учебный план'!BZ97</f>
        <v>64-4</v>
      </c>
      <c r="BI80" s="199" t="str">
        <f>'Учебный план'!CA97</f>
        <v>ОК 1-10; ПК 1.1-1.3; 2.1-2.7; 3.2.</v>
      </c>
    </row>
    <row r="81" spans="1:61" s="236" customFormat="1" ht="25.5">
      <c r="A81" s="535" t="str">
        <f>'Учебный план'!A98</f>
        <v>ПП.00</v>
      </c>
      <c r="B81" s="501" t="str">
        <f>'Учебный план'!B98</f>
        <v>Производственная практика</v>
      </c>
      <c r="C81" s="536"/>
      <c r="D81" s="537"/>
      <c r="E81" s="537"/>
      <c r="F81" s="537"/>
      <c r="G81" s="537"/>
      <c r="H81" s="537"/>
      <c r="I81" s="538"/>
      <c r="J81" s="537"/>
      <c r="K81" s="500">
        <f>'Учебный план'!K98</f>
        <v>1656</v>
      </c>
      <c r="L81" s="500">
        <f>'Учебный план'!L98</f>
        <v>1656</v>
      </c>
      <c r="M81" s="504">
        <f t="shared" ref="M81:S81" si="130">SUM(M82:M83)</f>
        <v>1656</v>
      </c>
      <c r="N81" s="504">
        <f t="shared" si="130"/>
        <v>1656</v>
      </c>
      <c r="O81" s="504">
        <f t="shared" si="130"/>
        <v>0</v>
      </c>
      <c r="P81" s="504">
        <f t="shared" si="130"/>
        <v>0</v>
      </c>
      <c r="Q81" s="504">
        <f t="shared" si="130"/>
        <v>0</v>
      </c>
      <c r="R81" s="504">
        <f t="shared" si="130"/>
        <v>1656</v>
      </c>
      <c r="S81" s="504">
        <f t="shared" si="130"/>
        <v>0</v>
      </c>
      <c r="T81" s="504">
        <f>SUM(T82:T83)</f>
        <v>0</v>
      </c>
      <c r="U81" s="504">
        <f t="shared" ref="U81:Y81" si="131">SUM(U82:U83)</f>
        <v>0</v>
      </c>
      <c r="V81" s="504">
        <f>SUM(V82:V83)</f>
        <v>0</v>
      </c>
      <c r="W81" s="504">
        <f t="shared" si="131"/>
        <v>0</v>
      </c>
      <c r="X81" s="504">
        <f t="shared" si="131"/>
        <v>0</v>
      </c>
      <c r="Y81" s="504">
        <f t="shared" si="131"/>
        <v>0</v>
      </c>
      <c r="Z81" s="504">
        <f t="shared" ref="Z81:AE81" si="132">SUM(Z82:Z83)</f>
        <v>0</v>
      </c>
      <c r="AA81" s="504">
        <f t="shared" si="132"/>
        <v>0</v>
      </c>
      <c r="AB81" s="504">
        <f t="shared" si="132"/>
        <v>0</v>
      </c>
      <c r="AC81" s="504">
        <f t="shared" si="132"/>
        <v>0</v>
      </c>
      <c r="AD81" s="504">
        <f t="shared" si="132"/>
        <v>0</v>
      </c>
      <c r="AE81" s="504">
        <f t="shared" si="132"/>
        <v>0</v>
      </c>
      <c r="AF81" s="504">
        <f>SUM(AF82:AF83)</f>
        <v>0</v>
      </c>
      <c r="AG81" s="504">
        <f t="shared" ref="AG81" si="133">SUM(AG82:AG83)</f>
        <v>0</v>
      </c>
      <c r="AH81" s="504">
        <f t="shared" ref="AH81" si="134">SUM(AH82:AH83)</f>
        <v>0</v>
      </c>
      <c r="AI81" s="504">
        <f t="shared" ref="AI81" si="135">SUM(AI82:AI83)</f>
        <v>0</v>
      </c>
      <c r="AJ81" s="504">
        <f t="shared" ref="AJ81" si="136">SUM(AJ82:AJ83)</f>
        <v>396</v>
      </c>
      <c r="AK81" s="504">
        <f t="shared" ref="AK81" si="137">SUM(AK82:AK83)</f>
        <v>0</v>
      </c>
      <c r="AL81" s="504">
        <f>SUM(AL82:AL83)</f>
        <v>0</v>
      </c>
      <c r="AM81" s="504">
        <f t="shared" ref="AM81" si="138">SUM(AM82:AM83)</f>
        <v>0</v>
      </c>
      <c r="AN81" s="504">
        <f t="shared" ref="AN81" si="139">SUM(AN82:AN83)</f>
        <v>0</v>
      </c>
      <c r="AO81" s="504">
        <f t="shared" ref="AO81" si="140">SUM(AO82:AO83)</f>
        <v>0</v>
      </c>
      <c r="AP81" s="504">
        <f t="shared" ref="AP81" si="141">SUM(AP82:AP83)</f>
        <v>828</v>
      </c>
      <c r="AQ81" s="504">
        <f t="shared" ref="AQ81" si="142">SUM(AQ82:AQ83)</f>
        <v>0</v>
      </c>
      <c r="AR81" s="504">
        <f>SUM(AR82:AR83)</f>
        <v>432</v>
      </c>
      <c r="AS81" s="504">
        <f t="shared" ref="AS81" si="143">SUM(AS82:AS83)</f>
        <v>0</v>
      </c>
      <c r="AT81" s="504">
        <f t="shared" ref="AT81" si="144">SUM(AT82:AT83)</f>
        <v>0</v>
      </c>
      <c r="AU81" s="504">
        <f t="shared" ref="AU81" si="145">SUM(AU82:AU83)</f>
        <v>0</v>
      </c>
      <c r="AV81" s="504">
        <f t="shared" ref="AV81" si="146">SUM(AV82:AV83)</f>
        <v>432</v>
      </c>
      <c r="AW81" s="504">
        <f t="shared" ref="AW81" si="147">SUM(AW82:AW83)</f>
        <v>0</v>
      </c>
      <c r="AX81" s="538">
        <f>LEN(H81)-LEN(SUBSTITUTE(H81,"9",""))</f>
        <v>0</v>
      </c>
      <c r="AY81" s="504">
        <f>SUM(AY82:AY83)</f>
        <v>0</v>
      </c>
      <c r="AZ81" s="504">
        <f t="shared" ref="AZ81" si="148">SUM(AZ82:AZ83)</f>
        <v>0</v>
      </c>
      <c r="BA81" s="504">
        <f t="shared" ref="BA81" si="149">SUM(BA82:BA83)</f>
        <v>0</v>
      </c>
      <c r="BB81" s="504">
        <f t="shared" ref="BB81" si="150">SUM(BB82:BB83)</f>
        <v>0</v>
      </c>
      <c r="BC81" s="504">
        <f t="shared" ref="BC81" si="151">SUM(BC82:BC83)</f>
        <v>0</v>
      </c>
      <c r="BD81" s="504">
        <f t="shared" ref="BD81" si="152">SUM(BD82:BD83)</f>
        <v>0</v>
      </c>
      <c r="BE81" s="504">
        <f t="shared" ref="BE81" si="153">SUM(BE82:BE83)</f>
        <v>0</v>
      </c>
      <c r="BF81" s="504">
        <f t="shared" ref="BF81" si="154">SUM(BF82:BF83)</f>
        <v>0</v>
      </c>
      <c r="BG81" s="198"/>
      <c r="BH81" s="532">
        <f>'Учебный план'!BZ98</f>
        <v>0</v>
      </c>
      <c r="BI81" s="539" t="str">
        <f>'Учебный план'!CA98</f>
        <v>ОК 1-10; ПК 1.1-1.3; 2.1-2.7; 3.2.</v>
      </c>
    </row>
    <row r="82" spans="1:61" s="229" customFormat="1" ht="25.5">
      <c r="A82" s="533" t="str">
        <f>'Учебный план'!A99</f>
        <v>ПП.01</v>
      </c>
      <c r="B82" s="533" t="str">
        <f>'Учебный план'!B99</f>
        <v>Производственная практика (по профилю специальности)</v>
      </c>
      <c r="C82" s="540"/>
      <c r="D82" s="540"/>
      <c r="E82" s="502">
        <v>4.5</v>
      </c>
      <c r="F82" s="540"/>
      <c r="G82" s="540"/>
      <c r="H82" s="540"/>
      <c r="I82" s="541"/>
      <c r="J82" s="540"/>
      <c r="K82" s="195">
        <f>'Учебный план'!K98</f>
        <v>1656</v>
      </c>
      <c r="L82" s="195">
        <f>'Учебный план'!L98</f>
        <v>1656</v>
      </c>
      <c r="M82" s="510">
        <f>SUM(N82+S82)</f>
        <v>1512</v>
      </c>
      <c r="N82" s="510">
        <f>SUM(O82:R82)</f>
        <v>1512</v>
      </c>
      <c r="O82" s="510">
        <f t="shared" ref="O82:R83" si="155">U82+AG82+AM82+AS82+AA82+BA82</f>
        <v>0</v>
      </c>
      <c r="P82" s="510">
        <f t="shared" si="155"/>
        <v>0</v>
      </c>
      <c r="Q82" s="510">
        <f t="shared" si="155"/>
        <v>0</v>
      </c>
      <c r="R82" s="510">
        <f t="shared" si="155"/>
        <v>1512</v>
      </c>
      <c r="S82" s="510">
        <f>Y82+AK82+AQ82+AW82+BF82+AE82</f>
        <v>0</v>
      </c>
      <c r="T82" s="397"/>
      <c r="U82" s="540"/>
      <c r="V82" s="540"/>
      <c r="W82" s="540"/>
      <c r="X82" s="540"/>
      <c r="Y82" s="540"/>
      <c r="Z82" s="397"/>
      <c r="AA82" s="540"/>
      <c r="AB82" s="540"/>
      <c r="AC82" s="540"/>
      <c r="AD82" s="540"/>
      <c r="AE82" s="502"/>
      <c r="AF82" s="397"/>
      <c r="AG82" s="502"/>
      <c r="AH82" s="502"/>
      <c r="AI82" s="502"/>
      <c r="AJ82" s="502">
        <v>396</v>
      </c>
      <c r="AK82" s="502"/>
      <c r="AL82" s="397"/>
      <c r="AM82" s="502"/>
      <c r="AN82" s="502"/>
      <c r="AO82" s="502"/>
      <c r="AP82" s="502">
        <v>828</v>
      </c>
      <c r="AQ82" s="502"/>
      <c r="AR82" s="397">
        <f>SUM(AS82:AW82)</f>
        <v>288</v>
      </c>
      <c r="AS82" s="502"/>
      <c r="AT82" s="502"/>
      <c r="AU82" s="502"/>
      <c r="AV82" s="502">
        <v>288</v>
      </c>
      <c r="AW82" s="502"/>
      <c r="AX82" s="502"/>
      <c r="AY82" s="397">
        <f t="shared" ref="AY82" si="156">SUM(AZ82:BF82)</f>
        <v>0</v>
      </c>
      <c r="AZ82" s="502"/>
      <c r="BA82" s="502"/>
      <c r="BB82" s="502"/>
      <c r="BC82" s="502"/>
      <c r="BD82" s="502"/>
      <c r="BE82" s="502"/>
      <c r="BF82" s="502"/>
      <c r="BG82" s="542"/>
      <c r="BH82" s="405" t="str">
        <f>'Учебный план'!BZ99</f>
        <v>64-4, 64-5</v>
      </c>
      <c r="BI82" s="495" t="str">
        <f>'Учебный план'!CA99</f>
        <v>ОК 1-10; ПК 1.1-1.3, 2.1-2.7, 3.1-3.2, 4.1-4.3</v>
      </c>
    </row>
    <row r="83" spans="1:61" s="229" customFormat="1" ht="25.5">
      <c r="A83" s="533" t="str">
        <f>'Учебный план'!A100</f>
        <v>ПП.02</v>
      </c>
      <c r="B83" s="533" t="str">
        <f>'Учебный план'!B100</f>
        <v>Преддипломная практика</v>
      </c>
      <c r="C83" s="540"/>
      <c r="D83" s="540"/>
      <c r="E83" s="502">
        <v>5</v>
      </c>
      <c r="F83" s="540"/>
      <c r="G83" s="540"/>
      <c r="H83" s="540"/>
      <c r="I83" s="541"/>
      <c r="J83" s="540"/>
      <c r="K83" s="195">
        <f>'Учебный план'!K100</f>
        <v>144</v>
      </c>
      <c r="L83" s="195">
        <f>'Учебный план'!L100</f>
        <v>144</v>
      </c>
      <c r="M83" s="510">
        <f>SUM(N83+S83)</f>
        <v>144</v>
      </c>
      <c r="N83" s="510">
        <f>SUM(O83:R83)</f>
        <v>144</v>
      </c>
      <c r="O83" s="510">
        <f t="shared" si="155"/>
        <v>0</v>
      </c>
      <c r="P83" s="510">
        <f t="shared" si="155"/>
        <v>0</v>
      </c>
      <c r="Q83" s="510">
        <f t="shared" si="155"/>
        <v>0</v>
      </c>
      <c r="R83" s="510">
        <f t="shared" si="155"/>
        <v>144</v>
      </c>
      <c r="S83" s="510">
        <f>Y83+AK83+AQ83+AW83+BF83+AE83</f>
        <v>0</v>
      </c>
      <c r="T83" s="397"/>
      <c r="U83" s="540"/>
      <c r="V83" s="540"/>
      <c r="W83" s="540"/>
      <c r="X83" s="540"/>
      <c r="Y83" s="540"/>
      <c r="Z83" s="397"/>
      <c r="AA83" s="540"/>
      <c r="AB83" s="540"/>
      <c r="AC83" s="540"/>
      <c r="AD83" s="540"/>
      <c r="AE83" s="502"/>
      <c r="AF83" s="397"/>
      <c r="AG83" s="502"/>
      <c r="AH83" s="502"/>
      <c r="AI83" s="502"/>
      <c r="AJ83" s="502"/>
      <c r="AK83" s="502"/>
      <c r="AL83" s="397"/>
      <c r="AM83" s="502"/>
      <c r="AN83" s="502"/>
      <c r="AO83" s="502"/>
      <c r="AP83" s="502"/>
      <c r="AQ83" s="502"/>
      <c r="AR83" s="397">
        <f>SUM(AS83:AW83)</f>
        <v>144</v>
      </c>
      <c r="AS83" s="502"/>
      <c r="AT83" s="502"/>
      <c r="AU83" s="502"/>
      <c r="AV83" s="502">
        <v>144</v>
      </c>
      <c r="AW83" s="502"/>
      <c r="AX83" s="502"/>
      <c r="AY83" s="397">
        <f t="shared" ref="AY83" si="157">SUM(AZ83:BF83)</f>
        <v>0</v>
      </c>
      <c r="AZ83" s="502"/>
      <c r="BA83" s="502"/>
      <c r="BB83" s="502"/>
      <c r="BC83" s="502"/>
      <c r="BD83" s="502"/>
      <c r="BE83" s="502"/>
      <c r="BF83" s="502"/>
      <c r="BG83" s="542"/>
      <c r="BH83" s="405" t="str">
        <f>'Учебный план'!BZ100</f>
        <v>64-4, 64-5</v>
      </c>
      <c r="BI83" s="495" t="str">
        <f>'Учебный план'!CA100</f>
        <v>ОК 1-10; ПК 1.1-1.3, 2.1-2.7, 3.1-3.2, 4.1-4.3</v>
      </c>
    </row>
    <row r="84" spans="1:61" s="240" customFormat="1" ht="18" customHeight="1">
      <c r="A84" s="503" t="str">
        <f>'Учебный план'!A101</f>
        <v>ГИА.00</v>
      </c>
      <c r="B84" s="826" t="str">
        <f>'Учебный план'!B101</f>
        <v>Государственная итоговая аттестация</v>
      </c>
      <c r="C84" s="826"/>
      <c r="D84" s="826"/>
      <c r="E84" s="826"/>
      <c r="F84" s="826"/>
      <c r="G84" s="826"/>
      <c r="H84" s="826"/>
      <c r="I84" s="504"/>
      <c r="J84" s="505"/>
      <c r="K84" s="500">
        <f>'Учебный план'!K101</f>
        <v>216</v>
      </c>
      <c r="L84" s="500">
        <f>'Учебный план'!L101</f>
        <v>0</v>
      </c>
      <c r="M84" s="504">
        <f>M85</f>
        <v>216</v>
      </c>
      <c r="N84" s="504">
        <f>N85</f>
        <v>0</v>
      </c>
      <c r="O84" s="504">
        <f t="shared" ref="O84:S84" si="158">O85</f>
        <v>0</v>
      </c>
      <c r="P84" s="504">
        <f t="shared" si="158"/>
        <v>0</v>
      </c>
      <c r="Q84" s="504">
        <f t="shared" si="158"/>
        <v>0</v>
      </c>
      <c r="R84" s="504">
        <f t="shared" si="158"/>
        <v>0</v>
      </c>
      <c r="S84" s="504">
        <f t="shared" si="158"/>
        <v>216</v>
      </c>
      <c r="T84" s="504">
        <v>0</v>
      </c>
      <c r="U84" s="504">
        <v>0</v>
      </c>
      <c r="V84" s="504">
        <v>0</v>
      </c>
      <c r="W84" s="504">
        <v>0</v>
      </c>
      <c r="X84" s="504">
        <v>0</v>
      </c>
      <c r="Y84" s="504">
        <v>0</v>
      </c>
      <c r="Z84" s="504">
        <v>0</v>
      </c>
      <c r="AA84" s="504">
        <v>0</v>
      </c>
      <c r="AB84" s="504">
        <v>0</v>
      </c>
      <c r="AC84" s="504">
        <v>0</v>
      </c>
      <c r="AD84" s="504">
        <v>0</v>
      </c>
      <c r="AE84" s="504">
        <v>0</v>
      </c>
      <c r="AF84" s="504">
        <v>0</v>
      </c>
      <c r="AG84" s="504">
        <v>0</v>
      </c>
      <c r="AH84" s="504">
        <v>0</v>
      </c>
      <c r="AI84" s="504">
        <v>0</v>
      </c>
      <c r="AJ84" s="504">
        <v>0</v>
      </c>
      <c r="AK84" s="504">
        <v>0</v>
      </c>
      <c r="AL84" s="504">
        <v>0</v>
      </c>
      <c r="AM84" s="504">
        <v>0</v>
      </c>
      <c r="AN84" s="504">
        <v>0</v>
      </c>
      <c r="AO84" s="504">
        <v>0</v>
      </c>
      <c r="AP84" s="504">
        <v>0</v>
      </c>
      <c r="AQ84" s="504">
        <v>0</v>
      </c>
      <c r="AR84" s="504">
        <f>AR85</f>
        <v>216</v>
      </c>
      <c r="AS84" s="504">
        <f t="shared" ref="AS84:AW84" si="159">AS85</f>
        <v>0</v>
      </c>
      <c r="AT84" s="504">
        <f t="shared" si="159"/>
        <v>0</v>
      </c>
      <c r="AU84" s="504">
        <f t="shared" si="159"/>
        <v>0</v>
      </c>
      <c r="AV84" s="504">
        <f t="shared" si="159"/>
        <v>0</v>
      </c>
      <c r="AW84" s="504">
        <f t="shared" si="159"/>
        <v>216</v>
      </c>
      <c r="AX84" s="504" t="e">
        <f>SUM(#REF!)</f>
        <v>#REF!</v>
      </c>
      <c r="AY84" s="504">
        <f>AY85</f>
        <v>0</v>
      </c>
      <c r="AZ84" s="504">
        <f t="shared" ref="AZ84:BF84" si="160">AZ85</f>
        <v>0</v>
      </c>
      <c r="BA84" s="504">
        <f t="shared" si="160"/>
        <v>0</v>
      </c>
      <c r="BB84" s="504">
        <f t="shared" si="160"/>
        <v>0</v>
      </c>
      <c r="BC84" s="504">
        <f t="shared" si="160"/>
        <v>0</v>
      </c>
      <c r="BD84" s="504">
        <f t="shared" si="160"/>
        <v>0</v>
      </c>
      <c r="BE84" s="504">
        <f t="shared" si="160"/>
        <v>0</v>
      </c>
      <c r="BF84" s="504">
        <f t="shared" si="160"/>
        <v>0</v>
      </c>
      <c r="BG84" s="180"/>
      <c r="BH84" s="532">
        <f>'Учебный план'!BZ101</f>
        <v>0</v>
      </c>
      <c r="BI84" s="539">
        <f>'Учебный план'!CA101</f>
        <v>0</v>
      </c>
    </row>
    <row r="85" spans="1:61" s="240" customFormat="1" ht="25.5" hidden="1">
      <c r="A85" s="475" t="str">
        <f>'Учебный план'!A102</f>
        <v>ГИА.01</v>
      </c>
      <c r="B85" s="475" t="str">
        <f>'Учебный план'!B102</f>
        <v>Государственная итоговая аттестация</v>
      </c>
      <c r="C85" s="476"/>
      <c r="D85" s="474"/>
      <c r="E85" s="474"/>
      <c r="F85" s="474"/>
      <c r="G85" s="474"/>
      <c r="H85" s="474"/>
      <c r="I85" s="477"/>
      <c r="J85" s="474"/>
      <c r="K85" s="477">
        <f>'Учебный план'!K102</f>
        <v>216</v>
      </c>
      <c r="L85" s="477">
        <f>'Учебный план'!L102</f>
        <v>0</v>
      </c>
      <c r="M85" s="314">
        <f>SUM(N85+S85)</f>
        <v>216</v>
      </c>
      <c r="N85" s="235">
        <f>SUM(O85:R85)</f>
        <v>0</v>
      </c>
      <c r="O85" s="235">
        <f>U85+AG85+AM85+AS85+AA85+BA85</f>
        <v>0</v>
      </c>
      <c r="P85" s="235">
        <f>V85+AH85+AN85+AT85+AB85+BB85</f>
        <v>0</v>
      </c>
      <c r="Q85" s="235">
        <f>W85+AI85+AO85+AU85+AC85+BC85</f>
        <v>0</v>
      </c>
      <c r="R85" s="235">
        <f>X85+AJ85+AP85+AV85+AD85+BD85</f>
        <v>0</v>
      </c>
      <c r="S85" s="235">
        <f>Y85+AK85+AQ85+AW85+BF85+AE85</f>
        <v>216</v>
      </c>
      <c r="T85" s="477"/>
      <c r="U85" s="477"/>
      <c r="V85" s="477"/>
      <c r="W85" s="477"/>
      <c r="X85" s="477"/>
      <c r="Y85" s="477"/>
      <c r="Z85" s="477"/>
      <c r="AA85" s="477"/>
      <c r="AB85" s="477"/>
      <c r="AC85" s="477"/>
      <c r="AD85" s="477"/>
      <c r="AE85" s="477"/>
      <c r="AF85" s="477"/>
      <c r="AG85" s="477"/>
      <c r="AH85" s="477"/>
      <c r="AI85" s="477"/>
      <c r="AJ85" s="477"/>
      <c r="AK85" s="477"/>
      <c r="AL85" s="477"/>
      <c r="AM85" s="477"/>
      <c r="AN85" s="477"/>
      <c r="AO85" s="477"/>
      <c r="AP85" s="477"/>
      <c r="AQ85" s="477"/>
      <c r="AR85" s="239">
        <f>SUM(AS85:AW85)</f>
        <v>216</v>
      </c>
      <c r="AS85" s="477"/>
      <c r="AT85" s="477"/>
      <c r="AU85" s="477"/>
      <c r="AV85" s="477"/>
      <c r="AW85" s="477">
        <v>216</v>
      </c>
      <c r="AX85" s="477"/>
      <c r="AY85" s="239">
        <f t="shared" ref="AY85" si="161">SUM(AZ85:BF85)</f>
        <v>0</v>
      </c>
      <c r="AZ85" s="477"/>
      <c r="BA85" s="477"/>
      <c r="BB85" s="477"/>
      <c r="BC85" s="477"/>
      <c r="BD85" s="477"/>
      <c r="BE85" s="477"/>
      <c r="BF85" s="477"/>
      <c r="BG85" s="315"/>
      <c r="BH85" s="473" t="str">
        <f>'Учебный план'!BZ102</f>
        <v>64-4, 64-5</v>
      </c>
      <c r="BI85" s="473" t="str">
        <f>'Учебный план'!CA102</f>
        <v>ОК 1-10, ПК 1.1 - 1.4, 2.1 - 2.7, 3.1- 3.2, 4.1 - 4.3</v>
      </c>
    </row>
    <row r="86" spans="1:61" s="240" customFormat="1" ht="13.5" hidden="1" thickBot="1">
      <c r="A86" s="460"/>
      <c r="B86" s="461" t="s">
        <v>190</v>
      </c>
      <c r="C86" s="462"/>
      <c r="D86" s="463"/>
      <c r="E86" s="463"/>
      <c r="F86" s="463"/>
      <c r="G86" s="463"/>
      <c r="H86" s="463"/>
      <c r="I86" s="464"/>
      <c r="J86" s="463"/>
      <c r="K86" s="465">
        <v>0</v>
      </c>
      <c r="L86" s="466" t="str">
        <f>[3]Нормы!E21</f>
        <v>-</v>
      </c>
      <c r="M86" s="467"/>
      <c r="N86" s="289"/>
      <c r="O86" s="289"/>
      <c r="P86" s="289"/>
      <c r="Q86" s="289"/>
      <c r="R86" s="289"/>
      <c r="S86" s="289"/>
      <c r="T86" s="468"/>
      <c r="U86" s="289"/>
      <c r="V86" s="289"/>
      <c r="W86" s="289"/>
      <c r="X86" s="289"/>
      <c r="Y86" s="289"/>
      <c r="Z86" s="468"/>
      <c r="AA86" s="289"/>
      <c r="AB86" s="289"/>
      <c r="AC86" s="289"/>
      <c r="AD86" s="289"/>
      <c r="AE86" s="289"/>
      <c r="AF86" s="468"/>
      <c r="AG86" s="289"/>
      <c r="AH86" s="289"/>
      <c r="AI86" s="289"/>
      <c r="AJ86" s="289"/>
      <c r="AK86" s="289"/>
      <c r="AL86" s="468"/>
      <c r="AM86" s="289"/>
      <c r="AN86" s="289"/>
      <c r="AO86" s="289"/>
      <c r="AP86" s="289"/>
      <c r="AQ86" s="469"/>
      <c r="AR86" s="288"/>
      <c r="AS86" s="289"/>
      <c r="AT86" s="289"/>
      <c r="AU86" s="289"/>
      <c r="AV86" s="289"/>
      <c r="AW86" s="289"/>
      <c r="AX86" s="289"/>
      <c r="AY86" s="288"/>
      <c r="AZ86" s="289"/>
      <c r="BA86" s="289"/>
      <c r="BB86" s="289"/>
      <c r="BC86" s="289"/>
      <c r="BD86" s="289"/>
      <c r="BE86" s="289"/>
      <c r="BF86" s="289"/>
      <c r="BG86" s="470"/>
      <c r="BH86" s="290"/>
      <c r="BI86" s="291"/>
    </row>
    <row r="87" spans="1:61">
      <c r="A87" s="241"/>
      <c r="B87" s="242"/>
      <c r="C87" s="242"/>
      <c r="D87" s="243"/>
      <c r="E87" s="243"/>
      <c r="F87" s="243"/>
      <c r="G87" s="243"/>
      <c r="H87" s="243"/>
      <c r="I87" s="244"/>
      <c r="J87" s="243"/>
      <c r="K87" s="287"/>
      <c r="L87" s="287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  <c r="BD87" s="244"/>
      <c r="BE87" s="244"/>
      <c r="BF87" s="244"/>
      <c r="BG87" s="245"/>
    </row>
    <row r="88" spans="1:61" hidden="1">
      <c r="A88" s="685" t="e">
        <f>#REF!</f>
        <v>#REF!</v>
      </c>
      <c r="B88" s="686"/>
      <c r="C88" s="686"/>
      <c r="D88" s="56"/>
      <c r="E88" s="246"/>
      <c r="F88" s="56"/>
      <c r="G88" s="56"/>
      <c r="H88" s="56"/>
      <c r="I88" s="57"/>
      <c r="J88" s="56"/>
      <c r="K88" s="57"/>
      <c r="L88" s="57"/>
      <c r="M88" s="56"/>
      <c r="N88" s="56"/>
      <c r="O88" s="56"/>
      <c r="P88" s="56"/>
      <c r="Q88" s="56"/>
      <c r="R88" s="56"/>
      <c r="S88" s="56"/>
      <c r="T88" s="57"/>
      <c r="U88" s="247"/>
      <c r="V88" s="247"/>
      <c r="W88" s="247"/>
      <c r="X88" s="247"/>
      <c r="Y88" s="247"/>
      <c r="Z88" s="57"/>
      <c r="AA88" s="247"/>
      <c r="AB88" s="247"/>
      <c r="AC88" s="247"/>
      <c r="AD88" s="247"/>
      <c r="AE88" s="247"/>
      <c r="AF88" s="57"/>
      <c r="AG88" s="247"/>
      <c r="AH88" s="247"/>
      <c r="AI88" s="247"/>
      <c r="AJ88" s="247"/>
      <c r="AK88" s="247"/>
      <c r="AL88" s="57"/>
      <c r="AM88" s="247"/>
      <c r="AN88" s="247"/>
      <c r="AO88" s="247"/>
      <c r="AP88" s="247"/>
      <c r="AQ88" s="247"/>
      <c r="AR88" s="57"/>
      <c r="AS88" s="247"/>
      <c r="AT88" s="247"/>
      <c r="AU88" s="247"/>
      <c r="AV88" s="247"/>
      <c r="AW88" s="247"/>
      <c r="AX88" s="57"/>
      <c r="AY88" s="57"/>
      <c r="AZ88" s="247"/>
      <c r="BA88" s="247"/>
      <c r="BB88" s="247"/>
      <c r="BC88" s="247"/>
      <c r="BD88" s="247"/>
      <c r="BE88" s="247"/>
      <c r="BF88" s="247"/>
      <c r="BG88" s="248"/>
    </row>
    <row r="89" spans="1:61" hidden="1">
      <c r="A89" s="699" t="e">
        <f>#REF!</f>
        <v>#REF!</v>
      </c>
      <c r="B89" s="700"/>
      <c r="C89" s="700"/>
      <c r="D89" s="58"/>
      <c r="E89" s="249"/>
      <c r="F89" s="58"/>
      <c r="G89" s="58"/>
      <c r="H89" s="58"/>
      <c r="I89" s="59"/>
      <c r="J89" s="58"/>
      <c r="K89" s="59"/>
      <c r="L89" s="59"/>
      <c r="M89" s="58"/>
      <c r="N89" s="58"/>
      <c r="O89" s="58"/>
      <c r="P89" s="58"/>
      <c r="Q89" s="58"/>
      <c r="R89" s="58"/>
      <c r="S89" s="58"/>
      <c r="T89" s="59"/>
      <c r="U89" s="250"/>
      <c r="V89" s="250"/>
      <c r="W89" s="250"/>
      <c r="X89" s="250"/>
      <c r="Y89" s="250"/>
      <c r="Z89" s="59"/>
      <c r="AA89" s="250"/>
      <c r="AB89" s="250"/>
      <c r="AC89" s="250"/>
      <c r="AD89" s="250"/>
      <c r="AE89" s="250"/>
      <c r="AF89" s="59"/>
      <c r="AG89" s="250"/>
      <c r="AH89" s="250"/>
      <c r="AI89" s="250"/>
      <c r="AJ89" s="250"/>
      <c r="AK89" s="250"/>
      <c r="AL89" s="59"/>
      <c r="AM89" s="250"/>
      <c r="AN89" s="250"/>
      <c r="AO89" s="250"/>
      <c r="AP89" s="250"/>
      <c r="AQ89" s="250"/>
      <c r="AR89" s="59"/>
      <c r="AS89" s="250"/>
      <c r="AT89" s="250"/>
      <c r="AU89" s="250"/>
      <c r="AV89" s="250"/>
      <c r="AW89" s="250"/>
      <c r="AX89" s="59"/>
      <c r="AY89" s="59"/>
      <c r="AZ89" s="250"/>
      <c r="BA89" s="250"/>
      <c r="BB89" s="250"/>
      <c r="BC89" s="250"/>
      <c r="BD89" s="250"/>
      <c r="BE89" s="250"/>
      <c r="BF89" s="250"/>
      <c r="BG89" s="248"/>
    </row>
    <row r="90" spans="1:61">
      <c r="A90" s="60"/>
      <c r="B90" s="821" t="s">
        <v>610</v>
      </c>
      <c r="C90" s="822"/>
      <c r="D90" s="822"/>
      <c r="E90" s="822"/>
      <c r="F90" s="822"/>
      <c r="G90" s="822"/>
      <c r="H90" s="823"/>
      <c r="I90" s="320"/>
      <c r="J90" s="281"/>
      <c r="K90" s="251">
        <v>4118</v>
      </c>
      <c r="L90" s="251">
        <f>L9+L73</f>
        <v>3744</v>
      </c>
      <c r="M90" s="252">
        <f>M73+M9</f>
        <v>4046</v>
      </c>
      <c r="N90" s="252">
        <f t="shared" ref="N90:S90" si="162">N9+N73</f>
        <v>558</v>
      </c>
      <c r="O90" s="252">
        <f t="shared" si="162"/>
        <v>375</v>
      </c>
      <c r="P90" s="252">
        <f t="shared" si="162"/>
        <v>126</v>
      </c>
      <c r="Q90" s="252">
        <f t="shared" si="162"/>
        <v>57</v>
      </c>
      <c r="R90" s="252">
        <f t="shared" si="162"/>
        <v>0</v>
      </c>
      <c r="S90" s="490">
        <f t="shared" si="162"/>
        <v>3488</v>
      </c>
      <c r="T90" s="257">
        <f>SUM(U90:Y90)</f>
        <v>936</v>
      </c>
      <c r="U90" s="254">
        <f>U9+U73</f>
        <v>122</v>
      </c>
      <c r="V90" s="254">
        <f>V9+V73</f>
        <v>38</v>
      </c>
      <c r="W90" s="254">
        <f>W9+W73</f>
        <v>0</v>
      </c>
      <c r="X90" s="254">
        <f>X9+X73</f>
        <v>0</v>
      </c>
      <c r="Y90" s="269">
        <f>Y9+Y73</f>
        <v>776</v>
      </c>
      <c r="Z90" s="257">
        <f>SUM(AA90:AE90)</f>
        <v>1318</v>
      </c>
      <c r="AA90" s="254">
        <f>AA9+AA73</f>
        <v>142</v>
      </c>
      <c r="AB90" s="254">
        <f>AB9+AB73</f>
        <v>18</v>
      </c>
      <c r="AC90" s="254">
        <f>AC9+AC73</f>
        <v>0</v>
      </c>
      <c r="AD90" s="254">
        <f>AD9+AD73</f>
        <v>0</v>
      </c>
      <c r="AE90" s="254">
        <f>AE9+AE73</f>
        <v>1158</v>
      </c>
      <c r="AF90" s="258">
        <f>SUM(AG90:AK90)</f>
        <v>1144</v>
      </c>
      <c r="AG90" s="254">
        <f>AG9+AG73</f>
        <v>118</v>
      </c>
      <c r="AH90" s="254">
        <f>AH9+AH73</f>
        <v>42</v>
      </c>
      <c r="AI90" s="254">
        <f>AI9+AI73</f>
        <v>0</v>
      </c>
      <c r="AJ90" s="254">
        <f>AJ9+AJ73</f>
        <v>0</v>
      </c>
      <c r="AK90" s="269">
        <f>AK9+AK73</f>
        <v>984</v>
      </c>
      <c r="AL90" s="257">
        <f>SUM(AM90:AQ90)</f>
        <v>1234</v>
      </c>
      <c r="AM90" s="254">
        <f>AM9+AM73</f>
        <v>96</v>
      </c>
      <c r="AN90" s="254">
        <f>AN9+AN73</f>
        <v>42</v>
      </c>
      <c r="AO90" s="254">
        <f>AO9+AO73</f>
        <v>22</v>
      </c>
      <c r="AP90" s="254">
        <f>AP9+AP73</f>
        <v>0</v>
      </c>
      <c r="AQ90" s="254">
        <f>AQ9+AQ73</f>
        <v>1074</v>
      </c>
      <c r="AR90" s="258">
        <f>SUM(AS90:AW90)</f>
        <v>984</v>
      </c>
      <c r="AS90" s="254">
        <f>AS9+AS73</f>
        <v>41</v>
      </c>
      <c r="AT90" s="254">
        <f>AT9+AT73</f>
        <v>51</v>
      </c>
      <c r="AU90" s="254">
        <f>AU9+AU73</f>
        <v>68</v>
      </c>
      <c r="AV90" s="254">
        <f>AV9+AV73</f>
        <v>0</v>
      </c>
      <c r="AW90" s="254">
        <f>AW9+AW73</f>
        <v>824</v>
      </c>
      <c r="AX90" s="284"/>
      <c r="AY90" s="253">
        <f>SUM(AZ90:BF90)</f>
        <v>0</v>
      </c>
      <c r="AZ90" s="254">
        <f>AZ9+AZ73+AZ20</f>
        <v>0</v>
      </c>
      <c r="BA90" s="254">
        <f>BA9+BA73+BA20</f>
        <v>0</v>
      </c>
      <c r="BB90" s="254">
        <f>BB9+BB73</f>
        <v>0</v>
      </c>
      <c r="BC90" s="254">
        <f>BC9+BC73</f>
        <v>0</v>
      </c>
      <c r="BD90" s="254">
        <f>BD9+BD73</f>
        <v>0</v>
      </c>
      <c r="BE90" s="254">
        <f>BE9+BE73</f>
        <v>0</v>
      </c>
      <c r="BF90" s="254">
        <f>BF9+BF73</f>
        <v>0</v>
      </c>
      <c r="BG90" s="255"/>
    </row>
    <row r="91" spans="1:61">
      <c r="A91" s="60"/>
      <c r="B91" s="821" t="s">
        <v>272</v>
      </c>
      <c r="C91" s="822"/>
      <c r="D91" s="822"/>
      <c r="E91" s="822"/>
      <c r="F91" s="822"/>
      <c r="G91" s="822"/>
      <c r="H91" s="823"/>
      <c r="I91" s="320"/>
      <c r="J91" s="281"/>
      <c r="K91" s="251">
        <v>2808</v>
      </c>
      <c r="L91" s="251">
        <v>1872</v>
      </c>
      <c r="M91" s="252">
        <f t="shared" ref="M91:S91" si="163">M81+M76</f>
        <v>1980</v>
      </c>
      <c r="N91" s="252">
        <f t="shared" si="163"/>
        <v>1980</v>
      </c>
      <c r="O91" s="252">
        <f t="shared" si="163"/>
        <v>0</v>
      </c>
      <c r="P91" s="252">
        <f t="shared" si="163"/>
        <v>0</v>
      </c>
      <c r="Q91" s="252">
        <f t="shared" si="163"/>
        <v>0</v>
      </c>
      <c r="R91" s="252">
        <f t="shared" si="163"/>
        <v>1980</v>
      </c>
      <c r="S91" s="490">
        <f t="shared" si="163"/>
        <v>0</v>
      </c>
      <c r="T91" s="488">
        <f>T81+T76</f>
        <v>0</v>
      </c>
      <c r="U91" s="257">
        <f t="shared" ref="U91:X91" si="164">U81+U76</f>
        <v>0</v>
      </c>
      <c r="V91" s="257">
        <f t="shared" si="164"/>
        <v>0</v>
      </c>
      <c r="W91" s="257">
        <f t="shared" si="164"/>
        <v>0</v>
      </c>
      <c r="X91" s="257">
        <f t="shared" si="164"/>
        <v>0</v>
      </c>
      <c r="Y91" s="269">
        <f>Y81+Y76</f>
        <v>0</v>
      </c>
      <c r="Z91" s="257">
        <f>SUM(AA91:AE91)</f>
        <v>324</v>
      </c>
      <c r="AA91" s="257">
        <f t="shared" ref="AA91:AD91" si="165">AA81+AA76</f>
        <v>0</v>
      </c>
      <c r="AB91" s="257">
        <f t="shared" si="165"/>
        <v>0</v>
      </c>
      <c r="AC91" s="257">
        <f t="shared" si="165"/>
        <v>0</v>
      </c>
      <c r="AD91" s="257">
        <f t="shared" si="165"/>
        <v>324</v>
      </c>
      <c r="AE91" s="254">
        <f>AE81+AE76</f>
        <v>0</v>
      </c>
      <c r="AF91" s="258">
        <f>SUM(AG91:AK91)</f>
        <v>396</v>
      </c>
      <c r="AG91" s="257">
        <f t="shared" ref="AG91:AJ91" si="166">AG81+AG76</f>
        <v>0</v>
      </c>
      <c r="AH91" s="257">
        <f t="shared" si="166"/>
        <v>0</v>
      </c>
      <c r="AI91" s="257">
        <f t="shared" si="166"/>
        <v>0</v>
      </c>
      <c r="AJ91" s="257">
        <f t="shared" si="166"/>
        <v>396</v>
      </c>
      <c r="AK91" s="269">
        <f>AK81+AK76</f>
        <v>0</v>
      </c>
      <c r="AL91" s="257">
        <f>SUM(AM91:AQ91)</f>
        <v>828</v>
      </c>
      <c r="AM91" s="257">
        <f t="shared" ref="AM91:AP91" si="167">AM81+AM76</f>
        <v>0</v>
      </c>
      <c r="AN91" s="257">
        <f t="shared" si="167"/>
        <v>0</v>
      </c>
      <c r="AO91" s="257">
        <f t="shared" si="167"/>
        <v>0</v>
      </c>
      <c r="AP91" s="257">
        <f t="shared" si="167"/>
        <v>828</v>
      </c>
      <c r="AQ91" s="254">
        <f>AQ81+AQ76</f>
        <v>0</v>
      </c>
      <c r="AR91" s="492">
        <f>AR81+AR76</f>
        <v>432</v>
      </c>
      <c r="AS91" s="257">
        <f t="shared" ref="AS91:AV91" si="168">AS81+AS76</f>
        <v>0</v>
      </c>
      <c r="AT91" s="257">
        <f t="shared" si="168"/>
        <v>0</v>
      </c>
      <c r="AU91" s="257">
        <f t="shared" si="168"/>
        <v>0</v>
      </c>
      <c r="AV91" s="257">
        <f t="shared" si="168"/>
        <v>432</v>
      </c>
      <c r="AW91" s="254">
        <f>AW81+AW76</f>
        <v>0</v>
      </c>
      <c r="AX91" s="284"/>
      <c r="AY91" s="256">
        <f>AY81+AY76</f>
        <v>0</v>
      </c>
      <c r="AZ91" s="257">
        <f t="shared" ref="AZ91:BE91" si="169">AZ81+AZ76</f>
        <v>0</v>
      </c>
      <c r="BA91" s="257">
        <f t="shared" si="169"/>
        <v>0</v>
      </c>
      <c r="BB91" s="257">
        <f t="shared" si="169"/>
        <v>0</v>
      </c>
      <c r="BC91" s="257">
        <f t="shared" si="169"/>
        <v>0</v>
      </c>
      <c r="BD91" s="257">
        <f t="shared" si="169"/>
        <v>0</v>
      </c>
      <c r="BE91" s="258">
        <f t="shared" si="169"/>
        <v>0</v>
      </c>
      <c r="BF91" s="254">
        <f>BF81+BF76</f>
        <v>0</v>
      </c>
      <c r="BG91" s="255"/>
    </row>
    <row r="92" spans="1:61">
      <c r="A92" s="60"/>
      <c r="B92" s="821" t="s">
        <v>595</v>
      </c>
      <c r="C92" s="822"/>
      <c r="D92" s="822"/>
      <c r="E92" s="822"/>
      <c r="F92" s="822"/>
      <c r="G92" s="822"/>
      <c r="H92" s="823"/>
      <c r="I92" s="320"/>
      <c r="J92" s="281"/>
      <c r="K92" s="251">
        <f>K84</f>
        <v>216</v>
      </c>
      <c r="L92" s="251">
        <f>L84</f>
        <v>0</v>
      </c>
      <c r="M92" s="252">
        <f>M84</f>
        <v>216</v>
      </c>
      <c r="N92" s="252">
        <f t="shared" ref="N92:R92" si="170">N84</f>
        <v>0</v>
      </c>
      <c r="O92" s="252">
        <f t="shared" si="170"/>
        <v>0</v>
      </c>
      <c r="P92" s="252">
        <f t="shared" si="170"/>
        <v>0</v>
      </c>
      <c r="Q92" s="252">
        <f t="shared" si="170"/>
        <v>0</v>
      </c>
      <c r="R92" s="252">
        <f t="shared" si="170"/>
        <v>0</v>
      </c>
      <c r="S92" s="491">
        <f>S84</f>
        <v>216</v>
      </c>
      <c r="T92" s="257">
        <f>T84</f>
        <v>0</v>
      </c>
      <c r="U92" s="254">
        <f>U84</f>
        <v>0</v>
      </c>
      <c r="V92" s="254">
        <f t="shared" ref="V92:X92" si="171">V84</f>
        <v>0</v>
      </c>
      <c r="W92" s="254">
        <f t="shared" si="171"/>
        <v>0</v>
      </c>
      <c r="X92" s="254">
        <f t="shared" si="171"/>
        <v>0</v>
      </c>
      <c r="Y92" s="269">
        <f>Y84</f>
        <v>0</v>
      </c>
      <c r="Z92" s="257">
        <f>SUM(AA92:AE92)</f>
        <v>0</v>
      </c>
      <c r="AA92" s="254">
        <f>AA84</f>
        <v>0</v>
      </c>
      <c r="AB92" s="254">
        <f t="shared" ref="AB92:AD92" si="172">AB84</f>
        <v>0</v>
      </c>
      <c r="AC92" s="254">
        <f t="shared" si="172"/>
        <v>0</v>
      </c>
      <c r="AD92" s="254">
        <f t="shared" si="172"/>
        <v>0</v>
      </c>
      <c r="AE92" s="254">
        <f>AE84</f>
        <v>0</v>
      </c>
      <c r="AF92" s="258">
        <f>SUM(AG92:AK92)</f>
        <v>0</v>
      </c>
      <c r="AG92" s="254">
        <f>AG84</f>
        <v>0</v>
      </c>
      <c r="AH92" s="254">
        <f t="shared" ref="AH92:AJ92" si="173">AH84</f>
        <v>0</v>
      </c>
      <c r="AI92" s="254">
        <f t="shared" si="173"/>
        <v>0</v>
      </c>
      <c r="AJ92" s="254">
        <f t="shared" si="173"/>
        <v>0</v>
      </c>
      <c r="AK92" s="269">
        <f>AK84</f>
        <v>0</v>
      </c>
      <c r="AL92" s="257">
        <f>SUM(AM92:AQ92)</f>
        <v>0</v>
      </c>
      <c r="AM92" s="254">
        <f>AM84</f>
        <v>0</v>
      </c>
      <c r="AN92" s="254">
        <f t="shared" ref="AN92:AP92" si="174">AN84</f>
        <v>0</v>
      </c>
      <c r="AO92" s="254">
        <f t="shared" si="174"/>
        <v>0</v>
      </c>
      <c r="AP92" s="254">
        <f t="shared" si="174"/>
        <v>0</v>
      </c>
      <c r="AQ92" s="254">
        <f>AQ84</f>
        <v>0</v>
      </c>
      <c r="AR92" s="258">
        <f>AR84</f>
        <v>216</v>
      </c>
      <c r="AS92" s="254">
        <f>AS84</f>
        <v>0</v>
      </c>
      <c r="AT92" s="254">
        <f t="shared" ref="AT92:AV92" si="175">AT84</f>
        <v>0</v>
      </c>
      <c r="AU92" s="254">
        <f t="shared" si="175"/>
        <v>0</v>
      </c>
      <c r="AV92" s="254">
        <f t="shared" si="175"/>
        <v>0</v>
      </c>
      <c r="AW92" s="254">
        <f>AW84</f>
        <v>216</v>
      </c>
      <c r="AX92" s="261" t="e">
        <f t="shared" ref="AX92" si="176">AX84</f>
        <v>#REF!</v>
      </c>
      <c r="AY92" s="253">
        <f>AY84</f>
        <v>0</v>
      </c>
      <c r="AZ92" s="254">
        <f>AZ84</f>
        <v>0</v>
      </c>
      <c r="BA92" s="254">
        <f>BA84</f>
        <v>0</v>
      </c>
      <c r="BB92" s="254">
        <f t="shared" ref="BB92:BE92" si="177">BB84</f>
        <v>0</v>
      </c>
      <c r="BC92" s="254">
        <f t="shared" si="177"/>
        <v>0</v>
      </c>
      <c r="BD92" s="254">
        <f t="shared" si="177"/>
        <v>0</v>
      </c>
      <c r="BE92" s="254">
        <f t="shared" si="177"/>
        <v>0</v>
      </c>
      <c r="BF92" s="254">
        <f>BF84</f>
        <v>0</v>
      </c>
      <c r="BG92" s="259"/>
    </row>
    <row r="93" spans="1:61" s="234" customFormat="1" hidden="1">
      <c r="A93" s="61"/>
      <c r="B93" s="799" t="s">
        <v>314</v>
      </c>
      <c r="C93" s="795"/>
      <c r="D93" s="795"/>
      <c r="E93" s="795"/>
      <c r="F93" s="795"/>
      <c r="G93" s="795"/>
      <c r="H93" s="820"/>
      <c r="I93" s="321"/>
      <c r="J93" s="282"/>
      <c r="K93" s="260">
        <f>K86</f>
        <v>0</v>
      </c>
      <c r="L93" s="260" t="str">
        <f>L86</f>
        <v>-</v>
      </c>
      <c r="M93" s="261">
        <f>M86</f>
        <v>0</v>
      </c>
      <c r="N93" s="261">
        <f t="shared" ref="N93:R93" si="178">N86</f>
        <v>0</v>
      </c>
      <c r="O93" s="261">
        <f t="shared" si="178"/>
        <v>0</v>
      </c>
      <c r="P93" s="261">
        <f t="shared" si="178"/>
        <v>0</v>
      </c>
      <c r="Q93" s="261">
        <f t="shared" si="178"/>
        <v>0</v>
      </c>
      <c r="R93" s="261">
        <f t="shared" si="178"/>
        <v>0</v>
      </c>
      <c r="S93" s="262">
        <f>S86</f>
        <v>0</v>
      </c>
      <c r="T93" s="489">
        <f t="shared" ref="T93:X93" si="179">T86</f>
        <v>0</v>
      </c>
      <c r="U93" s="254">
        <f t="shared" si="179"/>
        <v>0</v>
      </c>
      <c r="V93" s="254">
        <f t="shared" si="179"/>
        <v>0</v>
      </c>
      <c r="W93" s="254">
        <f t="shared" si="179"/>
        <v>0</v>
      </c>
      <c r="X93" s="254">
        <f t="shared" si="179"/>
        <v>0</v>
      </c>
      <c r="Y93" s="262">
        <f>Y84</f>
        <v>0</v>
      </c>
      <c r="Z93" s="489">
        <f t="shared" ref="Z93:AD93" si="180">Z86</f>
        <v>0</v>
      </c>
      <c r="AA93" s="254">
        <f t="shared" si="180"/>
        <v>0</v>
      </c>
      <c r="AB93" s="254">
        <f t="shared" si="180"/>
        <v>0</v>
      </c>
      <c r="AC93" s="254">
        <f t="shared" si="180"/>
        <v>0</v>
      </c>
      <c r="AD93" s="254">
        <f t="shared" si="180"/>
        <v>0</v>
      </c>
      <c r="AE93" s="261">
        <f>AE84</f>
        <v>0</v>
      </c>
      <c r="AF93" s="258">
        <f>SUM(AG93:AK93)</f>
        <v>0</v>
      </c>
      <c r="AG93" s="254">
        <f t="shared" ref="AG93:AJ93" si="181">AG86</f>
        <v>0</v>
      </c>
      <c r="AH93" s="254">
        <f t="shared" si="181"/>
        <v>0</v>
      </c>
      <c r="AI93" s="254">
        <f t="shared" si="181"/>
        <v>0</v>
      </c>
      <c r="AJ93" s="254">
        <f t="shared" si="181"/>
        <v>0</v>
      </c>
      <c r="AK93" s="262">
        <f>AK84</f>
        <v>0</v>
      </c>
      <c r="AL93" s="257">
        <f>SUM(AM93:AQ93)</f>
        <v>0</v>
      </c>
      <c r="AM93" s="254">
        <f t="shared" ref="AM93:AP93" si="182">AM86</f>
        <v>0</v>
      </c>
      <c r="AN93" s="254">
        <f t="shared" si="182"/>
        <v>0</v>
      </c>
      <c r="AO93" s="254">
        <f t="shared" si="182"/>
        <v>0</v>
      </c>
      <c r="AP93" s="254">
        <f t="shared" si="182"/>
        <v>0</v>
      </c>
      <c r="AQ93" s="261">
        <f>AQ84</f>
        <v>0</v>
      </c>
      <c r="AR93" s="493">
        <f t="shared" ref="AR93:AV93" si="183">AR86</f>
        <v>0</v>
      </c>
      <c r="AS93" s="254">
        <f t="shared" si="183"/>
        <v>0</v>
      </c>
      <c r="AT93" s="254">
        <f t="shared" si="183"/>
        <v>0</v>
      </c>
      <c r="AU93" s="254">
        <f t="shared" si="183"/>
        <v>0</v>
      </c>
      <c r="AV93" s="254">
        <f t="shared" si="183"/>
        <v>0</v>
      </c>
      <c r="AW93" s="261">
        <f>AW84</f>
        <v>216</v>
      </c>
      <c r="AX93" s="285"/>
      <c r="AY93" s="263">
        <f t="shared" ref="AY93:BE93" si="184">AY86</f>
        <v>0</v>
      </c>
      <c r="AZ93" s="254">
        <f t="shared" si="184"/>
        <v>0</v>
      </c>
      <c r="BA93" s="254">
        <f t="shared" si="184"/>
        <v>0</v>
      </c>
      <c r="BB93" s="254">
        <f t="shared" si="184"/>
        <v>0</v>
      </c>
      <c r="BC93" s="254">
        <f t="shared" si="184"/>
        <v>0</v>
      </c>
      <c r="BD93" s="254">
        <f t="shared" si="184"/>
        <v>0</v>
      </c>
      <c r="BE93" s="254">
        <f t="shared" si="184"/>
        <v>0</v>
      </c>
      <c r="BF93" s="262">
        <f>BF84</f>
        <v>0</v>
      </c>
      <c r="BG93" s="264"/>
      <c r="BH93" s="265"/>
      <c r="BI93" s="265"/>
    </row>
    <row r="94" spans="1:61">
      <c r="A94" s="266"/>
      <c r="B94" s="821" t="s">
        <v>233</v>
      </c>
      <c r="C94" s="822"/>
      <c r="D94" s="822"/>
      <c r="E94" s="822"/>
      <c r="F94" s="822"/>
      <c r="G94" s="822"/>
      <c r="H94" s="822"/>
      <c r="I94" s="322"/>
      <c r="J94" s="283"/>
      <c r="K94" s="267">
        <f>SUM(K90:K92)</f>
        <v>7142</v>
      </c>
      <c r="L94" s="267">
        <f>SUM(L90:L92)</f>
        <v>5616</v>
      </c>
      <c r="M94" s="268">
        <f>SUM(M90:M92)</f>
        <v>6242</v>
      </c>
      <c r="N94" s="268">
        <f t="shared" ref="N94:R94" si="185">SUM(N90:N92)</f>
        <v>2538</v>
      </c>
      <c r="O94" s="268">
        <f t="shared" si="185"/>
        <v>375</v>
      </c>
      <c r="P94" s="268">
        <f t="shared" si="185"/>
        <v>126</v>
      </c>
      <c r="Q94" s="268">
        <f t="shared" si="185"/>
        <v>57</v>
      </c>
      <c r="R94" s="268">
        <f t="shared" si="185"/>
        <v>1980</v>
      </c>
      <c r="S94" s="491">
        <f>SUM(S90:S92)</f>
        <v>3704</v>
      </c>
      <c r="T94" s="257">
        <f t="shared" ref="T94:Y94" si="186">SUM(T90:T92)</f>
        <v>936</v>
      </c>
      <c r="U94" s="254">
        <f t="shared" si="186"/>
        <v>122</v>
      </c>
      <c r="V94" s="254">
        <f t="shared" si="186"/>
        <v>38</v>
      </c>
      <c r="W94" s="254">
        <f t="shared" si="186"/>
        <v>0</v>
      </c>
      <c r="X94" s="254">
        <f t="shared" si="186"/>
        <v>0</v>
      </c>
      <c r="Y94" s="269">
        <f t="shared" si="186"/>
        <v>776</v>
      </c>
      <c r="Z94" s="257">
        <f t="shared" ref="Z94:AE94" si="187">SUM(Z90:Z92)</f>
        <v>1642</v>
      </c>
      <c r="AA94" s="254">
        <f t="shared" si="187"/>
        <v>142</v>
      </c>
      <c r="AB94" s="254">
        <f t="shared" si="187"/>
        <v>18</v>
      </c>
      <c r="AC94" s="254">
        <f t="shared" si="187"/>
        <v>0</v>
      </c>
      <c r="AD94" s="254">
        <f t="shared" si="187"/>
        <v>324</v>
      </c>
      <c r="AE94" s="254">
        <f t="shared" si="187"/>
        <v>1158</v>
      </c>
      <c r="AF94" s="258">
        <f t="shared" ref="AF94:AK94" si="188">SUM(AF90:AF92)</f>
        <v>1540</v>
      </c>
      <c r="AG94" s="254">
        <f t="shared" si="188"/>
        <v>118</v>
      </c>
      <c r="AH94" s="254">
        <f t="shared" si="188"/>
        <v>42</v>
      </c>
      <c r="AI94" s="254">
        <f t="shared" si="188"/>
        <v>0</v>
      </c>
      <c r="AJ94" s="254">
        <f t="shared" si="188"/>
        <v>396</v>
      </c>
      <c r="AK94" s="269">
        <f t="shared" si="188"/>
        <v>984</v>
      </c>
      <c r="AL94" s="257">
        <f t="shared" ref="AL94:AQ94" si="189">SUM(AL90:AL92)</f>
        <v>2062</v>
      </c>
      <c r="AM94" s="254">
        <f t="shared" si="189"/>
        <v>96</v>
      </c>
      <c r="AN94" s="254">
        <f t="shared" si="189"/>
        <v>42</v>
      </c>
      <c r="AO94" s="254">
        <f t="shared" si="189"/>
        <v>22</v>
      </c>
      <c r="AP94" s="254">
        <f t="shared" si="189"/>
        <v>828</v>
      </c>
      <c r="AQ94" s="254">
        <f t="shared" si="189"/>
        <v>1074</v>
      </c>
      <c r="AR94" s="258">
        <f t="shared" ref="AR94:AW94" si="190">SUM(AR90:AR92)</f>
        <v>1632</v>
      </c>
      <c r="AS94" s="254">
        <f t="shared" si="190"/>
        <v>41</v>
      </c>
      <c r="AT94" s="254">
        <f t="shared" si="190"/>
        <v>51</v>
      </c>
      <c r="AU94" s="254">
        <f t="shared" si="190"/>
        <v>68</v>
      </c>
      <c r="AV94" s="254">
        <f t="shared" si="190"/>
        <v>432</v>
      </c>
      <c r="AW94" s="254">
        <f t="shared" si="190"/>
        <v>1040</v>
      </c>
      <c r="AX94" s="284"/>
      <c r="AY94" s="253">
        <f t="shared" ref="AY94:BF94" si="191">SUM(AY90:AY92)</f>
        <v>0</v>
      </c>
      <c r="AZ94" s="254">
        <f t="shared" si="191"/>
        <v>0</v>
      </c>
      <c r="BA94" s="254">
        <f t="shared" si="191"/>
        <v>0</v>
      </c>
      <c r="BB94" s="254">
        <f t="shared" si="191"/>
        <v>0</v>
      </c>
      <c r="BC94" s="254">
        <f t="shared" si="191"/>
        <v>0</v>
      </c>
      <c r="BD94" s="254">
        <f t="shared" si="191"/>
        <v>0</v>
      </c>
      <c r="BE94" s="254">
        <f t="shared" si="191"/>
        <v>0</v>
      </c>
      <c r="BF94" s="269">
        <f t="shared" si="191"/>
        <v>0</v>
      </c>
      <c r="BG94" s="255"/>
    </row>
    <row r="95" spans="1:61">
      <c r="A95" s="266"/>
      <c r="B95" s="799" t="s">
        <v>273</v>
      </c>
      <c r="C95" s="795"/>
      <c r="D95" s="795"/>
      <c r="E95" s="795"/>
      <c r="F95" s="795"/>
      <c r="G95" s="795"/>
      <c r="H95" s="795"/>
      <c r="I95" s="795"/>
      <c r="J95" s="795"/>
      <c r="K95" s="795"/>
      <c r="L95" s="795"/>
      <c r="M95" s="786">
        <f>COUNTIF(M11:M15,"&gt;0")+COUNTIF(M17:M19,"&gt;0")+COUNTIF(M22:M28,"&gt;0")+COUNTIF(M32:M36,"&gt;0")+COUNTIF(M57:M60,"&gt;0")+COUNTIF(M63:M65,"&gt;0")+COUNTIF(M71:M71,"&gt;0")+COUNTIF(M68,"&gt;0")+COUNTIF(M52:M54,"&gt;0")+COUNTIF(M45:M50,"&gt;0")+COUNTIF(M38:M43,"&gt;0")</f>
        <v>41</v>
      </c>
      <c r="N95" s="787"/>
      <c r="O95" s="787"/>
      <c r="P95" s="787"/>
      <c r="Q95" s="787"/>
      <c r="R95" s="787"/>
      <c r="S95" s="787"/>
      <c r="T95" s="800">
        <f>COUNTIF(T11:T15,"&gt;0")+COUNTIF(T17:T19,"&gt;0")+COUNTIF(T22:T28,"&gt;0")+COUNTIF(T32:T36,"&gt;0")+COUNTIF(T64:T65,"&gt;0")+COUNTIF(T38:T43,"&gt;0")+COUNTIF(T58:T59,"&gt;0")+COUNTIF(T71:T71,"&gt;0")+COUNTIF(T45:T50,"&gt;0")+COUNTIF(T52:T54,"&gt;0")+COUNTIF(T68,"&gt;0")</f>
        <v>13</v>
      </c>
      <c r="U95" s="797"/>
      <c r="V95" s="797"/>
      <c r="W95" s="797"/>
      <c r="X95" s="797"/>
      <c r="Y95" s="797"/>
      <c r="Z95" s="800">
        <f>COUNTIF(Z11:Z15,"&gt;0")+COUNTIF(Z17:Z19,"&gt;0")+COUNTIF(Z22:Z28,"&gt;0")+COUNTIF(Z32:Z36,"&gt;0")+COUNTIF(Z64:Z65,"&gt;0")+COUNTIF(Z38:Z43,"&gt;0")+COUNTIF(Z58:Z59,"&gt;0")+COUNTIF(Z71:Z71,"&gt;0")+COUNTIF(Z45:Z50,"&gt;0")+COUNTIF(Z52:Z54,"&gt;0")+COUNTIF(Z68,"&gt;0")</f>
        <v>12</v>
      </c>
      <c r="AA95" s="797"/>
      <c r="AB95" s="797"/>
      <c r="AC95" s="797"/>
      <c r="AD95" s="797"/>
      <c r="AE95" s="801"/>
      <c r="AF95" s="797">
        <f>COUNTIF(AF11:AF15,"&gt;0")+COUNTIF(AF17:AF19,"&gt;0")+COUNTIF(AF22:AF28,"&gt;0")+COUNTIF(AF32:AF36,"&gt;0")+COUNTIF(AF64:AF65,"&gt;0")+COUNTIF(AF38:AF43,"&gt;0")+COUNTIF(AF58:AF59,"&gt;0")+COUNTIF(AF71:AF71,"&gt;0")+COUNTIF(AF45:AF50,"&gt;0")+COUNTIF(AF52:AF54,"&gt;0")+COUNTIF(AF68,"&gt;0")</f>
        <v>16</v>
      </c>
      <c r="AG95" s="797"/>
      <c r="AH95" s="797"/>
      <c r="AI95" s="797"/>
      <c r="AJ95" s="797"/>
      <c r="AK95" s="797"/>
      <c r="AL95" s="800">
        <f>COUNTIF(AL11:AL15,"&gt;0")+COUNTIF(AL17:AL19,"&gt;0")+COUNTIF(AL22:AL28,"&gt;0")+COUNTIF(AL32:AL36,"&gt;0")+COUNTIF(AL64:AL65,"&gt;0")+COUNTIF(AL38:AL43,"&gt;0")+COUNTIF(AL58:AL59,"&gt;0")+COUNTIF(AL71:AL71,"&gt;0")+COUNTIF(AL45:AL50,"&gt;0")+COUNTIF(AL52:AL54,"&gt;0")+COUNTIF(AL68,"&gt;0")</f>
        <v>14</v>
      </c>
      <c r="AM95" s="797"/>
      <c r="AN95" s="797"/>
      <c r="AO95" s="797"/>
      <c r="AP95" s="797"/>
      <c r="AQ95" s="801"/>
      <c r="AR95" s="797">
        <f>COUNTIF(AR11:AR15,"&gt;0")+COUNTIF(AR17:AR19,"&gt;0")+COUNTIF(AR22:AR28,"&gt;0")+COUNTIF(AR32:AR36,"&gt;0")+COUNTIF(AR64:AR65,"&gt;0")+COUNTIF(AR38:AR43,"&gt;0")+COUNTIF(AR58:AR59,"&gt;0")+COUNTIF(AR71:AR71,"&gt;0")+COUNTIF(AR45:AR50,"&gt;0")+COUNTIF(AR52:AR54,"&gt;0")+COUNTIF(AR68,"&gt;0")</f>
        <v>9</v>
      </c>
      <c r="AS95" s="797"/>
      <c r="AT95" s="797"/>
      <c r="AU95" s="797"/>
      <c r="AV95" s="797"/>
      <c r="AW95" s="801"/>
      <c r="AX95" s="486"/>
      <c r="AY95" s="796">
        <f>COUNTIF(AY11:AY15,"&gt;0")+COUNTIF(AY17:AY19,"&gt;0")+COUNTIF(AY22:AY28,"&gt;0")+COUNTIF(AY32:AY36,"&gt;0")+COUNTIF(AY64:AY65,"&gt;0")+COUNTIF(AY38:AY43,"&gt;0")+COUNTIF(AY58:AY59,"&gt;0")+COUNTIF(AY71:AY71,"&gt;0")+COUNTIF(AY45:AY50,"&gt;0")+COUNTIF(AY52:AY54,"&gt;0")+COUNTIF(AY68,"&gt;0")</f>
        <v>0</v>
      </c>
      <c r="AZ95" s="797"/>
      <c r="BA95" s="797"/>
      <c r="BB95" s="797"/>
      <c r="BC95" s="797"/>
      <c r="BD95" s="797"/>
      <c r="BE95" s="797"/>
      <c r="BF95" s="814"/>
      <c r="BG95" s="255"/>
    </row>
    <row r="96" spans="1:61">
      <c r="A96" s="266"/>
      <c r="B96" s="799" t="s">
        <v>88</v>
      </c>
      <c r="C96" s="795"/>
      <c r="D96" s="795"/>
      <c r="E96" s="795"/>
      <c r="F96" s="795"/>
      <c r="G96" s="795"/>
      <c r="H96" s="795"/>
      <c r="I96" s="795"/>
      <c r="J96" s="795"/>
      <c r="K96" s="795"/>
      <c r="L96" s="795"/>
      <c r="M96" s="815">
        <f>COUNTIF(M77:M80,"&gt;0")+COUNTIF(M82:M82,"&gt;0")</f>
        <v>2</v>
      </c>
      <c r="N96" s="816"/>
      <c r="O96" s="816"/>
      <c r="P96" s="816"/>
      <c r="Q96" s="816"/>
      <c r="R96" s="816"/>
      <c r="S96" s="817"/>
      <c r="T96" s="818">
        <f>COUNTIF(T77:T80,"&gt;0")+COUNTIF(T82:T82,"&gt;0")</f>
        <v>0</v>
      </c>
      <c r="U96" s="810"/>
      <c r="V96" s="810"/>
      <c r="W96" s="810"/>
      <c r="X96" s="810"/>
      <c r="Y96" s="796"/>
      <c r="Z96" s="818">
        <f>COUNTIF(Z77:Z80,"&gt;0")+COUNTIF(Z82:Z82,"&gt;0")</f>
        <v>1</v>
      </c>
      <c r="AA96" s="810"/>
      <c r="AB96" s="810"/>
      <c r="AC96" s="810"/>
      <c r="AD96" s="810"/>
      <c r="AE96" s="819"/>
      <c r="AF96" s="798">
        <f>COUNTIF(AF77:AF80,"&gt;0")+COUNTIF(AF82:AF82,"&gt;0")</f>
        <v>0</v>
      </c>
      <c r="AG96" s="810"/>
      <c r="AH96" s="810"/>
      <c r="AI96" s="810"/>
      <c r="AJ96" s="810"/>
      <c r="AK96" s="796"/>
      <c r="AL96" s="818">
        <f>COUNTIF(AL77:AL80,"&gt;0")+COUNTIF(AL82:AL82,"&gt;0")</f>
        <v>0</v>
      </c>
      <c r="AM96" s="810"/>
      <c r="AN96" s="810"/>
      <c r="AO96" s="810"/>
      <c r="AP96" s="810"/>
      <c r="AQ96" s="819"/>
      <c r="AR96" s="798">
        <f>COUNTIF(AR77:AR80,"&gt;0")+COUNTIF(AR82:AR82,"&gt;0")</f>
        <v>1</v>
      </c>
      <c r="AS96" s="810"/>
      <c r="AT96" s="810"/>
      <c r="AU96" s="810"/>
      <c r="AV96" s="810"/>
      <c r="AW96" s="819"/>
      <c r="AX96" s="486"/>
      <c r="AY96" s="810">
        <f>COUNTIF(AY77:AY80,"&gt;0")+COUNTIF(AY82:AY82,"&gt;0")</f>
        <v>0</v>
      </c>
      <c r="AZ96" s="810"/>
      <c r="BA96" s="810"/>
      <c r="BB96" s="810"/>
      <c r="BC96" s="810"/>
      <c r="BD96" s="810"/>
      <c r="BE96" s="810"/>
      <c r="BF96" s="796"/>
      <c r="BG96" s="255"/>
    </row>
    <row r="97" spans="1:59">
      <c r="A97" s="270"/>
      <c r="B97" s="794" t="s">
        <v>613</v>
      </c>
      <c r="C97" s="795"/>
      <c r="D97" s="795"/>
      <c r="E97" s="795"/>
      <c r="F97" s="795"/>
      <c r="G97" s="795"/>
      <c r="H97" s="795"/>
      <c r="I97" s="795"/>
      <c r="J97" s="795"/>
      <c r="K97" s="795"/>
      <c r="L97" s="795"/>
      <c r="M97" s="805">
        <f>M94/(W3+AJ3+AO3+AU3)</f>
        <v>41.6</v>
      </c>
      <c r="N97" s="806"/>
      <c r="O97" s="806"/>
      <c r="P97" s="806"/>
      <c r="Q97" s="806"/>
      <c r="R97" s="806"/>
      <c r="S97" s="807"/>
      <c r="T97" s="811">
        <f>T90/W3</f>
        <v>31.2</v>
      </c>
      <c r="U97" s="812"/>
      <c r="V97" s="812"/>
      <c r="W97" s="812"/>
      <c r="X97" s="812"/>
      <c r="Y97" s="802"/>
      <c r="Z97" s="811">
        <f>Z90/AC3</f>
        <v>43.9</v>
      </c>
      <c r="AA97" s="812"/>
      <c r="AB97" s="812"/>
      <c r="AC97" s="812"/>
      <c r="AD97" s="812"/>
      <c r="AE97" s="813"/>
      <c r="AF97" s="804">
        <f>AF90/AJ3</f>
        <v>28.6</v>
      </c>
      <c r="AG97" s="812"/>
      <c r="AH97" s="812"/>
      <c r="AI97" s="812"/>
      <c r="AJ97" s="812"/>
      <c r="AK97" s="802"/>
      <c r="AL97" s="811">
        <f>AL90/AO3</f>
        <v>30.9</v>
      </c>
      <c r="AM97" s="812"/>
      <c r="AN97" s="812"/>
      <c r="AO97" s="812"/>
      <c r="AP97" s="812"/>
      <c r="AQ97" s="813"/>
      <c r="AR97" s="804">
        <f>AR90/AU3</f>
        <v>24.6</v>
      </c>
      <c r="AS97" s="812"/>
      <c r="AT97" s="812"/>
      <c r="AU97" s="812"/>
      <c r="AV97" s="812"/>
      <c r="AW97" s="813"/>
      <c r="AX97" s="486"/>
      <c r="AY97" s="812">
        <f>AY94/BC3</f>
        <v>0</v>
      </c>
      <c r="AZ97" s="812"/>
      <c r="BA97" s="812"/>
      <c r="BB97" s="812"/>
      <c r="BC97" s="812"/>
      <c r="BD97" s="812"/>
      <c r="BE97" s="812"/>
      <c r="BF97" s="802"/>
      <c r="BG97" s="255"/>
    </row>
    <row r="98" spans="1:59">
      <c r="A98" s="271"/>
      <c r="B98" s="799" t="s">
        <v>271</v>
      </c>
      <c r="C98" s="795"/>
      <c r="D98" s="795"/>
      <c r="E98" s="795"/>
      <c r="F98" s="795"/>
      <c r="G98" s="795"/>
      <c r="H98" s="795"/>
      <c r="I98" s="795"/>
      <c r="J98" s="795"/>
      <c r="K98" s="795"/>
      <c r="L98" s="795"/>
      <c r="M98" s="805">
        <f>IF('Титул заочное обучение'!BD30=0,0,IF(M90=0,0,M90/(W3+AJ3+AO3+AU3)))</f>
        <v>27</v>
      </c>
      <c r="N98" s="806"/>
      <c r="O98" s="806"/>
      <c r="P98" s="806"/>
      <c r="Q98" s="806"/>
      <c r="R98" s="806"/>
      <c r="S98" s="807"/>
      <c r="T98" s="808">
        <f>SUM(U90:W90)/W3*6</f>
        <v>32</v>
      </c>
      <c r="U98" s="803"/>
      <c r="V98" s="803"/>
      <c r="W98" s="803"/>
      <c r="X98" s="803"/>
      <c r="Y98" s="803"/>
      <c r="Z98" s="808">
        <f>SUM(AA90:AC90)/AC3*6</f>
        <v>32</v>
      </c>
      <c r="AA98" s="803"/>
      <c r="AB98" s="803"/>
      <c r="AC98" s="803"/>
      <c r="AD98" s="803"/>
      <c r="AE98" s="809"/>
      <c r="AF98" s="803">
        <f>SUM(AG90:AI90)/AJ3*6</f>
        <v>24</v>
      </c>
      <c r="AG98" s="803"/>
      <c r="AH98" s="803"/>
      <c r="AI98" s="803"/>
      <c r="AJ98" s="803"/>
      <c r="AK98" s="803"/>
      <c r="AL98" s="808">
        <f>SUM(AM90:AO90)/AO3*6</f>
        <v>24</v>
      </c>
      <c r="AM98" s="803"/>
      <c r="AN98" s="803"/>
      <c r="AO98" s="803"/>
      <c r="AP98" s="803"/>
      <c r="AQ98" s="809"/>
      <c r="AR98" s="803">
        <f>SUM(AS90:AU90)/AU3*7</f>
        <v>28</v>
      </c>
      <c r="AS98" s="803"/>
      <c r="AT98" s="803"/>
      <c r="AU98" s="803"/>
      <c r="AV98" s="803"/>
      <c r="AW98" s="809"/>
      <c r="AX98" s="486"/>
      <c r="AY98" s="802">
        <f>SUM(BA90:BC90)/BC3*7</f>
        <v>0</v>
      </c>
      <c r="AZ98" s="803"/>
      <c r="BA98" s="803"/>
      <c r="BB98" s="803"/>
      <c r="BC98" s="803"/>
      <c r="BD98" s="803"/>
      <c r="BE98" s="803"/>
      <c r="BF98" s="804"/>
      <c r="BG98" s="255"/>
    </row>
    <row r="99" spans="1:59">
      <c r="A99" s="271"/>
      <c r="B99" s="799" t="s">
        <v>270</v>
      </c>
      <c r="C99" s="795"/>
      <c r="D99" s="795"/>
      <c r="E99" s="795"/>
      <c r="F99" s="795"/>
      <c r="G99" s="795"/>
      <c r="H99" s="795"/>
      <c r="I99" s="795"/>
      <c r="J99" s="795"/>
      <c r="K99" s="795"/>
      <c r="L99" s="795"/>
      <c r="M99" s="786">
        <f>T99+AF99+AL99+AR99</f>
        <v>11</v>
      </c>
      <c r="N99" s="787"/>
      <c r="O99" s="787"/>
      <c r="P99" s="787"/>
      <c r="Q99" s="787"/>
      <c r="R99" s="787"/>
      <c r="S99" s="787"/>
      <c r="T99" s="800">
        <f>COUNTIF($D$9:$D$73,"*1*")</f>
        <v>2</v>
      </c>
      <c r="U99" s="797"/>
      <c r="V99" s="797"/>
      <c r="W99" s="797"/>
      <c r="X99" s="797"/>
      <c r="Y99" s="797"/>
      <c r="Z99" s="800">
        <f>COUNTIF($D$9:$D$73,"*2*")</f>
        <v>3</v>
      </c>
      <c r="AA99" s="797"/>
      <c r="AB99" s="797"/>
      <c r="AC99" s="797"/>
      <c r="AD99" s="797"/>
      <c r="AE99" s="801"/>
      <c r="AF99" s="797">
        <f>COUNTIF($D$9:$D$73,"*3*")</f>
        <v>2</v>
      </c>
      <c r="AG99" s="797"/>
      <c r="AH99" s="797"/>
      <c r="AI99" s="797"/>
      <c r="AJ99" s="797"/>
      <c r="AK99" s="797"/>
      <c r="AL99" s="800">
        <f>COUNTIF($D$9:$D$73,"*4*")</f>
        <v>6</v>
      </c>
      <c r="AM99" s="797"/>
      <c r="AN99" s="797"/>
      <c r="AO99" s="797"/>
      <c r="AP99" s="797"/>
      <c r="AQ99" s="801"/>
      <c r="AR99" s="797">
        <f>COUNTIF($D$9:$D$73,"*5*")</f>
        <v>1</v>
      </c>
      <c r="AS99" s="797"/>
      <c r="AT99" s="797"/>
      <c r="AU99" s="797"/>
      <c r="AV99" s="797"/>
      <c r="AW99" s="801"/>
      <c r="AX99" s="487"/>
      <c r="AY99" s="796">
        <f>COUNTIF($D$9:$D$73,"*6*")</f>
        <v>0</v>
      </c>
      <c r="AZ99" s="797"/>
      <c r="BA99" s="797"/>
      <c r="BB99" s="797"/>
      <c r="BC99" s="797"/>
      <c r="BD99" s="797"/>
      <c r="BE99" s="797"/>
      <c r="BF99" s="798"/>
      <c r="BG99" s="272"/>
    </row>
    <row r="100" spans="1:59">
      <c r="A100" s="266"/>
      <c r="B100" s="799" t="s">
        <v>269</v>
      </c>
      <c r="C100" s="795"/>
      <c r="D100" s="795"/>
      <c r="E100" s="795"/>
      <c r="F100" s="795"/>
      <c r="G100" s="795"/>
      <c r="H100" s="795"/>
      <c r="I100" s="795"/>
      <c r="J100" s="795"/>
      <c r="K100" s="795"/>
      <c r="L100" s="795"/>
      <c r="M100" s="786">
        <f>T100+AF100+AL100+AR100</f>
        <v>28</v>
      </c>
      <c r="N100" s="787"/>
      <c r="O100" s="787"/>
      <c r="P100" s="787"/>
      <c r="Q100" s="787"/>
      <c r="R100" s="787"/>
      <c r="S100" s="787"/>
      <c r="T100" s="800">
        <f>COUNTIF($E$9:$E$73,"*1*")</f>
        <v>7</v>
      </c>
      <c r="U100" s="797"/>
      <c r="V100" s="797"/>
      <c r="W100" s="797"/>
      <c r="X100" s="797"/>
      <c r="Y100" s="797"/>
      <c r="Z100" s="800">
        <f>COUNTIF($E$9:$E$73,"*2*")</f>
        <v>4</v>
      </c>
      <c r="AA100" s="797"/>
      <c r="AB100" s="797"/>
      <c r="AC100" s="797"/>
      <c r="AD100" s="797"/>
      <c r="AE100" s="801"/>
      <c r="AF100" s="797">
        <f>COUNTIF($E$9:$E$73,"*3*")</f>
        <v>8</v>
      </c>
      <c r="AG100" s="797"/>
      <c r="AH100" s="797"/>
      <c r="AI100" s="797"/>
      <c r="AJ100" s="797"/>
      <c r="AK100" s="797"/>
      <c r="AL100" s="800">
        <f>COUNTIF($E$9:$E$73,"*4*")</f>
        <v>7</v>
      </c>
      <c r="AM100" s="797"/>
      <c r="AN100" s="797"/>
      <c r="AO100" s="797"/>
      <c r="AP100" s="797"/>
      <c r="AQ100" s="801"/>
      <c r="AR100" s="797">
        <f>COUNTIF($E$9:$E$73,"*5*")</f>
        <v>6</v>
      </c>
      <c r="AS100" s="797"/>
      <c r="AT100" s="797"/>
      <c r="AU100" s="797"/>
      <c r="AV100" s="797"/>
      <c r="AW100" s="801"/>
      <c r="AX100" s="487"/>
      <c r="AY100" s="796">
        <f>COUNTIF($E$9:$E$73,"*6*")</f>
        <v>0</v>
      </c>
      <c r="AZ100" s="797"/>
      <c r="BA100" s="797"/>
      <c r="BB100" s="797"/>
      <c r="BC100" s="797"/>
      <c r="BD100" s="797"/>
      <c r="BE100" s="797"/>
      <c r="BF100" s="798"/>
      <c r="BG100" s="272"/>
    </row>
    <row r="101" spans="1:59" hidden="1">
      <c r="A101" s="266"/>
      <c r="B101" s="799" t="s">
        <v>268</v>
      </c>
      <c r="C101" s="795"/>
      <c r="D101" s="795"/>
      <c r="E101" s="795"/>
      <c r="F101" s="795"/>
      <c r="G101" s="795"/>
      <c r="H101" s="795"/>
      <c r="I101" s="795"/>
      <c r="J101" s="795"/>
      <c r="K101" s="795"/>
      <c r="L101" s="795"/>
      <c r="M101" s="786">
        <f>T101+AF101+AL101+AR101</f>
        <v>5</v>
      </c>
      <c r="N101" s="787"/>
      <c r="O101" s="787"/>
      <c r="P101" s="787"/>
      <c r="Q101" s="787"/>
      <c r="R101" s="787"/>
      <c r="S101" s="787"/>
      <c r="T101" s="663">
        <f>COUNTIF($G$9:$G$72,"*1*")</f>
        <v>0</v>
      </c>
      <c r="U101" s="664"/>
      <c r="V101" s="664"/>
      <c r="W101" s="664"/>
      <c r="X101" s="664"/>
      <c r="Y101" s="664"/>
      <c r="Z101" s="663">
        <f>COUNTIF($G$9:$G$72,"*2*")</f>
        <v>0</v>
      </c>
      <c r="AA101" s="664"/>
      <c r="AB101" s="664"/>
      <c r="AC101" s="664"/>
      <c r="AD101" s="664"/>
      <c r="AE101" s="665"/>
      <c r="AF101" s="664">
        <f>COUNTIF($F$9:$F$73,"*3*")</f>
        <v>1</v>
      </c>
      <c r="AG101" s="664"/>
      <c r="AH101" s="664"/>
      <c r="AI101" s="664"/>
      <c r="AJ101" s="664"/>
      <c r="AK101" s="664"/>
      <c r="AL101" s="663">
        <f>COUNTIF($F$9:$F$73,"*4*")</f>
        <v>1</v>
      </c>
      <c r="AM101" s="664"/>
      <c r="AN101" s="664"/>
      <c r="AO101" s="664"/>
      <c r="AP101" s="664"/>
      <c r="AQ101" s="665"/>
      <c r="AR101" s="664">
        <f>COUNTIF($F$9:$F$73,"*5*")</f>
        <v>3</v>
      </c>
      <c r="AS101" s="664"/>
      <c r="AT101" s="664"/>
      <c r="AU101" s="664"/>
      <c r="AV101" s="664"/>
      <c r="AW101" s="665"/>
      <c r="AX101" s="487"/>
      <c r="AY101" s="662">
        <f>COUNTIF($F$9:$F$73,"*6*")</f>
        <v>0</v>
      </c>
      <c r="AZ101" s="664"/>
      <c r="BA101" s="664"/>
      <c r="BB101" s="664"/>
      <c r="BC101" s="664"/>
      <c r="BD101" s="664"/>
      <c r="BE101" s="664"/>
      <c r="BF101" s="793"/>
      <c r="BG101" s="272"/>
    </row>
    <row r="102" spans="1:59">
      <c r="A102" s="266"/>
      <c r="B102" s="794" t="s">
        <v>594</v>
      </c>
      <c r="C102" s="795"/>
      <c r="D102" s="795"/>
      <c r="E102" s="795"/>
      <c r="F102" s="795"/>
      <c r="G102" s="795"/>
      <c r="H102" s="795"/>
      <c r="I102" s="795"/>
      <c r="J102" s="795"/>
      <c r="K102" s="795"/>
      <c r="L102" s="795"/>
      <c r="M102" s="786">
        <f>T102+AF102+AL102+AR102</f>
        <v>3</v>
      </c>
      <c r="N102" s="787"/>
      <c r="O102" s="787"/>
      <c r="P102" s="787"/>
      <c r="Q102" s="787"/>
      <c r="R102" s="787"/>
      <c r="S102" s="787"/>
      <c r="T102" s="663">
        <f>COUNTIF($G$9:$G$73,"*1*")</f>
        <v>0</v>
      </c>
      <c r="U102" s="664"/>
      <c r="V102" s="664"/>
      <c r="W102" s="664"/>
      <c r="X102" s="664"/>
      <c r="Y102" s="664"/>
      <c r="Z102" s="663">
        <f>COUNTIF($G$9:$G$73,"*2*")</f>
        <v>0</v>
      </c>
      <c r="AA102" s="664"/>
      <c r="AB102" s="664"/>
      <c r="AC102" s="664"/>
      <c r="AD102" s="664"/>
      <c r="AE102" s="665"/>
      <c r="AF102" s="664">
        <f>COUNTIF($G$9:$G$73,"*3*")</f>
        <v>0</v>
      </c>
      <c r="AG102" s="664"/>
      <c r="AH102" s="664"/>
      <c r="AI102" s="664"/>
      <c r="AJ102" s="664"/>
      <c r="AK102" s="664"/>
      <c r="AL102" s="663">
        <f>COUNTIF($G$9:$G$73,"*4*")</f>
        <v>1</v>
      </c>
      <c r="AM102" s="664"/>
      <c r="AN102" s="664"/>
      <c r="AO102" s="664"/>
      <c r="AP102" s="664"/>
      <c r="AQ102" s="665"/>
      <c r="AR102" s="664">
        <f>COUNTIF($G$9:$G$73,"*5*")</f>
        <v>2</v>
      </c>
      <c r="AS102" s="664"/>
      <c r="AT102" s="664"/>
      <c r="AU102" s="664"/>
      <c r="AV102" s="664"/>
      <c r="AW102" s="665"/>
      <c r="AX102" s="487"/>
      <c r="AY102" s="662">
        <f>COUNTIF($G$9:$G$73,"*6*")</f>
        <v>0</v>
      </c>
      <c r="AZ102" s="664"/>
      <c r="BA102" s="664"/>
      <c r="BB102" s="664"/>
      <c r="BC102" s="664"/>
      <c r="BD102" s="664"/>
      <c r="BE102" s="664"/>
      <c r="BF102" s="793"/>
      <c r="BG102" s="272"/>
    </row>
    <row r="103" spans="1:59">
      <c r="A103" s="273"/>
      <c r="B103" s="794" t="s">
        <v>596</v>
      </c>
      <c r="C103" s="795"/>
      <c r="D103" s="795"/>
      <c r="E103" s="795"/>
      <c r="F103" s="795"/>
      <c r="G103" s="795"/>
      <c r="H103" s="795"/>
      <c r="I103" s="795"/>
      <c r="J103" s="795"/>
      <c r="K103" s="795"/>
      <c r="L103" s="795"/>
      <c r="M103" s="786">
        <f>T103+AF103+AL103+AR103</f>
        <v>22</v>
      </c>
      <c r="N103" s="787"/>
      <c r="O103" s="787"/>
      <c r="P103" s="787"/>
      <c r="Q103" s="787"/>
      <c r="R103" s="787"/>
      <c r="S103" s="787"/>
      <c r="T103" s="663">
        <f>COUNTIF($H$9:$H$72,"*1*")</f>
        <v>1</v>
      </c>
      <c r="U103" s="664"/>
      <c r="V103" s="664"/>
      <c r="W103" s="664"/>
      <c r="X103" s="664"/>
      <c r="Y103" s="664"/>
      <c r="Z103" s="663">
        <f>COUNTIF($H$9:$H$72,"*1*")</f>
        <v>1</v>
      </c>
      <c r="AA103" s="664"/>
      <c r="AB103" s="664"/>
      <c r="AC103" s="664"/>
      <c r="AD103" s="664"/>
      <c r="AE103" s="665"/>
      <c r="AF103" s="664">
        <f>COUNTIF($H$9:$H$73,"*3*")</f>
        <v>9</v>
      </c>
      <c r="AG103" s="664"/>
      <c r="AH103" s="664"/>
      <c r="AI103" s="664"/>
      <c r="AJ103" s="664"/>
      <c r="AK103" s="664"/>
      <c r="AL103" s="663">
        <f>COUNTIF($H$9:$H$73,"*4*")</f>
        <v>8</v>
      </c>
      <c r="AM103" s="664"/>
      <c r="AN103" s="664"/>
      <c r="AO103" s="664"/>
      <c r="AP103" s="664"/>
      <c r="AQ103" s="665"/>
      <c r="AR103" s="664">
        <f>COUNTIF($H$9:$H$73,"*5*")</f>
        <v>4</v>
      </c>
      <c r="AS103" s="664"/>
      <c r="AT103" s="664"/>
      <c r="AU103" s="664"/>
      <c r="AV103" s="664"/>
      <c r="AW103" s="665"/>
      <c r="AX103" s="487"/>
      <c r="AY103" s="662">
        <f>COUNTIF($H$9:$H$73,"*6*")</f>
        <v>0</v>
      </c>
      <c r="AZ103" s="664"/>
      <c r="BA103" s="664"/>
      <c r="BB103" s="664"/>
      <c r="BC103" s="664"/>
      <c r="BD103" s="664"/>
      <c r="BE103" s="664"/>
      <c r="BF103" s="793"/>
      <c r="BG103" s="272"/>
    </row>
    <row r="106" spans="1:59" hidden="1">
      <c r="A106" s="766" t="s">
        <v>296</v>
      </c>
      <c r="B106" s="766"/>
      <c r="C106" s="765" t="s">
        <v>297</v>
      </c>
      <c r="D106" s="765"/>
      <c r="E106" s="765" t="s">
        <v>318</v>
      </c>
      <c r="F106" s="765"/>
    </row>
    <row r="107" spans="1:59" hidden="1">
      <c r="A107" s="64">
        <v>1</v>
      </c>
      <c r="B107" s="64">
        <v>11</v>
      </c>
      <c r="C107" s="65">
        <v>2</v>
      </c>
      <c r="D107" s="66" t="s">
        <v>41</v>
      </c>
      <c r="E107" s="65">
        <v>2</v>
      </c>
      <c r="F107" s="66" t="s">
        <v>40</v>
      </c>
    </row>
    <row r="108" spans="1:59" ht="51" hidden="1">
      <c r="A108" s="64" t="s">
        <v>276</v>
      </c>
      <c r="B108" s="64" t="s">
        <v>155</v>
      </c>
      <c r="C108" s="64" t="s">
        <v>7</v>
      </c>
      <c r="D108" s="67" t="s">
        <v>299</v>
      </c>
      <c r="E108" s="64" t="s">
        <v>7</v>
      </c>
      <c r="F108" s="67" t="s">
        <v>299</v>
      </c>
    </row>
    <row r="109" spans="1:59" hidden="1">
      <c r="A109" s="64">
        <v>1</v>
      </c>
      <c r="B109" s="64">
        <v>21</v>
      </c>
      <c r="C109" s="65">
        <v>2</v>
      </c>
      <c r="D109" s="66" t="s">
        <v>41</v>
      </c>
      <c r="E109" s="65">
        <v>2</v>
      </c>
      <c r="F109" s="66" t="s">
        <v>40</v>
      </c>
    </row>
    <row r="110" spans="1:59" ht="51" hidden="1">
      <c r="A110" s="64" t="s">
        <v>276</v>
      </c>
      <c r="B110" s="64" t="s">
        <v>155</v>
      </c>
      <c r="C110" s="64" t="s">
        <v>7</v>
      </c>
      <c r="D110" s="67" t="s">
        <v>300</v>
      </c>
      <c r="E110" s="64" t="s">
        <v>7</v>
      </c>
      <c r="F110" s="67" t="s">
        <v>300</v>
      </c>
    </row>
    <row r="111" spans="1:59" hidden="1">
      <c r="A111" s="64">
        <v>1</v>
      </c>
      <c r="B111" s="64">
        <v>30</v>
      </c>
      <c r="C111" s="65">
        <v>2</v>
      </c>
      <c r="D111" s="66" t="s">
        <v>41</v>
      </c>
      <c r="E111" s="65">
        <v>2</v>
      </c>
      <c r="F111" s="66" t="s">
        <v>40</v>
      </c>
    </row>
    <row r="112" spans="1:59" ht="51" hidden="1">
      <c r="A112" s="64" t="s">
        <v>276</v>
      </c>
      <c r="B112" s="64" t="s">
        <v>155</v>
      </c>
      <c r="C112" s="64" t="s">
        <v>7</v>
      </c>
      <c r="D112" s="67" t="s">
        <v>301</v>
      </c>
      <c r="E112" s="64" t="s">
        <v>7</v>
      </c>
      <c r="F112" s="67" t="s">
        <v>301</v>
      </c>
    </row>
    <row r="113" spans="1:6" hidden="1">
      <c r="A113" s="64">
        <v>1</v>
      </c>
      <c r="B113" s="64">
        <v>39</v>
      </c>
      <c r="C113" s="65">
        <v>2</v>
      </c>
      <c r="D113" s="66" t="s">
        <v>41</v>
      </c>
      <c r="E113" s="65">
        <v>2</v>
      </c>
      <c r="F113" s="66" t="s">
        <v>40</v>
      </c>
    </row>
    <row r="114" spans="1:6" ht="51" hidden="1">
      <c r="A114" s="64" t="s">
        <v>276</v>
      </c>
      <c r="B114" s="64" t="s">
        <v>155</v>
      </c>
      <c r="C114" s="64" t="s">
        <v>7</v>
      </c>
      <c r="D114" s="67" t="s">
        <v>302</v>
      </c>
      <c r="E114" s="64" t="s">
        <v>7</v>
      </c>
      <c r="F114" s="67" t="s">
        <v>302</v>
      </c>
    </row>
    <row r="115" spans="1:6" hidden="1">
      <c r="A115" s="64">
        <v>1</v>
      </c>
      <c r="B115" s="64">
        <v>48</v>
      </c>
      <c r="C115" s="65">
        <v>2</v>
      </c>
      <c r="D115" s="66" t="s">
        <v>41</v>
      </c>
      <c r="E115" s="65">
        <v>2</v>
      </c>
      <c r="F115" s="66" t="s">
        <v>40</v>
      </c>
    </row>
    <row r="116" spans="1:6" ht="51" hidden="1">
      <c r="A116" s="64" t="s">
        <v>276</v>
      </c>
      <c r="B116" s="64" t="s">
        <v>155</v>
      </c>
      <c r="C116" s="64" t="s">
        <v>7</v>
      </c>
      <c r="D116" s="67" t="s">
        <v>303</v>
      </c>
      <c r="E116" s="64" t="s">
        <v>7</v>
      </c>
      <c r="F116" s="67" t="s">
        <v>303</v>
      </c>
    </row>
    <row r="117" spans="1:6" hidden="1">
      <c r="A117" s="64">
        <v>1</v>
      </c>
      <c r="B117" s="64">
        <v>57</v>
      </c>
      <c r="C117" s="65">
        <v>2</v>
      </c>
      <c r="D117" s="66" t="s">
        <v>41</v>
      </c>
      <c r="E117" s="65">
        <v>2</v>
      </c>
      <c r="F117" s="66" t="s">
        <v>40</v>
      </c>
    </row>
    <row r="118" spans="1:6" ht="51" hidden="1">
      <c r="A118" s="64" t="s">
        <v>276</v>
      </c>
      <c r="B118" s="64" t="s">
        <v>155</v>
      </c>
      <c r="C118" s="64" t="s">
        <v>7</v>
      </c>
      <c r="D118" s="67" t="s">
        <v>304</v>
      </c>
      <c r="E118" s="64" t="s">
        <v>7</v>
      </c>
      <c r="F118" s="67" t="s">
        <v>304</v>
      </c>
    </row>
    <row r="119" spans="1:6" hidden="1">
      <c r="A119" s="64">
        <v>1</v>
      </c>
      <c r="B119" s="64">
        <v>66</v>
      </c>
      <c r="C119" s="65">
        <v>2</v>
      </c>
      <c r="D119" s="66" t="s">
        <v>41</v>
      </c>
      <c r="E119" s="65">
        <v>2</v>
      </c>
      <c r="F119" s="66" t="s">
        <v>40</v>
      </c>
    </row>
    <row r="120" spans="1:6" ht="51" hidden="1">
      <c r="A120" s="64" t="s">
        <v>276</v>
      </c>
      <c r="B120" s="64" t="s">
        <v>155</v>
      </c>
      <c r="C120" s="64" t="s">
        <v>7</v>
      </c>
      <c r="D120" s="67" t="s">
        <v>305</v>
      </c>
      <c r="E120" s="64" t="s">
        <v>7</v>
      </c>
      <c r="F120" s="67" t="s">
        <v>305</v>
      </c>
    </row>
    <row r="121" spans="1:6" hidden="1">
      <c r="A121" s="64">
        <v>1</v>
      </c>
      <c r="B121" s="64">
        <v>75</v>
      </c>
      <c r="C121" s="65">
        <v>2</v>
      </c>
      <c r="D121" s="66" t="s">
        <v>41</v>
      </c>
      <c r="E121" s="65">
        <v>2</v>
      </c>
      <c r="F121" s="66" t="s">
        <v>40</v>
      </c>
    </row>
    <row r="122" spans="1:6" ht="51" hidden="1">
      <c r="A122" s="64" t="s">
        <v>276</v>
      </c>
      <c r="B122" s="64" t="s">
        <v>155</v>
      </c>
      <c r="C122" s="64" t="s">
        <v>7</v>
      </c>
      <c r="D122" s="67" t="s">
        <v>306</v>
      </c>
      <c r="E122" s="64" t="s">
        <v>7</v>
      </c>
      <c r="F122" s="67" t="s">
        <v>306</v>
      </c>
    </row>
    <row r="123" spans="1:6" hidden="1">
      <c r="A123" s="64">
        <v>1</v>
      </c>
      <c r="B123" s="64">
        <v>84</v>
      </c>
      <c r="C123" s="65">
        <v>2</v>
      </c>
      <c r="D123" s="66" t="s">
        <v>41</v>
      </c>
      <c r="E123" s="65">
        <v>2</v>
      </c>
      <c r="F123" s="66" t="s">
        <v>40</v>
      </c>
    </row>
    <row r="124" spans="1:6" ht="51" hidden="1">
      <c r="A124" s="64" t="s">
        <v>276</v>
      </c>
      <c r="B124" s="64" t="s">
        <v>155</v>
      </c>
      <c r="C124" s="64" t="s">
        <v>7</v>
      </c>
      <c r="D124" s="67" t="s">
        <v>307</v>
      </c>
      <c r="E124" s="64" t="s">
        <v>7</v>
      </c>
      <c r="F124" s="67" t="s">
        <v>307</v>
      </c>
    </row>
    <row r="125" spans="1:6" hidden="1">
      <c r="A125" s="64">
        <v>1</v>
      </c>
      <c r="B125" s="64">
        <v>93</v>
      </c>
      <c r="C125" s="65">
        <v>2</v>
      </c>
      <c r="D125" s="66" t="s">
        <v>41</v>
      </c>
      <c r="E125" s="65">
        <v>2</v>
      </c>
      <c r="F125" s="66" t="s">
        <v>40</v>
      </c>
    </row>
    <row r="126" spans="1:6" ht="51" hidden="1">
      <c r="A126" s="64" t="s">
        <v>276</v>
      </c>
      <c r="B126" s="64" t="s">
        <v>155</v>
      </c>
      <c r="C126" s="64" t="s">
        <v>7</v>
      </c>
      <c r="D126" s="67" t="s">
        <v>308</v>
      </c>
      <c r="E126" s="64" t="s">
        <v>7</v>
      </c>
      <c r="F126" s="67" t="s">
        <v>308</v>
      </c>
    </row>
    <row r="127" spans="1:6" hidden="1">
      <c r="A127" s="64">
        <v>1</v>
      </c>
      <c r="B127" s="64">
        <v>102</v>
      </c>
      <c r="C127" s="62"/>
    </row>
    <row r="128" spans="1:6" hidden="1">
      <c r="A128" s="64" t="s">
        <v>276</v>
      </c>
      <c r="B128" s="64" t="s">
        <v>155</v>
      </c>
      <c r="C128" s="62"/>
    </row>
  </sheetData>
  <sheetProtection password="CC6B" sheet="1" objects="1" scenarios="1" selectLockedCells="1" sort="0" autoFilter="0" pivotTables="0" selectUnlockedCells="1"/>
  <autoFilter ref="A8:BL86">
    <filterColumn colId="8"/>
  </autoFilter>
  <mergeCells count="169">
    <mergeCell ref="B30:H30"/>
    <mergeCell ref="B29:H29"/>
    <mergeCell ref="B21:H21"/>
    <mergeCell ref="B20:H20"/>
    <mergeCell ref="B16:H16"/>
    <mergeCell ref="B10:H10"/>
    <mergeCell ref="B9:H9"/>
    <mergeCell ref="AR6:AT6"/>
    <mergeCell ref="AL6:AN6"/>
    <mergeCell ref="AF6:AH6"/>
    <mergeCell ref="Z6:AB6"/>
    <mergeCell ref="T6:V6"/>
    <mergeCell ref="O3:R3"/>
    <mergeCell ref="S3:S7"/>
    <mergeCell ref="T3:U3"/>
    <mergeCell ref="A1:A7"/>
    <mergeCell ref="B1:B7"/>
    <mergeCell ref="C1:C7"/>
    <mergeCell ref="D1:H2"/>
    <mergeCell ref="K1:L6"/>
    <mergeCell ref="M1:S1"/>
    <mergeCell ref="U1:AX1"/>
    <mergeCell ref="AL3:AM3"/>
    <mergeCell ref="AO3:AP3"/>
    <mergeCell ref="AR3:AS3"/>
    <mergeCell ref="D3:D7"/>
    <mergeCell ref="E3:E7"/>
    <mergeCell ref="T2:Y2"/>
    <mergeCell ref="Z2:AE2"/>
    <mergeCell ref="AR5:AS5"/>
    <mergeCell ref="AL5:AM5"/>
    <mergeCell ref="AF5:AG5"/>
    <mergeCell ref="Z5:AA5"/>
    <mergeCell ref="T5:U5"/>
    <mergeCell ref="BH1:BH7"/>
    <mergeCell ref="BI1:BI7"/>
    <mergeCell ref="G3:G7"/>
    <mergeCell ref="H3:H7"/>
    <mergeCell ref="N3:N7"/>
    <mergeCell ref="M2:M7"/>
    <mergeCell ref="N2:S2"/>
    <mergeCell ref="AF2:AK2"/>
    <mergeCell ref="AL2:AQ2"/>
    <mergeCell ref="AU3:AV3"/>
    <mergeCell ref="AY3:BA3"/>
    <mergeCell ref="BC3:BE3"/>
    <mergeCell ref="O4:O7"/>
    <mergeCell ref="P4:P7"/>
    <mergeCell ref="Q4:Q7"/>
    <mergeCell ref="R4:R7"/>
    <mergeCell ref="T4:U4"/>
    <mergeCell ref="W4:X4"/>
    <mergeCell ref="W3:X3"/>
    <mergeCell ref="AF3:AG3"/>
    <mergeCell ref="AJ3:AK3"/>
    <mergeCell ref="AR2:AW2"/>
    <mergeCell ref="AZ6:BD6"/>
    <mergeCell ref="AY4:BA4"/>
    <mergeCell ref="BC4:BE4"/>
    <mergeCell ref="AZ5:BA5"/>
    <mergeCell ref="AF4:AG4"/>
    <mergeCell ref="AJ4:AK4"/>
    <mergeCell ref="AL4:AM4"/>
    <mergeCell ref="AO4:AP4"/>
    <mergeCell ref="AR4:AS4"/>
    <mergeCell ref="AU4:AV4"/>
    <mergeCell ref="B92:H92"/>
    <mergeCell ref="B84:H84"/>
    <mergeCell ref="B73:H73"/>
    <mergeCell ref="B70:H70"/>
    <mergeCell ref="B67:H67"/>
    <mergeCell ref="B62:H62"/>
    <mergeCell ref="B56:H56"/>
    <mergeCell ref="B51:H51"/>
    <mergeCell ref="B44:H44"/>
    <mergeCell ref="B37:H37"/>
    <mergeCell ref="A72:B72"/>
    <mergeCell ref="A69:B69"/>
    <mergeCell ref="A66:B66"/>
    <mergeCell ref="A61:B61"/>
    <mergeCell ref="A55:B55"/>
    <mergeCell ref="B31:H31"/>
    <mergeCell ref="B93:H93"/>
    <mergeCell ref="B94:H94"/>
    <mergeCell ref="B95:L95"/>
    <mergeCell ref="M95:S95"/>
    <mergeCell ref="T95:Y95"/>
    <mergeCell ref="A88:C88"/>
    <mergeCell ref="A89:C89"/>
    <mergeCell ref="B90:H90"/>
    <mergeCell ref="B91:H91"/>
    <mergeCell ref="AY96:BF96"/>
    <mergeCell ref="B97:L97"/>
    <mergeCell ref="M97:S97"/>
    <mergeCell ref="T97:Y97"/>
    <mergeCell ref="AF97:AK97"/>
    <mergeCell ref="AL97:AQ97"/>
    <mergeCell ref="AR97:AW97"/>
    <mergeCell ref="AY97:BF97"/>
    <mergeCell ref="AF95:AK95"/>
    <mergeCell ref="AL95:AQ95"/>
    <mergeCell ref="AR95:AW95"/>
    <mergeCell ref="AY95:BF95"/>
    <mergeCell ref="B96:L96"/>
    <mergeCell ref="M96:S96"/>
    <mergeCell ref="T96:Y96"/>
    <mergeCell ref="AF96:AK96"/>
    <mergeCell ref="AL96:AQ96"/>
    <mergeCell ref="AR96:AW96"/>
    <mergeCell ref="Z95:AE95"/>
    <mergeCell ref="Z96:AE96"/>
    <mergeCell ref="Z97:AE97"/>
    <mergeCell ref="AY98:BF98"/>
    <mergeCell ref="B99:L99"/>
    <mergeCell ref="M99:S99"/>
    <mergeCell ref="T99:Y99"/>
    <mergeCell ref="AF99:AK99"/>
    <mergeCell ref="AL99:AQ99"/>
    <mergeCell ref="AR99:AW99"/>
    <mergeCell ref="AY99:BF99"/>
    <mergeCell ref="B98:L98"/>
    <mergeCell ref="M98:S98"/>
    <mergeCell ref="T98:Y98"/>
    <mergeCell ref="AF98:AK98"/>
    <mergeCell ref="AL98:AQ98"/>
    <mergeCell ref="AR98:AW98"/>
    <mergeCell ref="Z98:AE98"/>
    <mergeCell ref="Z99:AE99"/>
    <mergeCell ref="AF102:AK102"/>
    <mergeCell ref="AL102:AQ102"/>
    <mergeCell ref="AR102:AW102"/>
    <mergeCell ref="AY100:BF100"/>
    <mergeCell ref="B101:L101"/>
    <mergeCell ref="AF101:AK101"/>
    <mergeCell ref="AL101:AQ101"/>
    <mergeCell ref="AR101:AW101"/>
    <mergeCell ref="AY101:BF101"/>
    <mergeCell ref="Z101:AE101"/>
    <mergeCell ref="B100:L100"/>
    <mergeCell ref="M100:S100"/>
    <mergeCell ref="T100:Y100"/>
    <mergeCell ref="AF100:AK100"/>
    <mergeCell ref="AL100:AQ100"/>
    <mergeCell ref="AR100:AW100"/>
    <mergeCell ref="Z100:AE100"/>
    <mergeCell ref="A106:B106"/>
    <mergeCell ref="C106:D106"/>
    <mergeCell ref="E106:F106"/>
    <mergeCell ref="M101:S101"/>
    <mergeCell ref="T101:Y101"/>
    <mergeCell ref="AX2:BG2"/>
    <mergeCell ref="J1:J7"/>
    <mergeCell ref="Z3:AA3"/>
    <mergeCell ref="AC3:AD3"/>
    <mergeCell ref="Z4:AA4"/>
    <mergeCell ref="AC4:AD4"/>
    <mergeCell ref="AY102:BF102"/>
    <mergeCell ref="B103:L103"/>
    <mergeCell ref="M103:S103"/>
    <mergeCell ref="T103:Y103"/>
    <mergeCell ref="AF103:AK103"/>
    <mergeCell ref="AL103:AQ103"/>
    <mergeCell ref="AR103:AW103"/>
    <mergeCell ref="AY103:BF103"/>
    <mergeCell ref="Z102:AE102"/>
    <mergeCell ref="Z103:AE103"/>
    <mergeCell ref="B102:L102"/>
    <mergeCell ref="M102:S102"/>
    <mergeCell ref="T102:Y102"/>
  </mergeCells>
  <conditionalFormatting sqref="BH17:BH19 BH22:BH28 BH32:BH36 BH51:BH55 BH11:BH15 BH77:BH84 BH62:BH75">
    <cfRule type="expression" dxfId="3" priority="1" stopIfTrue="1">
      <formula>AND(M11&gt;0,BH11=0)</formula>
    </cfRule>
    <cfRule type="expression" dxfId="2" priority="2" stopIfTrue="1">
      <formula>AND(M11=0,BH11&lt;&gt;0)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86"/>
  <sheetViews>
    <sheetView showZeros="0" topLeftCell="A2" zoomScale="90" zoomScaleNormal="90" workbookViewId="0">
      <pane xSplit="11" ySplit="8" topLeftCell="L79" activePane="bottomRight" state="frozen"/>
      <selection activeCell="A2" sqref="A2"/>
      <selection pane="topRight" activeCell="L2" sqref="L2"/>
      <selection pane="bottomLeft" activeCell="A10" sqref="A10"/>
      <selection pane="bottomRight" activeCell="K75" sqref="K75"/>
    </sheetView>
  </sheetViews>
  <sheetFormatPr defaultRowHeight="12.75"/>
  <cols>
    <col min="1" max="1" width="16.1640625" customWidth="1"/>
    <col min="2" max="2" width="0" hidden="1" customWidth="1"/>
    <col min="8" max="8" width="9.33203125" style="279"/>
  </cols>
  <sheetData>
    <row r="1" spans="1:13" s="229" customFormat="1" ht="13.5" hidden="1" thickBot="1">
      <c r="H1" s="279"/>
    </row>
    <row r="2" spans="1:13" ht="12.75" customHeight="1" thickBot="1">
      <c r="A2" s="857" t="s">
        <v>74</v>
      </c>
      <c r="B2" s="857" t="s">
        <v>75</v>
      </c>
      <c r="C2" s="856" t="s">
        <v>4</v>
      </c>
      <c r="D2" s="856"/>
      <c r="E2" s="856"/>
      <c r="F2" s="856"/>
      <c r="G2" s="856"/>
      <c r="I2" s="856" t="s">
        <v>4</v>
      </c>
      <c r="J2" s="856"/>
      <c r="K2" s="856"/>
      <c r="L2" s="856"/>
      <c r="M2" s="856"/>
    </row>
    <row r="3" spans="1:13" ht="13.5" thickBot="1">
      <c r="A3" s="857"/>
      <c r="B3" s="857"/>
      <c r="C3" s="856"/>
      <c r="D3" s="856"/>
      <c r="E3" s="856"/>
      <c r="F3" s="856"/>
      <c r="G3" s="856"/>
      <c r="I3" s="856"/>
      <c r="J3" s="856"/>
      <c r="K3" s="856"/>
      <c r="L3" s="856"/>
      <c r="M3" s="856"/>
    </row>
    <row r="4" spans="1:13" ht="12.75" customHeight="1" thickBot="1">
      <c r="A4" s="857"/>
      <c r="B4" s="857"/>
      <c r="C4" s="855" t="s">
        <v>65</v>
      </c>
      <c r="D4" s="855" t="s">
        <v>66</v>
      </c>
      <c r="E4" s="855" t="s">
        <v>67</v>
      </c>
      <c r="F4" s="855" t="s">
        <v>68</v>
      </c>
      <c r="G4" s="855" t="s">
        <v>69</v>
      </c>
      <c r="I4" s="855" t="s">
        <v>65</v>
      </c>
      <c r="J4" s="855" t="s">
        <v>66</v>
      </c>
      <c r="K4" s="855" t="s">
        <v>67</v>
      </c>
      <c r="L4" s="855" t="s">
        <v>68</v>
      </c>
      <c r="M4" s="855" t="s">
        <v>69</v>
      </c>
    </row>
    <row r="5" spans="1:13" ht="12.75" customHeight="1" thickBot="1">
      <c r="A5" s="857"/>
      <c r="B5" s="857"/>
      <c r="C5" s="855"/>
      <c r="D5" s="855"/>
      <c r="E5" s="855"/>
      <c r="F5" s="855"/>
      <c r="G5" s="855"/>
      <c r="I5" s="855"/>
      <c r="J5" s="855"/>
      <c r="K5" s="855"/>
      <c r="L5" s="855"/>
      <c r="M5" s="855"/>
    </row>
    <row r="6" spans="1:13" ht="13.5" thickBot="1">
      <c r="A6" s="857"/>
      <c r="B6" s="857"/>
      <c r="C6" s="855"/>
      <c r="D6" s="855"/>
      <c r="E6" s="855"/>
      <c r="F6" s="855"/>
      <c r="G6" s="855"/>
      <c r="I6" s="855"/>
      <c r="J6" s="855"/>
      <c r="K6" s="855"/>
      <c r="L6" s="855"/>
      <c r="M6" s="855"/>
    </row>
    <row r="7" spans="1:13" ht="13.5" thickBot="1">
      <c r="A7" s="857"/>
      <c r="B7" s="857"/>
      <c r="C7" s="855"/>
      <c r="D7" s="855"/>
      <c r="E7" s="855"/>
      <c r="F7" s="855"/>
      <c r="G7" s="855"/>
      <c r="I7" s="855"/>
      <c r="J7" s="855"/>
      <c r="K7" s="855"/>
      <c r="L7" s="855"/>
      <c r="M7" s="855"/>
    </row>
    <row r="8" spans="1:13" ht="13.5" thickBot="1">
      <c r="A8" s="857"/>
      <c r="B8" s="857"/>
      <c r="C8" s="855"/>
      <c r="D8" s="855"/>
      <c r="E8" s="855"/>
      <c r="F8" s="855"/>
      <c r="G8" s="855"/>
      <c r="I8" s="855"/>
      <c r="J8" s="855"/>
      <c r="K8" s="855"/>
      <c r="L8" s="855"/>
      <c r="M8" s="855"/>
    </row>
    <row r="9" spans="1:13" ht="39" thickBot="1">
      <c r="A9" s="275" t="str">
        <f>'Учебный план'!B27</f>
        <v>Обязательная часть циклов ППССЗ</v>
      </c>
      <c r="B9" s="275">
        <f>'Учебный план'!C27</f>
        <v>0</v>
      </c>
      <c r="C9" s="275">
        <f>'Учебный план'!D27</f>
        <v>0</v>
      </c>
      <c r="D9" s="275">
        <f>'Учебный план'!E27</f>
        <v>0</v>
      </c>
      <c r="E9" s="275">
        <f>'Учебный план'!G27</f>
        <v>0</v>
      </c>
      <c r="F9" s="275" t="e">
        <f>'Учебный план'!#REF!</f>
        <v>#REF!</v>
      </c>
      <c r="G9" s="275">
        <f>'Учебный план'!H27</f>
        <v>0</v>
      </c>
      <c r="H9" s="280"/>
      <c r="I9" s="276">
        <f>'УП заочное обучение'!D9</f>
        <v>0</v>
      </c>
      <c r="J9" s="276">
        <f>'УП заочное обучение'!E9</f>
        <v>0</v>
      </c>
      <c r="K9" s="276">
        <f>'УП заочное обучение'!F9</f>
        <v>0</v>
      </c>
      <c r="L9" s="276">
        <f>'УП заочное обучение'!G9</f>
        <v>0</v>
      </c>
      <c r="M9" s="276">
        <f>'УП заочное обучение'!H9</f>
        <v>0</v>
      </c>
    </row>
    <row r="10" spans="1:13" ht="64.5" thickBot="1">
      <c r="A10" s="275" t="str">
        <f>'Учебный план'!B28</f>
        <v>Общий гумманитарный и социально-экономический цикл</v>
      </c>
      <c r="B10" s="275">
        <f>'Учебный план'!C28</f>
        <v>0</v>
      </c>
      <c r="C10" s="275">
        <f>'Учебный план'!D28</f>
        <v>0</v>
      </c>
      <c r="D10" s="275">
        <f>'Учебный план'!E28</f>
        <v>0</v>
      </c>
      <c r="E10" s="275">
        <f>'Учебный план'!G28</f>
        <v>0</v>
      </c>
      <c r="F10" s="275" t="e">
        <f>'Учебный план'!#REF!</f>
        <v>#REF!</v>
      </c>
      <c r="G10" s="275">
        <f>'Учебный план'!H28</f>
        <v>0</v>
      </c>
      <c r="H10" s="280"/>
      <c r="I10" s="276">
        <f>'УП заочное обучение'!D10</f>
        <v>0</v>
      </c>
      <c r="J10" s="276">
        <f>'УП заочное обучение'!E10</f>
        <v>0</v>
      </c>
      <c r="K10" s="276">
        <f>'УП заочное обучение'!F10</f>
        <v>0</v>
      </c>
      <c r="L10" s="276">
        <f>'УП заочное обучение'!G10</f>
        <v>0</v>
      </c>
      <c r="M10" s="276">
        <f>'УП заочное обучение'!H10</f>
        <v>0</v>
      </c>
    </row>
    <row r="11" spans="1:13" ht="26.25" thickBot="1">
      <c r="A11" s="277" t="str">
        <f>'Учебный план'!B29</f>
        <v>Основы философии</v>
      </c>
      <c r="B11" s="277">
        <f>'Учебный план'!C29</f>
        <v>0</v>
      </c>
      <c r="C11" s="277">
        <f>'Учебный план'!D29</f>
        <v>0</v>
      </c>
      <c r="D11" s="277" t="str">
        <f>'Учебный план'!E29</f>
        <v>3</v>
      </c>
      <c r="E11" s="277">
        <f>'Учебный план'!G29</f>
        <v>0</v>
      </c>
      <c r="F11" s="277" t="e">
        <f>'Учебный план'!#REF!</f>
        <v>#REF!</v>
      </c>
      <c r="G11" s="277">
        <f>'Учебный план'!H29</f>
        <v>0</v>
      </c>
      <c r="I11" s="278">
        <f>'УП заочное обучение'!D11</f>
        <v>0</v>
      </c>
      <c r="J11" s="278" t="str">
        <f>'УП заочное обучение'!E11</f>
        <v>1</v>
      </c>
      <c r="K11" s="278">
        <f>'УП заочное обучение'!F11</f>
        <v>0</v>
      </c>
      <c r="L11" s="278">
        <f>'УП заочное обучение'!G11</f>
        <v>0</v>
      </c>
      <c r="M11" s="278">
        <f>'УП заочное обучение'!H11</f>
        <v>0</v>
      </c>
    </row>
    <row r="12" spans="1:13" ht="13.5" thickBot="1">
      <c r="A12" s="277" t="str">
        <f>'Учебный план'!B30</f>
        <v>История</v>
      </c>
      <c r="B12" s="277">
        <f>'Учебный план'!C30</f>
        <v>0</v>
      </c>
      <c r="C12" s="277">
        <f>'Учебный план'!D30</f>
        <v>0</v>
      </c>
      <c r="D12" s="277" t="str">
        <f>'Учебный план'!E30</f>
        <v>3</v>
      </c>
      <c r="E12" s="277">
        <f>'Учебный план'!G30</f>
        <v>0</v>
      </c>
      <c r="F12" s="277" t="e">
        <f>'Учебный план'!#REF!</f>
        <v>#REF!</v>
      </c>
      <c r="G12" s="277">
        <f>'Учебный план'!H30</f>
        <v>0</v>
      </c>
      <c r="I12" s="278">
        <f>'УП заочное обучение'!D12</f>
        <v>0</v>
      </c>
      <c r="J12" s="278" t="str">
        <f>'УП заочное обучение'!E12</f>
        <v>1</v>
      </c>
      <c r="K12" s="278">
        <f>'УП заочное обучение'!F12</f>
        <v>0</v>
      </c>
      <c r="L12" s="278">
        <f>'УП заочное обучение'!G12</f>
        <v>0</v>
      </c>
      <c r="M12" s="278">
        <f>'УП заочное обучение'!H12</f>
        <v>0</v>
      </c>
    </row>
    <row r="13" spans="1:13" ht="26.25" thickBot="1">
      <c r="A13" s="277" t="str">
        <f>'Учебный план'!B31</f>
        <v>Психология общения</v>
      </c>
      <c r="B13" s="277">
        <f>'Учебный план'!C31</f>
        <v>0</v>
      </c>
      <c r="C13" s="277">
        <f>'Учебный план'!D31</f>
        <v>0</v>
      </c>
      <c r="D13" s="277" t="str">
        <f>'Учебный план'!E31</f>
        <v>5</v>
      </c>
      <c r="E13" s="277">
        <f>'Учебный план'!G31</f>
        <v>0</v>
      </c>
      <c r="F13" s="277" t="e">
        <f>'Учебный план'!#REF!</f>
        <v>#REF!</v>
      </c>
      <c r="G13" s="277">
        <f>'Учебный план'!H31</f>
        <v>0</v>
      </c>
      <c r="I13" s="278">
        <f>'УП заочное обучение'!D13</f>
        <v>0</v>
      </c>
      <c r="J13" s="278" t="str">
        <f>'УП заочное обучение'!E13</f>
        <v>2</v>
      </c>
      <c r="K13" s="278">
        <f>'УП заочное обучение'!F13</f>
        <v>0</v>
      </c>
      <c r="L13" s="278">
        <f>'УП заочное обучение'!G13</f>
        <v>0</v>
      </c>
      <c r="M13" s="278">
        <f>'УП заочное обучение'!H13</f>
        <v>0</v>
      </c>
    </row>
    <row r="14" spans="1:13" ht="26.25" thickBot="1">
      <c r="A14" s="277" t="str">
        <f>'Учебный план'!B32</f>
        <v>Иностранный язык</v>
      </c>
      <c r="B14" s="277">
        <f>'Учебный план'!C32</f>
        <v>0</v>
      </c>
      <c r="C14" s="277" t="str">
        <f>'Учебный план'!D32</f>
        <v>5</v>
      </c>
      <c r="D14" s="277" t="str">
        <f>'Учебный план'!E32</f>
        <v>8,Х</v>
      </c>
      <c r="E14" s="277">
        <f>'Учебный план'!G32</f>
        <v>0</v>
      </c>
      <c r="F14" s="277" t="e">
        <f>'Учебный план'!#REF!</f>
        <v>#REF!</v>
      </c>
      <c r="G14" s="277">
        <f>'Учебный план'!H32</f>
        <v>0</v>
      </c>
      <c r="I14" s="278" t="str">
        <f>'УП заочное обучение'!D14</f>
        <v>3</v>
      </c>
      <c r="J14" s="278" t="str">
        <f>'УП заочное обучение'!E14</f>
        <v>4,5</v>
      </c>
      <c r="K14" s="278">
        <f>'УП заочное обучение'!F14</f>
        <v>0</v>
      </c>
      <c r="L14" s="278">
        <f>'УП заочное обучение'!G14</f>
        <v>0</v>
      </c>
      <c r="M14" s="278">
        <f>'УП заочное обучение'!H14</f>
        <v>0</v>
      </c>
    </row>
    <row r="15" spans="1:13" ht="26.25" thickBot="1">
      <c r="A15" s="277" t="str">
        <f>'Учебный план'!B33</f>
        <v>Физическая культура</v>
      </c>
      <c r="B15" s="277">
        <f>'Учебный план'!C33</f>
        <v>0</v>
      </c>
      <c r="C15" s="277">
        <f>'Учебный план'!D33</f>
        <v>0</v>
      </c>
      <c r="D15" s="277">
        <f>'Учебный план'!E33</f>
        <v>0</v>
      </c>
      <c r="E15" s="277">
        <f>'Учебный план'!G33</f>
        <v>0</v>
      </c>
      <c r="F15" s="277" t="e">
        <f>'Учебный план'!#REF!</f>
        <v>#REF!</v>
      </c>
      <c r="G15" s="277">
        <f>'Учебный план'!H33</f>
        <v>0</v>
      </c>
      <c r="I15" s="278">
        <f>'УП заочное обучение'!D15</f>
        <v>0</v>
      </c>
      <c r="J15" s="278">
        <f>'УП заочное обучение'!E15</f>
        <v>0</v>
      </c>
      <c r="K15" s="278" t="str">
        <f>'УП заочное обучение'!F15</f>
        <v>5</v>
      </c>
      <c r="L15" s="278">
        <f>'УП заочное обучение'!G15</f>
        <v>0</v>
      </c>
      <c r="M15" s="278">
        <f>'УП заочное обучение'!H15</f>
        <v>0</v>
      </c>
    </row>
    <row r="16" spans="1:13" ht="51.75" thickBot="1">
      <c r="A16" s="275" t="str">
        <f>'Учебный план'!B34</f>
        <v>Математический и общий естественнонаучный цикл</v>
      </c>
      <c r="B16" s="275">
        <f>'Учебный план'!C34</f>
        <v>0</v>
      </c>
      <c r="C16" s="275">
        <f>'Учебный план'!D34</f>
        <v>0</v>
      </c>
      <c r="D16" s="275">
        <f>'Учебный план'!E34</f>
        <v>0</v>
      </c>
      <c r="E16" s="275">
        <f>'Учебный план'!G34</f>
        <v>0</v>
      </c>
      <c r="F16" s="275" t="e">
        <f>'Учебный план'!#REF!</f>
        <v>#REF!</v>
      </c>
      <c r="G16" s="275">
        <f>'Учебный план'!H34</f>
        <v>0</v>
      </c>
      <c r="H16" s="280"/>
      <c r="I16" s="276">
        <f>'УП заочное обучение'!D16</f>
        <v>0</v>
      </c>
      <c r="J16" s="276">
        <f>'УП заочное обучение'!E16</f>
        <v>0</v>
      </c>
      <c r="K16" s="276">
        <f>'УП заочное обучение'!F16</f>
        <v>0</v>
      </c>
      <c r="L16" s="276">
        <f>'УП заочное обучение'!G16</f>
        <v>0</v>
      </c>
      <c r="M16" s="276">
        <f>'УП заочное обучение'!H16</f>
        <v>0</v>
      </c>
    </row>
    <row r="17" spans="1:13" ht="13.5" thickBot="1">
      <c r="A17" s="277" t="str">
        <f>'Учебный план'!B35</f>
        <v>Математика</v>
      </c>
      <c r="B17" s="277">
        <f>'Учебный план'!C35</f>
        <v>0</v>
      </c>
      <c r="C17" s="277" t="str">
        <f>'Учебный план'!D35</f>
        <v>3</v>
      </c>
      <c r="D17" s="277">
        <f>'Учебный план'!E35</f>
        <v>0</v>
      </c>
      <c r="E17" s="277">
        <f>'Учебный план'!G35</f>
        <v>0</v>
      </c>
      <c r="F17" s="277" t="e">
        <f>'Учебный план'!#REF!</f>
        <v>#REF!</v>
      </c>
      <c r="G17" s="277">
        <f>'Учебный план'!H35</f>
        <v>0</v>
      </c>
      <c r="I17" s="278" t="str">
        <f>'УП заочное обучение'!D17</f>
        <v>1</v>
      </c>
      <c r="J17" s="278">
        <f>'УП заочное обучение'!E17</f>
        <v>0</v>
      </c>
      <c r="K17" s="278">
        <f>'УП заочное обучение'!F17</f>
        <v>0</v>
      </c>
      <c r="L17" s="278">
        <f>'УП заочное обучение'!G17</f>
        <v>0</v>
      </c>
      <c r="M17" s="278">
        <f>'УП заочное обучение'!H17</f>
        <v>0</v>
      </c>
    </row>
    <row r="18" spans="1:13" ht="13.5" thickBot="1">
      <c r="A18" s="277" t="str">
        <f>'Учебный план'!B36</f>
        <v>Информатика</v>
      </c>
      <c r="B18" s="277">
        <f>'Учебный план'!C36</f>
        <v>0</v>
      </c>
      <c r="C18" s="277">
        <f>'Учебный план'!D36</f>
        <v>0</v>
      </c>
      <c r="D18" s="277" t="str">
        <f>'Учебный план'!E36</f>
        <v>3</v>
      </c>
      <c r="E18" s="277">
        <f>'Учебный план'!G36</f>
        <v>0</v>
      </c>
      <c r="F18" s="277" t="e">
        <f>'Учебный план'!#REF!</f>
        <v>#REF!</v>
      </c>
      <c r="G18" s="277">
        <f>'Учебный план'!H36</f>
        <v>0</v>
      </c>
      <c r="I18" s="278">
        <f>'УП заочное обучение'!D18</f>
        <v>0</v>
      </c>
      <c r="J18" s="278" t="str">
        <f>'УП заочное обучение'!E18</f>
        <v>1</v>
      </c>
      <c r="K18" s="278">
        <f>'УП заочное обучение'!F18</f>
        <v>0</v>
      </c>
      <c r="L18" s="278">
        <f>'УП заочное обучение'!G18</f>
        <v>0</v>
      </c>
      <c r="M18" s="278">
        <f>'УП заочное обучение'!H18</f>
        <v>0</v>
      </c>
    </row>
    <row r="19" spans="1:13" ht="51.75" thickBot="1">
      <c r="A19" s="277" t="str">
        <f>'Учебный план'!B37</f>
        <v>Экологические основы природопользования</v>
      </c>
      <c r="B19" s="277">
        <f>'Учебный план'!C37</f>
        <v>0</v>
      </c>
      <c r="C19" s="277">
        <f>'Учебный план'!D37</f>
        <v>0</v>
      </c>
      <c r="D19" s="277" t="str">
        <f>'Учебный план'!E37</f>
        <v>3</v>
      </c>
      <c r="E19" s="277">
        <f>'Учебный план'!G37</f>
        <v>0</v>
      </c>
      <c r="F19" s="277" t="e">
        <f>'Учебный план'!#REF!</f>
        <v>#REF!</v>
      </c>
      <c r="G19" s="277">
        <f>'Учебный план'!H37</f>
        <v>0</v>
      </c>
      <c r="I19" s="278">
        <f>'УП заочное обучение'!D19</f>
        <v>0</v>
      </c>
      <c r="J19" s="278" t="str">
        <f>'УП заочное обучение'!E19</f>
        <v>1</v>
      </c>
      <c r="K19" s="278">
        <f>'УП заочное обучение'!F19</f>
        <v>0</v>
      </c>
      <c r="L19" s="278">
        <f>'УП заочное обучение'!G19</f>
        <v>0</v>
      </c>
      <c r="M19" s="278">
        <f>'УП заочное обучение'!H19</f>
        <v>0</v>
      </c>
    </row>
    <row r="20" spans="1:13" ht="26.25" thickBot="1">
      <c r="A20" s="277" t="str">
        <f>'Учебный план'!B38</f>
        <v>Профессиональный цикл</v>
      </c>
      <c r="B20" s="277">
        <f>'Учебный план'!C38</f>
        <v>0</v>
      </c>
      <c r="C20" s="277">
        <f>'Учебный план'!D38</f>
        <v>0</v>
      </c>
      <c r="D20" s="277">
        <f>'Учебный план'!E38</f>
        <v>0</v>
      </c>
      <c r="E20" s="277">
        <f>'Учебный план'!G38</f>
        <v>0</v>
      </c>
      <c r="F20" s="277" t="e">
        <f>'Учебный план'!#REF!</f>
        <v>#REF!</v>
      </c>
      <c r="G20" s="277">
        <f>'Учебный план'!H38</f>
        <v>0</v>
      </c>
      <c r="I20" s="278">
        <f>'УП заочное обучение'!D20</f>
        <v>0</v>
      </c>
      <c r="J20" s="278">
        <f>'УП заочное обучение'!E20</f>
        <v>0</v>
      </c>
      <c r="K20" s="278">
        <f>'УП заочное обучение'!F20</f>
        <v>0</v>
      </c>
      <c r="L20" s="278">
        <f>'УП заочное обучение'!G20</f>
        <v>0</v>
      </c>
      <c r="M20" s="278">
        <f>'УП заочное обучение'!H20</f>
        <v>0</v>
      </c>
    </row>
    <row r="21" spans="1:13" ht="39" thickBot="1">
      <c r="A21" s="277" t="str">
        <f>'Учебный план'!B39</f>
        <v>Общепрофессиональные дисциплины</v>
      </c>
      <c r="B21" s="277">
        <f>'Учебный план'!C39</f>
        <v>0</v>
      </c>
      <c r="C21" s="277">
        <f>'Учебный план'!D39</f>
        <v>0</v>
      </c>
      <c r="D21" s="277">
        <f>'Учебный план'!E39</f>
        <v>0</v>
      </c>
      <c r="E21" s="277">
        <f>'Учебный план'!G39</f>
        <v>0</v>
      </c>
      <c r="F21" s="277" t="e">
        <f>'Учебный план'!#REF!</f>
        <v>#REF!</v>
      </c>
      <c r="G21" s="277">
        <f>'Учебный план'!H39</f>
        <v>0</v>
      </c>
      <c r="I21" s="278">
        <f>'УП заочное обучение'!D21</f>
        <v>0</v>
      </c>
      <c r="J21" s="278">
        <f>'УП заочное обучение'!E21</f>
        <v>0</v>
      </c>
      <c r="K21" s="278">
        <f>'УП заочное обучение'!F21</f>
        <v>0</v>
      </c>
      <c r="L21" s="278">
        <f>'УП заочное обучение'!G21</f>
        <v>0</v>
      </c>
      <c r="M21" s="278">
        <f>'УП заочное обучение'!H21</f>
        <v>0</v>
      </c>
    </row>
    <row r="22" spans="1:13" ht="26.25" thickBot="1">
      <c r="A22" s="277" t="str">
        <f>'Учебный план'!B40</f>
        <v>Инженерная графика</v>
      </c>
      <c r="B22" s="277">
        <f>'Учебный план'!C40</f>
        <v>0</v>
      </c>
      <c r="C22" s="277">
        <f>'Учебный план'!D40</f>
        <v>0</v>
      </c>
      <c r="D22" s="277" t="str">
        <f>'Учебный план'!E40</f>
        <v>4</v>
      </c>
      <c r="E22" s="277">
        <f>'Учебный план'!G40</f>
        <v>0</v>
      </c>
      <c r="F22" s="277" t="e">
        <f>'Учебный план'!#REF!</f>
        <v>#REF!</v>
      </c>
      <c r="G22" s="277" t="str">
        <f>'Учебный план'!H40</f>
        <v>3</v>
      </c>
      <c r="I22" s="278">
        <f>'УП заочное обучение'!D22</f>
        <v>0</v>
      </c>
      <c r="J22" s="278" t="str">
        <f>'УП заочное обучение'!E22</f>
        <v>1</v>
      </c>
      <c r="K22" s="278">
        <f>'УП заочное обучение'!F22</f>
        <v>0</v>
      </c>
      <c r="L22" s="278">
        <f>'УП заочное обучение'!G22</f>
        <v>0</v>
      </c>
      <c r="M22" s="278" t="str">
        <f>'УП заочное обучение'!H22</f>
        <v>3</v>
      </c>
    </row>
    <row r="23" spans="1:13" ht="13.5" thickBot="1">
      <c r="A23" s="277" t="str">
        <f>'Учебный план'!B41</f>
        <v>Механика</v>
      </c>
      <c r="B23" s="277">
        <f>'Учебный план'!C41</f>
        <v>0</v>
      </c>
      <c r="C23" s="277">
        <f>'Учебный план'!D41</f>
        <v>0</v>
      </c>
      <c r="D23" s="277" t="str">
        <f>'Учебный план'!E41</f>
        <v>4</v>
      </c>
      <c r="E23" s="277">
        <f>'Учебный план'!G41</f>
        <v>0</v>
      </c>
      <c r="F23" s="277" t="e">
        <f>'Учебный план'!#REF!</f>
        <v>#REF!</v>
      </c>
      <c r="G23" s="277">
        <f>'Учебный план'!H41</f>
        <v>0</v>
      </c>
      <c r="I23" s="278">
        <f>'УП заочное обучение'!D23</f>
        <v>0</v>
      </c>
      <c r="J23" s="278" t="str">
        <f>'УП заочное обучение'!E23</f>
        <v>2</v>
      </c>
      <c r="K23" s="278">
        <f>'УП заочное обучение'!F23</f>
        <v>0</v>
      </c>
      <c r="L23" s="278">
        <f>'УП заочное обучение'!G23</f>
        <v>0</v>
      </c>
      <c r="M23" s="278">
        <f>'УП заочное обучение'!H23</f>
        <v>0</v>
      </c>
    </row>
    <row r="24" spans="1:13" ht="26.25" thickBot="1">
      <c r="A24" s="277" t="str">
        <f>'Учебный план'!B42</f>
        <v>Электроника и электротехника</v>
      </c>
      <c r="B24" s="277" t="str">
        <f>'Учебный план'!C42</f>
        <v>Электроника</v>
      </c>
      <c r="C24" s="277">
        <f>'Учебный план'!D42</f>
        <v>0</v>
      </c>
      <c r="D24" s="277" t="str">
        <f>'Учебный план'!E42</f>
        <v>3</v>
      </c>
      <c r="E24" s="277">
        <f>'Учебный план'!G42</f>
        <v>0</v>
      </c>
      <c r="F24" s="277" t="e">
        <f>'Учебный план'!#REF!</f>
        <v>#REF!</v>
      </c>
      <c r="G24" s="277">
        <f>'Учебный план'!H42</f>
        <v>0</v>
      </c>
      <c r="I24" s="278">
        <f>'УП заочное обучение'!D24</f>
        <v>0</v>
      </c>
      <c r="J24" s="278" t="str">
        <f>'УП заочное обучение'!E24</f>
        <v>1</v>
      </c>
      <c r="K24" s="278">
        <f>'УП заочное обучение'!F24</f>
        <v>0</v>
      </c>
      <c r="L24" s="278">
        <f>'УП заочное обучение'!G24</f>
        <v>0</v>
      </c>
      <c r="M24" s="278">
        <f>'УП заочное обучение'!H24</f>
        <v>0</v>
      </c>
    </row>
    <row r="25" spans="1:13" ht="64.5" thickBot="1">
      <c r="A25" s="277" t="str">
        <f>'Учебный план'!B43</f>
        <v xml:space="preserve">Правовые основы профессиональной деятельности                                               </v>
      </c>
      <c r="B25" s="277" t="str">
        <f>'Учебный план'!C43</f>
        <v>ПОПД</v>
      </c>
      <c r="C25" s="277" t="str">
        <f>'Учебный план'!D43</f>
        <v>8</v>
      </c>
      <c r="D25" s="277">
        <f>'Учебный план'!E43</f>
        <v>0</v>
      </c>
      <c r="E25" s="277">
        <f>'Учебный план'!G43</f>
        <v>0</v>
      </c>
      <c r="F25" s="277" t="e">
        <f>'Учебный план'!#REF!</f>
        <v>#REF!</v>
      </c>
      <c r="G25" s="277" t="str">
        <f>'Учебный план'!H43</f>
        <v>7</v>
      </c>
      <c r="I25" s="278" t="str">
        <f>'УП заочное обучение'!D25</f>
        <v>4</v>
      </c>
      <c r="J25" s="278">
        <f>'УП заочное обучение'!E25</f>
        <v>0</v>
      </c>
      <c r="K25" s="278">
        <f>'УП заочное обучение'!F25</f>
        <v>0</v>
      </c>
      <c r="L25" s="278">
        <f>'УП заочное обучение'!G25</f>
        <v>0</v>
      </c>
      <c r="M25" s="278" t="str">
        <f>'УП заочное обучение'!H25</f>
        <v>4</v>
      </c>
    </row>
    <row r="26" spans="1:13" ht="26.25" thickBot="1">
      <c r="A26" s="277" t="str">
        <f>'Учебный план'!B44</f>
        <v>Метрология и стандартизация</v>
      </c>
      <c r="B26" s="277">
        <f>'Учебный план'!C44</f>
        <v>0</v>
      </c>
      <c r="C26" s="277">
        <f>'Учебный план'!D44</f>
        <v>0</v>
      </c>
      <c r="D26" s="277" t="str">
        <f>'Учебный план'!E44</f>
        <v>3</v>
      </c>
      <c r="E26" s="277">
        <f>'Учебный план'!G44</f>
        <v>0</v>
      </c>
      <c r="F26" s="277" t="e">
        <f>'Учебный план'!#REF!</f>
        <v>#REF!</v>
      </c>
      <c r="G26" s="277">
        <f>'Учебный план'!H44</f>
        <v>0</v>
      </c>
      <c r="I26" s="278">
        <f>'УП заочное обучение'!D26</f>
        <v>0</v>
      </c>
      <c r="J26" s="278" t="str">
        <f>'УП заочное обучение'!E26</f>
        <v>1</v>
      </c>
      <c r="K26" s="278">
        <f>'УП заочное обучение'!F26</f>
        <v>0</v>
      </c>
      <c r="L26" s="278">
        <f>'УП заочное обучение'!G26</f>
        <v>0</v>
      </c>
      <c r="M26" s="278">
        <f>'УП заочное обучение'!H26</f>
        <v>0</v>
      </c>
    </row>
    <row r="27" spans="1:13" ht="39" thickBot="1">
      <c r="A27" s="277" t="str">
        <f>'Учебный план'!B45</f>
        <v>Теория и устройство судна</v>
      </c>
      <c r="B27" s="277" t="str">
        <f>'Учебный план'!C45</f>
        <v>ТУС</v>
      </c>
      <c r="C27" s="277" t="str">
        <f>'Учебный план'!D45</f>
        <v>4</v>
      </c>
      <c r="D27" s="277">
        <f>'Учебный план'!E45</f>
        <v>0</v>
      </c>
      <c r="E27" s="277">
        <f>'Учебный план'!G45</f>
        <v>0</v>
      </c>
      <c r="F27" s="277" t="e">
        <f>'Учебный план'!#REF!</f>
        <v>#REF!</v>
      </c>
      <c r="G27" s="277" t="str">
        <f>'Учебный план'!H45</f>
        <v>3</v>
      </c>
      <c r="I27" s="278" t="str">
        <f>'УП заочное обучение'!D27</f>
        <v>2</v>
      </c>
      <c r="J27" s="278">
        <f>'УП заочное обучение'!E27</f>
        <v>0</v>
      </c>
      <c r="K27" s="278">
        <f>'УП заочное обучение'!F27</f>
        <v>0</v>
      </c>
      <c r="L27" s="278">
        <f>'УП заочное обучение'!G27</f>
        <v>0</v>
      </c>
      <c r="M27" s="278" t="str">
        <f>'УП заочное обучение'!H27</f>
        <v>1</v>
      </c>
    </row>
    <row r="28" spans="1:13" ht="39" thickBot="1">
      <c r="A28" s="277" t="str">
        <f>'Учебный план'!B46</f>
        <v>Безопасность жизнедеятельности</v>
      </c>
      <c r="B28" s="277">
        <f>'Учебный план'!C46</f>
        <v>0</v>
      </c>
      <c r="C28" s="277" t="str">
        <f>'Учебный план'!D46</f>
        <v>3</v>
      </c>
      <c r="D28" s="277">
        <f>'Учебный план'!E46</f>
        <v>0</v>
      </c>
      <c r="E28" s="277">
        <f>'Учебный план'!G46</f>
        <v>0</v>
      </c>
      <c r="F28" s="277" t="e">
        <f>'Учебный план'!#REF!</f>
        <v>#REF!</v>
      </c>
      <c r="G28" s="277">
        <f>'Учебный план'!H46</f>
        <v>0</v>
      </c>
      <c r="I28" s="278" t="str">
        <f>'УП заочное обучение'!D28</f>
        <v>1</v>
      </c>
      <c r="J28" s="278">
        <f>'УП заочное обучение'!E28</f>
        <v>0</v>
      </c>
      <c r="K28" s="278">
        <f>'УП заочное обучение'!F28</f>
        <v>0</v>
      </c>
      <c r="L28" s="278">
        <f>'УП заочное обучение'!G28</f>
        <v>0</v>
      </c>
      <c r="M28" s="278">
        <f>'УП заочное обучение'!H28</f>
        <v>0</v>
      </c>
    </row>
    <row r="29" spans="1:13" ht="26.25" thickBot="1">
      <c r="A29" s="275" t="str">
        <f>'Учебный план'!B47</f>
        <v>Профессиональные модули</v>
      </c>
      <c r="B29" s="275">
        <f>'Учебный план'!C47</f>
        <v>0</v>
      </c>
      <c r="C29" s="275">
        <f>'Учебный план'!D47</f>
        <v>0</v>
      </c>
      <c r="D29" s="275">
        <f>'Учебный план'!E47</f>
        <v>0</v>
      </c>
      <c r="E29" s="275">
        <f>'Учебный план'!G47</f>
        <v>0</v>
      </c>
      <c r="F29" s="275" t="e">
        <f>'Учебный план'!#REF!</f>
        <v>#REF!</v>
      </c>
      <c r="G29" s="275">
        <f>'Учебный план'!H47</f>
        <v>0</v>
      </c>
      <c r="H29" s="280"/>
      <c r="I29" s="276">
        <f>'УП заочное обучение'!D29</f>
        <v>0</v>
      </c>
      <c r="J29" s="276">
        <f>'УП заочное обучение'!E29</f>
        <v>0</v>
      </c>
      <c r="K29" s="276">
        <f>'УП заочное обучение'!F29</f>
        <v>0</v>
      </c>
      <c r="L29" s="276">
        <f>'УП заочное обучение'!G29</f>
        <v>0</v>
      </c>
      <c r="M29" s="276">
        <f>'УП заочное обучение'!H29</f>
        <v>0</v>
      </c>
    </row>
    <row r="30" spans="1:13" ht="90" thickBot="1">
      <c r="A30" s="275" t="str">
        <f>'Учебный план'!B48</f>
        <v>Управление и эксплуатация судна с правом эксплуатации
судовых энергетических установок</v>
      </c>
      <c r="B30" s="275">
        <f>'Учебный план'!C48</f>
        <v>0</v>
      </c>
      <c r="C30" s="275">
        <f>'Учебный план'!D48</f>
        <v>0</v>
      </c>
      <c r="D30" s="275">
        <f>'Учебный план'!E48</f>
        <v>0</v>
      </c>
      <c r="E30" s="275">
        <f>'Учебный план'!G48</f>
        <v>0</v>
      </c>
      <c r="F30" s="275" t="e">
        <f>'Учебный план'!#REF!</f>
        <v>#REF!</v>
      </c>
      <c r="G30" s="275">
        <f>'Учебный план'!H48</f>
        <v>0</v>
      </c>
      <c r="H30" s="280"/>
      <c r="I30" s="276">
        <f>'УП заочное обучение'!D30</f>
        <v>0</v>
      </c>
      <c r="J30" s="276">
        <f>'УП заочное обучение'!E30</f>
        <v>0</v>
      </c>
      <c r="K30" s="276">
        <f>'УП заочное обучение'!F30</f>
        <v>0</v>
      </c>
      <c r="L30" s="276">
        <f>'УП заочное обучение'!G30</f>
        <v>0</v>
      </c>
      <c r="M30" s="276">
        <f>'УП заочное обучение'!H30</f>
        <v>0</v>
      </c>
    </row>
    <row r="31" spans="1:13" ht="51.75" thickBot="1">
      <c r="A31" s="275" t="str">
        <f>'Учебный план'!B49</f>
        <v>Навигация, навигационная гидрометеорология и лоция</v>
      </c>
      <c r="B31" s="275">
        <f>'Учебный план'!C49</f>
        <v>0</v>
      </c>
      <c r="C31" s="275">
        <f>'Учебный план'!D49</f>
        <v>0</v>
      </c>
      <c r="D31" s="275">
        <f>'Учебный план'!E49</f>
        <v>0</v>
      </c>
      <c r="E31" s="275">
        <f>'Учебный план'!G49</f>
        <v>0</v>
      </c>
      <c r="F31" s="275" t="e">
        <f>'Учебный план'!#REF!</f>
        <v>#REF!</v>
      </c>
      <c r="G31" s="275">
        <f>'Учебный план'!H49</f>
        <v>0</v>
      </c>
      <c r="H31" s="280"/>
      <c r="I31" s="276">
        <f>'УП заочное обучение'!D31</f>
        <v>0</v>
      </c>
      <c r="J31" s="276">
        <f>'УП заочное обучение'!E31</f>
        <v>0</v>
      </c>
      <c r="K31" s="276">
        <f>'УП заочное обучение'!F31</f>
        <v>0</v>
      </c>
      <c r="L31" s="276">
        <f>'УП заочное обучение'!G31</f>
        <v>0</v>
      </c>
      <c r="M31" s="276">
        <f>'УП заочное обучение'!H31</f>
        <v>0</v>
      </c>
    </row>
    <row r="32" spans="1:13" ht="26.25" thickBot="1">
      <c r="A32" s="277" t="str">
        <f>'Учебный план'!B50</f>
        <v>Навигация и лоция</v>
      </c>
      <c r="B32" s="277">
        <f>'Учебный план'!C50</f>
        <v>0</v>
      </c>
      <c r="C32" s="277">
        <f>'Учебный план'!D50</f>
        <v>0</v>
      </c>
      <c r="D32" s="277" t="str">
        <f>'Учебный план'!E50</f>
        <v>7,Х</v>
      </c>
      <c r="E32" s="277" t="str">
        <f>'Учебный план'!G50</f>
        <v>Х</v>
      </c>
      <c r="F32" s="277" t="e">
        <f>'Учебный план'!#REF!</f>
        <v>#REF!</v>
      </c>
      <c r="G32" s="277" t="str">
        <f>'Учебный план'!H50</f>
        <v>5,6,8,9</v>
      </c>
      <c r="I32" s="278">
        <f>'УП заочное обучение'!D32</f>
        <v>0</v>
      </c>
      <c r="J32" s="278" t="str">
        <f>'УП заочное обучение'!E32</f>
        <v>5</v>
      </c>
      <c r="K32" s="278">
        <f>'УП заочное обучение'!F32</f>
        <v>0</v>
      </c>
      <c r="L32" s="278" t="str">
        <f>'УП заочное обучение'!G32</f>
        <v>5</v>
      </c>
      <c r="M32" s="278" t="str">
        <f>'УП заочное обучение'!H32</f>
        <v>2,3,4</v>
      </c>
    </row>
    <row r="33" spans="1:13" ht="42" customHeight="1" thickBot="1">
      <c r="A33" s="277" t="str">
        <f>'Учебный план'!B51</f>
        <v>Основы картографии и навигационные карты</v>
      </c>
      <c r="B33" s="277">
        <f>'Учебный план'!C51</f>
        <v>0</v>
      </c>
      <c r="C33" s="277">
        <f>'Учебный план'!D51</f>
        <v>0</v>
      </c>
      <c r="D33" s="277" t="str">
        <f>'Учебный план'!E51</f>
        <v>5</v>
      </c>
      <c r="E33" s="277">
        <f>'Учебный план'!G51</f>
        <v>0</v>
      </c>
      <c r="F33" s="277" t="e">
        <f>'Учебный план'!#REF!</f>
        <v>#REF!</v>
      </c>
      <c r="G33" s="277" t="str">
        <f>'Учебный план'!H51</f>
        <v>4</v>
      </c>
      <c r="I33" s="278">
        <f>'УП заочное обучение'!D33</f>
        <v>0</v>
      </c>
      <c r="J33" s="278" t="str">
        <f>'УП заочное обучение'!E33</f>
        <v>3</v>
      </c>
      <c r="K33" s="278">
        <f>'УП заочное обучение'!F33</f>
        <v>0</v>
      </c>
      <c r="L33" s="278">
        <f>'УП заочное обучение'!G33</f>
        <v>0</v>
      </c>
      <c r="M33" s="278" t="str">
        <f>'УП заочное обучение'!H33</f>
        <v>2</v>
      </c>
    </row>
    <row r="34" spans="1:13" ht="38.25" customHeight="1" thickBot="1">
      <c r="A34" s="277" t="str">
        <f>'Учебный план'!B52</f>
        <v>Навигационная гидрометеорология</v>
      </c>
      <c r="B34" s="277">
        <f>'Учебный план'!C52</f>
        <v>0</v>
      </c>
      <c r="C34" s="277">
        <f>'Учебный план'!D52</f>
        <v>0</v>
      </c>
      <c r="D34" s="277" t="str">
        <f>'Учебный план'!E52</f>
        <v>8</v>
      </c>
      <c r="E34" s="277">
        <f>'Учебный план'!G52</f>
        <v>0</v>
      </c>
      <c r="F34" s="277" t="e">
        <f>'Учебный план'!#REF!</f>
        <v>#REF!</v>
      </c>
      <c r="G34" s="277" t="str">
        <f>'Учебный план'!H52</f>
        <v>6,7</v>
      </c>
      <c r="I34" s="278">
        <f>'УП заочное обучение'!D34</f>
        <v>0</v>
      </c>
      <c r="J34" s="278" t="str">
        <f>'УП заочное обучение'!E34</f>
        <v>5</v>
      </c>
      <c r="K34" s="278">
        <f>'УП заочное обучение'!F34</f>
        <v>0</v>
      </c>
      <c r="L34" s="278">
        <f>'УП заочное обучение'!G34</f>
        <v>0</v>
      </c>
      <c r="M34" s="278" t="str">
        <f>'УП заочное обучение'!H34</f>
        <v>5</v>
      </c>
    </row>
    <row r="35" spans="1:13" ht="38.25" customHeight="1" thickBot="1">
      <c r="A35" s="277" t="str">
        <f>'Учебный план'!B53</f>
        <v>Мореходная астрономия</v>
      </c>
      <c r="B35" s="277">
        <f>'Учебный план'!C53</f>
        <v>0</v>
      </c>
      <c r="C35" s="277" t="str">
        <f>'Учебный план'!D53</f>
        <v>8</v>
      </c>
      <c r="D35" s="277">
        <f>'Учебный план'!E53</f>
        <v>0</v>
      </c>
      <c r="E35" s="277">
        <f>'Учебный план'!G53</f>
        <v>0</v>
      </c>
      <c r="F35" s="277" t="e">
        <f>'Учебный план'!#REF!</f>
        <v>#REF!</v>
      </c>
      <c r="G35" s="277" t="str">
        <f>'Учебный план'!H53</f>
        <v>6,7</v>
      </c>
      <c r="I35" s="278" t="str">
        <f>'УП заочное обучение'!D35</f>
        <v>4</v>
      </c>
      <c r="J35" s="278">
        <f>'УП заочное обучение'!E35</f>
        <v>0</v>
      </c>
      <c r="K35" s="278">
        <f>'УП заочное обучение'!F35</f>
        <v>0</v>
      </c>
      <c r="L35" s="278">
        <f>'УП заочное обучение'!G35</f>
        <v>0</v>
      </c>
      <c r="M35" s="278" t="str">
        <f>'УП заочное обучение'!H35</f>
        <v>3</v>
      </c>
    </row>
    <row r="36" spans="1:13" ht="56.25" customHeight="1" thickBot="1">
      <c r="A36" s="277" t="str">
        <f>'Учебный план'!B54</f>
        <v>Тренажерная подготовка. Использование ЭКНИС</v>
      </c>
      <c r="B36" s="277" t="str">
        <f>'Учебный план'!C54</f>
        <v>ЭКНИС</v>
      </c>
      <c r="C36" s="277">
        <f>'Учебный план'!D54</f>
        <v>0</v>
      </c>
      <c r="D36" s="277">
        <f>'Учебный план'!E54</f>
        <v>0</v>
      </c>
      <c r="E36" s="277">
        <f>'Учебный план'!G54</f>
        <v>0</v>
      </c>
      <c r="F36" s="277" t="e">
        <f>'Учебный план'!#REF!</f>
        <v>#REF!</v>
      </c>
      <c r="G36" s="277">
        <f>'Учебный план'!H54</f>
        <v>0</v>
      </c>
      <c r="I36" s="278">
        <f>'УП заочное обучение'!D36</f>
        <v>0</v>
      </c>
      <c r="J36" s="278">
        <f>'УП заочное обучение'!E36</f>
        <v>0</v>
      </c>
      <c r="K36" s="278" t="str">
        <f>'УП заочное обучение'!F36</f>
        <v>3</v>
      </c>
      <c r="L36" s="278">
        <f>'УП заочное обучение'!G36</f>
        <v>0</v>
      </c>
      <c r="M36" s="278">
        <f>'УП заочное обучение'!H36</f>
        <v>0</v>
      </c>
    </row>
    <row r="37" spans="1:13" ht="64.5" thickBot="1">
      <c r="A37" s="275" t="str">
        <f>'Учебный план'!B55</f>
        <v>Управление судном и технические средства судовождения</v>
      </c>
      <c r="B37" s="275">
        <f>'Учебный план'!C55</f>
        <v>0</v>
      </c>
      <c r="C37" s="275">
        <f>'Учебный план'!D55</f>
        <v>0</v>
      </c>
      <c r="D37" s="275">
        <f>'Учебный план'!E55</f>
        <v>0</v>
      </c>
      <c r="E37" s="275">
        <f>'Учебный план'!G55</f>
        <v>0</v>
      </c>
      <c r="F37" s="275" t="e">
        <f>'Учебный план'!#REF!</f>
        <v>#REF!</v>
      </c>
      <c r="G37" s="275">
        <f>'Учебный план'!H55</f>
        <v>0</v>
      </c>
      <c r="H37" s="280"/>
      <c r="I37" s="276">
        <f>'УП заочное обучение'!D37</f>
        <v>0</v>
      </c>
      <c r="J37" s="276">
        <f>'УП заочное обучение'!E37</f>
        <v>0</v>
      </c>
      <c r="K37" s="276">
        <f>'УП заочное обучение'!F37</f>
        <v>0</v>
      </c>
      <c r="L37" s="276">
        <f>'УП заочное обучение'!G37</f>
        <v>0</v>
      </c>
      <c r="M37" s="276">
        <f>'УП заочное обучение'!H37</f>
        <v>0</v>
      </c>
    </row>
    <row r="38" spans="1:13" ht="32.25" customHeight="1" thickBot="1">
      <c r="A38" s="277" t="str">
        <f>'Учебный план'!B56</f>
        <v>Управление судном</v>
      </c>
      <c r="B38" s="277">
        <f>'Учебный план'!C56</f>
        <v>0</v>
      </c>
      <c r="C38" s="277">
        <f>'Учебный план'!D56</f>
        <v>0</v>
      </c>
      <c r="D38" s="277" t="str">
        <f>'Учебный план'!E56</f>
        <v>7</v>
      </c>
      <c r="E38" s="277">
        <f>'Учебный план'!G56</f>
        <v>0</v>
      </c>
      <c r="F38" s="277" t="e">
        <f>'Учебный план'!#REF!</f>
        <v>#REF!</v>
      </c>
      <c r="G38" s="277" t="str">
        <f>'Учебный план'!H56</f>
        <v>6</v>
      </c>
      <c r="I38" s="278">
        <f>'УП заочное обучение'!D38</f>
        <v>0</v>
      </c>
      <c r="J38" s="278" t="str">
        <f>'УП заочное обучение'!E38</f>
        <v>4</v>
      </c>
      <c r="K38" s="278">
        <f>'УП заочное обучение'!F38</f>
        <v>0</v>
      </c>
      <c r="L38" s="278">
        <f>'УП заочное обучение'!G38</f>
        <v>0</v>
      </c>
      <c r="M38" s="278" t="str">
        <f>'УП заочное обучение'!H38</f>
        <v>3</v>
      </c>
    </row>
    <row r="39" spans="1:13" ht="45.75" customHeight="1" thickBot="1">
      <c r="A39" s="277" t="str">
        <f>'Учебный план'!B57</f>
        <v xml:space="preserve">Радионавигационные системы </v>
      </c>
      <c r="B39" s="277" t="str">
        <f>'Учебный план'!C57</f>
        <v>РНС</v>
      </c>
      <c r="C39" s="277">
        <f>'Учебный план'!D57</f>
        <v>0</v>
      </c>
      <c r="D39" s="277" t="str">
        <f>'Учебный план'!E57</f>
        <v>5</v>
      </c>
      <c r="E39" s="277">
        <f>'Учебный план'!G57</f>
        <v>0</v>
      </c>
      <c r="F39" s="277" t="e">
        <f>'Учебный план'!#REF!</f>
        <v>#REF!</v>
      </c>
      <c r="G39" s="277" t="str">
        <f>'Учебный план'!H57</f>
        <v>4</v>
      </c>
      <c r="I39" s="278">
        <f>'УП заочное обучение'!D39</f>
        <v>0</v>
      </c>
      <c r="J39" s="278" t="str">
        <f>'УП заочное обучение'!E39</f>
        <v>3</v>
      </c>
      <c r="K39" s="278">
        <f>'УП заочное обучение'!F39</f>
        <v>0</v>
      </c>
      <c r="L39" s="278">
        <f>'УП заочное обучение'!G39</f>
        <v>0</v>
      </c>
      <c r="M39" s="278" t="str">
        <f>'УП заочное обучение'!H39</f>
        <v>3</v>
      </c>
    </row>
    <row r="40" spans="1:13" ht="53.25" customHeight="1" thickBot="1">
      <c r="A40" s="277" t="str">
        <f>'Учебный план'!B58</f>
        <v>Электронавигационные приборы и системы</v>
      </c>
      <c r="B40" s="277" t="str">
        <f>'Учебный план'!C58</f>
        <v>ЭНПиС</v>
      </c>
      <c r="C40" s="277" t="str">
        <f>'Учебный план'!D58</f>
        <v>6</v>
      </c>
      <c r="D40" s="277">
        <f>'Учебный план'!E58</f>
        <v>0</v>
      </c>
      <c r="E40" s="277">
        <f>'Учебный план'!G58</f>
        <v>0</v>
      </c>
      <c r="F40" s="277" t="e">
        <f>'Учебный план'!#REF!</f>
        <v>#REF!</v>
      </c>
      <c r="G40" s="277" t="str">
        <f>'Учебный план'!H58</f>
        <v>4,5</v>
      </c>
      <c r="I40" s="278" t="str">
        <f>'УП заочное обучение'!D40</f>
        <v>4</v>
      </c>
      <c r="J40" s="278">
        <f>'УП заочное обучение'!E40</f>
        <v>0</v>
      </c>
      <c r="K40" s="278">
        <f>'УП заочное обучение'!F40</f>
        <v>0</v>
      </c>
      <c r="L40" s="278">
        <f>'УП заочное обучение'!G40</f>
        <v>0</v>
      </c>
      <c r="M40" s="278" t="str">
        <f>'УП заочное обучение'!H40</f>
        <v>3</v>
      </c>
    </row>
    <row r="41" spans="1:13" ht="58.5" customHeight="1" thickBot="1">
      <c r="A41" s="277" t="str">
        <f>'Учебный план'!B59</f>
        <v>Тренажерная подготовка. Использование РЛС и САРП</v>
      </c>
      <c r="B41" s="277" t="str">
        <f>'Учебный план'!C59</f>
        <v>РЛС и САРП</v>
      </c>
      <c r="C41" s="277">
        <f>'Учебный план'!D59</f>
        <v>0</v>
      </c>
      <c r="D41" s="277">
        <f>'Учебный план'!E59</f>
        <v>0</v>
      </c>
      <c r="E41" s="277">
        <f>'Учебный план'!G59</f>
        <v>0</v>
      </c>
      <c r="F41" s="277" t="e">
        <f>'Учебный план'!#REF!</f>
        <v>#REF!</v>
      </c>
      <c r="G41" s="277" t="str">
        <f>'Учебный план'!H59</f>
        <v>9</v>
      </c>
      <c r="I41" s="278">
        <f>'УП заочное обучение'!D42</f>
        <v>0</v>
      </c>
      <c r="J41" s="278" t="str">
        <f>'УП заочное обучение'!E42</f>
        <v>3</v>
      </c>
      <c r="K41" s="278">
        <f>'УП заочное обучение'!F42</f>
        <v>0</v>
      </c>
      <c r="L41" s="278">
        <f>'УП заочное обучение'!G42</f>
        <v>0</v>
      </c>
      <c r="M41" s="278">
        <f>'УП заочное обучение'!H42</f>
        <v>0</v>
      </c>
    </row>
    <row r="42" spans="1:13" ht="69.75" customHeight="1" thickBot="1">
      <c r="A42" s="277" t="str">
        <f>'Учебный план'!B61</f>
        <v>Оператор связи ГМССБ</v>
      </c>
      <c r="B42" s="277" t="str">
        <f>'Учебный план'!C61</f>
        <v>ГМССБ</v>
      </c>
      <c r="C42" s="277">
        <f>'Учебный план'!D61</f>
        <v>0</v>
      </c>
      <c r="D42" s="277">
        <f>'Учебный план'!E61</f>
        <v>0</v>
      </c>
      <c r="E42" s="277">
        <f>'Учебный план'!G61</f>
        <v>0</v>
      </c>
      <c r="F42" s="277" t="e">
        <f>'Учебный план'!#REF!</f>
        <v>#REF!</v>
      </c>
      <c r="G42" s="277" t="str">
        <f>'Учебный план'!H61</f>
        <v>8,9</v>
      </c>
      <c r="I42" s="278">
        <f>'УП заочное обучение'!D43</f>
        <v>0</v>
      </c>
      <c r="J42" s="278">
        <f>'УП заочное обучение'!E43</f>
        <v>0</v>
      </c>
      <c r="K42" s="278" t="str">
        <f>'УП заочное обучение'!F43</f>
        <v>5</v>
      </c>
      <c r="L42" s="278">
        <f>'УП заочное обучение'!G43</f>
        <v>0</v>
      </c>
      <c r="M42" s="278" t="str">
        <f>'УП заочное обучение'!H43</f>
        <v>5</v>
      </c>
    </row>
    <row r="43" spans="1:13" ht="64.5" thickBot="1">
      <c r="A43" s="275" t="str">
        <f>'Учебный план'!B62</f>
        <v>Судовые энергетические установки и электрооборудование судов</v>
      </c>
      <c r="B43" s="275">
        <f>'Учебный план'!C62</f>
        <v>0</v>
      </c>
      <c r="C43" s="275">
        <f>'Учебный план'!D62</f>
        <v>0</v>
      </c>
      <c r="D43" s="275">
        <f>'Учебный план'!E62</f>
        <v>0</v>
      </c>
      <c r="E43" s="275">
        <f>'Учебный план'!G62</f>
        <v>0</v>
      </c>
      <c r="F43" s="275" t="e">
        <f>'Учебный план'!#REF!</f>
        <v>#REF!</v>
      </c>
      <c r="G43" s="275">
        <f>'Учебный план'!H62</f>
        <v>0</v>
      </c>
      <c r="H43" s="280"/>
      <c r="I43" s="276">
        <f>'УП заочное обучение'!D44</f>
        <v>0</v>
      </c>
      <c r="J43" s="276">
        <f>'УП заочное обучение'!E44</f>
        <v>0</v>
      </c>
      <c r="K43" s="276">
        <f>'УП заочное обучение'!F44</f>
        <v>0</v>
      </c>
      <c r="L43" s="276">
        <f>'УП заочное обучение'!G44</f>
        <v>0</v>
      </c>
      <c r="M43" s="276">
        <f>'УП заочное обучение'!H44</f>
        <v>0</v>
      </c>
    </row>
    <row r="44" spans="1:13" ht="51.75" thickBot="1">
      <c r="A44" s="277" t="str">
        <f>'Учебный план'!B63</f>
        <v>Судовые вспомогательные механизмы и системы</v>
      </c>
      <c r="B44" s="277" t="str">
        <f>'Учебный план'!C63</f>
        <v>СВМиС</v>
      </c>
      <c r="C44" s="277">
        <f>'Учебный план'!D63</f>
        <v>0</v>
      </c>
      <c r="D44" s="277" t="str">
        <f>'Учебный план'!E63</f>
        <v>5</v>
      </c>
      <c r="E44" s="277">
        <f>'Учебный план'!G63</f>
        <v>0</v>
      </c>
      <c r="F44" s="277" t="e">
        <f>'Учебный план'!#REF!</f>
        <v>#REF!</v>
      </c>
      <c r="G44" s="277" t="str">
        <f>'Учебный план'!H63</f>
        <v>4</v>
      </c>
      <c r="I44" s="278">
        <f>'УП заочное обучение'!D45</f>
        <v>0</v>
      </c>
      <c r="J44" s="278" t="str">
        <f>'УП заочное обучение'!E45</f>
        <v>3</v>
      </c>
      <c r="K44" s="278">
        <f>'УП заочное обучение'!F45</f>
        <v>0</v>
      </c>
      <c r="L44" s="278">
        <f>'УП заочное обучение'!G45</f>
        <v>0</v>
      </c>
      <c r="M44" s="278" t="str">
        <f>'УП заочное обучение'!H45</f>
        <v>2</v>
      </c>
    </row>
    <row r="45" spans="1:13" ht="90" thickBot="1">
      <c r="A45" s="277" t="str">
        <f>'Учебный план'!B64</f>
        <v>Судовые энергетические установки (включая тренажер вахтенного механика)</v>
      </c>
      <c r="B45" s="277" t="str">
        <f>'Учебный план'!C64</f>
        <v>СЭУ</v>
      </c>
      <c r="C45" s="277">
        <f>'Учебный план'!D64</f>
        <v>0</v>
      </c>
      <c r="D45" s="277" t="str">
        <f>'Учебный план'!E64</f>
        <v>6,8,Х</v>
      </c>
      <c r="E45" s="277">
        <f>'Учебный план'!G64</f>
        <v>0</v>
      </c>
      <c r="F45" s="277" t="e">
        <f>'Учебный план'!#REF!</f>
        <v>#REF!</v>
      </c>
      <c r="G45" s="277" t="str">
        <f>'Учебный план'!H64</f>
        <v>5,7,9</v>
      </c>
      <c r="I45" s="278">
        <f>'УП заочное обучение'!D46</f>
        <v>0</v>
      </c>
      <c r="J45" s="278" t="str">
        <f>'УП заочное обучение'!E46</f>
        <v>3,4,5</v>
      </c>
      <c r="K45" s="278">
        <f>'УП заочное обучение'!F46</f>
        <v>0</v>
      </c>
      <c r="L45" s="278">
        <f>'УП заочное обучение'!G46</f>
        <v>0</v>
      </c>
      <c r="M45" s="278" t="str">
        <f>'УП заочное обучение'!H46</f>
        <v>2,4</v>
      </c>
    </row>
    <row r="46" spans="1:13" ht="64.5" thickBot="1">
      <c r="A46" s="277" t="str">
        <f>'Учебный план'!B65</f>
        <v>Судовая автоматика и контрольно-измерительные приборы</v>
      </c>
      <c r="B46" s="277" t="str">
        <f>'Учебный план'!C65</f>
        <v>САиКИП</v>
      </c>
      <c r="C46" s="277">
        <f>'Учебный план'!D65</f>
        <v>0</v>
      </c>
      <c r="D46" s="277" t="str">
        <f>'Учебный план'!E65</f>
        <v>6</v>
      </c>
      <c r="E46" s="277">
        <f>'Учебный план'!G65</f>
        <v>0</v>
      </c>
      <c r="F46" s="277" t="e">
        <f>'Учебный план'!#REF!</f>
        <v>#REF!</v>
      </c>
      <c r="G46" s="277" t="str">
        <f>'Учебный план'!H65</f>
        <v>5</v>
      </c>
      <c r="I46" s="278">
        <f>'УП заочное обучение'!D47</f>
        <v>0</v>
      </c>
      <c r="J46" s="278" t="str">
        <f>'УП заочное обучение'!E47</f>
        <v>4</v>
      </c>
      <c r="K46" s="278">
        <f>'УП заочное обучение'!F47</f>
        <v>0</v>
      </c>
      <c r="L46" s="278">
        <f>'УП заочное обучение'!G47</f>
        <v>0</v>
      </c>
      <c r="M46" s="278" t="str">
        <f>'УП заочное обучение'!H47</f>
        <v>4</v>
      </c>
    </row>
    <row r="47" spans="1:13" ht="64.5" thickBot="1">
      <c r="A47" s="277" t="str">
        <f>'Учебный план'!B66</f>
        <v>Обслуживание и ремонт судовых энергетических установок</v>
      </c>
      <c r="B47" s="277">
        <f>'Учебный план'!C66</f>
        <v>0</v>
      </c>
      <c r="C47" s="277">
        <f>'Учебный план'!D66</f>
        <v>0</v>
      </c>
      <c r="D47" s="277" t="str">
        <f>'Учебный план'!E66</f>
        <v>Х</v>
      </c>
      <c r="E47" s="277">
        <f>'Учебный план'!G66</f>
        <v>0</v>
      </c>
      <c r="F47" s="277" t="e">
        <f>'Учебный план'!#REF!</f>
        <v>#REF!</v>
      </c>
      <c r="G47" s="277" t="str">
        <f>'Учебный план'!H66</f>
        <v>9</v>
      </c>
      <c r="I47" s="278">
        <f>'УП заочное обучение'!D48</f>
        <v>0</v>
      </c>
      <c r="J47" s="278" t="str">
        <f>'УП заочное обучение'!E48</f>
        <v>5</v>
      </c>
      <c r="K47" s="278">
        <f>'УП заочное обучение'!F48</f>
        <v>0</v>
      </c>
      <c r="L47" s="278">
        <f>'УП заочное обучение'!G48</f>
        <v>0</v>
      </c>
      <c r="M47" s="278" t="str">
        <f>'УП заочное обучение'!H48</f>
        <v>5</v>
      </c>
    </row>
    <row r="48" spans="1:13" ht="26.25" thickBot="1">
      <c r="A48" s="277" t="str">
        <f>'Учебный план'!B67</f>
        <v>Электрооборудование судов</v>
      </c>
      <c r="B48" s="277">
        <f>'Учебный план'!C67</f>
        <v>0</v>
      </c>
      <c r="C48" s="277">
        <f>'Учебный план'!D67</f>
        <v>0</v>
      </c>
      <c r="D48" s="277" t="str">
        <f>'Учебный план'!E67</f>
        <v>6</v>
      </c>
      <c r="E48" s="277">
        <f>'Учебный план'!G67</f>
        <v>0</v>
      </c>
      <c r="F48" s="277" t="e">
        <f>'Учебный план'!#REF!</f>
        <v>#REF!</v>
      </c>
      <c r="G48" s="277">
        <f>'Учебный план'!H67</f>
        <v>0</v>
      </c>
      <c r="I48" s="278">
        <f>'УП заочное обучение'!D49</f>
        <v>0</v>
      </c>
      <c r="J48" s="278" t="str">
        <f>'УП заочное обучение'!E49</f>
        <v>3</v>
      </c>
      <c r="K48" s="278">
        <f>'УП заочное обучение'!F49</f>
        <v>0</v>
      </c>
      <c r="L48" s="278">
        <f>'УП заочное обучение'!G49</f>
        <v>0</v>
      </c>
      <c r="M48" s="278" t="str">
        <f>'УП заочное обучение'!H49</f>
        <v>3</v>
      </c>
    </row>
    <row r="49" spans="1:13" ht="77.25" thickBot="1">
      <c r="A49" s="277" t="str">
        <f>'Учебный план'!B68</f>
        <v>Обслуживание и ремонт судового электрического и электронного оборудования</v>
      </c>
      <c r="B49" s="277">
        <f>'Учебный план'!C68</f>
        <v>0</v>
      </c>
      <c r="C49" s="277">
        <f>'Учебный план'!D68</f>
        <v>0</v>
      </c>
      <c r="D49" s="277" t="str">
        <f>'Учебный план'!E68</f>
        <v>7</v>
      </c>
      <c r="E49" s="277">
        <f>'Учебный план'!G68</f>
        <v>0</v>
      </c>
      <c r="F49" s="277" t="e">
        <f>'Учебный план'!#REF!</f>
        <v>#REF!</v>
      </c>
      <c r="G49" s="277">
        <f>'Учебный план'!H68</f>
        <v>0</v>
      </c>
      <c r="I49" s="278">
        <f>'УП заочное обучение'!D50</f>
        <v>0</v>
      </c>
      <c r="J49" s="278" t="str">
        <f>'УП заочное обучение'!E50</f>
        <v>4</v>
      </c>
      <c r="K49" s="278">
        <f>'УП заочное обучение'!F50</f>
        <v>0</v>
      </c>
      <c r="L49" s="278">
        <f>'УП заочное обучение'!G50</f>
        <v>0</v>
      </c>
      <c r="M49" s="278">
        <f>'УП заочное обучение'!H50</f>
        <v>0</v>
      </c>
    </row>
    <row r="50" spans="1:13" ht="39" thickBot="1">
      <c r="A50" s="275" t="str">
        <f>'Учебный план'!B69</f>
        <v>Судовождение на внутренних водных путях</v>
      </c>
      <c r="B50" s="275">
        <f>'Учебный план'!C69</f>
        <v>0</v>
      </c>
      <c r="C50" s="275">
        <f>'Учебный план'!D69</f>
        <v>0</v>
      </c>
      <c r="D50" s="275">
        <f>'Учебный план'!E69</f>
        <v>0</v>
      </c>
      <c r="E50" s="275">
        <f>'Учебный план'!G69</f>
        <v>0</v>
      </c>
      <c r="F50" s="275" t="e">
        <f>'Учебный план'!#REF!</f>
        <v>#REF!</v>
      </c>
      <c r="G50" s="275">
        <f>'Учебный план'!H69</f>
        <v>0</v>
      </c>
      <c r="H50" s="280"/>
      <c r="I50" s="276">
        <f>'УП заочное обучение'!D51</f>
        <v>0</v>
      </c>
      <c r="J50" s="276">
        <f>'УП заочное обучение'!E51</f>
        <v>0</v>
      </c>
      <c r="K50" s="276">
        <f>'УП заочное обучение'!F51</f>
        <v>0</v>
      </c>
      <c r="L50" s="276">
        <f>'УП заочное обучение'!G51</f>
        <v>0</v>
      </c>
      <c r="M50" s="276">
        <f>'УП заочное обучение'!H51</f>
        <v>0</v>
      </c>
    </row>
    <row r="51" spans="1:13" ht="51.75" thickBot="1">
      <c r="A51" s="277" t="str">
        <f>'Учебный план'!B70</f>
        <v>Правила плавания и управление судами на ВВП</v>
      </c>
      <c r="B51" s="277">
        <f>'Учебный план'!C70</f>
        <v>0</v>
      </c>
      <c r="C51" s="277" t="str">
        <f>'Учебный план'!D70</f>
        <v>6</v>
      </c>
      <c r="D51" s="277" t="str">
        <f>'Учебный план'!E70</f>
        <v>8</v>
      </c>
      <c r="E51" s="277" t="str">
        <f>'Учебный план'!G70</f>
        <v>8</v>
      </c>
      <c r="F51" s="277" t="e">
        <f>'Учебный план'!#REF!</f>
        <v>#REF!</v>
      </c>
      <c r="G51" s="277" t="str">
        <f>'Учебный план'!H70</f>
        <v>4,5,7</v>
      </c>
      <c r="I51" s="278" t="str">
        <f>'УП заочное обучение'!D52</f>
        <v>4</v>
      </c>
      <c r="J51" s="278" t="str">
        <f>'УП заочное обучение'!E52</f>
        <v>5</v>
      </c>
      <c r="K51" s="278">
        <f>'УП заочное обучение'!F52</f>
        <v>0</v>
      </c>
      <c r="L51" s="278" t="str">
        <f>'УП заочное обучение'!G52</f>
        <v>5</v>
      </c>
      <c r="M51" s="278" t="str">
        <f>'УП заочное обучение'!H52</f>
        <v>2,3,4</v>
      </c>
    </row>
    <row r="52" spans="1:13" ht="39" thickBot="1">
      <c r="A52" s="277" t="str">
        <f>'Учебный план'!B71</f>
        <v>Лоция внутренних водных путей</v>
      </c>
      <c r="B52" s="277" t="str">
        <f>'Учебный план'!C71</f>
        <v>Лоция ВВП</v>
      </c>
      <c r="C52" s="277">
        <f>'Учебный план'!D71</f>
        <v>0</v>
      </c>
      <c r="D52" s="277" t="str">
        <f>'Учебный план'!E71</f>
        <v>5</v>
      </c>
      <c r="E52" s="277">
        <f>'Учебный план'!G71</f>
        <v>0</v>
      </c>
      <c r="F52" s="277" t="e">
        <f>'Учебный план'!#REF!</f>
        <v>#REF!</v>
      </c>
      <c r="G52" s="277" t="str">
        <f>'Учебный план'!H71</f>
        <v>4</v>
      </c>
      <c r="I52" s="278">
        <f>'УП заочное обучение'!D53</f>
        <v>0</v>
      </c>
      <c r="J52" s="278" t="str">
        <f>'УП заочное обучение'!E53</f>
        <v>3</v>
      </c>
      <c r="K52" s="278">
        <f>'УП заочное обучение'!F53</f>
        <v>0</v>
      </c>
      <c r="L52" s="278">
        <f>'УП заочное обучение'!G53</f>
        <v>0</v>
      </c>
      <c r="M52" s="278" t="str">
        <f>'УП заочное обучение'!H53</f>
        <v>2</v>
      </c>
    </row>
    <row r="53" spans="1:13" ht="26.25" thickBot="1">
      <c r="A53" s="277" t="str">
        <f>'Учебный план'!B72</f>
        <v>Использование РЛС на ВВП</v>
      </c>
      <c r="B53" s="277" t="str">
        <f>'Учебный план'!C72</f>
        <v>РЛС на ВВП</v>
      </c>
      <c r="C53" s="277">
        <f>'Учебный план'!D72</f>
        <v>0</v>
      </c>
      <c r="D53" s="277">
        <f>'Учебный план'!E72</f>
        <v>0</v>
      </c>
      <c r="E53" s="277">
        <f>'Учебный план'!G72</f>
        <v>0</v>
      </c>
      <c r="F53" s="277" t="e">
        <f>'Учебный план'!#REF!</f>
        <v>#REF!</v>
      </c>
      <c r="G53" s="277" t="str">
        <f>'Учебный план'!H72</f>
        <v>5</v>
      </c>
      <c r="I53" s="278">
        <f>'УП заочное обучение'!D54</f>
        <v>0</v>
      </c>
      <c r="J53" s="278">
        <f>'УП заочное обучение'!E54</f>
        <v>0</v>
      </c>
      <c r="K53" s="278" t="str">
        <f>'УП заочное обучение'!F54</f>
        <v>4</v>
      </c>
      <c r="L53" s="278">
        <f>'УП заочное обучение'!G54</f>
        <v>0</v>
      </c>
      <c r="M53" s="278" t="str">
        <f>'УП заочное обучение'!H54</f>
        <v>4</v>
      </c>
    </row>
    <row r="54" spans="1:13" ht="13.5" thickBot="1">
      <c r="A54" s="277">
        <f>'Учебный план'!B73</f>
        <v>0</v>
      </c>
      <c r="B54" s="277">
        <f>'Учебный план'!C73</f>
        <v>0</v>
      </c>
      <c r="C54" s="277" t="str">
        <f>'Учебный план'!D73</f>
        <v>Х</v>
      </c>
      <c r="D54" s="277">
        <f>'Учебный план'!E73</f>
        <v>0</v>
      </c>
      <c r="E54" s="277">
        <f>'Учебный план'!G73</f>
        <v>0</v>
      </c>
      <c r="F54" s="277" t="e">
        <f>'Учебный план'!#REF!</f>
        <v>#REF!</v>
      </c>
      <c r="G54" s="277">
        <f>'Учебный план'!H73</f>
        <v>0</v>
      </c>
      <c r="I54" s="278" t="str">
        <f>'УП заочное обучение'!D55</f>
        <v>5</v>
      </c>
      <c r="J54" s="278">
        <f>'УП заочное обучение'!E55</f>
        <v>0</v>
      </c>
      <c r="K54" s="278">
        <f>'УП заочное обучение'!F55</f>
        <v>0</v>
      </c>
      <c r="L54" s="278">
        <f>'УП заочное обучение'!G55</f>
        <v>0</v>
      </c>
      <c r="M54" s="278">
        <f>'УП заочное обучение'!H55</f>
        <v>0</v>
      </c>
    </row>
    <row r="55" spans="1:13" ht="39" thickBot="1">
      <c r="A55" s="275" t="str">
        <f>'Учебный план'!B74</f>
        <v>Обеспечение безопасности плавания</v>
      </c>
      <c r="B55" s="275">
        <f>'Учебный план'!C74</f>
        <v>0</v>
      </c>
      <c r="C55" s="275">
        <f>'Учебный план'!D74</f>
        <v>0</v>
      </c>
      <c r="D55" s="275">
        <f>'Учебный план'!E74</f>
        <v>0</v>
      </c>
      <c r="E55" s="275">
        <f>'Учебный план'!G74</f>
        <v>0</v>
      </c>
      <c r="F55" s="275" t="e">
        <f>'Учебный план'!#REF!</f>
        <v>#REF!</v>
      </c>
      <c r="G55" s="275">
        <f>'Учебный план'!H74</f>
        <v>0</v>
      </c>
      <c r="H55" s="280"/>
      <c r="I55" s="276">
        <f>'УП заочное обучение'!D56</f>
        <v>0</v>
      </c>
      <c r="J55" s="276">
        <f>'УП заочное обучение'!E56</f>
        <v>0</v>
      </c>
      <c r="K55" s="276">
        <f>'УП заочное обучение'!F56</f>
        <v>0</v>
      </c>
      <c r="L55" s="276">
        <f>'УП заочное обучение'!G56</f>
        <v>0</v>
      </c>
      <c r="M55" s="276">
        <f>'УП заочное обучение'!H56</f>
        <v>0</v>
      </c>
    </row>
    <row r="56" spans="1:13" ht="64.5" thickBot="1">
      <c r="A56" s="275" t="str">
        <f>'Учебный план'!B75</f>
        <v>Безопасность жизнедеятельности на судне и транспортная безопасность</v>
      </c>
      <c r="B56" s="275">
        <f>'Учебный план'!C75</f>
        <v>0</v>
      </c>
      <c r="C56" s="275">
        <f>'Учебный план'!D75</f>
        <v>0</v>
      </c>
      <c r="D56" s="275">
        <f>'Учебный план'!E75</f>
        <v>0</v>
      </c>
      <c r="E56" s="275">
        <f>'Учебный план'!G75</f>
        <v>0</v>
      </c>
      <c r="F56" s="275" t="e">
        <f>'Учебный план'!#REF!</f>
        <v>#REF!</v>
      </c>
      <c r="G56" s="275">
        <f>'Учебный план'!H75</f>
        <v>0</v>
      </c>
      <c r="H56" s="280"/>
      <c r="I56" s="276">
        <f>'УП заочное обучение'!D57</f>
        <v>0</v>
      </c>
      <c r="J56" s="276">
        <f>'УП заочное обучение'!E57</f>
        <v>0</v>
      </c>
      <c r="K56" s="276">
        <f>'УП заочное обучение'!F57</f>
        <v>0</v>
      </c>
      <c r="L56" s="276">
        <f>'УП заочное обучение'!G57</f>
        <v>0</v>
      </c>
      <c r="M56" s="276">
        <f>'УП заочное обучение'!H57</f>
        <v>0</v>
      </c>
    </row>
    <row r="57" spans="1:13" ht="39" thickBot="1">
      <c r="A57" s="277" t="str">
        <f>'Учебный план'!B76</f>
        <v>Безопасность жизнедеятельности на судне</v>
      </c>
      <c r="B57" s="277" t="str">
        <f>'Учебный план'!C76</f>
        <v>БЖС</v>
      </c>
      <c r="C57" s="277">
        <f>'Учебный план'!D76</f>
        <v>0</v>
      </c>
      <c r="D57" s="277">
        <f>'Учебный план'!E76</f>
        <v>0</v>
      </c>
      <c r="E57" s="277">
        <f>'Учебный план'!G76</f>
        <v>0</v>
      </c>
      <c r="F57" s="277" t="e">
        <f>'Учебный план'!#REF!</f>
        <v>#REF!</v>
      </c>
      <c r="G57" s="277" t="str">
        <f>'Учебный план'!H76</f>
        <v>3</v>
      </c>
      <c r="I57" s="278">
        <f>'УП заочное обучение'!D58</f>
        <v>0</v>
      </c>
      <c r="J57" s="278">
        <f>'УП заочное обучение'!E58</f>
        <v>0</v>
      </c>
      <c r="K57" s="278" t="str">
        <f>'УП заочное обучение'!F58</f>
        <v>2</v>
      </c>
      <c r="L57" s="278">
        <f>'УП заочное обучение'!G58</f>
        <v>0</v>
      </c>
      <c r="M57" s="278" t="str">
        <f>'УП заочное обучение'!H58</f>
        <v>2</v>
      </c>
    </row>
    <row r="58" spans="1:13" ht="26.25" thickBot="1">
      <c r="A58" s="277" t="str">
        <f>'Учебный план'!B77</f>
        <v>Транспортная безопасность</v>
      </c>
      <c r="B58" s="277">
        <f>'Учебный план'!C77</f>
        <v>0</v>
      </c>
      <c r="C58" s="277">
        <f>'Учебный план'!D77</f>
        <v>0</v>
      </c>
      <c r="D58" s="277" t="str">
        <f>'Учебный план'!E77</f>
        <v>Х</v>
      </c>
      <c r="E58" s="277">
        <f>'Учебный план'!G77</f>
        <v>0</v>
      </c>
      <c r="F58" s="277" t="e">
        <f>'Учебный план'!#REF!</f>
        <v>#REF!</v>
      </c>
      <c r="G58" s="277">
        <f>'Учебный план'!H77</f>
        <v>0</v>
      </c>
      <c r="I58" s="278">
        <f>'УП заочное обучение'!D59</f>
        <v>0</v>
      </c>
      <c r="J58" s="278" t="str">
        <f>'УП заочное обучение'!E59</f>
        <v>2</v>
      </c>
      <c r="K58" s="278">
        <f>'УП заочное обучение'!F59</f>
        <v>0</v>
      </c>
      <c r="L58" s="278">
        <f>'УП заочное обучение'!G59</f>
        <v>0</v>
      </c>
      <c r="M58" s="278">
        <f>'УП заочное обучение'!H59</f>
        <v>0</v>
      </c>
    </row>
    <row r="59" spans="1:13" ht="39" thickBot="1">
      <c r="A59" s="277" t="str">
        <f>'Учебный план'!B78</f>
        <v>Техника безопасности на судах</v>
      </c>
      <c r="B59" s="277">
        <f>'Учебный план'!C78</f>
        <v>0</v>
      </c>
      <c r="C59" s="277" t="str">
        <f>'Учебный план'!D78</f>
        <v>5</v>
      </c>
      <c r="D59" s="277">
        <f>'Учебный план'!E78</f>
        <v>0</v>
      </c>
      <c r="E59" s="277">
        <f>'Учебный план'!G78</f>
        <v>0</v>
      </c>
      <c r="F59" s="277" t="e">
        <f>'Учебный план'!#REF!</f>
        <v>#REF!</v>
      </c>
      <c r="G59" s="277">
        <f>'Учебный план'!H78</f>
        <v>0</v>
      </c>
      <c r="I59" s="278" t="str">
        <f>'УП заочное обучение'!D60</f>
        <v>2</v>
      </c>
      <c r="J59" s="278">
        <f>'УП заочное обучение'!E60</f>
        <v>0</v>
      </c>
      <c r="K59" s="278">
        <f>'УП заочное обучение'!F60</f>
        <v>0</v>
      </c>
      <c r="L59" s="278">
        <f>'УП заочное обучение'!G60</f>
        <v>0</v>
      </c>
      <c r="M59" s="278">
        <f>'УП заочное обучение'!H60</f>
        <v>0</v>
      </c>
    </row>
    <row r="60" spans="1:13" ht="13.5" thickBot="1">
      <c r="A60" s="277">
        <f>'Учебный план'!B79</f>
        <v>0</v>
      </c>
      <c r="B60" s="277">
        <f>'Учебный план'!C79</f>
        <v>0</v>
      </c>
      <c r="C60" s="277" t="str">
        <f>'Учебный план'!D79</f>
        <v>Х</v>
      </c>
      <c r="D60" s="277">
        <f>'Учебный план'!E79</f>
        <v>0</v>
      </c>
      <c r="E60" s="277">
        <f>'Учебный план'!G79</f>
        <v>0</v>
      </c>
      <c r="F60" s="277" t="e">
        <f>'Учебный план'!#REF!</f>
        <v>#REF!</v>
      </c>
      <c r="G60" s="277">
        <f>'Учебный план'!H79</f>
        <v>0</v>
      </c>
      <c r="I60" s="278" t="str">
        <f>'УП заочное обучение'!D61</f>
        <v>2</v>
      </c>
      <c r="J60" s="278">
        <f>'УП заочное обучение'!E61</f>
        <v>0</v>
      </c>
      <c r="K60" s="278">
        <f>'УП заочное обучение'!F61</f>
        <v>0</v>
      </c>
      <c r="L60" s="278">
        <f>'УП заочное обучение'!G61</f>
        <v>0</v>
      </c>
      <c r="M60" s="278">
        <f>'УП заочное обучение'!H61</f>
        <v>0</v>
      </c>
    </row>
    <row r="61" spans="1:13" ht="39" thickBot="1">
      <c r="A61" s="275" t="str">
        <f>'Учебный план'!B80</f>
        <v>Обработка и размещение груза</v>
      </c>
      <c r="B61" s="275">
        <f>'Учебный план'!C80</f>
        <v>0</v>
      </c>
      <c r="C61" s="275">
        <f>'Учебный план'!D80</f>
        <v>0</v>
      </c>
      <c r="D61" s="275">
        <f>'Учебный план'!E80</f>
        <v>0</v>
      </c>
      <c r="E61" s="275">
        <f>'Учебный план'!G80</f>
        <v>0</v>
      </c>
      <c r="F61" s="275" t="e">
        <f>'Учебный план'!#REF!</f>
        <v>#REF!</v>
      </c>
      <c r="G61" s="275">
        <f>'Учебный план'!H80</f>
        <v>0</v>
      </c>
      <c r="H61" s="280"/>
      <c r="I61" s="276">
        <f>'УП заочное обучение'!D62</f>
        <v>0</v>
      </c>
      <c r="J61" s="276">
        <f>'УП заочное обучение'!E62</f>
        <v>0</v>
      </c>
      <c r="K61" s="276">
        <f>'УП заочное обучение'!F62</f>
        <v>0</v>
      </c>
      <c r="L61" s="276">
        <f>'УП заочное обучение'!G62</f>
        <v>0</v>
      </c>
      <c r="M61" s="276">
        <f>'УП заочное обучение'!H62</f>
        <v>0</v>
      </c>
    </row>
    <row r="62" spans="1:13" ht="39" thickBot="1">
      <c r="A62" s="277" t="str">
        <f>'Учебный план'!B81</f>
        <v>Технология перевозки груза</v>
      </c>
      <c r="B62" s="277">
        <f>'Учебный план'!C81</f>
        <v>0</v>
      </c>
      <c r="C62" s="277">
        <f>'Учебный план'!D81</f>
        <v>0</v>
      </c>
      <c r="D62" s="277">
        <f>'Учебный план'!E81</f>
        <v>0</v>
      </c>
      <c r="E62" s="277">
        <f>'Учебный план'!G81</f>
        <v>0</v>
      </c>
      <c r="F62" s="277" t="e">
        <f>'Учебный план'!#REF!</f>
        <v>#REF!</v>
      </c>
      <c r="G62" s="277">
        <f>'Учебный план'!H81</f>
        <v>0</v>
      </c>
      <c r="I62" s="278">
        <f>'УП заочное обучение'!D63</f>
        <v>0</v>
      </c>
      <c r="J62" s="278">
        <f>'УП заочное обучение'!E63</f>
        <v>0</v>
      </c>
      <c r="K62" s="278">
        <f>'УП заочное обучение'!F63</f>
        <v>0</v>
      </c>
      <c r="L62" s="278">
        <f>'УП заочное обучение'!G63</f>
        <v>0</v>
      </c>
      <c r="M62" s="278">
        <f>'УП заочное обучение'!H63</f>
        <v>0</v>
      </c>
    </row>
    <row r="63" spans="1:13" ht="26.25" thickBot="1">
      <c r="A63" s="277" t="str">
        <f>'Учебный план'!B82</f>
        <v>Коммерческая эксплуатация</v>
      </c>
      <c r="B63" s="277">
        <f>'Учебный план'!C82</f>
        <v>0</v>
      </c>
      <c r="C63" s="277">
        <f>'Учебный план'!D82</f>
        <v>0</v>
      </c>
      <c r="D63" s="277" t="str">
        <f>'Учебный план'!E82</f>
        <v>8</v>
      </c>
      <c r="E63" s="277">
        <f>'Учебный план'!G82</f>
        <v>0</v>
      </c>
      <c r="F63" s="277" t="e">
        <f>'Учебный план'!#REF!</f>
        <v>#REF!</v>
      </c>
      <c r="G63" s="277" t="str">
        <f>'Учебный план'!H82</f>
        <v>7</v>
      </c>
      <c r="I63" s="278">
        <f>'УП заочное обучение'!D64</f>
        <v>0</v>
      </c>
      <c r="J63" s="278" t="str">
        <f>'УП заочное обучение'!E64</f>
        <v>3</v>
      </c>
      <c r="K63" s="278">
        <f>'УП заочное обучение'!F64</f>
        <v>0</v>
      </c>
      <c r="L63" s="278">
        <f>'УП заочное обучение'!G64</f>
        <v>0</v>
      </c>
      <c r="M63" s="278" t="str">
        <f>'УП заочное обучение'!H64</f>
        <v>3</v>
      </c>
    </row>
    <row r="64" spans="1:13" ht="26.25" thickBot="1">
      <c r="A64" s="277" t="str">
        <f>'Учебный план'!B83</f>
        <v>Технология перевозок</v>
      </c>
      <c r="B64" s="277">
        <f>'Учебный план'!C83</f>
        <v>0</v>
      </c>
      <c r="C64" s="277">
        <f>'Учебный план'!D83</f>
        <v>0</v>
      </c>
      <c r="D64" s="277" t="str">
        <f>'Учебный план'!E83</f>
        <v>8</v>
      </c>
      <c r="E64" s="277" t="str">
        <f>'Учебный план'!G83</f>
        <v>8</v>
      </c>
      <c r="F64" s="277" t="e">
        <f>'Учебный план'!#REF!</f>
        <v>#REF!</v>
      </c>
      <c r="G64" s="277" t="str">
        <f>'Учебный план'!H83</f>
        <v>7</v>
      </c>
      <c r="I64" s="278">
        <f>'УП заочное обучение'!D65</f>
        <v>0</v>
      </c>
      <c r="J64" s="278" t="str">
        <f>'УП заочное обучение'!E65</f>
        <v>4</v>
      </c>
      <c r="K64" s="278">
        <f>'УП заочное обучение'!F65</f>
        <v>0</v>
      </c>
      <c r="L64" s="278" t="str">
        <f>'УП заочное обучение'!G65</f>
        <v>4</v>
      </c>
      <c r="M64" s="278" t="str">
        <f>'УП заочное обучение'!H65</f>
        <v>4</v>
      </c>
    </row>
    <row r="65" spans="1:13" ht="13.5" thickBot="1">
      <c r="A65" s="277">
        <f>'Учебный план'!B84</f>
        <v>0</v>
      </c>
      <c r="B65" s="277">
        <f>'Учебный план'!C84</f>
        <v>0</v>
      </c>
      <c r="C65" s="277">
        <f>'Учебный план'!D84</f>
        <v>8</v>
      </c>
      <c r="D65" s="277">
        <f>'Учебный план'!E84</f>
        <v>0</v>
      </c>
      <c r="E65" s="277">
        <f>'Учебный план'!G84</f>
        <v>0</v>
      </c>
      <c r="F65" s="277" t="e">
        <f>'Учебный план'!#REF!</f>
        <v>#REF!</v>
      </c>
      <c r="G65" s="277">
        <f>'Учебный план'!H84</f>
        <v>0</v>
      </c>
      <c r="I65" s="278" t="str">
        <f>'УП заочное обучение'!D66</f>
        <v>4</v>
      </c>
      <c r="J65" s="278">
        <f>'УП заочное обучение'!E66</f>
        <v>0</v>
      </c>
      <c r="K65" s="278">
        <f>'УП заочное обучение'!F66</f>
        <v>0</v>
      </c>
      <c r="L65" s="278">
        <f>'УП заочное обучение'!G66</f>
        <v>0</v>
      </c>
      <c r="M65" s="278">
        <f>'УП заочное обучение'!H66</f>
        <v>0</v>
      </c>
    </row>
    <row r="66" spans="1:13" ht="39" thickBot="1">
      <c r="A66" s="275" t="str">
        <f>'Учебный план'!B85</f>
        <v>Анализ эффективности работы судна</v>
      </c>
      <c r="B66" s="275">
        <f>'Учебный план'!C85</f>
        <v>0</v>
      </c>
      <c r="C66" s="275">
        <f>'Учебный план'!D85</f>
        <v>0</v>
      </c>
      <c r="D66" s="275">
        <f>'Учебный план'!E85</f>
        <v>0</v>
      </c>
      <c r="E66" s="275">
        <f>'Учебный план'!G85</f>
        <v>0</v>
      </c>
      <c r="F66" s="275" t="e">
        <f>'Учебный план'!#REF!</f>
        <v>#REF!</v>
      </c>
      <c r="G66" s="275">
        <f>'Учебный план'!H85</f>
        <v>0</v>
      </c>
      <c r="H66" s="280"/>
      <c r="I66" s="276">
        <f>'УП заочное обучение'!D67</f>
        <v>0</v>
      </c>
      <c r="J66" s="276">
        <f>'УП заочное обучение'!E67</f>
        <v>0</v>
      </c>
      <c r="K66" s="276">
        <f>'УП заочное обучение'!F67</f>
        <v>0</v>
      </c>
      <c r="L66" s="276">
        <f>'УП заочное обучение'!G67</f>
        <v>0</v>
      </c>
      <c r="M66" s="276">
        <f>'УП заочное обучение'!H67</f>
        <v>0</v>
      </c>
    </row>
    <row r="67" spans="1:13" ht="90" thickBot="1">
      <c r="A67" s="277" t="str">
        <f>'Учебный план'!B86</f>
        <v>Основы анализа эффективности работы судна с применением информационных технологий</v>
      </c>
      <c r="B67" s="277">
        <f>'Учебный план'!C86</f>
        <v>0</v>
      </c>
      <c r="C67" s="277">
        <f>'Учебный план'!D86</f>
        <v>0</v>
      </c>
      <c r="D67" s="277">
        <f>'Учебный план'!E86</f>
        <v>9</v>
      </c>
      <c r="E67" s="277">
        <f>'Учебный план'!G86</f>
        <v>0</v>
      </c>
      <c r="F67" s="277" t="e">
        <f>'Учебный план'!#REF!</f>
        <v>#REF!</v>
      </c>
      <c r="G67" s="277" t="str">
        <f>'Учебный план'!H86</f>
        <v>7,8</v>
      </c>
      <c r="I67" s="278">
        <f>'УП заочное обучение'!D68</f>
        <v>0</v>
      </c>
      <c r="J67" s="278" t="str">
        <f>'УП заочное обучение'!E68</f>
        <v>4</v>
      </c>
      <c r="K67" s="278">
        <f>'УП заочное обучение'!F68</f>
        <v>0</v>
      </c>
      <c r="L67" s="278">
        <f>'УП заочное обучение'!G68</f>
        <v>0</v>
      </c>
      <c r="M67" s="278" t="str">
        <f>'УП заочное обучение'!H68</f>
        <v>4</v>
      </c>
    </row>
    <row r="68" spans="1:13" ht="13.5" thickBot="1">
      <c r="A68" s="277">
        <f>'Учебный план'!B87</f>
        <v>0</v>
      </c>
      <c r="B68" s="277">
        <f>'Учебный план'!C87</f>
        <v>0</v>
      </c>
      <c r="C68" s="277">
        <f>'Учебный план'!D87</f>
        <v>8</v>
      </c>
      <c r="D68" s="277">
        <f>'Учебный план'!E87</f>
        <v>0</v>
      </c>
      <c r="E68" s="277">
        <f>'Учебный план'!G87</f>
        <v>0</v>
      </c>
      <c r="F68" s="277" t="e">
        <f>'Учебный план'!#REF!</f>
        <v>#REF!</v>
      </c>
      <c r="G68" s="277">
        <f>'Учебный план'!H87</f>
        <v>0</v>
      </c>
      <c r="I68" s="278" t="str">
        <f>'УП заочное обучение'!D69</f>
        <v>4</v>
      </c>
      <c r="J68" s="278">
        <f>'УП заочное обучение'!E69</f>
        <v>0</v>
      </c>
      <c r="K68" s="278">
        <f>'УП заочное обучение'!F69</f>
        <v>0</v>
      </c>
      <c r="L68" s="278">
        <f>'УП заочное обучение'!G69</f>
        <v>0</v>
      </c>
      <c r="M68" s="278">
        <f>'УП заочное обучение'!H69</f>
        <v>0</v>
      </c>
    </row>
    <row r="69" spans="1:13" ht="90" thickBot="1">
      <c r="A69" s="275" t="str">
        <f>'Учебный план'!B88</f>
        <v>Выполнение работ по одной или нескольким профессиям рабочих, должностям служащих</v>
      </c>
      <c r="B69" s="275">
        <f>'Учебный план'!C88</f>
        <v>0</v>
      </c>
      <c r="C69" s="275">
        <f>'Учебный план'!D88</f>
        <v>0</v>
      </c>
      <c r="D69" s="275">
        <f>'Учебный план'!E88</f>
        <v>0</v>
      </c>
      <c r="E69" s="275">
        <f>'Учебный план'!G88</f>
        <v>0</v>
      </c>
      <c r="F69" s="275" t="e">
        <f>'Учебный план'!#REF!</f>
        <v>#REF!</v>
      </c>
      <c r="G69" s="275">
        <f>'Учебный план'!H88</f>
        <v>0</v>
      </c>
      <c r="H69" s="280"/>
      <c r="I69" s="276">
        <f>'УП заочное обучение'!D70</f>
        <v>0</v>
      </c>
      <c r="J69" s="276">
        <f>'УП заочное обучение'!E70</f>
        <v>0</v>
      </c>
      <c r="K69" s="276">
        <f>'УП заочное обучение'!F70</f>
        <v>0</v>
      </c>
      <c r="L69" s="276">
        <f>'УП заочное обучение'!G70</f>
        <v>0</v>
      </c>
      <c r="M69" s="276">
        <f>'УП заочное обучение'!H70</f>
        <v>0</v>
      </c>
    </row>
    <row r="70" spans="1:13" ht="13.5" thickBot="1">
      <c r="A70" s="277" t="e">
        <f>'Учебный план'!#REF!</f>
        <v>#REF!</v>
      </c>
      <c r="B70" s="277" t="e">
        <f>'Учебный план'!#REF!</f>
        <v>#REF!</v>
      </c>
      <c r="C70" s="277" t="e">
        <f>'Учебный план'!#REF!</f>
        <v>#REF!</v>
      </c>
      <c r="D70" s="277" t="e">
        <f>'Учебный план'!#REF!</f>
        <v>#REF!</v>
      </c>
      <c r="E70" s="277" t="e">
        <f>'Учебный план'!#REF!</f>
        <v>#REF!</v>
      </c>
      <c r="F70" s="277" t="e">
        <f>'Учебный план'!#REF!</f>
        <v>#REF!</v>
      </c>
      <c r="G70" s="277" t="e">
        <f>'Учебный план'!#REF!</f>
        <v>#REF!</v>
      </c>
      <c r="I70" s="278" t="e">
        <f>'УП заочное обучение'!#REF!</f>
        <v>#REF!</v>
      </c>
      <c r="J70" s="278" t="e">
        <f>'УП заочное обучение'!#REF!</f>
        <v>#REF!</v>
      </c>
      <c r="K70" s="278" t="e">
        <f>'УП заочное обучение'!#REF!</f>
        <v>#REF!</v>
      </c>
      <c r="L70" s="278" t="e">
        <f>'УП заочное обучение'!#REF!</f>
        <v>#REF!</v>
      </c>
      <c r="M70" s="278" t="e">
        <f>'УП заочное обучение'!#REF!</f>
        <v>#REF!</v>
      </c>
    </row>
    <row r="71" spans="1:13" ht="13.5" thickBot="1">
      <c r="A71" s="277" t="str">
        <f>'Учебный план'!B89</f>
        <v>Матрос</v>
      </c>
      <c r="B71" s="277">
        <f>'Учебный план'!C89</f>
        <v>0</v>
      </c>
      <c r="C71" s="277">
        <f>'Учебный план'!D89</f>
        <v>0</v>
      </c>
      <c r="D71" s="277" t="str">
        <f>'Учебный план'!E89</f>
        <v>4</v>
      </c>
      <c r="E71" s="277">
        <f>'Учебный план'!G89</f>
        <v>0</v>
      </c>
      <c r="F71" s="277" t="e">
        <f>'Учебный план'!#REF!</f>
        <v>#REF!</v>
      </c>
      <c r="G71" s="277">
        <f>'Учебный план'!H89</f>
        <v>0</v>
      </c>
      <c r="I71" s="278">
        <f>'УП заочное обучение'!D71</f>
        <v>0</v>
      </c>
      <c r="J71" s="278" t="str">
        <f>'УП заочное обучение'!E71</f>
        <v>2</v>
      </c>
      <c r="K71" s="278">
        <f>'УП заочное обучение'!F71</f>
        <v>0</v>
      </c>
      <c r="L71" s="278">
        <f>'УП заочное обучение'!G71</f>
        <v>0</v>
      </c>
      <c r="M71" s="278">
        <f>'УП заочное обучение'!H71</f>
        <v>0</v>
      </c>
    </row>
    <row r="72" spans="1:13" ht="13.5" thickBot="1">
      <c r="A72" s="277">
        <f>'Учебный план'!B90</f>
        <v>0</v>
      </c>
      <c r="B72" s="277">
        <f>'Учебный план'!C90</f>
        <v>0</v>
      </c>
      <c r="C72" s="277">
        <f>'Учебный план'!D90</f>
        <v>5</v>
      </c>
      <c r="D72" s="277">
        <f>'Учебный план'!E90</f>
        <v>0</v>
      </c>
      <c r="E72" s="277">
        <f>'Учебный план'!G90</f>
        <v>0</v>
      </c>
      <c r="F72" s="277" t="e">
        <f>'Учебный план'!#REF!</f>
        <v>#REF!</v>
      </c>
      <c r="G72" s="277">
        <f>'Учебный план'!H90</f>
        <v>0</v>
      </c>
      <c r="I72" s="278" t="str">
        <f>'УП заочное обучение'!D72</f>
        <v>3</v>
      </c>
      <c r="J72" s="278">
        <f>'УП заочное обучение'!E72</f>
        <v>0</v>
      </c>
      <c r="K72" s="278">
        <f>'УП заочное обучение'!F72</f>
        <v>0</v>
      </c>
      <c r="L72" s="278">
        <f>'УП заочное обучение'!G72</f>
        <v>0</v>
      </c>
      <c r="M72" s="278">
        <f>'УП заочное обучение'!H72</f>
        <v>0</v>
      </c>
    </row>
    <row r="73" spans="1:13" ht="39" thickBot="1">
      <c r="A73" s="275" t="str">
        <f>'Учебный план'!B91</f>
        <v>Вариативная часть циклов ППССЗ</v>
      </c>
      <c r="B73" s="275">
        <f>'Учебный план'!C91</f>
        <v>0</v>
      </c>
      <c r="C73" s="275">
        <f>'Учебный план'!D91</f>
        <v>0</v>
      </c>
      <c r="D73" s="275">
        <f>'Учебный план'!E91</f>
        <v>0</v>
      </c>
      <c r="E73" s="275">
        <f>'Учебный план'!G91</f>
        <v>0</v>
      </c>
      <c r="F73" s="275" t="e">
        <f>'Учебный план'!#REF!</f>
        <v>#REF!</v>
      </c>
      <c r="G73" s="275">
        <f>'Учебный план'!H91</f>
        <v>0</v>
      </c>
      <c r="H73" s="280"/>
      <c r="I73" s="276">
        <f>'УП заочное обучение'!D73</f>
        <v>0</v>
      </c>
      <c r="J73" s="276">
        <f>'УП заочное обучение'!E73</f>
        <v>0</v>
      </c>
      <c r="K73" s="276">
        <f>'УП заочное обучение'!F73</f>
        <v>0</v>
      </c>
      <c r="L73" s="276">
        <f>'УП заочное обучение'!G73</f>
        <v>0</v>
      </c>
      <c r="M73" s="276">
        <f>'УП заочное обучение'!H73</f>
        <v>0</v>
      </c>
    </row>
    <row r="74" spans="1:13" s="313" customFormat="1" ht="77.25" thickBot="1">
      <c r="A74" s="323" t="str">
        <f>'Учебный план'!B92</f>
        <v>Эксплуатация судовых энергетических установок на вспомогательном уровне</v>
      </c>
      <c r="B74" s="323" t="str">
        <f>'Учебный план'!C92</f>
        <v>ЭСЭУ</v>
      </c>
      <c r="C74" s="323" t="str">
        <f>'Учебный план'!D92</f>
        <v>4</v>
      </c>
      <c r="D74" s="323">
        <f>'Учебный план'!E92</f>
        <v>0</v>
      </c>
      <c r="E74" s="323">
        <f>'Учебный план'!G92</f>
        <v>0</v>
      </c>
      <c r="F74" s="323" t="e">
        <f>'Учебный план'!#REF!</f>
        <v>#REF!</v>
      </c>
      <c r="G74" s="323" t="str">
        <f>'Учебный план'!H92</f>
        <v>3</v>
      </c>
      <c r="H74" s="324"/>
      <c r="I74" s="325" t="str">
        <f>'УП заочное обучение'!D74</f>
        <v>2</v>
      </c>
      <c r="J74" s="325">
        <f>'УП заочное обучение'!E74</f>
        <v>0</v>
      </c>
      <c r="K74" s="325">
        <f>'УП заочное обучение'!F74</f>
        <v>0</v>
      </c>
      <c r="L74" s="325">
        <f>'УП заочное обучение'!G74</f>
        <v>0</v>
      </c>
      <c r="M74" s="325" t="str">
        <f>'УП заочное обучение'!H74</f>
        <v>2</v>
      </c>
    </row>
    <row r="75" spans="1:13" s="313" customFormat="1" ht="51.75" thickBot="1">
      <c r="A75" s="323" t="str">
        <f>'Учебный план'!B93</f>
        <v>Профессиональный  английский язык</v>
      </c>
      <c r="B75" s="323">
        <f>'Учебный план'!C93</f>
        <v>0</v>
      </c>
      <c r="C75" s="323">
        <f>'Учебный план'!D93</f>
        <v>0</v>
      </c>
      <c r="D75" s="323" t="str">
        <f>'Учебный план'!E93</f>
        <v>Х</v>
      </c>
      <c r="E75" s="323">
        <f>'Учебный план'!G93</f>
        <v>0</v>
      </c>
      <c r="F75" s="323" t="e">
        <f>'Учебный план'!#REF!</f>
        <v>#REF!</v>
      </c>
      <c r="G75" s="323" t="str">
        <f>'Учебный план'!H93</f>
        <v>9</v>
      </c>
      <c r="H75" s="324"/>
      <c r="I75" s="325">
        <f>'УП заочное обучение'!D75</f>
        <v>0</v>
      </c>
      <c r="J75" s="325" t="str">
        <f>'УП заочное обучение'!E75</f>
        <v>4</v>
      </c>
      <c r="K75" s="325">
        <f>'УП заочное обучение'!F75</f>
        <v>0</v>
      </c>
      <c r="L75" s="325">
        <f>'УП заочное обучение'!G75</f>
        <v>0</v>
      </c>
      <c r="M75" s="325">
        <f>'УП заочное обучение'!H75</f>
        <v>0</v>
      </c>
    </row>
    <row r="76" spans="1:13" ht="26.25" thickBot="1">
      <c r="A76" s="275" t="str">
        <f>'Учебный план'!B94</f>
        <v>Учебная практика</v>
      </c>
      <c r="B76" s="275">
        <f>'Учебный план'!C94</f>
        <v>0</v>
      </c>
      <c r="C76" s="275">
        <f>'Учебный план'!D94</f>
        <v>0</v>
      </c>
      <c r="D76" s="275">
        <f>'Учебный план'!E94</f>
        <v>4</v>
      </c>
      <c r="E76" s="275">
        <f>'Учебный план'!G94</f>
        <v>0</v>
      </c>
      <c r="F76" s="275" t="e">
        <f>'Учебный план'!#REF!</f>
        <v>#REF!</v>
      </c>
      <c r="G76" s="275">
        <f>'Учебный план'!H94</f>
        <v>0</v>
      </c>
      <c r="H76" s="280"/>
      <c r="I76" s="276">
        <f>'УП заочное обучение'!D76</f>
        <v>0</v>
      </c>
      <c r="J76" s="276" t="str">
        <f>'УП заочное обучение'!E76</f>
        <v>2</v>
      </c>
      <c r="K76" s="276">
        <f>'УП заочное обучение'!F76</f>
        <v>0</v>
      </c>
      <c r="L76" s="276">
        <f>'УП заочное обучение'!G76</f>
        <v>0</v>
      </c>
      <c r="M76" s="276">
        <f>'УП заочное обучение'!H76</f>
        <v>0</v>
      </c>
    </row>
    <row r="77" spans="1:13" ht="26.25" thickBot="1">
      <c r="A77" s="277" t="str">
        <f>'Учебный план'!B95</f>
        <v>Слесарная практика</v>
      </c>
      <c r="B77" s="277">
        <f>'Учебный план'!C95</f>
        <v>0</v>
      </c>
      <c r="C77" s="277">
        <f>'Учебный план'!D95</f>
        <v>0</v>
      </c>
      <c r="D77" s="277" t="str">
        <f>'Учебный план'!E95</f>
        <v>4</v>
      </c>
      <c r="E77" s="277">
        <f>'Учебный план'!G95</f>
        <v>0</v>
      </c>
      <c r="F77" s="277" t="e">
        <f>'Учебный план'!#REF!</f>
        <v>#REF!</v>
      </c>
      <c r="G77" s="277">
        <f>'Учебный план'!H95</f>
        <v>0</v>
      </c>
      <c r="I77" s="278">
        <f>'УП заочное обучение'!D77</f>
        <v>0</v>
      </c>
      <c r="J77" s="278">
        <f>'УП заочное обучение'!E77</f>
        <v>0</v>
      </c>
      <c r="K77" s="278">
        <f>'УП заочное обучение'!F77</f>
        <v>0</v>
      </c>
      <c r="L77" s="278">
        <f>'УП заочное обучение'!G77</f>
        <v>0</v>
      </c>
      <c r="M77" s="278">
        <f>'УП заочное обучение'!H77</f>
        <v>0</v>
      </c>
    </row>
    <row r="78" spans="1:13" ht="39" thickBot="1">
      <c r="A78" s="277" t="str">
        <f>'Учебный план'!B96</f>
        <v>Шлюпочно-такелажная практика</v>
      </c>
      <c r="B78" s="277">
        <f>'Учебный план'!C96</f>
        <v>0</v>
      </c>
      <c r="C78" s="277">
        <f>'Учебный план'!D96</f>
        <v>0</v>
      </c>
      <c r="D78" s="277" t="str">
        <f>'Учебный план'!E96</f>
        <v>4</v>
      </c>
      <c r="E78" s="277">
        <f>'Учебный план'!G96</f>
        <v>0</v>
      </c>
      <c r="F78" s="277" t="e">
        <f>'Учебный план'!#REF!</f>
        <v>#REF!</v>
      </c>
      <c r="G78" s="277">
        <f>'Учебный план'!H96</f>
        <v>0</v>
      </c>
      <c r="I78" s="278">
        <f>'УП заочное обучение'!D78</f>
        <v>0</v>
      </c>
      <c r="J78" s="278">
        <f>'УП заочное обучение'!E78</f>
        <v>0</v>
      </c>
      <c r="K78" s="278">
        <f>'УП заочное обучение'!F78</f>
        <v>0</v>
      </c>
      <c r="L78" s="278">
        <f>'УП заочное обучение'!G78</f>
        <v>0</v>
      </c>
      <c r="M78" s="278">
        <f>'УП заочное обучение'!H78</f>
        <v>0</v>
      </c>
    </row>
    <row r="79" spans="1:13" ht="13.5" thickBot="1">
      <c r="A79" s="277" t="e">
        <f>'Учебный план'!#REF!</f>
        <v>#REF!</v>
      </c>
      <c r="B79" s="277" t="e">
        <f>'Учебный план'!#REF!</f>
        <v>#REF!</v>
      </c>
      <c r="C79" s="277" t="e">
        <f>'Учебный план'!#REF!</f>
        <v>#REF!</v>
      </c>
      <c r="D79" s="277" t="e">
        <f>'Учебный план'!#REF!</f>
        <v>#REF!</v>
      </c>
      <c r="E79" s="277" t="e">
        <f>'Учебный план'!#REF!</f>
        <v>#REF!</v>
      </c>
      <c r="F79" s="277" t="e">
        <f>'Учебный план'!#REF!</f>
        <v>#REF!</v>
      </c>
      <c r="G79" s="277" t="e">
        <f>'Учебный план'!#REF!</f>
        <v>#REF!</v>
      </c>
      <c r="I79" s="278">
        <f>'УП заочное обучение'!D79</f>
        <v>0</v>
      </c>
      <c r="J79" s="278">
        <f>'УП заочное обучение'!E79</f>
        <v>0</v>
      </c>
      <c r="K79" s="278">
        <f>'УП заочное обучение'!F79</f>
        <v>0</v>
      </c>
      <c r="L79" s="278">
        <f>'УП заочное обучение'!G79</f>
        <v>0</v>
      </c>
      <c r="M79" s="278">
        <f>'УП заочное обучение'!H79</f>
        <v>0</v>
      </c>
    </row>
    <row r="80" spans="1:13" ht="39" thickBot="1">
      <c r="A80" s="277" t="str">
        <f>'Учебный план'!B97</f>
        <v>Учебная плавательная (групповая)</v>
      </c>
      <c r="B80" s="277">
        <f>'Учебный план'!C97</f>
        <v>0</v>
      </c>
      <c r="C80" s="277">
        <f>'Учебный план'!D97</f>
        <v>0</v>
      </c>
      <c r="D80" s="277" t="str">
        <f>'Учебный план'!E97</f>
        <v>4</v>
      </c>
      <c r="E80" s="277">
        <f>'Учебный план'!G97</f>
        <v>0</v>
      </c>
      <c r="F80" s="277" t="e">
        <f>'Учебный план'!#REF!</f>
        <v>#REF!</v>
      </c>
      <c r="G80" s="277">
        <f>'Учебный план'!H97</f>
        <v>0</v>
      </c>
      <c r="I80" s="278">
        <f>'УП заочное обучение'!D80</f>
        <v>0</v>
      </c>
      <c r="J80" s="278">
        <f>'УП заочное обучение'!E80</f>
        <v>0</v>
      </c>
      <c r="K80" s="278">
        <f>'УП заочное обучение'!F80</f>
        <v>0</v>
      </c>
      <c r="L80" s="278">
        <f>'УП заочное обучение'!G80</f>
        <v>0</v>
      </c>
      <c r="M80" s="278">
        <f>'УП заочное обучение'!H80</f>
        <v>0</v>
      </c>
    </row>
    <row r="81" spans="1:13" ht="26.25" thickBot="1">
      <c r="A81" s="275" t="str">
        <f>'Учебный план'!B98</f>
        <v>Производственная практика</v>
      </c>
      <c r="B81" s="275">
        <f>'Учебный план'!C98</f>
        <v>0</v>
      </c>
      <c r="C81" s="275">
        <f>'Учебный план'!D98</f>
        <v>0</v>
      </c>
      <c r="D81" s="275">
        <f>'Учебный план'!E98</f>
        <v>0</v>
      </c>
      <c r="E81" s="275">
        <f>'Учебный план'!G98</f>
        <v>0</v>
      </c>
      <c r="F81" s="275" t="e">
        <f>'Учебный план'!#REF!</f>
        <v>#REF!</v>
      </c>
      <c r="G81" s="275">
        <f>'Учебный план'!H98</f>
        <v>0</v>
      </c>
      <c r="H81" s="280"/>
      <c r="I81" s="276">
        <f>'УП заочное обучение'!D81</f>
        <v>0</v>
      </c>
      <c r="J81" s="276">
        <f>'УП заочное обучение'!E81</f>
        <v>0</v>
      </c>
      <c r="K81" s="276">
        <f>'УП заочное обучение'!F81</f>
        <v>0</v>
      </c>
      <c r="L81" s="276">
        <f>'УП заочное обучение'!G81</f>
        <v>0</v>
      </c>
      <c r="M81" s="276">
        <f>'УП заочное обучение'!H81</f>
        <v>0</v>
      </c>
    </row>
    <row r="82" spans="1:13" ht="51.75" thickBot="1">
      <c r="A82" s="277" t="str">
        <f>'Учебный план'!B99</f>
        <v>Производственная практика (по профилю специальности)</v>
      </c>
      <c r="B82" s="277">
        <f>'Учебный план'!C99</f>
        <v>0</v>
      </c>
      <c r="C82" s="277">
        <f>'Учебный план'!D99</f>
        <v>0</v>
      </c>
      <c r="D82" s="277" t="str">
        <f>'Учебный план'!E99</f>
        <v>7,9</v>
      </c>
      <c r="E82" s="277">
        <f>'Учебный план'!G99</f>
        <v>0</v>
      </c>
      <c r="F82" s="277" t="e">
        <f>'Учебный план'!#REF!</f>
        <v>#REF!</v>
      </c>
      <c r="G82" s="277">
        <f>'Учебный план'!H99</f>
        <v>0</v>
      </c>
      <c r="I82" s="278">
        <f>'УП заочное обучение'!D82</f>
        <v>0</v>
      </c>
      <c r="J82" s="278">
        <f>'УП заочное обучение'!E82</f>
        <v>4.5</v>
      </c>
      <c r="K82" s="278">
        <f>'УП заочное обучение'!F82</f>
        <v>0</v>
      </c>
      <c r="L82" s="278">
        <f>'УП заочное обучение'!G82</f>
        <v>0</v>
      </c>
      <c r="M82" s="278">
        <f>'УП заочное обучение'!H82</f>
        <v>0</v>
      </c>
    </row>
    <row r="83" spans="1:13" ht="26.25" thickBot="1">
      <c r="A83" s="277" t="str">
        <f>'Учебный план'!B100</f>
        <v>Преддипломная практика</v>
      </c>
      <c r="B83" s="277">
        <f>'Учебный план'!C100</f>
        <v>0</v>
      </c>
      <c r="C83" s="277">
        <f>'Учебный план'!D100</f>
        <v>0</v>
      </c>
      <c r="D83" s="277" t="str">
        <f>'Учебный план'!E100</f>
        <v>9</v>
      </c>
      <c r="E83" s="277">
        <f>'Учебный план'!G100</f>
        <v>0</v>
      </c>
      <c r="F83" s="277" t="e">
        <f>'Учебный план'!#REF!</f>
        <v>#REF!</v>
      </c>
      <c r="G83" s="277">
        <f>'Учебный план'!H100</f>
        <v>0</v>
      </c>
      <c r="I83" s="278">
        <f>'УП заочное обучение'!D83</f>
        <v>0</v>
      </c>
      <c r="J83" s="278">
        <f>'УП заочное обучение'!E83</f>
        <v>5</v>
      </c>
      <c r="K83" s="278">
        <f>'УП заочное обучение'!F83</f>
        <v>0</v>
      </c>
      <c r="L83" s="278">
        <f>'УП заочное обучение'!G83</f>
        <v>0</v>
      </c>
      <c r="M83" s="278">
        <f>'УП заочное обучение'!H83</f>
        <v>0</v>
      </c>
    </row>
    <row r="84" spans="1:13" ht="39" thickBot="1">
      <c r="A84" s="275" t="str">
        <f>'Учебный план'!B101</f>
        <v>Государственная итоговая аттестация</v>
      </c>
      <c r="B84" s="275">
        <f>'Учебный план'!C101</f>
        <v>0</v>
      </c>
      <c r="C84" s="275">
        <f>'Учебный план'!D101</f>
        <v>0</v>
      </c>
      <c r="D84" s="275">
        <f>'Учебный план'!E101</f>
        <v>0</v>
      </c>
      <c r="E84" s="275">
        <f>'Учебный план'!G101</f>
        <v>0</v>
      </c>
      <c r="F84" s="275" t="e">
        <f>'Учебный план'!#REF!</f>
        <v>#REF!</v>
      </c>
      <c r="G84" s="275">
        <f>'Учебный план'!H101</f>
        <v>0</v>
      </c>
      <c r="H84" s="280"/>
      <c r="I84" s="276">
        <f>'УП заочное обучение'!D84</f>
        <v>0</v>
      </c>
      <c r="J84" s="276">
        <f>'УП заочное обучение'!E84</f>
        <v>0</v>
      </c>
      <c r="K84" s="276">
        <f>'УП заочное обучение'!F84</f>
        <v>0</v>
      </c>
      <c r="L84" s="276">
        <f>'УП заочное обучение'!G84</f>
        <v>0</v>
      </c>
      <c r="M84" s="276">
        <f>'УП заочное обучение'!H84</f>
        <v>0</v>
      </c>
    </row>
    <row r="85" spans="1:13" ht="39" thickBot="1">
      <c r="A85" s="277" t="str">
        <f>'Учебный план'!B102</f>
        <v>Государственная итоговая аттестация</v>
      </c>
      <c r="B85" s="277">
        <f>'Учебный план'!C102</f>
        <v>0</v>
      </c>
      <c r="C85" s="277">
        <f>'Учебный план'!D102</f>
        <v>0</v>
      </c>
      <c r="D85" s="277">
        <f>'Учебный план'!E102</f>
        <v>0</v>
      </c>
      <c r="E85" s="277">
        <f>'Учебный план'!G102</f>
        <v>0</v>
      </c>
      <c r="F85" s="277" t="e">
        <f>'Учебный план'!#REF!</f>
        <v>#REF!</v>
      </c>
      <c r="G85" s="277">
        <f>'Учебный план'!H102</f>
        <v>0</v>
      </c>
      <c r="I85" s="278">
        <f>'УП заочное обучение'!D85</f>
        <v>0</v>
      </c>
      <c r="J85" s="278">
        <f>'УП заочное обучение'!E85</f>
        <v>0</v>
      </c>
      <c r="K85" s="278">
        <f>'УП заочное обучение'!F85</f>
        <v>0</v>
      </c>
      <c r="L85" s="278">
        <f>'УП заочное обучение'!G85</f>
        <v>0</v>
      </c>
      <c r="M85" s="278">
        <f>'УП заочное обучение'!H85</f>
        <v>0</v>
      </c>
    </row>
    <row r="86" spans="1:13" ht="13.5" thickBot="1">
      <c r="A86" s="275" t="str">
        <f>'Учебный план'!B103</f>
        <v>Консультации</v>
      </c>
      <c r="B86" s="275">
        <f>'Учебный план'!C103</f>
        <v>0</v>
      </c>
      <c r="C86" s="275">
        <f>'Учебный план'!D103</f>
        <v>0</v>
      </c>
      <c r="D86" s="275">
        <f>'Учебный план'!E103</f>
        <v>0</v>
      </c>
      <c r="E86" s="275">
        <f>'Учебный план'!G103</f>
        <v>0</v>
      </c>
      <c r="F86" s="275" t="e">
        <f>'Учебный план'!#REF!</f>
        <v>#REF!</v>
      </c>
      <c r="G86" s="275">
        <f>'Учебный план'!H103</f>
        <v>0</v>
      </c>
      <c r="H86" s="280"/>
      <c r="I86" s="276">
        <f>'УП заочное обучение'!D86</f>
        <v>0</v>
      </c>
      <c r="J86" s="276">
        <f>'УП заочное обучение'!E86</f>
        <v>0</v>
      </c>
      <c r="K86" s="276">
        <f>'УП заочное обучение'!F86</f>
        <v>0</v>
      </c>
      <c r="L86" s="276">
        <f>'УП заочное обучение'!G86</f>
        <v>0</v>
      </c>
      <c r="M86" s="276">
        <f>'УП заочное обучение'!H86</f>
        <v>0</v>
      </c>
    </row>
  </sheetData>
  <sheetProtection password="8B06" sheet="1" objects="1" scenarios="1" selectLockedCells="1" selectUnlockedCells="1"/>
  <mergeCells count="14">
    <mergeCell ref="E4:E8"/>
    <mergeCell ref="F4:F8"/>
    <mergeCell ref="G4:G8"/>
    <mergeCell ref="A2:A8"/>
    <mergeCell ref="B2:B8"/>
    <mergeCell ref="C2:G3"/>
    <mergeCell ref="C4:C8"/>
    <mergeCell ref="D4:D8"/>
    <mergeCell ref="L4:L8"/>
    <mergeCell ref="M4:M8"/>
    <mergeCell ref="I2:M3"/>
    <mergeCell ref="I4:I8"/>
    <mergeCell ref="J4:J8"/>
    <mergeCell ref="K4:K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98"/>
  <sheetViews>
    <sheetView showZeros="0" zoomScale="80" zoomScaleNormal="80" workbookViewId="0">
      <selection activeCell="D50" sqref="D50"/>
    </sheetView>
  </sheetViews>
  <sheetFormatPr defaultRowHeight="12.75"/>
  <cols>
    <col min="1" max="1" width="58.1640625" style="179" customWidth="1"/>
    <col min="2" max="2" width="12.6640625" style="179" customWidth="1"/>
    <col min="3" max="3" width="16.5" style="179" customWidth="1"/>
    <col min="4" max="5" width="16.1640625" style="179" customWidth="1"/>
    <col min="6" max="6" width="16.33203125" style="179" customWidth="1"/>
    <col min="7" max="7" width="15.5" style="179" customWidth="1"/>
    <col min="8" max="9" width="28.5" style="179" customWidth="1"/>
    <col min="10" max="16384" width="9.33203125" style="179"/>
  </cols>
  <sheetData>
    <row r="1" spans="1:9" s="140" customFormat="1">
      <c r="A1" s="908" t="s">
        <v>106</v>
      </c>
      <c r="B1" s="908"/>
      <c r="C1" s="908"/>
      <c r="D1" s="908"/>
      <c r="E1" s="908"/>
      <c r="F1" s="908"/>
      <c r="G1" s="908"/>
      <c r="H1" s="908"/>
      <c r="I1" s="908"/>
    </row>
    <row r="2" spans="1:9" s="140" customFormat="1" ht="29.25" customHeight="1">
      <c r="A2" s="864" t="s">
        <v>101</v>
      </c>
      <c r="B2" s="865"/>
      <c r="C2" s="866"/>
      <c r="D2" s="875" t="s">
        <v>105</v>
      </c>
      <c r="E2" s="877"/>
      <c r="F2" s="909" t="s">
        <v>107</v>
      </c>
      <c r="G2" s="909"/>
      <c r="H2" s="862" t="s">
        <v>152</v>
      </c>
      <c r="I2" s="863"/>
    </row>
    <row r="3" spans="1:9" s="140" customFormat="1" ht="63.75">
      <c r="A3" s="867"/>
      <c r="B3" s="868"/>
      <c r="C3" s="869"/>
      <c r="D3" s="141" t="s">
        <v>179</v>
      </c>
      <c r="E3" s="141" t="s">
        <v>275</v>
      </c>
      <c r="F3" s="141" t="s">
        <v>179</v>
      </c>
      <c r="G3" s="141" t="s">
        <v>275</v>
      </c>
      <c r="H3" s="141" t="s">
        <v>179</v>
      </c>
      <c r="I3" s="141" t="s">
        <v>275</v>
      </c>
    </row>
    <row r="4" spans="1:9" s="140" customFormat="1">
      <c r="A4" s="142" t="str">
        <f>'Титульный лист'!A11:N11</f>
        <v>Специфика:</v>
      </c>
      <c r="B4" s="143"/>
      <c r="C4" s="143"/>
      <c r="D4" s="143"/>
      <c r="E4" s="143"/>
      <c r="F4" s="143"/>
      <c r="G4" s="143"/>
      <c r="H4" s="143"/>
      <c r="I4" s="144"/>
    </row>
    <row r="5" spans="1:9" s="140" customFormat="1" hidden="1">
      <c r="A5" s="145">
        <f>'Титульный лист'!O11:O11</f>
        <v>0</v>
      </c>
      <c r="B5" s="146"/>
      <c r="C5" s="146"/>
      <c r="D5" s="146"/>
      <c r="E5" s="146"/>
      <c r="F5" s="146"/>
      <c r="G5" s="146"/>
      <c r="H5" s="147"/>
      <c r="I5" s="148"/>
    </row>
    <row r="6" spans="1:9" s="140" customFormat="1">
      <c r="A6" s="870" t="s">
        <v>546</v>
      </c>
      <c r="B6" s="871"/>
      <c r="C6" s="872"/>
      <c r="D6" s="308">
        <f>G33*G37</f>
        <v>2106</v>
      </c>
      <c r="E6" s="309">
        <v>1404</v>
      </c>
      <c r="F6" s="149">
        <f>'Учебный план'!K11</f>
        <v>2106</v>
      </c>
      <c r="G6" s="149">
        <f>'Учебный план'!L11</f>
        <v>1404</v>
      </c>
      <c r="H6" s="150" t="str">
        <f>IF(OR(D6="",E6=""),"введите данные ФГОС",IF('Учебный план'!K111=0,"заполняйте учебный план",IF(OR(D6="-",D6=F6),"норма",IF(F6&lt;D6,F6-D6,IF(F6&gt;D6,F6-D6,"норма")))))</f>
        <v>норма</v>
      </c>
      <c r="I6" s="150" t="str">
        <f>IF(OR(D6="",E6=""),"введите данные ФГОС",IF('Учебный план'!K111=0,"заполняйте учебный план",IF(OR(E6="-",E6=G6),"норма",IF(G6&lt;E6,G6-E6,IF(G6&gt;E6,G6-E6,"норма")))))</f>
        <v>норма</v>
      </c>
    </row>
    <row r="7" spans="1:9" s="140" customFormat="1">
      <c r="A7" s="870" t="s">
        <v>547</v>
      </c>
      <c r="B7" s="871"/>
      <c r="C7" s="872"/>
      <c r="D7" s="308" t="s">
        <v>22</v>
      </c>
      <c r="E7" s="310" t="s">
        <v>22</v>
      </c>
      <c r="F7" s="149">
        <f>'Учебный план'!K12</f>
        <v>1314</v>
      </c>
      <c r="G7" s="149">
        <f>'Учебный план'!L12</f>
        <v>876</v>
      </c>
      <c r="H7" s="150" t="str">
        <f>IF(OR(D7="",E7=""),"введите данные ФГОС",IF('Учебный план'!K111=0,"заполняйте учебный план",IF(OR(D7="-",D7=F7),"норма",IF(F7&lt;D7,F7-D7,IF(F7&gt;D7,F7-D7,"норма")))))</f>
        <v>норма</v>
      </c>
      <c r="I7" s="150" t="str">
        <f>IF(OR(D7="",E7=""),"введите данные ФГОС",IF('Учебный план'!K111=0,"заполняйте учебный план",IF(OR(E7="-",E7=G7),"норма",IF(G7&lt;E7,G7-E7,IF(G7&gt;E7,G7-E7,"норма")))))</f>
        <v>норма</v>
      </c>
    </row>
    <row r="8" spans="1:9" s="140" customFormat="1">
      <c r="A8" s="870" t="s">
        <v>548</v>
      </c>
      <c r="B8" s="871"/>
      <c r="C8" s="872"/>
      <c r="D8" s="308" t="s">
        <v>22</v>
      </c>
      <c r="E8" s="310" t="s">
        <v>22</v>
      </c>
      <c r="F8" s="149">
        <f>'Учебный план'!K21</f>
        <v>201</v>
      </c>
      <c r="G8" s="149">
        <f>'Учебный план'!L21</f>
        <v>134</v>
      </c>
      <c r="H8" s="150" t="str">
        <f>IF(OR(D8="",E8=""),"введите данные ФГОС",IF('Учебный план'!K111=0,"заполняйте учебный план",IF(OR(D8="-",D8=F8),"норма",IF(F8&lt;D8,F8-D8,IF(F8&gt;D8,F8-D8,"норма")))))</f>
        <v>норма</v>
      </c>
      <c r="I8" s="150" t="str">
        <f>IF(OR(D8="",E8=""),"введите данные ФГОС",IF('Учебный план'!K111=0,"заполняйте учебный план",IF(OR(E8="-",E8=G8),"норма",IF(G8&lt;E8,G8-E8,IF(G8&gt;E8,G8-E8,"норма")))))</f>
        <v>норма</v>
      </c>
    </row>
    <row r="9" spans="1:9" s="140" customFormat="1">
      <c r="A9" s="870" t="s">
        <v>378</v>
      </c>
      <c r="B9" s="871"/>
      <c r="C9" s="872"/>
      <c r="D9" s="309">
        <v>3942</v>
      </c>
      <c r="E9" s="309">
        <v>2628</v>
      </c>
      <c r="F9" s="149">
        <f>'Учебный план'!K27</f>
        <v>5391</v>
      </c>
      <c r="G9" s="149">
        <f>'Учебный план'!L27</f>
        <v>3594</v>
      </c>
      <c r="H9" s="150">
        <f>IF(OR(D9="",E9=""),"введите данные ФГОС",IF('Учебный план'!K111=0,"заполняйте учебный план",IF(OR(D9="-",D9=F9),"норма",IF(F9&lt;D9,F9-D9,IF(F9&gt;D9,F9-D9,"норма")))))</f>
        <v>1449</v>
      </c>
      <c r="I9" s="150">
        <f>IF(OR(D9="",E9=""),"введите данные ФГОС",IF('Учебный план'!K111=0,"заполняйте учебный план",IF(OR(E9="-",E9=G9),"норма",IF(G9&lt;E9,G9-E9,IF(G9&gt;E9,G9-E9,"норма")))))</f>
        <v>966</v>
      </c>
    </row>
    <row r="10" spans="1:9" s="140" customFormat="1">
      <c r="A10" s="873" t="s">
        <v>173</v>
      </c>
      <c r="B10" s="871"/>
      <c r="C10" s="872"/>
      <c r="D10" s="309">
        <v>944</v>
      </c>
      <c r="E10" s="309">
        <v>560</v>
      </c>
      <c r="F10" s="149">
        <f>'Учебный план'!K28</f>
        <v>943</v>
      </c>
      <c r="G10" s="149">
        <f>'Учебный план'!L28</f>
        <v>560</v>
      </c>
      <c r="H10" s="150">
        <f>IF(OR(D10="",E10=""),"введите данные ФГОС",IF('Учебный план'!K111=0,"заполняйте учебный план",IF(OR(D10="-",D10=F10),"норма",IF(F10&lt;D10,F10-D10,IF(F10&gt;D10,F10-D10,"норма")))))</f>
        <v>-1</v>
      </c>
      <c r="I10" s="150" t="str">
        <f>IF(OR(D10="",E10=""),"введите данные ФГОС",IF('Учебный план'!K111=0,"заполняйте учебный план",IF(OR(E10="-",E10=G10),"норма",IF(G10&lt;E10,G10-E10,IF(G10&gt;E10,G10-E10,"норма")))))</f>
        <v>норма</v>
      </c>
    </row>
    <row r="11" spans="1:9" s="140" customFormat="1">
      <c r="A11" s="870" t="s">
        <v>290</v>
      </c>
      <c r="B11" s="871"/>
      <c r="C11" s="872"/>
      <c r="D11" s="309">
        <v>198</v>
      </c>
      <c r="E11" s="309">
        <v>132</v>
      </c>
      <c r="F11" s="149">
        <f>'Учебный план'!K34</f>
        <v>198</v>
      </c>
      <c r="G11" s="149">
        <f>'Учебный план'!L34</f>
        <v>132</v>
      </c>
      <c r="H11" s="150" t="str">
        <f>IF(OR(D11="",E11=""),"введите данные ФГОС",IF('Учебный план'!K111=0,"заполняйте учебный план",IF(OR(D11="-",D11=F11),"норма",IF(F11&lt;D11,F11-D11,IF(F11&gt;D11,F11-D11,"норма")))))</f>
        <v>норма</v>
      </c>
      <c r="I11" s="150" t="str">
        <f>IF(OR(D11="",E11=""),"введите данные ФГОС",IF('Учебный план'!K111=0,"заполняйте учебный план",IF(OR(E11="-",E11=G11),"норма",IF(G11&lt;E11,G11-E11,IF(G11&gt;E11,G11-E11,"норма")))))</f>
        <v>норма</v>
      </c>
    </row>
    <row r="12" spans="1:9" s="140" customFormat="1">
      <c r="A12" s="873" t="s">
        <v>76</v>
      </c>
      <c r="B12" s="871"/>
      <c r="C12" s="872"/>
      <c r="D12" s="309">
        <v>2800</v>
      </c>
      <c r="E12" s="309">
        <v>1936</v>
      </c>
      <c r="F12" s="149">
        <f>'Учебный план'!K38</f>
        <v>4250</v>
      </c>
      <c r="G12" s="149">
        <f>'Учебный план'!L38</f>
        <v>2902</v>
      </c>
      <c r="H12" s="150">
        <f>IF(OR(D12="",E12=""),"введите данные ФГОС",IF('Учебный план'!K111=0,"заполняйте учебный план",IF(OR(D12="-",D12=F12),"норма",IF(F12&lt;D12,F12-D12,IF(F12&gt;D12,F12-D12,"норма")))))</f>
        <v>1450</v>
      </c>
      <c r="I12" s="150">
        <f>IF(OR(D12="",E12=""),"введите данные ФГОС",IF('Учебный план'!K111=0,"заполняйте учебный план",IF(OR(E12="-",E12=G12),"норма",IF(G12&lt;E12,G12-E12,IF(G12&gt;E12,G12-E12,"норма")))))</f>
        <v>966</v>
      </c>
    </row>
    <row r="13" spans="1:9" s="140" customFormat="1">
      <c r="A13" s="870" t="s">
        <v>191</v>
      </c>
      <c r="B13" s="871"/>
      <c r="C13" s="872"/>
      <c r="D13" s="309">
        <v>552</v>
      </c>
      <c r="E13" s="309">
        <v>368</v>
      </c>
      <c r="F13" s="149">
        <f>'Учебный план'!K39</f>
        <v>620</v>
      </c>
      <c r="G13" s="149">
        <f>'Учебный план'!L39</f>
        <v>413</v>
      </c>
      <c r="H13" s="150">
        <f>IF(OR(D13="",E13=""),"введите данные ФГОС",IF('Учебный план'!K111=0,"заполняйте учебный план",IF(OR(D13="-",D13=F13),"норма",IF(F13&lt;D13,F13-D13,IF(F13&gt;D13,F13-D13,"норма")))))</f>
        <v>68</v>
      </c>
      <c r="I13" s="150">
        <f>IF(OR(D13="",E13=""),"введите данные ФГОС",IF('Учебный план'!K111=0,"заполняйте учебный план",IF(OR(E13="-",E13=G13),"норма",IF(G13&lt;E13,G13-E13,IF(G13&gt;E13,G13-E13,"норма")))))</f>
        <v>45</v>
      </c>
    </row>
    <row r="14" spans="1:9" s="140" customFormat="1">
      <c r="A14" s="870" t="s">
        <v>189</v>
      </c>
      <c r="B14" s="871"/>
      <c r="C14" s="872"/>
      <c r="D14" s="309">
        <v>2248</v>
      </c>
      <c r="E14" s="309">
        <v>1568</v>
      </c>
      <c r="F14" s="149">
        <f>'Учебный план'!K47</f>
        <v>3630</v>
      </c>
      <c r="G14" s="149">
        <f>'Учебный план'!L47</f>
        <v>2489</v>
      </c>
      <c r="H14" s="150">
        <f>IF(OR(D14="",E14=""),"введите данные ФГОС",IF('Учебный план'!K111=0,"заполняйте учебный план",IF(OR(D14="-",D14=F14),"норма",IF(F14&lt;D14,F14-D14,IF(F14&gt;D14,F14-D14,"норма")))))</f>
        <v>1382</v>
      </c>
      <c r="I14" s="150">
        <f>IF(OR(D14="",E14=""),"введите данные ФГОС",IF('Учебный план'!K111=0,"заполняйте учебный план",IF(OR(E14="-",E14=G14),"норма",IF(G14&lt;E14,G14-E14,IF(G14&gt;E14,G14-E14,"норма")))))</f>
        <v>921</v>
      </c>
    </row>
    <row r="15" spans="1:9" s="140" customFormat="1">
      <c r="A15" s="870" t="s">
        <v>383</v>
      </c>
      <c r="B15" s="871"/>
      <c r="C15" s="872"/>
      <c r="D15" s="309">
        <v>1674</v>
      </c>
      <c r="E15" s="309">
        <v>1116</v>
      </c>
      <c r="F15" s="149">
        <f>'Учебный план'!K91</f>
        <v>225</v>
      </c>
      <c r="G15" s="149">
        <f>'Учебный план'!L91</f>
        <v>150</v>
      </c>
      <c r="H15" s="150">
        <f>IF(OR(D15="",E15=""),"введите данные ФГОС",IF('Учебный план'!K111=0,"заполняйте учебный план",IF(OR(D15="-",D15=F15),"норма",IF(F15&lt;D15,F15-D15,IF(F15&gt;D15,F15-D15,"норма")))))</f>
        <v>-1449</v>
      </c>
      <c r="I15" s="150">
        <f>IF(OR(D15="",E15=""),"введите данные ФГОС",IF('Учебный план'!K111=0,"заполняйте учебный план",IF(OR(E15="-",E15=G15),"норма",IF(G15&lt;E15,G15-E15,IF(G15&gt;E15,G15-E15,"норма")))))</f>
        <v>-966</v>
      </c>
    </row>
    <row r="16" spans="1:9" s="140" customFormat="1">
      <c r="A16" s="870" t="s">
        <v>384</v>
      </c>
      <c r="B16" s="871"/>
      <c r="C16" s="872"/>
      <c r="D16" s="309">
        <v>5616</v>
      </c>
      <c r="E16" s="309">
        <v>3744</v>
      </c>
      <c r="F16" s="149">
        <f>F9+F15</f>
        <v>5616</v>
      </c>
      <c r="G16" s="149">
        <f>G9+G15</f>
        <v>3744</v>
      </c>
      <c r="H16" s="150" t="str">
        <f>IF(OR(D16="",E16=""),"введите данные ФГОС",IF('Учебный план'!K111=0,"заполняйте учебный план",IF(OR(D16="-",D16=F16),"норма",IF(F16&lt;D16,F16-D16,IF(F16&gt;D16,F16-D16,"норма")))))</f>
        <v>норма</v>
      </c>
      <c r="I16" s="150" t="str">
        <f>IF(OR(D16="",E16=""),"введите данные ФГОС",IF('Учебный план'!K111=0,"заполняйте учебный план",IF(OR(E16="-",E16=G16),"норма",IF(G16&lt;E16,G16-E16,IF(G16&gt;E16,G16-E16,"норма")))))</f>
        <v>норма</v>
      </c>
    </row>
    <row r="17" spans="1:9" s="140" customFormat="1" hidden="1">
      <c r="A17" s="873" t="s">
        <v>289</v>
      </c>
      <c r="B17" s="871"/>
      <c r="C17" s="872"/>
      <c r="D17" s="308">
        <v>2970</v>
      </c>
      <c r="E17" s="309">
        <v>1980</v>
      </c>
      <c r="F17" s="149">
        <f>'Учебный план'!K94+'Учебный план'!K98</f>
        <v>1980</v>
      </c>
      <c r="G17" s="149">
        <f>'Учебный план'!L94+'Учебный план'!L98</f>
        <v>1980</v>
      </c>
      <c r="H17" s="150">
        <f>IF(OR(D17="",E17=""),"введите данные ФГОС",IF('Учебный план'!K111=0,"заполняйте учебный план",IF(OR(D17="-",D17=F17),"норма",IF(F17&lt;D17,F17-D17,IF(F17&gt;D17,F17-D17,"норма")))))</f>
        <v>-990</v>
      </c>
      <c r="I17" s="150" t="str">
        <f>IF(OR(D17="",E17=""),"введите данные ФГОС",IF('Учебный план'!K111=0,"заполняйте учебный план",IF(OR(E17="-",E17=G17),"норма",IF(G17&lt;E17,G17-E17,IF(G17&gt;E17,G17-E17,"норма")))))</f>
        <v>норма</v>
      </c>
    </row>
    <row r="18" spans="1:9" s="140" customFormat="1" hidden="1">
      <c r="A18" s="873" t="s">
        <v>6</v>
      </c>
      <c r="B18" s="871"/>
      <c r="C18" s="872"/>
      <c r="D18" s="308">
        <f>'Титульный лист'!BH25*G37</f>
        <v>486</v>
      </c>
      <c r="E18" s="308">
        <f>'Титульный лист'!BH25*Нормы!G38</f>
        <v>324</v>
      </c>
      <c r="F18" s="149">
        <f>'Учебный план'!K94</f>
        <v>324</v>
      </c>
      <c r="G18" s="149">
        <f>'Учебный план'!L94</f>
        <v>324</v>
      </c>
      <c r="H18" s="150">
        <f>IF(OR(D18="",E18=""),"введите данные ФГОС",IF('Учебный план'!K111=0,"заполняйте учебный план",IF(OR(D18="-",D18=F18),"норма",IF(F18&lt;D18,F18-D18,IF(F18&gt;D18,F18-D18,"норма")))))</f>
        <v>-162</v>
      </c>
      <c r="I18" s="150" t="str">
        <f>IF(OR(D18="",E18=""),"введите данные ФГОС",IF('Учебный план'!K111=0,"заполняйте учебный план",IF(OR(E18="-",E18=G18),"норма",IF(G18&lt;E18,G18-E18,IF(G18&gt;E18,G18-E18,"норма")))))</f>
        <v>норма</v>
      </c>
    </row>
    <row r="19" spans="1:9" s="140" customFormat="1" hidden="1">
      <c r="A19" s="873" t="s">
        <v>146</v>
      </c>
      <c r="B19" s="871"/>
      <c r="C19" s="872"/>
      <c r="D19" s="308">
        <f>D17-D18</f>
        <v>2484</v>
      </c>
      <c r="E19" s="308">
        <v>1656</v>
      </c>
      <c r="F19" s="149">
        <f>'Учебный план'!K98</f>
        <v>1656</v>
      </c>
      <c r="G19" s="149">
        <f>'Учебный план'!L98</f>
        <v>1656</v>
      </c>
      <c r="H19" s="150">
        <f>IF(OR(D19="",E19=""),"введите данные ФГОС",IF('Учебный план'!K111=0,"заполняйте учебный план",IF(OR(D19="-",D19=F19),"норма",IF(F19&lt;D19,F19-D19,IF(F19&gt;D19,F19-D19,"норма")))))</f>
        <v>-828</v>
      </c>
      <c r="I19" s="150" t="str">
        <f>IF(OR(D19="",E19=""),"введите данные ФГОС",IF('Учебный план'!K111=0,"заполняйте учебный план",IF(OR(E19="-",E19=G19),"норма",IF(G19&lt;E19,G19-E19,IF(G19&gt;E19,G19-E19,"норма")))))</f>
        <v>норма</v>
      </c>
    </row>
    <row r="20" spans="1:9" s="140" customFormat="1" hidden="1">
      <c r="A20" s="873" t="s">
        <v>221</v>
      </c>
      <c r="B20" s="871"/>
      <c r="C20" s="872"/>
      <c r="D20" s="308">
        <f>G30*G37</f>
        <v>216</v>
      </c>
      <c r="E20" s="308">
        <v>144</v>
      </c>
      <c r="F20" s="149">
        <f>'Учебный план'!K101</f>
        <v>216</v>
      </c>
      <c r="G20" s="149">
        <f>'Учебный план'!L101</f>
        <v>0</v>
      </c>
      <c r="H20" s="150" t="str">
        <f>IF(OR(D20="",E20=""),"введите данные ФГОС",IF('Учебный план'!K111=0,"заполняйте учебный план",IF(OR(D20="-",D20=F20),"норма",IF(F20&lt;D20,F20-D20,IF(F20&gt;D20,F20-D20,"норма")))))</f>
        <v>норма</v>
      </c>
      <c r="I20" s="150">
        <f>IF(OR(D20="",E20=""),"введите данные ФГОС",IF('Учебный план'!K111=0,"заполняйте учебный план",IF(OR(E20="-",E20=G20),"норма",IF(G20&lt;E20,G20-E20,IF(G20&gt;E20,G20-E20,"норма")))))</f>
        <v>-144</v>
      </c>
    </row>
    <row r="21" spans="1:9" s="140" customFormat="1" hidden="1">
      <c r="A21" s="881" t="s">
        <v>99</v>
      </c>
      <c r="B21" s="882"/>
      <c r="C21" s="883"/>
      <c r="D21" s="308">
        <f>D6+D9+D15+D17+D20</f>
        <v>10908</v>
      </c>
      <c r="E21" s="308">
        <f>E6+E9+E15+SUM(E18:E20)</f>
        <v>7272</v>
      </c>
      <c r="F21" s="311">
        <f>F6+F9+F15+F17+F20</f>
        <v>9918</v>
      </c>
      <c r="G21" s="311">
        <f>G6+G9+G15+G17+G20</f>
        <v>7128</v>
      </c>
      <c r="H21" s="150">
        <f>IF(OR(D21="",E21=""),"введите данные ФГОС",IF('Учебный план'!K111=0,"заполняйте учебный план",IF(OR(D21="-",D21=F21),"норма",IF(F21&lt;D21,F21-D21,IF(F21&gt;D21,F21-D21,"норма")))))</f>
        <v>-990</v>
      </c>
      <c r="I21" s="150">
        <f>IF(OR(D21="",E21=""),"введите данные ФГОС",IF('Учебный план'!K111=0,"заполняйте учебный план",IF(OR(E21="-",E21=G21),"норма",IF(G21&lt;E21,G21-E21,IF(G21&gt;E21,G21-E21,"норма")))))</f>
        <v>-144</v>
      </c>
    </row>
    <row r="22" spans="1:9" s="140" customFormat="1">
      <c r="A22" s="151"/>
      <c r="B22" s="151"/>
      <c r="C22" s="151"/>
      <c r="D22" s="151"/>
      <c r="E22" s="151"/>
      <c r="F22" s="151"/>
      <c r="G22" s="151"/>
      <c r="H22" s="151"/>
      <c r="I22" s="151"/>
    </row>
    <row r="23" spans="1:9" s="140" customFormat="1">
      <c r="A23" s="874" t="s">
        <v>100</v>
      </c>
      <c r="B23" s="874"/>
      <c r="C23" s="874"/>
      <c r="D23" s="874"/>
      <c r="E23" s="874"/>
      <c r="F23" s="874"/>
      <c r="G23" s="874"/>
      <c r="H23" s="874"/>
      <c r="I23" s="874"/>
    </row>
    <row r="24" spans="1:9" s="140" customFormat="1" ht="78" customHeight="1">
      <c r="A24" s="875" t="s">
        <v>120</v>
      </c>
      <c r="B24" s="876"/>
      <c r="C24" s="876"/>
      <c r="D24" s="876"/>
      <c r="E24" s="877"/>
      <c r="F24" s="152" t="s">
        <v>387</v>
      </c>
      <c r="G24" s="152" t="s">
        <v>388</v>
      </c>
      <c r="H24" s="141" t="s">
        <v>121</v>
      </c>
      <c r="I24" s="141" t="s">
        <v>122</v>
      </c>
    </row>
    <row r="25" spans="1:9" s="140" customFormat="1">
      <c r="A25" s="878"/>
      <c r="B25" s="879"/>
      <c r="C25" s="879"/>
      <c r="D25" s="879"/>
      <c r="E25" s="880"/>
      <c r="F25" s="153"/>
      <c r="G25" s="154"/>
      <c r="H25" s="155"/>
      <c r="I25" s="156"/>
    </row>
    <row r="26" spans="1:9" s="140" customFormat="1">
      <c r="A26" s="858" t="s">
        <v>399</v>
      </c>
      <c r="B26" s="859"/>
      <c r="C26" s="859"/>
      <c r="D26" s="859"/>
      <c r="E26" s="860"/>
      <c r="F26" s="157">
        <v>199</v>
      </c>
      <c r="G26" s="158">
        <v>199</v>
      </c>
      <c r="H26" s="159">
        <f>IF(G26="","введите данные ФГОС",IF(F26="","введите рекомендации УМУ",IF('Титульный лист'!BN29=0,"заполняйте титульный лист",SUM('Титульный лист'!BN25:BN28))))</f>
        <v>199</v>
      </c>
      <c r="I26" s="160" t="str">
        <f t="shared" ref="I26:I35" si="0">IF(G26="","введите данные ФГОС",IF(F26="","введите рекомендации УМУ",IF(H26="заполняйте титульный лист","заполняйте титульный лист",IF(AND(H26=G26,H26=F26),"норма","отклонение"))))</f>
        <v>норма</v>
      </c>
    </row>
    <row r="27" spans="1:9" s="140" customFormat="1">
      <c r="A27" s="861" t="s">
        <v>277</v>
      </c>
      <c r="B27" s="859"/>
      <c r="C27" s="859"/>
      <c r="D27" s="859"/>
      <c r="E27" s="860"/>
      <c r="F27" s="157">
        <v>104</v>
      </c>
      <c r="G27" s="158">
        <v>104</v>
      </c>
      <c r="H27" s="159">
        <f>IF(G27="","введите данные ФГОС",IF(F27="","введите рекомендации УМУ",IF('Титульный лист'!BN29=0,"заполняйте титульный лист",SUM('Титульный лист'!BD25:BD28))))</f>
        <v>104</v>
      </c>
      <c r="I27" s="160" t="str">
        <f t="shared" si="0"/>
        <v>норма</v>
      </c>
    </row>
    <row r="28" spans="1:9" s="140" customFormat="1">
      <c r="A28" s="861" t="s">
        <v>278</v>
      </c>
      <c r="B28" s="859"/>
      <c r="C28" s="859"/>
      <c r="D28" s="859"/>
      <c r="E28" s="860"/>
      <c r="F28" s="157">
        <v>55</v>
      </c>
      <c r="G28" s="158">
        <v>55</v>
      </c>
      <c r="H28" s="159">
        <f>IF(G28="","введите данные ФГОС",IF(F28="","введите рекомендации УМУ",IF('Титульный лист'!BN29=0,"заполняйте титульный лист",SUM('Титульный лист'!BH24:BI28))))</f>
        <v>55</v>
      </c>
      <c r="I28" s="160" t="str">
        <f t="shared" si="0"/>
        <v>норма</v>
      </c>
    </row>
    <row r="29" spans="1:9" s="140" customFormat="1">
      <c r="A29" s="861" t="s">
        <v>279</v>
      </c>
      <c r="B29" s="859"/>
      <c r="C29" s="859"/>
      <c r="D29" s="859"/>
      <c r="E29" s="860"/>
      <c r="F29" s="157">
        <v>7</v>
      </c>
      <c r="G29" s="158">
        <v>7</v>
      </c>
      <c r="H29" s="159">
        <f>IF(G29="","введите данные ФГОС",IF(F29="","введите рекомендации УМУ",IF('Титульный лист'!BN29=0,"заполняйте титульный лист",SUM('Титульный лист'!BG25:BG28))))</f>
        <v>7</v>
      </c>
      <c r="I29" s="160" t="str">
        <f t="shared" si="0"/>
        <v>норма</v>
      </c>
    </row>
    <row r="30" spans="1:9" s="140" customFormat="1">
      <c r="A30" s="858" t="s">
        <v>614</v>
      </c>
      <c r="B30" s="859"/>
      <c r="C30" s="859"/>
      <c r="D30" s="859"/>
      <c r="E30" s="860"/>
      <c r="F30" s="157">
        <v>4</v>
      </c>
      <c r="G30" s="158">
        <v>4</v>
      </c>
      <c r="H30" s="159">
        <f>IF(G30="","введите данные ФГОС",IF(F30="","введите рекомендации УМУ",IF('Титульный лист'!BN29=0,"заполняйте титульный лист",SUM('Титульный лист'!BJ24:BL28))))</f>
        <v>4</v>
      </c>
      <c r="I30" s="160" t="str">
        <f t="shared" si="0"/>
        <v>норма</v>
      </c>
    </row>
    <row r="31" spans="1:9" s="140" customFormat="1">
      <c r="A31" s="861" t="s">
        <v>280</v>
      </c>
      <c r="B31" s="859"/>
      <c r="C31" s="859"/>
      <c r="D31" s="859"/>
      <c r="E31" s="860"/>
      <c r="F31" s="157">
        <v>29</v>
      </c>
      <c r="G31" s="158">
        <v>29</v>
      </c>
      <c r="H31" s="159">
        <f>IF(G31="","введите данные ФГОС",IF(F31="","введите рекомендации УМУ",IF('Титульный лист'!BN29=0,"заполняйте титульный лист",SUM('Титульный лист'!BM25:BM28))))</f>
        <v>29</v>
      </c>
      <c r="I31" s="160" t="str">
        <f t="shared" si="0"/>
        <v>норма</v>
      </c>
    </row>
    <row r="32" spans="1:9" s="140" customFormat="1" ht="12.75" customHeight="1">
      <c r="A32" s="858" t="s">
        <v>400</v>
      </c>
      <c r="B32" s="859"/>
      <c r="C32" s="859"/>
      <c r="D32" s="859"/>
      <c r="E32" s="860"/>
      <c r="F32" s="157">
        <v>52</v>
      </c>
      <c r="G32" s="158">
        <v>52</v>
      </c>
      <c r="H32" s="159">
        <f>IF(G32="","введите данные ФГОС",IF(F32="","введите рекомендации УМУ",IF('Титульный лист'!BN29=0,"заполняйте титульный лист",'Титульный лист'!BN24)))</f>
        <v>52</v>
      </c>
      <c r="I32" s="160" t="str">
        <f t="shared" si="0"/>
        <v>норма</v>
      </c>
    </row>
    <row r="33" spans="1:9" s="140" customFormat="1" ht="12.75" customHeight="1">
      <c r="A33" s="858" t="s">
        <v>401</v>
      </c>
      <c r="B33" s="859"/>
      <c r="C33" s="859"/>
      <c r="D33" s="859"/>
      <c r="E33" s="860"/>
      <c r="F33" s="157">
        <v>39</v>
      </c>
      <c r="G33" s="158">
        <v>39</v>
      </c>
      <c r="H33" s="159">
        <f>IF(G33="","введите данные ФГОС",IF(F33="","введите рекомендации УМУ",IF('Титульный лист'!BN29=0,"заполняйте титульный лист",'Титульный лист'!BD24)))</f>
        <v>39</v>
      </c>
      <c r="I33" s="160" t="str">
        <f t="shared" si="0"/>
        <v>норма</v>
      </c>
    </row>
    <row r="34" spans="1:9" s="140" customFormat="1" ht="12.75" customHeight="1">
      <c r="A34" s="858" t="s">
        <v>402</v>
      </c>
      <c r="B34" s="859"/>
      <c r="C34" s="859"/>
      <c r="D34" s="859"/>
      <c r="E34" s="860"/>
      <c r="F34" s="157">
        <v>2</v>
      </c>
      <c r="G34" s="158">
        <v>2</v>
      </c>
      <c r="H34" s="159">
        <f>IF(G34="","введите данные ФГОС",IF(F34="","введите рекомендации УМУ",IF('Титульный лист'!BN29=0,"заполняйте титульный лист",'Титульный лист'!BG24)))</f>
        <v>2</v>
      </c>
      <c r="I34" s="160" t="str">
        <f t="shared" si="0"/>
        <v>норма</v>
      </c>
    </row>
    <row r="35" spans="1:9" s="140" customFormat="1" ht="12.75" customHeight="1">
      <c r="A35" s="858" t="s">
        <v>403</v>
      </c>
      <c r="B35" s="859"/>
      <c r="C35" s="859"/>
      <c r="D35" s="859"/>
      <c r="E35" s="860"/>
      <c r="F35" s="157">
        <v>11</v>
      </c>
      <c r="G35" s="158">
        <v>11</v>
      </c>
      <c r="H35" s="159">
        <f>IF(G35="","введите данные ФГОС",IF(F35="","введите рекомендации УМУ",IF('Титульный лист'!BN29=0,"заполняйте титульный лист",'Титульный лист'!BM24)))</f>
        <v>11</v>
      </c>
      <c r="I35" s="160" t="str">
        <f t="shared" si="0"/>
        <v>норма</v>
      </c>
    </row>
    <row r="36" spans="1:9" s="140" customFormat="1">
      <c r="A36" s="878"/>
      <c r="B36" s="879"/>
      <c r="C36" s="879"/>
      <c r="D36" s="879"/>
      <c r="E36" s="880"/>
      <c r="F36" s="153"/>
      <c r="G36" s="154"/>
      <c r="H36" s="155"/>
      <c r="I36" s="156"/>
    </row>
    <row r="37" spans="1:9" s="140" customFormat="1" ht="12.75" customHeight="1">
      <c r="A37" s="861" t="s">
        <v>281</v>
      </c>
      <c r="B37" s="859"/>
      <c r="C37" s="859"/>
      <c r="D37" s="859"/>
      <c r="E37" s="860"/>
      <c r="F37" s="161">
        <v>54</v>
      </c>
      <c r="G37" s="162">
        <v>54</v>
      </c>
      <c r="H37" s="163">
        <f>IF(G37="","введите данные ФГОС",IF(F37="","введите рекомендации УМУ",IF('Учебный план'!K111=0,"заполняйте учебный план",'Учебный план'!K114)))</f>
        <v>54</v>
      </c>
      <c r="I37" s="160" t="str">
        <f>IF(G37="","введите данные ФГОС",IF(F37="","введите рекомендации УМУ",IF(H37="заполняйте учебный план","заполняйте учебный план",IF(AND(H37&lt;=G37,H37&lt;=F37),"норма","отклонение"))))</f>
        <v>норма</v>
      </c>
    </row>
    <row r="38" spans="1:9" s="140" customFormat="1" ht="12.75" customHeight="1">
      <c r="A38" s="861" t="s">
        <v>282</v>
      </c>
      <c r="B38" s="859"/>
      <c r="C38" s="859"/>
      <c r="D38" s="859"/>
      <c r="E38" s="860"/>
      <c r="F38" s="161">
        <v>36</v>
      </c>
      <c r="G38" s="162">
        <v>36</v>
      </c>
      <c r="H38" s="163">
        <f>IF(G38="","введите данные ФГОС",IF(F38="","введите рекомендации УМУ",IF('Учебный план'!K111=0,"заполняйте учебный план",'Учебный план'!K115)))</f>
        <v>36</v>
      </c>
      <c r="I38" s="160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165" customFormat="1" ht="12.75" customHeight="1">
      <c r="A39" s="861" t="s">
        <v>124</v>
      </c>
      <c r="B39" s="859"/>
      <c r="C39" s="859"/>
      <c r="D39" s="859"/>
      <c r="E39" s="860"/>
      <c r="F39" s="157">
        <v>11</v>
      </c>
      <c r="G39" s="158">
        <v>11</v>
      </c>
      <c r="H39" s="159">
        <f>IF(G39="","введите данные ФГОС",IF(F39="","введите рекомендации УМУ",IF('Титульный лист'!BN29=0,"заполняйте титульный лист",DMAX('Титульный лист'!BM20:BN28,1,F60:G61))))</f>
        <v>11</v>
      </c>
      <c r="I39" s="164" t="str">
        <f>IF(G39="","введите данные ФГОС",IF(F39="","введите рекомендации УМУ",IF(H39="заполняйте титульный лист","заполняйте титульный лист",IF(AND(H39&lt;=F39,H39&lt;=G39),"норма","отклонение"))))</f>
        <v>норма</v>
      </c>
    </row>
    <row r="40" spans="1:9" s="165" customFormat="1" ht="12.75" customHeight="1">
      <c r="A40" s="861" t="s">
        <v>123</v>
      </c>
      <c r="B40" s="859"/>
      <c r="C40" s="859"/>
      <c r="D40" s="859"/>
      <c r="E40" s="860"/>
      <c r="F40" s="157">
        <v>5</v>
      </c>
      <c r="G40" s="158">
        <v>5</v>
      </c>
      <c r="H40" s="159">
        <f>IF(G40="","введите данные ФГОС",IF(F40="","введите рекомендации УМУ",IF('Титульный лист'!BN29=0,"заполняйте титульный лист",DMIN('Титульный лист'!BM20:BN28,1,F62:G63))))</f>
        <v>5</v>
      </c>
      <c r="I40" s="164" t="str">
        <f>IF(G40="","введите данные ФГОС",IF(F40="","введите рекомендации УМУ",IF(H40="заполняйте титульный лист","заполняйте титульный лист",IF(AND(H40&gt;=F40,H40&gt;=G40),"норма","отклонение"))))</f>
        <v>норма</v>
      </c>
    </row>
    <row r="41" spans="1:9" s="165" customFormat="1" ht="12.75" customHeight="1">
      <c r="A41" s="861" t="s">
        <v>283</v>
      </c>
      <c r="B41" s="859"/>
      <c r="C41" s="859"/>
      <c r="D41" s="859"/>
      <c r="E41" s="860"/>
      <c r="F41" s="149">
        <v>2</v>
      </c>
      <c r="G41" s="166">
        <v>2</v>
      </c>
      <c r="H41" s="167">
        <v>2</v>
      </c>
      <c r="I41" s="160" t="str">
        <f>IF(G41="","введите данные ФГОС",IF(F41="","введите рекомендации УМУ",IF(H41="заполняйте учебный план","заполняйте учебный план",IF(AND(H41=G41,H41=F41),"норма","отклонение"))))</f>
        <v>норма</v>
      </c>
    </row>
    <row r="42" spans="1:9" s="165" customFormat="1" ht="12.75" customHeight="1">
      <c r="A42" s="861" t="s">
        <v>284</v>
      </c>
      <c r="B42" s="859"/>
      <c r="C42" s="859"/>
      <c r="D42" s="859"/>
      <c r="E42" s="860"/>
      <c r="F42" s="149">
        <v>2</v>
      </c>
      <c r="G42" s="166">
        <v>2</v>
      </c>
      <c r="H42" s="167">
        <f>IF(G42="","введите данные ФГОС",IF(F42="","введите рекомендации УМУ",IF('Учебный план'!K111=0,"заполняйте учебный план",IF(F67&lt;&gt;G42,F67,IF(G67&lt;&gt;G42,G67,G42)))))</f>
        <v>2</v>
      </c>
      <c r="I42" s="160" t="str">
        <f>IF(G42="","введите данные ФГОС",IF(F42="","введите рекомендации УМУ",IF(H42="заполняйте учебный план","заполняйте учебный план",IF(AND(H42=G42,H42=F42),"норма","отклонение"))))</f>
        <v>норма</v>
      </c>
    </row>
    <row r="43" spans="1:9" s="165" customFormat="1" ht="12.75" hidden="1" customHeight="1">
      <c r="A43" s="861" t="s">
        <v>317</v>
      </c>
      <c r="B43" s="859"/>
      <c r="C43" s="859"/>
      <c r="D43" s="859"/>
      <c r="E43" s="860"/>
      <c r="F43" s="149">
        <v>0</v>
      </c>
      <c r="G43" s="166">
        <v>0</v>
      </c>
      <c r="H43" s="167" t="e">
        <f>IF(G43="","введите данные ФГОС",IF(F43="","введите рекомендации УМУ",IF('Титульный лист'!BN29=0,"заполняйте титульный лист",IF('Учебный план'!K111=0,"заполняйте учебный план",MAX(IF('Титульный лист'!BN24&gt;0,'Учебный план'!R103+'Учебный план'!X103,0),IF('Титульный лист'!BN25&gt;0,'Учебный план'!AD103+'Учебный план'!AJ103,0),IF('Титульный лист'!BN26&gt;0,'Учебный план'!AP103+'Учебный план'!AV103,0),IF('Титульный лист'!BN27&gt;0,'Учебный план'!BB103+'Учебный план'!BH103,0),IF('Титульный лист'!BN28&gt;0,'Учебный план'!BN103+'Учебный план'!BT103,0))))))</f>
        <v>#REF!</v>
      </c>
      <c r="I43" s="160" t="e">
        <f>IF(G43="","введите данные ФГОС",IF(F43="","введите рекомендации УМУ",IF(H43="заполняйте титульный лист","заполняйте титульный лист",IF(H43="заполняйте учебный план","заполняйте учебный план",IF(AND(H43=G43,H43=F43),"норма","отклонение")))))</f>
        <v>#REF!</v>
      </c>
    </row>
    <row r="44" spans="1:9" s="165" customFormat="1" ht="12.75" customHeight="1">
      <c r="A44" s="861" t="s">
        <v>309</v>
      </c>
      <c r="B44" s="859"/>
      <c r="C44" s="859"/>
      <c r="D44" s="859"/>
      <c r="E44" s="860"/>
      <c r="F44" s="157">
        <v>8</v>
      </c>
      <c r="G44" s="158">
        <v>8</v>
      </c>
      <c r="H44" s="159">
        <f>IF(G44="","введите данные ФГОС",IF(F44="","введите рекомендации УМУ",IF('Учебный план'!K111=0,"заполняйте учебный план",MAX('Учебный план'!V116+'Учебный план'!AB116,'Учебный план'!AH116+'Учебный план'!AN116,'Учебный план'!AT116+'Учебный план'!AZ116,'Учебный план'!BF116+'Учебный план'!BL116,'Учебный план'!BR116+'Учебный план'!BX116))))</f>
        <v>4</v>
      </c>
      <c r="I44" s="160" t="str">
        <f>IF(G44="","введите данные ФГОС",IF(F44="","введите рекомендации УМУ",IF(H44="заполняйте учебный план","заполняйте учебный план",IF(AND(H44&lt;=G44,H44&lt;=F44),"норма","отклонение"))))</f>
        <v>норма</v>
      </c>
    </row>
    <row r="45" spans="1:9" s="165" customFormat="1" ht="12.75" customHeight="1">
      <c r="A45" s="861" t="s">
        <v>310</v>
      </c>
      <c r="B45" s="859"/>
      <c r="C45" s="859"/>
      <c r="D45" s="859"/>
      <c r="E45" s="860"/>
      <c r="F45" s="157">
        <v>10</v>
      </c>
      <c r="G45" s="158">
        <v>10</v>
      </c>
      <c r="H45" s="159">
        <f>IF(G45="","введите данные ФГОС",IF(F45="","введите рекомендации УМУ",IF('Учебный план'!K111=0,"заполняйте учебный план",MAX('Учебный план'!V117+'Учебный план'!AB117,'Учебный план'!AH117+'Учебный план'!AN117,'Учебный план'!AT117+'Учебный план'!AZ117,'Учебный план'!BF117+'Учебный план'!BL117,'Учебный план'!BR117+'Учебный план'!BX117))))</f>
        <v>10</v>
      </c>
      <c r="I45" s="160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норма</v>
      </c>
    </row>
    <row r="46" spans="1:9" s="165" customFormat="1" ht="12.75" customHeight="1">
      <c r="A46" s="861" t="s">
        <v>285</v>
      </c>
      <c r="B46" s="859"/>
      <c r="C46" s="859"/>
      <c r="D46" s="859"/>
      <c r="E46" s="860"/>
      <c r="F46" s="157">
        <v>3</v>
      </c>
      <c r="G46" s="158">
        <v>3</v>
      </c>
      <c r="H46" s="159">
        <f>IF(G46="","введите данные ФГОС",IF(F46="","введите рекомендации УМУ",IF('Учебный план'!K111=0,"заполняйте учебный план",'Учебный план'!K118)))</f>
        <v>3</v>
      </c>
      <c r="I46" s="164" t="str">
        <f>IF(G46="","введите данные ФГОС",IF(F46="","введите рекомендации УМУ",IF(H46="заполняйте учебный план","заполняйте учебный план",IF(AND(H46&lt;=F46,H46&lt;=G46),"норма","отклонение"))))</f>
        <v>норма</v>
      </c>
    </row>
    <row r="47" spans="1:9" s="165" customFormat="1" ht="12.75" customHeight="1">
      <c r="A47" s="861" t="s">
        <v>286</v>
      </c>
      <c r="B47" s="859"/>
      <c r="C47" s="859"/>
      <c r="D47" s="859"/>
      <c r="E47" s="860"/>
      <c r="F47" s="149" t="s">
        <v>156</v>
      </c>
      <c r="G47" s="166" t="s">
        <v>156</v>
      </c>
      <c r="H47" s="159" t="s">
        <v>156</v>
      </c>
      <c r="I47" s="164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165" customFormat="1" ht="12.75" customHeight="1">
      <c r="A48" s="861" t="s">
        <v>147</v>
      </c>
      <c r="B48" s="859"/>
      <c r="C48" s="859"/>
      <c r="D48" s="859"/>
      <c r="E48" s="860"/>
      <c r="F48" s="149" t="s">
        <v>156</v>
      </c>
      <c r="G48" s="166" t="s">
        <v>156</v>
      </c>
      <c r="H48" s="159" t="s">
        <v>156</v>
      </c>
      <c r="I48" s="164" t="str">
        <f>IF(G48="","введите данные ФГОС",IF(F48="","введите рекомендации УМУ",IF(H48="запоняйте учебный план","заполняйте учебный план",IF(H48="да","норма","отклонение"))))</f>
        <v>норма</v>
      </c>
    </row>
    <row r="49" spans="1:9" s="140" customFormat="1">
      <c r="A49" s="151"/>
      <c r="B49" s="151"/>
      <c r="C49" s="151"/>
      <c r="D49" s="151"/>
      <c r="E49" s="151"/>
      <c r="F49" s="151"/>
      <c r="G49" s="151"/>
      <c r="H49" s="151"/>
      <c r="I49" s="151"/>
    </row>
    <row r="50" spans="1:9" s="140" customFormat="1">
      <c r="A50" s="151"/>
      <c r="B50" s="151"/>
      <c r="C50" s="151"/>
      <c r="D50" s="151"/>
      <c r="E50" s="151"/>
      <c r="F50" s="151"/>
      <c r="G50" s="151"/>
      <c r="H50" s="151"/>
      <c r="I50" s="151"/>
    </row>
    <row r="51" spans="1:9" s="140" customFormat="1">
      <c r="A51" s="874" t="s">
        <v>102</v>
      </c>
      <c r="B51" s="874"/>
      <c r="C51" s="874"/>
      <c r="D51" s="874"/>
      <c r="E51" s="874"/>
      <c r="F51" s="874"/>
      <c r="G51" s="874"/>
      <c r="H51" s="874"/>
      <c r="I51" s="874"/>
    </row>
    <row r="52" spans="1:9" s="140" customFormat="1">
      <c r="A52" s="892" t="s">
        <v>287</v>
      </c>
      <c r="B52" s="893"/>
      <c r="C52" s="893"/>
      <c r="D52" s="893"/>
      <c r="E52" s="893"/>
      <c r="F52" s="886" t="s">
        <v>558</v>
      </c>
      <c r="G52" s="887"/>
      <c r="H52" s="887"/>
      <c r="I52" s="888"/>
    </row>
    <row r="53" spans="1:9" s="140" customFormat="1">
      <c r="A53" s="889"/>
      <c r="B53" s="890"/>
      <c r="C53" s="890"/>
      <c r="D53" s="890"/>
      <c r="E53" s="890"/>
      <c r="F53" s="891" t="s">
        <v>288</v>
      </c>
      <c r="G53" s="891"/>
      <c r="H53" s="891"/>
      <c r="I53" s="891"/>
    </row>
    <row r="54" spans="1:9" s="140" customFormat="1">
      <c r="A54" s="899">
        <f>A5</f>
        <v>0</v>
      </c>
      <c r="B54" s="900"/>
      <c r="C54" s="900"/>
      <c r="D54" s="900"/>
      <c r="E54" s="900"/>
      <c r="F54" s="911" t="s">
        <v>527</v>
      </c>
      <c r="G54" s="911"/>
      <c r="H54" s="911"/>
      <c r="I54" s="911"/>
    </row>
    <row r="55" spans="1:9" s="140" customFormat="1">
      <c r="A55" s="151"/>
      <c r="B55" s="151"/>
      <c r="C55" s="151"/>
      <c r="D55" s="151"/>
      <c r="E55" s="151"/>
      <c r="F55" s="151"/>
      <c r="G55" s="151"/>
      <c r="H55" s="151"/>
      <c r="I55" s="151"/>
    </row>
    <row r="56" spans="1:9" s="140" customFormat="1">
      <c r="A56" s="910" t="s">
        <v>103</v>
      </c>
      <c r="B56" s="910"/>
      <c r="C56" s="910"/>
      <c r="D56" s="910"/>
      <c r="E56" s="910"/>
      <c r="F56" s="910"/>
      <c r="G56" s="910"/>
      <c r="H56" s="910"/>
      <c r="I56" s="151"/>
    </row>
    <row r="57" spans="1:9" s="140" customFormat="1">
      <c r="A57" s="897" t="s">
        <v>597</v>
      </c>
      <c r="B57" s="893"/>
      <c r="C57" s="893"/>
      <c r="D57" s="893"/>
      <c r="E57" s="898"/>
      <c r="F57" s="901" t="str">
        <f>'Титульный лист'!BC13</f>
        <v>07.05.2014 № 441</v>
      </c>
      <c r="G57" s="902"/>
      <c r="H57" s="903"/>
      <c r="I57" s="151"/>
    </row>
    <row r="58" spans="1:9" s="140" customFormat="1">
      <c r="A58" s="892" t="s">
        <v>104</v>
      </c>
      <c r="B58" s="893"/>
      <c r="C58" s="893"/>
      <c r="D58" s="893"/>
      <c r="E58" s="898"/>
      <c r="F58" s="894">
        <v>42979</v>
      </c>
      <c r="G58" s="895"/>
      <c r="H58" s="896"/>
      <c r="I58" s="151"/>
    </row>
    <row r="60" spans="1:9" s="169" customFormat="1" ht="12" hidden="1" customHeight="1">
      <c r="A60" s="168"/>
      <c r="B60" s="168"/>
      <c r="C60" s="168"/>
      <c r="D60" s="168"/>
      <c r="F60" s="170" t="s">
        <v>24</v>
      </c>
      <c r="G60" s="170" t="s">
        <v>5</v>
      </c>
    </row>
    <row r="61" spans="1:9" s="169" customFormat="1" ht="11.25" hidden="1" customHeight="1">
      <c r="A61" s="168"/>
      <c r="B61" s="168"/>
      <c r="C61" s="168"/>
      <c r="D61" s="168"/>
      <c r="F61" s="170"/>
      <c r="G61" s="170" t="s">
        <v>155</v>
      </c>
      <c r="I61" s="171"/>
    </row>
    <row r="62" spans="1:9" s="169" customFormat="1" ht="11.25" hidden="1" customHeight="1">
      <c r="A62" s="168"/>
      <c r="B62" s="168"/>
      <c r="C62" s="168"/>
      <c r="D62" s="168"/>
      <c r="F62" s="170" t="s">
        <v>24</v>
      </c>
      <c r="G62" s="170" t="s">
        <v>5</v>
      </c>
    </row>
    <row r="63" spans="1:9" s="169" customFormat="1" ht="11.25" hidden="1" customHeight="1">
      <c r="A63" s="168"/>
      <c r="B63" s="168"/>
      <c r="C63" s="168"/>
      <c r="D63" s="168"/>
      <c r="F63" s="170" t="s">
        <v>294</v>
      </c>
      <c r="G63" s="170" t="s">
        <v>155</v>
      </c>
    </row>
    <row r="64" spans="1:9" s="169" customFormat="1" ht="11.25" hidden="1" customHeight="1">
      <c r="A64" s="168"/>
      <c r="B64" s="168"/>
      <c r="C64" s="168"/>
      <c r="D64" s="168"/>
    </row>
    <row r="65" spans="1:10" s="169" customFormat="1" ht="11.25" hidden="1" customHeight="1">
      <c r="A65" s="168"/>
      <c r="B65" s="168"/>
      <c r="C65" s="168"/>
      <c r="D65" s="906" t="s">
        <v>321</v>
      </c>
      <c r="E65" s="907"/>
      <c r="F65" s="904" t="s">
        <v>322</v>
      </c>
      <c r="G65" s="905"/>
    </row>
    <row r="66" spans="1:10" s="169" customFormat="1" ht="11.25" hidden="1" customHeight="1">
      <c r="A66" s="172" t="s">
        <v>154</v>
      </c>
      <c r="D66" s="173" t="s">
        <v>319</v>
      </c>
      <c r="E66" s="173" t="s">
        <v>320</v>
      </c>
      <c r="F66" s="173" t="s">
        <v>319</v>
      </c>
      <c r="G66" s="173" t="s">
        <v>320</v>
      </c>
    </row>
    <row r="67" spans="1:10" s="169" customFormat="1" ht="11.25" hidden="1" customHeight="1">
      <c r="A67" s="174" t="s">
        <v>558</v>
      </c>
      <c r="D67" s="175" t="e">
        <f>MAX(IF('Титульный лист'!BB24=0,0,DSUM('Учебный план'!A10:BY91,"23",D68:E69)/'Титульный лист'!BB24),IF('Титульный лист'!BC24=0,0,DSUM('Учебный план'!A10:BY91,"32",D70:E71)/'Титульный лист'!BC24),IF('Титульный лист'!BB25=0,0,DSUM('Учебный план'!A10:BY91,"41",D72:E73)/'Титульный лист'!BB25),IF('Титульный лист'!BC25=0,0,DSUM('Учебный план'!A10:BY91,"50",D74:E75)/'Титульный лист'!BC25),IF('Титульный лист'!BB26=0,0,DSUM('Учебный план'!A10:BY91,"59",D76:E77)/'Титульный лист'!BB26),IF('Титульный лист'!BC26=0,0,DSUM('Учебный план'!A10:BY91,"68",D78:E79)/'Титульный лист'!BC26),IF('Титульный лист'!BB27=0,0,DSUM('Учебный план'!A10:BY91,"77",D80:E81)/'Титульный лист'!BB27),IF('Титульный лист'!BC27=0,0,DSUM('Учебный план'!A10:BY91,"86",D82:E83)/'Титульный лист'!BC27),IF('Титульный лист'!BB28=0,0,DSUM('Учебный план'!A10:BY91,"95",D84:E85)/'Титульный лист'!BB28),IF('Титульный лист'!BC28=0,0,DSUM('Учебный план'!A10:BY91,"104",D86:E87)/'Титульный лист'!BC28))</f>
        <v>#VALUE!</v>
      </c>
      <c r="E67" s="175" t="e">
        <f>MIN(IF('Титульный лист'!BB24=0,100,DSUM('Учебный план'!A10:BY91,"23",D68:E69)/'Титульный лист'!BB24),IF('Титульный лист'!BC24=0,100,DSUM('Учебный план'!A10:BY91,"32",D70:E71)/'Титульный лист'!BC24),IF('Титульный лист'!BB25=0,100,DSUM('Учебный план'!A10:BY91,"41",D72:E73)/'Титульный лист'!BB25),IF('Титульный лист'!BC25=0,100,DSUM('Учебный план'!A10:BY91,"50",D74:E75)/'Титульный лист'!BC25),IF('Титульный лист'!BB26=0,100,DSUM('Учебный план'!A10:BY91,"59",D76:E77)/'Титульный лист'!BB26),IF('Титульный лист'!BC26=0,100,DSUM('Учебный план'!A10:BY91,"68",D78:E79)/'Титульный лист'!BC26),IF('Титульный лист'!BB27=0,100,DSUM('Учебный план'!A10:BY91,"77",D80:E81)/'Титульный лист'!BB27),IF('Титульный лист'!BC27=0,100,DSUM('Учебный план'!A10:BY91,"86",D82:E83)/'Титульный лист'!BC27),IF('Титульный лист'!BB28=0,100,DSUM('Учебный план'!A10:BY91,"95",D84:E85)/'Титульный лист'!BB28),IF('Титульный лист'!BC28=0,100,DSUM('Учебный план'!A10:BY91,"104",D86:E87)/'Титульный лист'!BC28))</f>
        <v>#VALUE!</v>
      </c>
      <c r="F67" s="175">
        <v>2</v>
      </c>
      <c r="G67" s="175">
        <v>2</v>
      </c>
      <c r="H67" s="176"/>
    </row>
    <row r="68" spans="1:10" s="169" customFormat="1" ht="11.25" hidden="1" customHeight="1">
      <c r="A68" s="174" t="e">
        <f>#REF!</f>
        <v>#REF!</v>
      </c>
      <c r="D68" s="177">
        <v>2</v>
      </c>
      <c r="E68" s="177">
        <v>23</v>
      </c>
      <c r="F68" s="177">
        <v>2</v>
      </c>
      <c r="G68" s="177">
        <v>28</v>
      </c>
    </row>
    <row r="69" spans="1:10" s="169" customFormat="1" ht="22.5" hidden="1" customHeight="1">
      <c r="A69" s="174" t="e">
        <f>#REF!</f>
        <v>#REF!</v>
      </c>
      <c r="D69" s="177" t="s">
        <v>7</v>
      </c>
      <c r="E69" s="177" t="s">
        <v>155</v>
      </c>
      <c r="F69" s="177" t="s">
        <v>7</v>
      </c>
      <c r="G69" s="177" t="s">
        <v>155</v>
      </c>
    </row>
    <row r="70" spans="1:10" s="169" customFormat="1" ht="11.25" hidden="1" customHeight="1">
      <c r="A70" s="174" t="e">
        <f>#REF!</f>
        <v>#REF!</v>
      </c>
      <c r="D70" s="177">
        <v>2</v>
      </c>
      <c r="E70" s="177">
        <v>32</v>
      </c>
      <c r="F70" s="177">
        <v>2</v>
      </c>
      <c r="G70" s="177">
        <v>37</v>
      </c>
    </row>
    <row r="71" spans="1:10" s="169" customFormat="1" ht="22.5" hidden="1" customHeight="1">
      <c r="A71" s="174" t="e">
        <f>#REF!</f>
        <v>#REF!</v>
      </c>
      <c r="D71" s="177" t="s">
        <v>7</v>
      </c>
      <c r="E71" s="177" t="s">
        <v>155</v>
      </c>
      <c r="F71" s="177" t="s">
        <v>7</v>
      </c>
      <c r="G71" s="177" t="s">
        <v>155</v>
      </c>
      <c r="H71" s="176"/>
      <c r="I71" s="176"/>
      <c r="J71" s="176"/>
    </row>
    <row r="72" spans="1:10" s="169" customFormat="1" ht="11.25" hidden="1" customHeight="1">
      <c r="A72" s="174" t="e">
        <f>#REF!</f>
        <v>#REF!</v>
      </c>
      <c r="D72" s="177">
        <v>2</v>
      </c>
      <c r="E72" s="177">
        <v>41</v>
      </c>
      <c r="F72" s="177">
        <v>2</v>
      </c>
      <c r="G72" s="177">
        <v>46</v>
      </c>
    </row>
    <row r="73" spans="1:10" s="169" customFormat="1" ht="22.5" hidden="1" customHeight="1">
      <c r="A73" s="174" t="e">
        <f>#REF!</f>
        <v>#REF!</v>
      </c>
      <c r="D73" s="177" t="s">
        <v>7</v>
      </c>
      <c r="E73" s="177" t="s">
        <v>155</v>
      </c>
      <c r="F73" s="177" t="s">
        <v>7</v>
      </c>
      <c r="G73" s="177" t="s">
        <v>155</v>
      </c>
    </row>
    <row r="74" spans="1:10" s="169" customFormat="1" ht="11.25" hidden="1" customHeight="1">
      <c r="A74" s="174" t="e">
        <f>#REF!</f>
        <v>#REF!</v>
      </c>
      <c r="D74" s="177">
        <v>2</v>
      </c>
      <c r="E74" s="177">
        <v>50</v>
      </c>
      <c r="F74" s="177">
        <v>2</v>
      </c>
      <c r="G74" s="177">
        <v>55</v>
      </c>
    </row>
    <row r="75" spans="1:10" s="169" customFormat="1" ht="22.5" hidden="1" customHeight="1">
      <c r="A75" s="174" t="e">
        <f>#REF!</f>
        <v>#REF!</v>
      </c>
      <c r="D75" s="177" t="s">
        <v>7</v>
      </c>
      <c r="E75" s="177" t="s">
        <v>155</v>
      </c>
      <c r="F75" s="177" t="s">
        <v>7</v>
      </c>
      <c r="G75" s="177" t="s">
        <v>155</v>
      </c>
    </row>
    <row r="76" spans="1:10" s="169" customFormat="1" ht="11.25" hidden="1" customHeight="1">
      <c r="A76" s="174" t="e">
        <f>#REF!</f>
        <v>#REF!</v>
      </c>
      <c r="D76" s="177">
        <v>2</v>
      </c>
      <c r="E76" s="177">
        <v>59</v>
      </c>
      <c r="F76" s="177">
        <v>2</v>
      </c>
      <c r="G76" s="177">
        <v>64</v>
      </c>
    </row>
    <row r="77" spans="1:10" s="169" customFormat="1" ht="22.5" hidden="1" customHeight="1">
      <c r="D77" s="177" t="s">
        <v>7</v>
      </c>
      <c r="E77" s="177" t="s">
        <v>155</v>
      </c>
      <c r="F77" s="177" t="s">
        <v>7</v>
      </c>
      <c r="G77" s="177" t="s">
        <v>155</v>
      </c>
    </row>
    <row r="78" spans="1:10" s="169" customFormat="1" ht="11.25" hidden="1" customHeight="1">
      <c r="A78" s="884" t="s">
        <v>316</v>
      </c>
      <c r="B78" s="885"/>
      <c r="D78" s="177">
        <v>2</v>
      </c>
      <c r="E78" s="177">
        <v>68</v>
      </c>
      <c r="F78" s="177">
        <v>2</v>
      </c>
      <c r="G78" s="177">
        <v>73</v>
      </c>
    </row>
    <row r="79" spans="1:10" s="169" customFormat="1" ht="22.5" hidden="1" customHeight="1">
      <c r="A79" s="297" t="s">
        <v>521</v>
      </c>
      <c r="B79" s="298" t="s">
        <v>522</v>
      </c>
      <c r="D79" s="177" t="s">
        <v>7</v>
      </c>
      <c r="E79" s="177" t="s">
        <v>155</v>
      </c>
      <c r="F79" s="177" t="s">
        <v>7</v>
      </c>
      <c r="G79" s="177" t="s">
        <v>155</v>
      </c>
    </row>
    <row r="80" spans="1:10" s="169" customFormat="1" ht="11.25" hidden="1" customHeight="1">
      <c r="A80" s="297" t="s">
        <v>523</v>
      </c>
      <c r="B80" s="298" t="s">
        <v>524</v>
      </c>
      <c r="D80" s="177">
        <v>2</v>
      </c>
      <c r="E80" s="177">
        <v>77</v>
      </c>
      <c r="F80" s="177">
        <v>2</v>
      </c>
      <c r="G80" s="177">
        <v>82</v>
      </c>
    </row>
    <row r="81" spans="1:7" s="169" customFormat="1" ht="22.5" hidden="1" customHeight="1">
      <c r="A81" s="297" t="s">
        <v>525</v>
      </c>
      <c r="B81" s="298" t="s">
        <v>526</v>
      </c>
      <c r="D81" s="177" t="s">
        <v>7</v>
      </c>
      <c r="E81" s="177" t="s">
        <v>155</v>
      </c>
      <c r="F81" s="177" t="s">
        <v>7</v>
      </c>
      <c r="G81" s="177" t="s">
        <v>155</v>
      </c>
    </row>
    <row r="82" spans="1:7" s="169" customFormat="1" ht="11.25" hidden="1" customHeight="1">
      <c r="A82" s="297" t="s">
        <v>527</v>
      </c>
      <c r="B82" s="298" t="s">
        <v>528</v>
      </c>
      <c r="D82" s="177">
        <v>2</v>
      </c>
      <c r="E82" s="177">
        <v>86</v>
      </c>
      <c r="F82" s="177">
        <v>2</v>
      </c>
      <c r="G82" s="177">
        <v>91</v>
      </c>
    </row>
    <row r="83" spans="1:7" s="169" customFormat="1" ht="22.5" hidden="1" customHeight="1">
      <c r="A83" s="297" t="s">
        <v>529</v>
      </c>
      <c r="B83" s="298" t="s">
        <v>530</v>
      </c>
      <c r="D83" s="177" t="s">
        <v>7</v>
      </c>
      <c r="E83" s="177" t="s">
        <v>155</v>
      </c>
      <c r="F83" s="177" t="s">
        <v>7</v>
      </c>
      <c r="G83" s="177" t="s">
        <v>155</v>
      </c>
    </row>
    <row r="84" spans="1:7" s="169" customFormat="1" ht="11.25" hidden="1" customHeight="1">
      <c r="A84" s="297" t="s">
        <v>531</v>
      </c>
      <c r="B84" s="298" t="s">
        <v>532</v>
      </c>
      <c r="D84" s="177">
        <v>2</v>
      </c>
      <c r="E84" s="177">
        <v>95</v>
      </c>
      <c r="F84" s="177">
        <v>2</v>
      </c>
      <c r="G84" s="177">
        <v>100</v>
      </c>
    </row>
    <row r="85" spans="1:7" s="169" customFormat="1" ht="22.5" hidden="1" customHeight="1">
      <c r="A85" s="297" t="s">
        <v>533</v>
      </c>
      <c r="B85" s="298" t="s">
        <v>534</v>
      </c>
      <c r="D85" s="177" t="s">
        <v>7</v>
      </c>
      <c r="E85" s="177" t="s">
        <v>155</v>
      </c>
      <c r="F85" s="177" t="s">
        <v>7</v>
      </c>
      <c r="G85" s="177" t="s">
        <v>155</v>
      </c>
    </row>
    <row r="86" spans="1:7" s="169" customFormat="1" ht="11.25" hidden="1" customHeight="1">
      <c r="A86" s="297" t="s">
        <v>535</v>
      </c>
      <c r="B86" s="298" t="s">
        <v>536</v>
      </c>
      <c r="D86" s="177">
        <v>2</v>
      </c>
      <c r="E86" s="177">
        <v>104</v>
      </c>
      <c r="F86" s="177">
        <v>2</v>
      </c>
      <c r="G86" s="177">
        <v>109</v>
      </c>
    </row>
    <row r="87" spans="1:7" s="169" customFormat="1" ht="22.5" hidden="1" customHeight="1">
      <c r="A87" s="297" t="s">
        <v>537</v>
      </c>
      <c r="B87" s="298" t="s">
        <v>538</v>
      </c>
      <c r="D87" s="177" t="s">
        <v>7</v>
      </c>
      <c r="E87" s="177" t="s">
        <v>155</v>
      </c>
      <c r="F87" s="177" t="s">
        <v>7</v>
      </c>
      <c r="G87" s="177" t="s">
        <v>155</v>
      </c>
    </row>
    <row r="88" spans="1:7" s="169" customFormat="1" ht="11.25" hidden="1" customHeight="1">
      <c r="A88" s="299" t="s">
        <v>539</v>
      </c>
      <c r="B88" s="182">
        <v>31</v>
      </c>
    </row>
    <row r="89" spans="1:7" s="169" customFormat="1" ht="11.25" hidden="1" customHeight="1">
      <c r="A89" s="297" t="s">
        <v>540</v>
      </c>
      <c r="B89" s="300">
        <v>33</v>
      </c>
    </row>
    <row r="90" spans="1:7" s="169" customFormat="1" ht="11.25" hidden="1" customHeight="1">
      <c r="A90" s="174" t="e">
        <f>#REF!</f>
        <v>#REF!</v>
      </c>
      <c r="B90" s="178" t="e">
        <f>#REF!</f>
        <v>#REF!</v>
      </c>
    </row>
    <row r="91" spans="1:7" s="169" customFormat="1" ht="11.25" hidden="1" customHeight="1">
      <c r="A91" s="174" t="e">
        <f>#REF!</f>
        <v>#REF!</v>
      </c>
      <c r="B91" s="178" t="e">
        <f>#REF!</f>
        <v>#REF!</v>
      </c>
    </row>
    <row r="92" spans="1:7" s="169" customFormat="1" ht="11.25" hidden="1" customHeight="1">
      <c r="A92" s="174" t="e">
        <f>#REF!</f>
        <v>#REF!</v>
      </c>
      <c r="B92" s="178" t="e">
        <f>#REF!</f>
        <v>#REF!</v>
      </c>
    </row>
    <row r="93" spans="1:7" s="169" customFormat="1" ht="11.25" hidden="1" customHeight="1">
      <c r="A93" s="174" t="e">
        <f>#REF!</f>
        <v>#REF!</v>
      </c>
      <c r="B93" s="178" t="e">
        <f>#REF!</f>
        <v>#REF!</v>
      </c>
    </row>
    <row r="94" spans="1:7" s="169" customFormat="1" ht="11.25" hidden="1" customHeight="1">
      <c r="A94" s="174" t="e">
        <f>#REF!</f>
        <v>#REF!</v>
      </c>
      <c r="B94" s="178" t="e">
        <f>#REF!</f>
        <v>#REF!</v>
      </c>
    </row>
    <row r="95" spans="1:7" s="169" customFormat="1" ht="11.25" hidden="1" customHeight="1">
      <c r="A95" s="174" t="e">
        <f>#REF!</f>
        <v>#REF!</v>
      </c>
      <c r="B95" s="178" t="e">
        <f>#REF!</f>
        <v>#REF!</v>
      </c>
    </row>
    <row r="96" spans="1:7" s="169" customFormat="1" ht="12.75" hidden="1" customHeight="1">
      <c r="A96" s="174" t="e">
        <f>#REF!</f>
        <v>#REF!</v>
      </c>
      <c r="B96" s="178" t="e">
        <f>#REF!</f>
        <v>#REF!</v>
      </c>
      <c r="D96" s="179"/>
      <c r="E96" s="179"/>
      <c r="F96" s="179"/>
      <c r="G96" s="179"/>
    </row>
    <row r="97" spans="1:7" s="169" customFormat="1" ht="12.75" hidden="1" customHeight="1">
      <c r="A97" s="174" t="e">
        <f>#REF!</f>
        <v>#REF!</v>
      </c>
      <c r="B97" s="178" t="e">
        <f>#REF!</f>
        <v>#REF!</v>
      </c>
      <c r="D97" s="179"/>
      <c r="E97" s="179"/>
      <c r="F97" s="179"/>
      <c r="G97" s="179"/>
    </row>
    <row r="98" spans="1:7" s="169" customFormat="1" ht="12.75" hidden="1" customHeight="1">
      <c r="A98" s="174" t="e">
        <f>#REF!</f>
        <v>#REF!</v>
      </c>
      <c r="B98" s="178" t="e">
        <f>#REF!</f>
        <v>#REF!</v>
      </c>
      <c r="D98" s="179"/>
      <c r="E98" s="179"/>
      <c r="F98" s="179"/>
      <c r="G98" s="179"/>
    </row>
  </sheetData>
  <sheetProtection password="CF70" sheet="1" objects="1" scenarios="1" selectLockedCells="1" selectUnlockedCells="1"/>
  <mergeCells count="62">
    <mergeCell ref="A1:I1"/>
    <mergeCell ref="F2:G2"/>
    <mergeCell ref="D2:E2"/>
    <mergeCell ref="A56:H56"/>
    <mergeCell ref="F54:I54"/>
    <mergeCell ref="A26:E26"/>
    <mergeCell ref="A47:E47"/>
    <mergeCell ref="A45:E45"/>
    <mergeCell ref="A32:E32"/>
    <mergeCell ref="A30:E30"/>
    <mergeCell ref="A39:E39"/>
    <mergeCell ref="A10:C10"/>
    <mergeCell ref="A11:C11"/>
    <mergeCell ref="A31:E31"/>
    <mergeCell ref="A36:E36"/>
    <mergeCell ref="A37:E37"/>
    <mergeCell ref="A78:B78"/>
    <mergeCell ref="F52:I52"/>
    <mergeCell ref="A53:E53"/>
    <mergeCell ref="F53:I53"/>
    <mergeCell ref="A51:I51"/>
    <mergeCell ref="A52:E52"/>
    <mergeCell ref="F58:H58"/>
    <mergeCell ref="A57:E57"/>
    <mergeCell ref="A58:E58"/>
    <mergeCell ref="A54:E54"/>
    <mergeCell ref="F57:H57"/>
    <mergeCell ref="F65:G65"/>
    <mergeCell ref="D65:E65"/>
    <mergeCell ref="A23:I23"/>
    <mergeCell ref="A24:E24"/>
    <mergeCell ref="A25:E25"/>
    <mergeCell ref="A17:C17"/>
    <mergeCell ref="A18:C18"/>
    <mergeCell ref="A20:C20"/>
    <mergeCell ref="A21:C21"/>
    <mergeCell ref="A33:E33"/>
    <mergeCell ref="A34:E34"/>
    <mergeCell ref="A27:E27"/>
    <mergeCell ref="A28:E28"/>
    <mergeCell ref="A29:E29"/>
    <mergeCell ref="A9:C9"/>
    <mergeCell ref="A12:C12"/>
    <mergeCell ref="A13:C13"/>
    <mergeCell ref="A14:C14"/>
    <mergeCell ref="A19:C19"/>
    <mergeCell ref="A15:C15"/>
    <mergeCell ref="A16:C16"/>
    <mergeCell ref="H2:I2"/>
    <mergeCell ref="A2:C3"/>
    <mergeCell ref="A6:C6"/>
    <mergeCell ref="A7:C7"/>
    <mergeCell ref="A8:C8"/>
    <mergeCell ref="A35:E35"/>
    <mergeCell ref="A40:E40"/>
    <mergeCell ref="A38:E38"/>
    <mergeCell ref="A48:E48"/>
    <mergeCell ref="A41:E41"/>
    <mergeCell ref="A42:E42"/>
    <mergeCell ref="A43:E43"/>
    <mergeCell ref="A46:E46"/>
    <mergeCell ref="A44:E44"/>
  </mergeCells>
  <phoneticPr fontId="9" type="noConversion"/>
  <conditionalFormatting sqref="I25:I48 H6:I21">
    <cfRule type="cellIs" dxfId="1" priority="2" stopIfTrue="1" operator="equal">
      <formula>"норма"</formula>
    </cfRule>
  </conditionalFormatting>
  <conditionalFormatting sqref="I41">
    <cfRule type="cellIs" dxfId="0" priority="1" stopIfTrue="1" operator="equal">
      <formula>"норма"</formula>
    </cfRule>
  </conditionalFormatting>
  <dataValidations count="2">
    <dataValidation type="list" allowBlank="1" showInputMessage="1" showErrorMessage="1" sqref="F52:I52">
      <formula1>$A$67:$A$72</formula1>
    </dataValidation>
    <dataValidation type="list" allowBlank="1" showInputMessage="1" showErrorMessage="1" sqref="F54:I54">
      <formula1>$A$79:$A$98</formula1>
    </dataValidation>
  </dataValidations>
  <printOptions horizontalCentered="1"/>
  <pageMargins left="0" right="0" top="0.59055118110236227" bottom="0.39370078740157483" header="0.11811023622047245" footer="0.11811023622047245"/>
  <pageSetup paperSize="8" scale="91" orientation="landscape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E28"/>
  <sheetViews>
    <sheetView zoomScale="90" zoomScaleNormal="90" workbookViewId="0">
      <selection activeCell="E15" sqref="E15:E17"/>
    </sheetView>
  </sheetViews>
  <sheetFormatPr defaultRowHeight="12.75"/>
  <cols>
    <col min="1" max="1" width="9.33203125" style="70"/>
    <col min="2" max="2" width="100.83203125" style="70" customWidth="1"/>
    <col min="3" max="4" width="9.33203125" style="70"/>
    <col min="5" max="5" width="100.83203125" style="70" customWidth="1"/>
    <col min="6" max="16384" width="9.33203125" style="70"/>
  </cols>
  <sheetData>
    <row r="1" spans="1:5">
      <c r="A1" s="912" t="s">
        <v>157</v>
      </c>
      <c r="B1" s="912"/>
      <c r="D1" s="912" t="s">
        <v>0</v>
      </c>
      <c r="E1" s="912"/>
    </row>
    <row r="2" spans="1:5" ht="25.5">
      <c r="A2" s="72" t="s">
        <v>89</v>
      </c>
      <c r="B2" s="73" t="s">
        <v>421</v>
      </c>
      <c r="D2" s="76" t="s">
        <v>328</v>
      </c>
      <c r="E2" s="73" t="s">
        <v>429</v>
      </c>
    </row>
    <row r="3" spans="1:5" ht="25.5">
      <c r="A3" s="72" t="s">
        <v>90</v>
      </c>
      <c r="B3" s="73" t="s">
        <v>422</v>
      </c>
      <c r="D3" s="76" t="s">
        <v>329</v>
      </c>
      <c r="E3" s="73" t="s">
        <v>430</v>
      </c>
    </row>
    <row r="4" spans="1:5">
      <c r="A4" s="72" t="s">
        <v>91</v>
      </c>
      <c r="B4" s="73" t="s">
        <v>420</v>
      </c>
      <c r="D4" s="76" t="s">
        <v>330</v>
      </c>
      <c r="E4" s="73" t="s">
        <v>431</v>
      </c>
    </row>
    <row r="5" spans="1:5" ht="25.5">
      <c r="A5" s="72" t="s">
        <v>92</v>
      </c>
      <c r="B5" s="73" t="s">
        <v>423</v>
      </c>
      <c r="C5" s="77" t="s">
        <v>26</v>
      </c>
      <c r="D5" s="76" t="s">
        <v>433</v>
      </c>
      <c r="E5" s="73" t="s">
        <v>432</v>
      </c>
    </row>
    <row r="6" spans="1:5" ht="25.5">
      <c r="A6" s="72" t="s">
        <v>93</v>
      </c>
      <c r="B6" s="73" t="s">
        <v>424</v>
      </c>
      <c r="D6" s="76" t="s">
        <v>331</v>
      </c>
      <c r="E6" s="73" t="s">
        <v>434</v>
      </c>
    </row>
    <row r="7" spans="1:5" ht="25.5">
      <c r="A7" s="72" t="s">
        <v>94</v>
      </c>
      <c r="B7" s="73" t="s">
        <v>425</v>
      </c>
      <c r="D7" s="76" t="s">
        <v>332</v>
      </c>
      <c r="E7" s="73" t="s">
        <v>435</v>
      </c>
    </row>
    <row r="8" spans="1:5" ht="25.5">
      <c r="A8" s="72" t="s">
        <v>95</v>
      </c>
      <c r="B8" s="73" t="s">
        <v>426</v>
      </c>
      <c r="D8" s="76" t="s">
        <v>333</v>
      </c>
      <c r="E8" s="73" t="s">
        <v>339</v>
      </c>
    </row>
    <row r="9" spans="1:5" ht="25.5">
      <c r="A9" s="72" t="s">
        <v>96</v>
      </c>
      <c r="B9" s="73" t="s">
        <v>427</v>
      </c>
      <c r="D9" s="76" t="s">
        <v>436</v>
      </c>
      <c r="E9" s="73" t="s">
        <v>437</v>
      </c>
    </row>
    <row r="10" spans="1:5">
      <c r="A10" s="72" t="s">
        <v>97</v>
      </c>
      <c r="B10" s="73" t="s">
        <v>327</v>
      </c>
      <c r="D10" s="76" t="s">
        <v>334</v>
      </c>
      <c r="E10" s="73" t="s">
        <v>438</v>
      </c>
    </row>
    <row r="11" spans="1:5" ht="25.5">
      <c r="A11" s="72" t="s">
        <v>98</v>
      </c>
      <c r="B11" s="73" t="s">
        <v>428</v>
      </c>
      <c r="D11" s="76" t="s">
        <v>335</v>
      </c>
      <c r="E11" s="73" t="s">
        <v>439</v>
      </c>
    </row>
    <row r="12" spans="1:5" ht="25.5">
      <c r="A12" s="71"/>
      <c r="B12" s="68"/>
      <c r="D12" s="76" t="s">
        <v>336</v>
      </c>
      <c r="E12" s="73" t="s">
        <v>340</v>
      </c>
    </row>
    <row r="13" spans="1:5" ht="25.5">
      <c r="A13" s="71"/>
      <c r="B13" s="68"/>
      <c r="D13" s="76" t="s">
        <v>337</v>
      </c>
      <c r="E13" s="73" t="s">
        <v>341</v>
      </c>
    </row>
    <row r="14" spans="1:5" ht="25.5">
      <c r="A14" s="71"/>
      <c r="B14" s="68"/>
      <c r="D14" s="76" t="s">
        <v>338</v>
      </c>
      <c r="E14" s="73" t="s">
        <v>342</v>
      </c>
    </row>
    <row r="15" spans="1:5" ht="13.5">
      <c r="A15" s="69"/>
      <c r="B15" s="69"/>
      <c r="D15" s="76" t="s">
        <v>440</v>
      </c>
      <c r="E15" s="73" t="s">
        <v>441</v>
      </c>
    </row>
    <row r="16" spans="1:5" ht="25.5">
      <c r="A16" s="71"/>
      <c r="B16" s="68"/>
      <c r="D16" s="76" t="s">
        <v>442</v>
      </c>
      <c r="E16" s="73" t="s">
        <v>443</v>
      </c>
    </row>
    <row r="17" spans="1:5" ht="25.5">
      <c r="A17" s="71"/>
      <c r="B17" s="68"/>
      <c r="D17" s="76" t="s">
        <v>444</v>
      </c>
      <c r="E17" s="73" t="s">
        <v>445</v>
      </c>
    </row>
    <row r="18" spans="1:5">
      <c r="A18" s="71"/>
      <c r="B18" s="68"/>
    </row>
    <row r="19" spans="1:5">
      <c r="A19" s="71"/>
      <c r="B19" s="68"/>
    </row>
    <row r="20" spans="1:5">
      <c r="A20" s="71"/>
      <c r="B20" s="68"/>
    </row>
    <row r="21" spans="1:5" ht="13.5">
      <c r="A21" s="69"/>
      <c r="B21" s="69"/>
    </row>
    <row r="22" spans="1:5">
      <c r="A22" s="71"/>
      <c r="B22" s="68"/>
    </row>
    <row r="23" spans="1:5">
      <c r="A23" s="71"/>
      <c r="B23" s="68"/>
    </row>
    <row r="24" spans="1:5">
      <c r="A24" s="71"/>
      <c r="B24" s="68"/>
    </row>
    <row r="25" spans="1:5">
      <c r="A25" s="71"/>
      <c r="B25" s="68"/>
    </row>
    <row r="26" spans="1:5">
      <c r="A26" s="68"/>
      <c r="B26" s="68"/>
    </row>
    <row r="27" spans="1:5">
      <c r="A27" s="71"/>
      <c r="B27" s="68"/>
    </row>
    <row r="28" spans="1:5">
      <c r="A28" s="71"/>
      <c r="B28" s="68"/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orientation="landscape" r:id="rId1"/>
  <headerFooter alignWithMargins="0">
    <oddFooter>&amp;L&amp;F&amp;C&amp;A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opLeftCell="A7" workbookViewId="0">
      <selection activeCell="D30" sqref="D30"/>
    </sheetView>
  </sheetViews>
  <sheetFormatPr defaultColWidth="36" defaultRowHeight="12.75"/>
  <cols>
    <col min="1" max="1" width="4.5" style="70" customWidth="1"/>
    <col min="2" max="2" width="32.1640625" style="70" customWidth="1"/>
    <col min="3" max="3" width="92.33203125" style="70" customWidth="1"/>
    <col min="4" max="16384" width="36" style="70"/>
  </cols>
  <sheetData>
    <row r="1" spans="1:3">
      <c r="A1" s="913" t="s">
        <v>158</v>
      </c>
      <c r="B1" s="913"/>
      <c r="C1" s="913"/>
    </row>
    <row r="2" spans="1:3">
      <c r="A2" s="74" t="s">
        <v>35</v>
      </c>
      <c r="B2" s="74" t="s">
        <v>159</v>
      </c>
      <c r="C2" s="75" t="s">
        <v>9</v>
      </c>
    </row>
    <row r="3" spans="1:3" s="136" customFormat="1">
      <c r="A3" s="333">
        <v>1</v>
      </c>
      <c r="B3" s="334" t="s">
        <v>234</v>
      </c>
      <c r="C3" s="335" t="s">
        <v>564</v>
      </c>
    </row>
    <row r="4" spans="1:3" s="136" customFormat="1">
      <c r="A4" s="191">
        <v>2</v>
      </c>
      <c r="B4" s="192" t="s">
        <v>234</v>
      </c>
      <c r="C4" s="193" t="s">
        <v>235</v>
      </c>
    </row>
    <row r="5" spans="1:3" s="136" customFormat="1">
      <c r="A5" s="333">
        <v>3</v>
      </c>
      <c r="B5" s="192" t="s">
        <v>234</v>
      </c>
      <c r="C5" s="193" t="s">
        <v>565</v>
      </c>
    </row>
    <row r="6" spans="1:3" s="136" customFormat="1">
      <c r="A6" s="191">
        <v>4</v>
      </c>
      <c r="B6" s="192" t="s">
        <v>234</v>
      </c>
      <c r="C6" s="193" t="s">
        <v>236</v>
      </c>
    </row>
    <row r="7" spans="1:3" s="136" customFormat="1">
      <c r="A7" s="333">
        <v>5</v>
      </c>
      <c r="B7" s="192" t="s">
        <v>234</v>
      </c>
      <c r="C7" s="193" t="s">
        <v>237</v>
      </c>
    </row>
    <row r="8" spans="1:3" s="136" customFormat="1">
      <c r="A8" s="191">
        <v>6</v>
      </c>
      <c r="B8" s="192" t="s">
        <v>234</v>
      </c>
      <c r="C8" s="193" t="s">
        <v>238</v>
      </c>
    </row>
    <row r="9" spans="1:3" s="136" customFormat="1">
      <c r="A9" s="333">
        <v>7</v>
      </c>
      <c r="B9" s="192" t="s">
        <v>234</v>
      </c>
      <c r="C9" s="193" t="s">
        <v>239</v>
      </c>
    </row>
    <row r="10" spans="1:3" s="136" customFormat="1">
      <c r="A10" s="191">
        <v>8</v>
      </c>
      <c r="B10" s="192" t="s">
        <v>234</v>
      </c>
      <c r="C10" s="193" t="s">
        <v>240</v>
      </c>
    </row>
    <row r="11" spans="1:3" s="136" customFormat="1">
      <c r="A11" s="333">
        <v>9</v>
      </c>
      <c r="B11" s="192" t="s">
        <v>234</v>
      </c>
      <c r="C11" s="193" t="s">
        <v>241</v>
      </c>
    </row>
    <row r="12" spans="1:3" s="136" customFormat="1">
      <c r="A12" s="191">
        <v>10</v>
      </c>
      <c r="B12" s="192" t="s">
        <v>234</v>
      </c>
      <c r="C12" s="193" t="s">
        <v>242</v>
      </c>
    </row>
    <row r="13" spans="1:3" s="136" customFormat="1">
      <c r="A13" s="333">
        <v>11</v>
      </c>
      <c r="B13" s="192" t="s">
        <v>234</v>
      </c>
      <c r="C13" s="193" t="s">
        <v>243</v>
      </c>
    </row>
    <row r="14" spans="1:3" s="136" customFormat="1">
      <c r="A14" s="191">
        <v>12</v>
      </c>
      <c r="B14" s="192" t="s">
        <v>234</v>
      </c>
      <c r="C14" s="193" t="s">
        <v>244</v>
      </c>
    </row>
    <row r="15" spans="1:3" s="136" customFormat="1">
      <c r="A15" s="333">
        <v>13</v>
      </c>
      <c r="B15" s="192" t="s">
        <v>234</v>
      </c>
      <c r="C15" s="193" t="s">
        <v>245</v>
      </c>
    </row>
    <row r="16" spans="1:3" s="136" customFormat="1">
      <c r="A16" s="191">
        <v>14</v>
      </c>
      <c r="B16" s="192" t="s">
        <v>246</v>
      </c>
      <c r="C16" s="193" t="s">
        <v>247</v>
      </c>
    </row>
    <row r="17" spans="1:3" s="136" customFormat="1">
      <c r="A17" s="333">
        <v>15</v>
      </c>
      <c r="B17" s="192" t="s">
        <v>246</v>
      </c>
      <c r="C17" s="193" t="s">
        <v>248</v>
      </c>
    </row>
    <row r="18" spans="1:3" s="136" customFormat="1">
      <c r="A18" s="191">
        <v>16</v>
      </c>
      <c r="B18" s="192" t="s">
        <v>246</v>
      </c>
      <c r="C18" s="193" t="s">
        <v>249</v>
      </c>
    </row>
    <row r="19" spans="1:3" s="136" customFormat="1">
      <c r="A19" s="333">
        <v>17</v>
      </c>
      <c r="B19" s="192" t="s">
        <v>246</v>
      </c>
      <c r="C19" s="193" t="s">
        <v>250</v>
      </c>
    </row>
    <row r="20" spans="1:3" s="136" customFormat="1">
      <c r="A20" s="191">
        <v>18</v>
      </c>
      <c r="B20" s="192" t="s">
        <v>246</v>
      </c>
      <c r="C20" s="193" t="s">
        <v>251</v>
      </c>
    </row>
    <row r="21" spans="1:3" s="136" customFormat="1" ht="25.5">
      <c r="A21" s="333">
        <v>19</v>
      </c>
      <c r="B21" s="192" t="s">
        <v>246</v>
      </c>
      <c r="C21" s="193" t="s">
        <v>252</v>
      </c>
    </row>
    <row r="22" spans="1:3" s="136" customFormat="1">
      <c r="A22" s="191">
        <v>20</v>
      </c>
      <c r="B22" s="192" t="s">
        <v>246</v>
      </c>
      <c r="C22" s="193" t="s">
        <v>253</v>
      </c>
    </row>
    <row r="23" spans="1:3" s="136" customFormat="1">
      <c r="A23" s="333">
        <v>21</v>
      </c>
      <c r="B23" s="192" t="s">
        <v>254</v>
      </c>
      <c r="C23" s="193" t="s">
        <v>255</v>
      </c>
    </row>
    <row r="24" spans="1:3" s="136" customFormat="1">
      <c r="A24" s="191">
        <v>22</v>
      </c>
      <c r="B24" s="192" t="s">
        <v>254</v>
      </c>
      <c r="C24" s="193" t="s">
        <v>256</v>
      </c>
    </row>
    <row r="25" spans="1:3" s="136" customFormat="1">
      <c r="A25" s="333">
        <v>23</v>
      </c>
      <c r="B25" s="194" t="s">
        <v>257</v>
      </c>
      <c r="C25" s="193" t="s">
        <v>260</v>
      </c>
    </row>
    <row r="26" spans="1:3" s="136" customFormat="1">
      <c r="A26" s="191">
        <v>24</v>
      </c>
      <c r="B26" s="194" t="s">
        <v>257</v>
      </c>
      <c r="C26" s="193" t="s">
        <v>258</v>
      </c>
    </row>
    <row r="27" spans="1:3" s="136" customFormat="1">
      <c r="A27" s="333">
        <v>25</v>
      </c>
      <c r="B27" s="194" t="s">
        <v>257</v>
      </c>
      <c r="C27" s="193" t="s">
        <v>259</v>
      </c>
    </row>
    <row r="28" spans="1:3" s="136" customFormat="1">
      <c r="A28" s="191">
        <v>26</v>
      </c>
      <c r="B28" s="193" t="s">
        <v>261</v>
      </c>
      <c r="C28" s="193" t="s">
        <v>264</v>
      </c>
    </row>
    <row r="29" spans="1:3" s="136" customFormat="1">
      <c r="A29" s="333">
        <v>27</v>
      </c>
      <c r="B29" s="193" t="s">
        <v>261</v>
      </c>
      <c r="C29" s="193" t="s">
        <v>265</v>
      </c>
    </row>
    <row r="30" spans="1:3" s="136" customFormat="1">
      <c r="A30" s="191">
        <v>28</v>
      </c>
      <c r="B30" s="193" t="s">
        <v>261</v>
      </c>
      <c r="C30" s="193" t="s">
        <v>266</v>
      </c>
    </row>
    <row r="31" spans="1:3" s="136" customFormat="1">
      <c r="A31" s="333">
        <v>29</v>
      </c>
      <c r="B31" s="194" t="s">
        <v>262</v>
      </c>
      <c r="C31" s="193" t="s">
        <v>267</v>
      </c>
    </row>
    <row r="32" spans="1:3" s="136" customFormat="1">
      <c r="A32" s="191">
        <v>30</v>
      </c>
      <c r="B32" s="194" t="s">
        <v>262</v>
      </c>
      <c r="C32" s="193" t="s">
        <v>263</v>
      </c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fitToHeight="100" orientation="landscape" r:id="rId1"/>
  <headerFooter alignWithMargins="0">
    <oddFooter>&amp;L&amp;F&amp;C&amp;A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topLeftCell="A21" workbookViewId="0">
      <selection activeCell="F48" sqref="F48"/>
    </sheetView>
  </sheetViews>
  <sheetFormatPr defaultRowHeight="12.75"/>
  <cols>
    <col min="1" max="1" width="5.1640625" style="132" customWidth="1"/>
    <col min="2" max="2" width="93.5" style="132" customWidth="1"/>
    <col min="3" max="3" width="50.83203125" style="132" customWidth="1"/>
    <col min="4" max="16384" width="9.33203125" style="132"/>
  </cols>
  <sheetData>
    <row r="1" spans="1:3">
      <c r="A1" s="916" t="s">
        <v>160</v>
      </c>
      <c r="B1" s="916"/>
      <c r="C1" s="916"/>
    </row>
    <row r="2" spans="1:3">
      <c r="A2" s="133" t="s">
        <v>35</v>
      </c>
      <c r="B2" s="133" t="s">
        <v>161</v>
      </c>
      <c r="C2" s="133" t="s">
        <v>36</v>
      </c>
    </row>
    <row r="3" spans="1:3">
      <c r="A3" s="187">
        <v>1</v>
      </c>
      <c r="B3" s="297" t="s">
        <v>521</v>
      </c>
      <c r="C3" s="298" t="s">
        <v>522</v>
      </c>
    </row>
    <row r="4" spans="1:3">
      <c r="A4" s="187">
        <v>2</v>
      </c>
      <c r="B4" s="297" t="s">
        <v>523</v>
      </c>
      <c r="C4" s="298" t="s">
        <v>524</v>
      </c>
    </row>
    <row r="5" spans="1:3">
      <c r="A5" s="187">
        <v>3</v>
      </c>
      <c r="B5" s="297" t="s">
        <v>525</v>
      </c>
      <c r="C5" s="298" t="s">
        <v>526</v>
      </c>
    </row>
    <row r="6" spans="1:3">
      <c r="A6" s="187">
        <v>4</v>
      </c>
      <c r="B6" s="297" t="s">
        <v>527</v>
      </c>
      <c r="C6" s="298" t="s">
        <v>528</v>
      </c>
    </row>
    <row r="7" spans="1:3">
      <c r="A7" s="187">
        <v>5</v>
      </c>
      <c r="B7" s="297" t="s">
        <v>529</v>
      </c>
      <c r="C7" s="298" t="s">
        <v>530</v>
      </c>
    </row>
    <row r="8" spans="1:3" ht="25.5">
      <c r="A8" s="187">
        <v>6</v>
      </c>
      <c r="B8" s="297" t="s">
        <v>531</v>
      </c>
      <c r="C8" s="298" t="s">
        <v>532</v>
      </c>
    </row>
    <row r="9" spans="1:3">
      <c r="A9" s="187">
        <v>7</v>
      </c>
      <c r="B9" s="297" t="s">
        <v>533</v>
      </c>
      <c r="C9" s="298" t="s">
        <v>534</v>
      </c>
    </row>
    <row r="10" spans="1:3">
      <c r="A10" s="187">
        <v>8</v>
      </c>
      <c r="B10" s="297" t="s">
        <v>535</v>
      </c>
      <c r="C10" s="298" t="s">
        <v>536</v>
      </c>
    </row>
    <row r="11" spans="1:3" ht="25.5">
      <c r="A11" s="187">
        <v>9</v>
      </c>
      <c r="B11" s="297" t="s">
        <v>537</v>
      </c>
      <c r="C11" s="298" t="s">
        <v>538</v>
      </c>
    </row>
    <row r="12" spans="1:3">
      <c r="A12" s="187">
        <v>10</v>
      </c>
      <c r="B12" s="299" t="s">
        <v>539</v>
      </c>
      <c r="C12" s="182">
        <v>31</v>
      </c>
    </row>
    <row r="13" spans="1:3">
      <c r="A13" s="187">
        <v>11</v>
      </c>
      <c r="B13" s="297" t="s">
        <v>540</v>
      </c>
      <c r="C13" s="300">
        <v>33</v>
      </c>
    </row>
    <row r="14" spans="1:3" ht="12.75" customHeight="1">
      <c r="A14" s="916" t="s">
        <v>153</v>
      </c>
      <c r="B14" s="916"/>
      <c r="C14" s="916"/>
    </row>
    <row r="15" spans="1:3">
      <c r="A15" s="133" t="s">
        <v>35</v>
      </c>
      <c r="B15" s="133" t="s">
        <v>162</v>
      </c>
      <c r="C15" s="133" t="s">
        <v>36</v>
      </c>
    </row>
    <row r="16" spans="1:3">
      <c r="A16" s="187">
        <v>1</v>
      </c>
      <c r="B16" s="134" t="s">
        <v>541</v>
      </c>
      <c r="C16" s="135">
        <v>64</v>
      </c>
    </row>
    <row r="17" spans="1:3">
      <c r="A17" s="187">
        <v>2</v>
      </c>
      <c r="B17" s="299" t="s">
        <v>542</v>
      </c>
      <c r="C17" s="182">
        <v>5</v>
      </c>
    </row>
    <row r="18" spans="1:3" hidden="1">
      <c r="A18" s="190">
        <v>3</v>
      </c>
      <c r="B18" s="134"/>
      <c r="C18" s="135"/>
    </row>
    <row r="19" spans="1:3" hidden="1">
      <c r="A19" s="190">
        <v>4</v>
      </c>
      <c r="B19" s="134"/>
      <c r="C19" s="135"/>
    </row>
    <row r="20" spans="1:3" hidden="1">
      <c r="A20" s="190">
        <v>5</v>
      </c>
      <c r="B20" s="134"/>
      <c r="C20" s="135"/>
    </row>
    <row r="21" spans="1:3">
      <c r="A21" s="136"/>
      <c r="B21" s="136"/>
      <c r="C21" s="136"/>
    </row>
    <row r="22" spans="1:3">
      <c r="A22" s="916" t="s">
        <v>108</v>
      </c>
      <c r="B22" s="916"/>
      <c r="C22" s="916"/>
    </row>
    <row r="23" spans="1:3">
      <c r="A23" s="133" t="s">
        <v>35</v>
      </c>
      <c r="B23" s="133" t="s">
        <v>9</v>
      </c>
      <c r="C23" s="133" t="s">
        <v>109</v>
      </c>
    </row>
    <row r="24" spans="1:3">
      <c r="A24" s="190">
        <v>1</v>
      </c>
      <c r="B24" s="188" t="s">
        <v>110</v>
      </c>
      <c r="C24" s="187" t="s">
        <v>111</v>
      </c>
    </row>
    <row r="25" spans="1:3">
      <c r="A25" s="190">
        <v>2</v>
      </c>
      <c r="B25" s="188" t="s">
        <v>112</v>
      </c>
      <c r="C25" s="187" t="s">
        <v>114</v>
      </c>
    </row>
    <row r="26" spans="1:3">
      <c r="A26" s="190">
        <v>3</v>
      </c>
      <c r="B26" s="188" t="s">
        <v>113</v>
      </c>
      <c r="C26" s="187" t="s">
        <v>115</v>
      </c>
    </row>
    <row r="27" spans="1:3">
      <c r="A27" s="190">
        <v>4</v>
      </c>
      <c r="B27" s="189" t="s">
        <v>231</v>
      </c>
      <c r="C27" s="187" t="s">
        <v>230</v>
      </c>
    </row>
    <row r="28" spans="1:3">
      <c r="A28" s="136"/>
      <c r="B28" s="136"/>
      <c r="C28" s="136"/>
    </row>
    <row r="29" spans="1:3" hidden="1">
      <c r="A29" s="915" t="s">
        <v>350</v>
      </c>
      <c r="B29" s="915"/>
      <c r="C29" s="915"/>
    </row>
    <row r="30" spans="1:3" hidden="1">
      <c r="A30" s="137" t="s">
        <v>35</v>
      </c>
      <c r="B30" s="137" t="s">
        <v>351</v>
      </c>
      <c r="C30" s="137" t="s">
        <v>352</v>
      </c>
    </row>
    <row r="31" spans="1:3" hidden="1">
      <c r="A31" s="137">
        <v>1</v>
      </c>
      <c r="B31" s="134" t="s">
        <v>386</v>
      </c>
      <c r="C31" s="135" t="s">
        <v>205</v>
      </c>
    </row>
    <row r="32" spans="1:3" hidden="1">
      <c r="A32" s="137">
        <v>2</v>
      </c>
      <c r="B32" s="134" t="s">
        <v>207</v>
      </c>
      <c r="C32" s="135" t="s">
        <v>206</v>
      </c>
    </row>
    <row r="33" spans="1:3" hidden="1">
      <c r="A33" s="137">
        <v>3</v>
      </c>
      <c r="B33" s="134" t="s">
        <v>210</v>
      </c>
      <c r="C33" s="135" t="s">
        <v>209</v>
      </c>
    </row>
    <row r="34" spans="1:3" hidden="1">
      <c r="A34" s="137">
        <v>4</v>
      </c>
      <c r="B34" s="134" t="s">
        <v>212</v>
      </c>
      <c r="C34" s="312" t="s">
        <v>211</v>
      </c>
    </row>
    <row r="35" spans="1:3" hidden="1">
      <c r="A35" s="137">
        <v>5</v>
      </c>
      <c r="B35" s="330"/>
      <c r="C35" s="331"/>
    </row>
    <row r="36" spans="1:3" hidden="1">
      <c r="A36" s="136"/>
      <c r="B36" s="136"/>
      <c r="C36" s="136"/>
    </row>
    <row r="37" spans="1:3">
      <c r="A37" s="915" t="s">
        <v>353</v>
      </c>
      <c r="B37" s="915"/>
      <c r="C37" s="915"/>
    </row>
    <row r="38" spans="1:3" s="328" customFormat="1">
      <c r="A38" s="327" t="s">
        <v>35</v>
      </c>
      <c r="B38" s="327" t="s">
        <v>354</v>
      </c>
      <c r="C38" s="327" t="s">
        <v>352</v>
      </c>
    </row>
    <row r="39" spans="1:3" s="328" customFormat="1">
      <c r="A39" s="327">
        <v>1</v>
      </c>
      <c r="B39" s="134" t="s">
        <v>552</v>
      </c>
      <c r="C39" s="134" t="s">
        <v>553</v>
      </c>
    </row>
    <row r="40" spans="1:3" s="328" customFormat="1">
      <c r="A40" s="327">
        <v>2</v>
      </c>
      <c r="B40" s="134" t="s">
        <v>554</v>
      </c>
      <c r="C40" s="329" t="s">
        <v>356</v>
      </c>
    </row>
    <row r="41" spans="1:3" s="328" customFormat="1">
      <c r="A41" s="327">
        <v>3</v>
      </c>
      <c r="B41" s="134" t="s">
        <v>555</v>
      </c>
      <c r="C41" s="134" t="s">
        <v>556</v>
      </c>
    </row>
    <row r="42" spans="1:3" s="328" customFormat="1">
      <c r="A42" s="327">
        <v>4</v>
      </c>
      <c r="B42" s="134" t="s">
        <v>605</v>
      </c>
      <c r="C42" s="329" t="s">
        <v>355</v>
      </c>
    </row>
    <row r="43" spans="1:3" s="328" customFormat="1">
      <c r="A43" s="327">
        <v>5</v>
      </c>
      <c r="B43" s="134" t="s">
        <v>604</v>
      </c>
      <c r="C43" s="329" t="s">
        <v>418</v>
      </c>
    </row>
    <row r="44" spans="1:3">
      <c r="A44" s="136"/>
      <c r="B44" s="136"/>
      <c r="C44" s="136"/>
    </row>
    <row r="45" spans="1:3">
      <c r="A45" s="915" t="s">
        <v>389</v>
      </c>
      <c r="B45" s="915"/>
      <c r="C45" s="915"/>
    </row>
    <row r="46" spans="1:3">
      <c r="A46" s="137" t="s">
        <v>35</v>
      </c>
      <c r="B46" s="137" t="s">
        <v>351</v>
      </c>
      <c r="C46" s="184" t="s">
        <v>390</v>
      </c>
    </row>
    <row r="47" spans="1:3">
      <c r="A47" s="137">
        <v>1</v>
      </c>
      <c r="B47" s="185" t="s">
        <v>391</v>
      </c>
      <c r="C47" s="186" t="s">
        <v>395</v>
      </c>
    </row>
    <row r="48" spans="1:3">
      <c r="A48" s="137">
        <v>2</v>
      </c>
      <c r="B48" s="94" t="s">
        <v>392</v>
      </c>
      <c r="C48" s="134" t="s">
        <v>396</v>
      </c>
    </row>
    <row r="49" spans="1:3">
      <c r="A49" s="137">
        <v>3</v>
      </c>
      <c r="B49" s="94" t="s">
        <v>393</v>
      </c>
      <c r="C49" s="134" t="s">
        <v>397</v>
      </c>
    </row>
    <row r="50" spans="1:3">
      <c r="A50" s="137">
        <v>4</v>
      </c>
      <c r="B50" s="302" t="s">
        <v>559</v>
      </c>
      <c r="C50" s="134" t="s">
        <v>545</v>
      </c>
    </row>
    <row r="51" spans="1:3">
      <c r="A51" s="137">
        <v>5</v>
      </c>
      <c r="B51" s="302" t="s">
        <v>560</v>
      </c>
      <c r="C51" s="134" t="s">
        <v>606</v>
      </c>
    </row>
    <row r="52" spans="1:3">
      <c r="A52" s="137">
        <v>6</v>
      </c>
      <c r="B52" s="332" t="s">
        <v>561</v>
      </c>
      <c r="C52" s="205" t="s">
        <v>607</v>
      </c>
    </row>
    <row r="54" spans="1:3" ht="51" customHeight="1">
      <c r="B54" s="914" t="s">
        <v>398</v>
      </c>
      <c r="C54" s="914"/>
    </row>
  </sheetData>
  <sheetProtection formatCells="0" formatColumns="0" formatRows="0" insertColumns="0" insertRows="0" insertHyperlinks="0" deleteColumns="0" deleteRows="0" sort="0" autoFilter="0" pivotTables="0"/>
  <mergeCells count="7">
    <mergeCell ref="B54:C54"/>
    <mergeCell ref="A45:C45"/>
    <mergeCell ref="A1:C1"/>
    <mergeCell ref="A14:C14"/>
    <mergeCell ref="A22:C22"/>
    <mergeCell ref="A29:C29"/>
    <mergeCell ref="A37:C37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Титульный лист</vt:lpstr>
      <vt:lpstr>Учебный план</vt:lpstr>
      <vt:lpstr>Титул заочное обучение</vt:lpstr>
      <vt:lpstr>УП заочное обучение</vt:lpstr>
      <vt:lpstr>ПРОВЕРКА</vt:lpstr>
      <vt:lpstr>Нормы</vt:lpstr>
      <vt:lpstr>Компетенции</vt:lpstr>
      <vt:lpstr>Материально-техническая база</vt:lpstr>
      <vt:lpstr>Примечание</vt:lpstr>
      <vt:lpstr>'Учебный план'!Print_Area</vt:lpstr>
      <vt:lpstr>'Учебный план'!Print_Titles</vt:lpstr>
    </vt:vector>
  </TitlesOfParts>
  <Company>ВГАВТ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В. Колыванов</dc:creator>
  <cp:lastModifiedBy>2</cp:lastModifiedBy>
  <cp:lastPrinted>2017-11-15T06:06:04Z</cp:lastPrinted>
  <dcterms:created xsi:type="dcterms:W3CDTF">2001-03-30T05:31:47Z</dcterms:created>
  <dcterms:modified xsi:type="dcterms:W3CDTF">2018-10-25T05:31:16Z</dcterms:modified>
</cp:coreProperties>
</file>