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0430" yWindow="-15" windowWidth="19320" windowHeight="7860" tabRatio="643" activeTab="2"/>
  </bookViews>
  <sheets>
    <sheet name="Титульный лист" sheetId="13" r:id="rId1"/>
    <sheet name="Учебный план" sheetId="1" r:id="rId2"/>
    <sheet name="Титул заочное обучение" sheetId="27" r:id="rId3"/>
    <sheet name="УП заочное обучение" sheetId="28" r:id="rId4"/>
    <sheet name="ПРОВЕРКА" sheetId="29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26" state="hidden" r:id="rId9"/>
  </sheets>
  <externalReferences>
    <externalReference r:id="rId10"/>
    <externalReference r:id="rId11"/>
    <externalReference r:id="rId12"/>
  </externalReferences>
  <definedNames>
    <definedName name="_FilterDatabase" localSheetId="1" hidden="1">'Учебный план'!$A$10:$CA$122</definedName>
    <definedName name="_xlnm._FilterDatabase" localSheetId="3" hidden="1">'УП заочное обучение'!$A$8:$BV$88</definedName>
    <definedName name="_xlnm._FilterDatabase" localSheetId="1" hidden="1">'Учебный план'!$A$10:$CA$106</definedName>
    <definedName name="Print_Area" localSheetId="1">'Учебный план'!$A$3:$CA$122</definedName>
    <definedName name="Print_Titles" localSheetId="1">'Учебный план'!$3:$9</definedName>
  </definedNames>
  <calcPr calcId="145621" fullPrecision="0"/>
</workbook>
</file>

<file path=xl/calcChain.xml><?xml version="1.0" encoding="utf-8"?>
<calcChain xmlns="http://schemas.openxmlformats.org/spreadsheetml/2006/main">
  <c r="BZ19" i="1" l="1"/>
  <c r="CA19" i="1"/>
  <c r="BT79" i="1" l="1"/>
  <c r="BT78" i="1"/>
  <c r="BT77" i="1"/>
  <c r="BT76" i="1"/>
  <c r="BR102" i="1"/>
  <c r="BI55" i="1" l="1"/>
  <c r="BH58" i="1"/>
  <c r="BH59" i="1"/>
  <c r="BH60" i="1"/>
  <c r="BH61" i="1"/>
  <c r="BB54" i="1" l="1"/>
  <c r="BR57" i="28"/>
  <c r="BR58" i="28"/>
  <c r="BB41" i="28"/>
  <c r="BB42" i="28"/>
  <c r="BB43" i="28"/>
  <c r="AS41" i="28"/>
  <c r="AS42" i="28"/>
  <c r="AS43" i="28"/>
  <c r="AK41" i="28"/>
  <c r="AK42" i="28"/>
  <c r="AK43" i="28"/>
  <c r="U41" i="28"/>
  <c r="U42" i="28"/>
  <c r="AB41" i="28"/>
  <c r="AB42" i="28"/>
  <c r="O42" i="28"/>
  <c r="P42" i="28"/>
  <c r="Q42" i="28"/>
  <c r="R42" i="28"/>
  <c r="S42" i="28"/>
  <c r="A42" i="28"/>
  <c r="B42" i="28"/>
  <c r="BR120" i="1"/>
  <c r="BS55" i="28"/>
  <c r="BR55" i="28"/>
  <c r="L55" i="28"/>
  <c r="K55" i="28"/>
  <c r="A55" i="28"/>
  <c r="BS62" i="28"/>
  <c r="BR62" i="28"/>
  <c r="L62" i="28"/>
  <c r="K62" i="28"/>
  <c r="A62" i="28"/>
  <c r="BS67" i="28"/>
  <c r="BR67" i="28"/>
  <c r="L67" i="28"/>
  <c r="K67" i="28"/>
  <c r="A67" i="28"/>
  <c r="BS70" i="28"/>
  <c r="BR70" i="28"/>
  <c r="L70" i="28"/>
  <c r="K70" i="28"/>
  <c r="A70" i="28"/>
  <c r="Y6" i="28"/>
  <c r="AF6" i="28"/>
  <c r="AO6" i="28"/>
  <c r="AW6" i="28"/>
  <c r="Y78" i="28"/>
  <c r="BH29" i="28"/>
  <c r="A84" i="28"/>
  <c r="B84" i="28"/>
  <c r="N42" i="28" l="1"/>
  <c r="M42" i="28" s="1"/>
  <c r="AJ120" i="1" l="1"/>
  <c r="AN120" i="1"/>
  <c r="AP120" i="1"/>
  <c r="AT120" i="1"/>
  <c r="AZ120" i="1"/>
  <c r="AV120" i="1"/>
  <c r="BB120" i="1"/>
  <c r="BF120" i="1"/>
  <c r="BH120" i="1"/>
  <c r="BL120" i="1"/>
  <c r="BN120" i="1"/>
  <c r="BT120" i="1"/>
  <c r="BX120" i="1"/>
  <c r="AB120" i="1"/>
  <c r="AH120" i="1"/>
  <c r="AD120" i="1"/>
  <c r="BT60" i="1"/>
  <c r="BN60" i="1"/>
  <c r="BB60" i="1"/>
  <c r="AV60" i="1"/>
  <c r="AP60" i="1"/>
  <c r="AJ60" i="1"/>
  <c r="AD60" i="1"/>
  <c r="R60" i="1"/>
  <c r="Q60" i="1"/>
  <c r="P60" i="1"/>
  <c r="O60" i="1"/>
  <c r="N60" i="1"/>
  <c r="M60" i="1"/>
  <c r="AJ40" i="1"/>
  <c r="AJ41" i="1"/>
  <c r="AJ42" i="1"/>
  <c r="AJ43" i="1"/>
  <c r="AJ44" i="1"/>
  <c r="AJ45" i="1"/>
  <c r="AJ46" i="1"/>
  <c r="L60" i="1" l="1"/>
  <c r="X26" i="1"/>
  <c r="R26" i="1"/>
  <c r="Q26" i="1"/>
  <c r="P26" i="1"/>
  <c r="O26" i="1"/>
  <c r="N26" i="1"/>
  <c r="M26" i="1"/>
  <c r="X25" i="1"/>
  <c r="R25" i="1"/>
  <c r="Q25" i="1"/>
  <c r="P25" i="1"/>
  <c r="O25" i="1"/>
  <c r="N25" i="1"/>
  <c r="M25" i="1"/>
  <c r="BT24" i="1"/>
  <c r="BN24" i="1"/>
  <c r="BH24" i="1"/>
  <c r="BB24" i="1"/>
  <c r="AV24" i="1"/>
  <c r="AP24" i="1"/>
  <c r="AJ24" i="1"/>
  <c r="AD24" i="1"/>
  <c r="X24" i="1"/>
  <c r="R24" i="1"/>
  <c r="Q24" i="1"/>
  <c r="P24" i="1"/>
  <c r="O24" i="1"/>
  <c r="N24" i="1"/>
  <c r="M24" i="1"/>
  <c r="BT23" i="1"/>
  <c r="BN23" i="1"/>
  <c r="BH23" i="1"/>
  <c r="BB23" i="1"/>
  <c r="AV23" i="1"/>
  <c r="AP23" i="1"/>
  <c r="AJ23" i="1"/>
  <c r="AD23" i="1"/>
  <c r="X23" i="1"/>
  <c r="R23" i="1"/>
  <c r="Q23" i="1"/>
  <c r="P23" i="1"/>
  <c r="O23" i="1"/>
  <c r="N23" i="1"/>
  <c r="M23" i="1"/>
  <c r="BT22" i="1"/>
  <c r="BN22" i="1"/>
  <c r="BH22" i="1"/>
  <c r="BB22" i="1"/>
  <c r="AV22" i="1"/>
  <c r="AP22" i="1"/>
  <c r="AJ22" i="1"/>
  <c r="AD22" i="1"/>
  <c r="X22" i="1"/>
  <c r="R22" i="1"/>
  <c r="Q22" i="1"/>
  <c r="P22" i="1"/>
  <c r="O22" i="1"/>
  <c r="N22" i="1"/>
  <c r="M22" i="1"/>
  <c r="BT21" i="1"/>
  <c r="BN21" i="1"/>
  <c r="BH21" i="1"/>
  <c r="BB21" i="1"/>
  <c r="AV21" i="1"/>
  <c r="AP21" i="1"/>
  <c r="AJ21" i="1"/>
  <c r="AD21" i="1"/>
  <c r="X21" i="1"/>
  <c r="R21" i="1"/>
  <c r="Q21" i="1"/>
  <c r="P21" i="1"/>
  <c r="O21" i="1"/>
  <c r="N21" i="1"/>
  <c r="M21" i="1"/>
  <c r="BT20" i="1"/>
  <c r="BN20" i="1"/>
  <c r="BH20" i="1"/>
  <c r="BB20" i="1"/>
  <c r="AV20" i="1"/>
  <c r="AP20" i="1"/>
  <c r="AJ20" i="1"/>
  <c r="AD20" i="1"/>
  <c r="X20" i="1"/>
  <c r="X19" i="1" s="1"/>
  <c r="R20" i="1"/>
  <c r="Q20" i="1"/>
  <c r="Q19" i="1" s="1"/>
  <c r="P20" i="1"/>
  <c r="O20" i="1"/>
  <c r="N20" i="1"/>
  <c r="M20" i="1"/>
  <c r="BY19" i="1"/>
  <c r="BX19" i="1"/>
  <c r="BX11" i="1" s="1"/>
  <c r="BW19" i="1"/>
  <c r="BV19" i="1"/>
  <c r="BU19" i="1"/>
  <c r="BS19" i="1"/>
  <c r="BS11" i="1" s="1"/>
  <c r="BR19" i="1"/>
  <c r="BQ19" i="1"/>
  <c r="BP19" i="1"/>
  <c r="BO19" i="1"/>
  <c r="BO11" i="1" s="1"/>
  <c r="BM19" i="1"/>
  <c r="BL19" i="1"/>
  <c r="BK19" i="1"/>
  <c r="BJ19" i="1"/>
  <c r="BJ11" i="1" s="1"/>
  <c r="BI19" i="1"/>
  <c r="BG19" i="1"/>
  <c r="BF19" i="1"/>
  <c r="BE19" i="1"/>
  <c r="BD19" i="1"/>
  <c r="BC19" i="1"/>
  <c r="BA19" i="1"/>
  <c r="AZ19" i="1"/>
  <c r="AY19" i="1"/>
  <c r="AX19" i="1"/>
  <c r="AW19" i="1"/>
  <c r="AV19" i="1"/>
  <c r="AU19" i="1"/>
  <c r="AT19" i="1"/>
  <c r="AS19" i="1"/>
  <c r="AR19" i="1"/>
  <c r="AQ19" i="1"/>
  <c r="AO19" i="1"/>
  <c r="AN19" i="1"/>
  <c r="AM19" i="1"/>
  <c r="AL19" i="1"/>
  <c r="AK19" i="1"/>
  <c r="AI19" i="1"/>
  <c r="AH19" i="1"/>
  <c r="AG19" i="1"/>
  <c r="AF19" i="1"/>
  <c r="AF11" i="1" s="1"/>
  <c r="AE19" i="1"/>
  <c r="AC19" i="1"/>
  <c r="AB19" i="1"/>
  <c r="AA19" i="1"/>
  <c r="Z19" i="1"/>
  <c r="Y19" i="1"/>
  <c r="W19" i="1"/>
  <c r="V19" i="1"/>
  <c r="U19" i="1"/>
  <c r="T19" i="1"/>
  <c r="S19" i="1"/>
  <c r="N19" i="1"/>
  <c r="J19" i="1"/>
  <c r="BT18" i="1"/>
  <c r="BN18" i="1"/>
  <c r="BH18" i="1"/>
  <c r="BB18" i="1"/>
  <c r="AV18" i="1"/>
  <c r="AP18" i="1"/>
  <c r="AJ18" i="1"/>
  <c r="AD18" i="1"/>
  <c r="X18" i="1"/>
  <c r="R18" i="1"/>
  <c r="Q18" i="1"/>
  <c r="P18" i="1"/>
  <c r="O18" i="1"/>
  <c r="N18" i="1"/>
  <c r="M18" i="1"/>
  <c r="BT17" i="1"/>
  <c r="BN17" i="1"/>
  <c r="BH17" i="1"/>
  <c r="BB17" i="1"/>
  <c r="AV17" i="1"/>
  <c r="AP17" i="1"/>
  <c r="AJ17" i="1"/>
  <c r="AD17" i="1"/>
  <c r="X17" i="1"/>
  <c r="R17" i="1"/>
  <c r="Q17" i="1"/>
  <c r="P17" i="1"/>
  <c r="O17" i="1"/>
  <c r="N17" i="1"/>
  <c r="M17" i="1"/>
  <c r="BT16" i="1"/>
  <c r="BN16" i="1"/>
  <c r="BH16" i="1"/>
  <c r="BB16" i="1"/>
  <c r="AV16" i="1"/>
  <c r="AP16" i="1"/>
  <c r="AJ16" i="1"/>
  <c r="AD16" i="1"/>
  <c r="X16" i="1"/>
  <c r="R16" i="1"/>
  <c r="Q16" i="1"/>
  <c r="P16" i="1"/>
  <c r="O16" i="1"/>
  <c r="N16" i="1"/>
  <c r="M16" i="1"/>
  <c r="BT15" i="1"/>
  <c r="BN15" i="1"/>
  <c r="BH15" i="1"/>
  <c r="BB15" i="1"/>
  <c r="AV15" i="1"/>
  <c r="AP15" i="1"/>
  <c r="AJ15" i="1"/>
  <c r="AD15" i="1"/>
  <c r="X15" i="1"/>
  <c r="R15" i="1"/>
  <c r="Q15" i="1"/>
  <c r="P15" i="1"/>
  <c r="O15" i="1"/>
  <c r="N15" i="1"/>
  <c r="M15" i="1"/>
  <c r="BT14" i="1"/>
  <c r="BN14" i="1"/>
  <c r="BH14" i="1"/>
  <c r="BB14" i="1"/>
  <c r="AV14" i="1"/>
  <c r="AV12" i="1" s="1"/>
  <c r="AV11" i="1" s="1"/>
  <c r="AP14" i="1"/>
  <c r="AJ14" i="1"/>
  <c r="AJ12" i="1" s="1"/>
  <c r="AD14" i="1"/>
  <c r="X14" i="1"/>
  <c r="X12" i="1" s="1"/>
  <c r="X11" i="1" s="1"/>
  <c r="R14" i="1"/>
  <c r="Q14" i="1"/>
  <c r="P14" i="1"/>
  <c r="O14" i="1"/>
  <c r="N14" i="1"/>
  <c r="M14" i="1"/>
  <c r="BT13" i="1"/>
  <c r="BN13" i="1"/>
  <c r="BH13" i="1"/>
  <c r="BB13" i="1"/>
  <c r="AV13" i="1"/>
  <c r="AP13" i="1"/>
  <c r="AP12" i="1" s="1"/>
  <c r="AJ13" i="1"/>
  <c r="AD13" i="1"/>
  <c r="AD12" i="1" s="1"/>
  <c r="X13" i="1"/>
  <c r="R13" i="1"/>
  <c r="R12" i="1" s="1"/>
  <c r="Q13" i="1"/>
  <c r="P13" i="1"/>
  <c r="O13" i="1"/>
  <c r="N13" i="1"/>
  <c r="M13" i="1"/>
  <c r="BY12" i="1"/>
  <c r="BX12" i="1"/>
  <c r="BW12" i="1"/>
  <c r="BV12" i="1"/>
  <c r="BU12" i="1"/>
  <c r="BS12" i="1"/>
  <c r="BR12" i="1"/>
  <c r="BR11" i="1" s="1"/>
  <c r="BQ12" i="1"/>
  <c r="BP12" i="1"/>
  <c r="BP11" i="1" s="1"/>
  <c r="BO12" i="1"/>
  <c r="BM12" i="1"/>
  <c r="BM11" i="1" s="1"/>
  <c r="BL12" i="1"/>
  <c r="BK12" i="1"/>
  <c r="BK11" i="1" s="1"/>
  <c r="BJ12" i="1"/>
  <c r="BI12" i="1"/>
  <c r="BI11" i="1" s="1"/>
  <c r="BG12" i="1"/>
  <c r="BF12" i="1"/>
  <c r="BE12" i="1"/>
  <c r="BD12" i="1"/>
  <c r="BD11" i="1" s="1"/>
  <c r="BC12" i="1"/>
  <c r="BA12" i="1"/>
  <c r="AZ12" i="1"/>
  <c r="AY12" i="1"/>
  <c r="AY11" i="1" s="1"/>
  <c r="AX12" i="1"/>
  <c r="AW12" i="1"/>
  <c r="AU12" i="1"/>
  <c r="AU11" i="1" s="1"/>
  <c r="AT12" i="1"/>
  <c r="AS12" i="1"/>
  <c r="AR12" i="1"/>
  <c r="AQ12" i="1"/>
  <c r="AQ11" i="1" s="1"/>
  <c r="AO12" i="1"/>
  <c r="AN12" i="1"/>
  <c r="AN11" i="1" s="1"/>
  <c r="AM12" i="1"/>
  <c r="AL12" i="1"/>
  <c r="AK12" i="1"/>
  <c r="AI12" i="1"/>
  <c r="AH12" i="1"/>
  <c r="AG12" i="1"/>
  <c r="AF12" i="1"/>
  <c r="AE12" i="1"/>
  <c r="AC12" i="1"/>
  <c r="AB12" i="1"/>
  <c r="AB11" i="1" s="1"/>
  <c r="AA12" i="1"/>
  <c r="AA11" i="1" s="1"/>
  <c r="Z12" i="1"/>
  <c r="Z11" i="1" s="1"/>
  <c r="Y12" i="1"/>
  <c r="W12" i="1"/>
  <c r="W11" i="1" s="1"/>
  <c r="V12" i="1"/>
  <c r="V11" i="1" s="1"/>
  <c r="U12" i="1"/>
  <c r="T12" i="1"/>
  <c r="T11" i="1" s="1"/>
  <c r="S12" i="1"/>
  <c r="S11" i="1" s="1"/>
  <c r="N12" i="1"/>
  <c r="J12" i="1"/>
  <c r="I12" i="1"/>
  <c r="BV11" i="1"/>
  <c r="BQ11" i="1"/>
  <c r="BL11" i="1"/>
  <c r="BF11" i="1"/>
  <c r="BA11" i="1"/>
  <c r="AW11" i="1"/>
  <c r="AS11" i="1"/>
  <c r="AL11" i="1"/>
  <c r="AC11" i="1"/>
  <c r="Y11" i="1"/>
  <c r="U11" i="1"/>
  <c r="N11" i="1"/>
  <c r="J11" i="1"/>
  <c r="I11" i="1"/>
  <c r="AH11" i="1" l="1"/>
  <c r="AR11" i="1"/>
  <c r="AT11" i="1"/>
  <c r="AX11" i="1"/>
  <c r="AZ11" i="1"/>
  <c r="BC11" i="1"/>
  <c r="BE11" i="1"/>
  <c r="BG11" i="1"/>
  <c r="BT12" i="1"/>
  <c r="BH12" i="1"/>
  <c r="P12" i="1"/>
  <c r="P11" i="1" s="1"/>
  <c r="AE11" i="1"/>
  <c r="AG11" i="1"/>
  <c r="AI11" i="1"/>
  <c r="BU11" i="1"/>
  <c r="BW11" i="1"/>
  <c r="BY11" i="1"/>
  <c r="R19" i="1"/>
  <c r="AD19" i="1"/>
  <c r="AP19" i="1"/>
  <c r="BB19" i="1"/>
  <c r="BN19" i="1"/>
  <c r="L21" i="1"/>
  <c r="K21" i="1" s="1"/>
  <c r="O19" i="1"/>
  <c r="AJ19" i="1"/>
  <c r="AJ11" i="1" s="1"/>
  <c r="BH19" i="1"/>
  <c r="L23" i="1"/>
  <c r="K23" i="1" s="1"/>
  <c r="AK11" i="1"/>
  <c r="AM11" i="1"/>
  <c r="AO11" i="1"/>
  <c r="L16" i="1"/>
  <c r="K16" i="1" s="1"/>
  <c r="M19" i="1"/>
  <c r="L20" i="1"/>
  <c r="K20" i="1" s="1"/>
  <c r="BT19" i="1"/>
  <c r="BT11" i="1" s="1"/>
  <c r="L22" i="1"/>
  <c r="K22" i="1" s="1"/>
  <c r="L24" i="1"/>
  <c r="K24" i="1" s="1"/>
  <c r="K60" i="1"/>
  <c r="K42" i="28" s="1"/>
  <c r="I42" i="28" s="1"/>
  <c r="L42" i="28"/>
  <c r="J42" i="28" s="1"/>
  <c r="BB12" i="1"/>
  <c r="BN12" i="1"/>
  <c r="L14" i="1"/>
  <c r="K14" i="1" s="1"/>
  <c r="O12" i="1"/>
  <c r="O11" i="1" s="1"/>
  <c r="Q12" i="1"/>
  <c r="Q11" i="1" s="1"/>
  <c r="L17" i="1"/>
  <c r="K17" i="1" s="1"/>
  <c r="L25" i="1"/>
  <c r="K25" i="1" s="1"/>
  <c r="R11" i="1"/>
  <c r="AD11" i="1"/>
  <c r="AP11" i="1"/>
  <c r="BB11" i="1"/>
  <c r="BN11" i="1"/>
  <c r="L26" i="1"/>
  <c r="K26" i="1" s="1"/>
  <c r="M12" i="1"/>
  <c r="M11" i="1" s="1"/>
  <c r="L13" i="1"/>
  <c r="K13" i="1" s="1"/>
  <c r="L15" i="1"/>
  <c r="K15" i="1" s="1"/>
  <c r="L18" i="1"/>
  <c r="K18" i="1" s="1"/>
  <c r="K19" i="1" l="1"/>
  <c r="BH11" i="1"/>
  <c r="K12" i="1"/>
  <c r="L19" i="1"/>
  <c r="L12" i="1"/>
  <c r="K11" i="1" l="1"/>
  <c r="L11" i="1"/>
  <c r="BF102" i="1"/>
  <c r="BB57" i="1" l="1"/>
  <c r="BB58" i="1"/>
  <c r="BB59" i="1"/>
  <c r="BB61" i="1"/>
  <c r="BB56" i="1"/>
  <c r="BB51" i="1"/>
  <c r="BB52" i="1"/>
  <c r="BB53" i="1"/>
  <c r="R122" i="1" l="1"/>
  <c r="X122" i="1"/>
  <c r="AD122" i="1"/>
  <c r="AJ122" i="1"/>
  <c r="AP122" i="1"/>
  <c r="AV122" i="1"/>
  <c r="BB122" i="1"/>
  <c r="BH122" i="1"/>
  <c r="BN122" i="1"/>
  <c r="BT122" i="1"/>
  <c r="AN119" i="1" l="1"/>
  <c r="X120" i="1"/>
  <c r="V120" i="1"/>
  <c r="V119" i="1"/>
  <c r="BX119" i="1" l="1"/>
  <c r="BT119" i="1"/>
  <c r="BN119" i="1"/>
  <c r="BR119" i="1"/>
  <c r="BH121" i="1"/>
  <c r="BL119" i="1"/>
  <c r="BH119" i="1"/>
  <c r="BF119" i="1"/>
  <c r="BB121" i="1"/>
  <c r="BB119" i="1"/>
  <c r="AZ119" i="1"/>
  <c r="AV119" i="1"/>
  <c r="AT119" i="1"/>
  <c r="AP119" i="1"/>
  <c r="AD119" i="1"/>
  <c r="AJ119" i="1"/>
  <c r="AH119" i="1"/>
  <c r="W83" i="28"/>
  <c r="AK19" i="28" l="1"/>
  <c r="AL71" i="28"/>
  <c r="AP31" i="28"/>
  <c r="AO31" i="28"/>
  <c r="AN31" i="28"/>
  <c r="AM31" i="28"/>
  <c r="AL31" i="28"/>
  <c r="BF31" i="28"/>
  <c r="BE31" i="28"/>
  <c r="BD31" i="28"/>
  <c r="BC31" i="28"/>
  <c r="AX31" i="28"/>
  <c r="AW31" i="28"/>
  <c r="AV31" i="28"/>
  <c r="AU31" i="28"/>
  <c r="AT31" i="28"/>
  <c r="AC31" i="28"/>
  <c r="AD31" i="28"/>
  <c r="AE31" i="28"/>
  <c r="AF31" i="28"/>
  <c r="AG31" i="28"/>
  <c r="AI31" i="28"/>
  <c r="AI30" i="28" s="1"/>
  <c r="AM56" i="28"/>
  <c r="AN56" i="28"/>
  <c r="AO56" i="28"/>
  <c r="AP56" i="28"/>
  <c r="AK61" i="28"/>
  <c r="AL56" i="28"/>
  <c r="A74" i="29"/>
  <c r="B74" i="29"/>
  <c r="C74" i="29"/>
  <c r="D74" i="29"/>
  <c r="E74" i="29"/>
  <c r="F74" i="29"/>
  <c r="G74" i="29"/>
  <c r="I74" i="29"/>
  <c r="J74" i="29"/>
  <c r="K74" i="29"/>
  <c r="L74" i="29"/>
  <c r="M74" i="29"/>
  <c r="A75" i="29"/>
  <c r="B75" i="29"/>
  <c r="C75" i="29"/>
  <c r="D75" i="29"/>
  <c r="E75" i="29"/>
  <c r="F75" i="29"/>
  <c r="G75" i="29"/>
  <c r="I75" i="29"/>
  <c r="J75" i="29"/>
  <c r="K75" i="29"/>
  <c r="L75" i="29"/>
  <c r="M75" i="29"/>
  <c r="A58" i="29"/>
  <c r="B58" i="29"/>
  <c r="C58" i="29"/>
  <c r="D58" i="29"/>
  <c r="E58" i="29"/>
  <c r="F58" i="29"/>
  <c r="G58" i="29"/>
  <c r="I58" i="29"/>
  <c r="J58" i="29"/>
  <c r="K58" i="29"/>
  <c r="L58" i="29"/>
  <c r="M58" i="29"/>
  <c r="A59" i="29"/>
  <c r="B59" i="29"/>
  <c r="C59" i="29"/>
  <c r="D59" i="29"/>
  <c r="E59" i="29"/>
  <c r="F59" i="29"/>
  <c r="G59" i="29"/>
  <c r="I59" i="29"/>
  <c r="J59" i="29"/>
  <c r="K59" i="29"/>
  <c r="L59" i="29"/>
  <c r="M59" i="29"/>
  <c r="A60" i="29"/>
  <c r="B60" i="29"/>
  <c r="C60" i="29"/>
  <c r="D60" i="29"/>
  <c r="E60" i="29"/>
  <c r="F60" i="29"/>
  <c r="G60" i="29"/>
  <c r="I60" i="29"/>
  <c r="J60" i="29"/>
  <c r="K60" i="29"/>
  <c r="L60" i="29"/>
  <c r="M60" i="29"/>
  <c r="A52" i="29"/>
  <c r="B52" i="29"/>
  <c r="C52" i="29"/>
  <c r="D52" i="29"/>
  <c r="E52" i="29"/>
  <c r="F52" i="29"/>
  <c r="G52" i="29"/>
  <c r="I52" i="29"/>
  <c r="J52" i="29"/>
  <c r="K52" i="29"/>
  <c r="L52" i="29"/>
  <c r="M52" i="29"/>
  <c r="A53" i="29"/>
  <c r="B53" i="29"/>
  <c r="C53" i="29"/>
  <c r="D53" i="29"/>
  <c r="E53" i="29"/>
  <c r="F53" i="29"/>
  <c r="G53" i="29"/>
  <c r="I53" i="29"/>
  <c r="J53" i="29"/>
  <c r="K53" i="29"/>
  <c r="L53" i="29"/>
  <c r="M53" i="29"/>
  <c r="A46" i="29"/>
  <c r="B46" i="29"/>
  <c r="C46" i="29"/>
  <c r="D46" i="29"/>
  <c r="E46" i="29"/>
  <c r="F46" i="29"/>
  <c r="G46" i="29"/>
  <c r="I46" i="29"/>
  <c r="J46" i="29"/>
  <c r="K46" i="29"/>
  <c r="L46" i="29"/>
  <c r="M46" i="29"/>
  <c r="A47" i="29"/>
  <c r="B47" i="29"/>
  <c r="C47" i="29"/>
  <c r="D47" i="29"/>
  <c r="E47" i="29"/>
  <c r="F47" i="29"/>
  <c r="G47" i="29"/>
  <c r="I47" i="29"/>
  <c r="J47" i="29"/>
  <c r="K47" i="29"/>
  <c r="L47" i="29"/>
  <c r="M47" i="29"/>
  <c r="A48" i="29"/>
  <c r="B48" i="29"/>
  <c r="C48" i="29"/>
  <c r="D48" i="29"/>
  <c r="E48" i="29"/>
  <c r="F48" i="29"/>
  <c r="G48" i="29"/>
  <c r="I48" i="29"/>
  <c r="J48" i="29"/>
  <c r="K48" i="29"/>
  <c r="L48" i="29"/>
  <c r="M48" i="29"/>
  <c r="A49" i="29"/>
  <c r="B49" i="29"/>
  <c r="C49" i="29"/>
  <c r="D49" i="29"/>
  <c r="E49" i="29"/>
  <c r="F49" i="29"/>
  <c r="G49" i="29"/>
  <c r="I49" i="29"/>
  <c r="J49" i="29"/>
  <c r="K49" i="29"/>
  <c r="L49" i="29"/>
  <c r="M49" i="29"/>
  <c r="A45" i="29"/>
  <c r="B45" i="29"/>
  <c r="C45" i="29"/>
  <c r="D45" i="29"/>
  <c r="E45" i="29"/>
  <c r="F45" i="29"/>
  <c r="G45" i="29"/>
  <c r="I45" i="29"/>
  <c r="J45" i="29"/>
  <c r="K45" i="29"/>
  <c r="L45" i="29"/>
  <c r="M45" i="29"/>
  <c r="A39" i="29"/>
  <c r="B39" i="29"/>
  <c r="C39" i="29"/>
  <c r="D39" i="29"/>
  <c r="E39" i="29"/>
  <c r="F39" i="29"/>
  <c r="G39" i="29"/>
  <c r="I39" i="29"/>
  <c r="J39" i="29"/>
  <c r="K39" i="29"/>
  <c r="L39" i="29"/>
  <c r="M39" i="29"/>
  <c r="A40" i="29"/>
  <c r="B40" i="29"/>
  <c r="C40" i="29"/>
  <c r="D40" i="29"/>
  <c r="E40" i="29"/>
  <c r="F40" i="29"/>
  <c r="G40" i="29"/>
  <c r="I40" i="29"/>
  <c r="J40" i="29"/>
  <c r="K40" i="29"/>
  <c r="L40" i="29"/>
  <c r="M40" i="29"/>
  <c r="A41" i="29"/>
  <c r="B41" i="29"/>
  <c r="C41" i="29"/>
  <c r="D41" i="29"/>
  <c r="E41" i="29"/>
  <c r="F41" i="29"/>
  <c r="G41" i="29"/>
  <c r="I41" i="29"/>
  <c r="J41" i="29"/>
  <c r="K41" i="29"/>
  <c r="L41" i="29"/>
  <c r="M41" i="29"/>
  <c r="A42" i="29"/>
  <c r="B42" i="29"/>
  <c r="C42" i="29"/>
  <c r="D42" i="29"/>
  <c r="E42" i="29"/>
  <c r="F42" i="29"/>
  <c r="G42" i="29"/>
  <c r="I42" i="29"/>
  <c r="J42" i="29"/>
  <c r="K42" i="29"/>
  <c r="L42" i="29"/>
  <c r="M42" i="29"/>
  <c r="A33" i="29"/>
  <c r="B33" i="29"/>
  <c r="C33" i="29"/>
  <c r="D33" i="29"/>
  <c r="E33" i="29"/>
  <c r="F33" i="29"/>
  <c r="G33" i="29"/>
  <c r="I33" i="29"/>
  <c r="J33" i="29"/>
  <c r="K33" i="29"/>
  <c r="L33" i="29"/>
  <c r="M33" i="29"/>
  <c r="A34" i="29"/>
  <c r="B34" i="29"/>
  <c r="C34" i="29"/>
  <c r="D34" i="29"/>
  <c r="E34" i="29"/>
  <c r="F34" i="29"/>
  <c r="G34" i="29"/>
  <c r="I34" i="29"/>
  <c r="J34" i="29"/>
  <c r="K34" i="29"/>
  <c r="L34" i="29"/>
  <c r="M34" i="29"/>
  <c r="A35" i="29"/>
  <c r="B35" i="29"/>
  <c r="C35" i="29"/>
  <c r="D35" i="29"/>
  <c r="E35" i="29"/>
  <c r="F35" i="29"/>
  <c r="G35" i="29"/>
  <c r="I35" i="29"/>
  <c r="J35" i="29"/>
  <c r="K35" i="29"/>
  <c r="L35" i="29"/>
  <c r="M35" i="29"/>
  <c r="A36" i="29"/>
  <c r="B36" i="29"/>
  <c r="C36" i="29"/>
  <c r="D36" i="29"/>
  <c r="E36" i="29"/>
  <c r="F36" i="29"/>
  <c r="G36" i="29"/>
  <c r="I36" i="29"/>
  <c r="J36" i="29"/>
  <c r="K36" i="29"/>
  <c r="L36" i="29"/>
  <c r="M36" i="29"/>
  <c r="A18" i="29"/>
  <c r="B18" i="29"/>
  <c r="C18" i="29"/>
  <c r="D18" i="29"/>
  <c r="E18" i="29"/>
  <c r="F18" i="29"/>
  <c r="G18" i="29"/>
  <c r="I18" i="29"/>
  <c r="J18" i="29"/>
  <c r="K18" i="29"/>
  <c r="L18" i="29"/>
  <c r="M18" i="29"/>
  <c r="A19" i="29"/>
  <c r="B19" i="29"/>
  <c r="C19" i="29"/>
  <c r="D19" i="29"/>
  <c r="E19" i="29"/>
  <c r="F19" i="29"/>
  <c r="G19" i="29"/>
  <c r="I19" i="29"/>
  <c r="J19" i="29"/>
  <c r="K19" i="29"/>
  <c r="L19" i="29"/>
  <c r="M19" i="29"/>
  <c r="A20" i="29"/>
  <c r="B20" i="29"/>
  <c r="C20" i="29"/>
  <c r="D20" i="29"/>
  <c r="E20" i="29"/>
  <c r="F20" i="29"/>
  <c r="G20" i="29"/>
  <c r="I20" i="29"/>
  <c r="J20" i="29"/>
  <c r="K20" i="29"/>
  <c r="L20" i="29"/>
  <c r="M20" i="29"/>
  <c r="A21" i="29"/>
  <c r="B21" i="29"/>
  <c r="C21" i="29"/>
  <c r="D21" i="29"/>
  <c r="E21" i="29"/>
  <c r="F21" i="29"/>
  <c r="G21" i="29"/>
  <c r="I21" i="29"/>
  <c r="J21" i="29"/>
  <c r="K21" i="29"/>
  <c r="L21" i="29"/>
  <c r="M21" i="29"/>
  <c r="A22" i="29"/>
  <c r="B22" i="29"/>
  <c r="C22" i="29"/>
  <c r="D22" i="29"/>
  <c r="E22" i="29"/>
  <c r="F22" i="29"/>
  <c r="G22" i="29"/>
  <c r="I22" i="29"/>
  <c r="J22" i="29"/>
  <c r="K22" i="29"/>
  <c r="L22" i="29"/>
  <c r="M22" i="29"/>
  <c r="A23" i="29"/>
  <c r="B23" i="29"/>
  <c r="C23" i="29"/>
  <c r="D23" i="29"/>
  <c r="E23" i="29"/>
  <c r="F23" i="29"/>
  <c r="G23" i="29"/>
  <c r="I23" i="29"/>
  <c r="J23" i="29"/>
  <c r="K23" i="29"/>
  <c r="L23" i="29"/>
  <c r="M23" i="29"/>
  <c r="A24" i="29"/>
  <c r="B24" i="29"/>
  <c r="C24" i="29"/>
  <c r="D24" i="29"/>
  <c r="E24" i="29"/>
  <c r="F24" i="29"/>
  <c r="G24" i="29"/>
  <c r="I24" i="29"/>
  <c r="J24" i="29"/>
  <c r="K24" i="29"/>
  <c r="L24" i="29"/>
  <c r="M24" i="29"/>
  <c r="A25" i="29"/>
  <c r="B25" i="29"/>
  <c r="C25" i="29"/>
  <c r="D25" i="29"/>
  <c r="E25" i="29"/>
  <c r="F25" i="29"/>
  <c r="G25" i="29"/>
  <c r="I25" i="29"/>
  <c r="J25" i="29"/>
  <c r="K25" i="29"/>
  <c r="L25" i="29"/>
  <c r="M25" i="29"/>
  <c r="A26" i="29"/>
  <c r="B26" i="29"/>
  <c r="C26" i="29"/>
  <c r="D26" i="29"/>
  <c r="E26" i="29"/>
  <c r="F26" i="29"/>
  <c r="G26" i="29"/>
  <c r="I26" i="29"/>
  <c r="J26" i="29"/>
  <c r="K26" i="29"/>
  <c r="L26" i="29"/>
  <c r="M26" i="29"/>
  <c r="A27" i="29"/>
  <c r="B27" i="29"/>
  <c r="C27" i="29"/>
  <c r="D27" i="29"/>
  <c r="E27" i="29"/>
  <c r="F27" i="29"/>
  <c r="G27" i="29"/>
  <c r="I27" i="29"/>
  <c r="J27" i="29"/>
  <c r="K27" i="29"/>
  <c r="L27" i="29"/>
  <c r="M27" i="29"/>
  <c r="A28" i="29"/>
  <c r="B28" i="29"/>
  <c r="C28" i="29"/>
  <c r="D28" i="29"/>
  <c r="E28" i="29"/>
  <c r="F28" i="29"/>
  <c r="G28" i="29"/>
  <c r="I28" i="29"/>
  <c r="J28" i="29"/>
  <c r="K28" i="29"/>
  <c r="L28" i="29"/>
  <c r="M28" i="29"/>
  <c r="A12" i="29"/>
  <c r="B12" i="29"/>
  <c r="C12" i="29"/>
  <c r="D12" i="29"/>
  <c r="E12" i="29"/>
  <c r="F12" i="29"/>
  <c r="G12" i="29"/>
  <c r="I12" i="29"/>
  <c r="J12" i="29"/>
  <c r="K12" i="29"/>
  <c r="L12" i="29"/>
  <c r="M12" i="29"/>
  <c r="A13" i="29"/>
  <c r="B13" i="29"/>
  <c r="C13" i="29"/>
  <c r="D13" i="29"/>
  <c r="E13" i="29"/>
  <c r="F13" i="29"/>
  <c r="G13" i="29"/>
  <c r="I13" i="29"/>
  <c r="J13" i="29"/>
  <c r="K13" i="29"/>
  <c r="L13" i="29"/>
  <c r="M13" i="29"/>
  <c r="A14" i="29"/>
  <c r="B14" i="29"/>
  <c r="C14" i="29"/>
  <c r="D14" i="29"/>
  <c r="E14" i="29"/>
  <c r="F14" i="29"/>
  <c r="G14" i="29"/>
  <c r="I14" i="29"/>
  <c r="J14" i="29"/>
  <c r="K14" i="29"/>
  <c r="L14" i="29"/>
  <c r="M14" i="29"/>
  <c r="A15" i="29"/>
  <c r="B15" i="29"/>
  <c r="C15" i="29"/>
  <c r="D15" i="29"/>
  <c r="E15" i="29"/>
  <c r="F15" i="29"/>
  <c r="G15" i="29"/>
  <c r="I15" i="29"/>
  <c r="J15" i="29"/>
  <c r="K15" i="29"/>
  <c r="L15" i="29"/>
  <c r="M15" i="29"/>
  <c r="BC16" i="28"/>
  <c r="BD16" i="28"/>
  <c r="BE16" i="28"/>
  <c r="BF16" i="28"/>
  <c r="BG16" i="28"/>
  <c r="BB77" i="28"/>
  <c r="AK77" i="28"/>
  <c r="AS77" i="28"/>
  <c r="BG75" i="28"/>
  <c r="BF75" i="28"/>
  <c r="BE75" i="28"/>
  <c r="BD75" i="28"/>
  <c r="BC75" i="28"/>
  <c r="AX75" i="28"/>
  <c r="AW75" i="28"/>
  <c r="AV75" i="28"/>
  <c r="AU75" i="28"/>
  <c r="AT75" i="28"/>
  <c r="AP75" i="28"/>
  <c r="AO75" i="28"/>
  <c r="AN75" i="28"/>
  <c r="AM75" i="28"/>
  <c r="AL75" i="28"/>
  <c r="Z75" i="28"/>
  <c r="Y75" i="28"/>
  <c r="X75" i="28"/>
  <c r="W75" i="28"/>
  <c r="V75" i="28"/>
  <c r="AB77" i="28"/>
  <c r="AD75" i="28"/>
  <c r="AE75" i="28"/>
  <c r="AF75" i="28"/>
  <c r="AG75" i="28"/>
  <c r="AC75" i="28"/>
  <c r="U77" i="28"/>
  <c r="O77" i="28"/>
  <c r="P77" i="28"/>
  <c r="Q77" i="28"/>
  <c r="R77" i="28"/>
  <c r="S77" i="28"/>
  <c r="BR77" i="28"/>
  <c r="BS77" i="28"/>
  <c r="B77" i="28"/>
  <c r="A77" i="28"/>
  <c r="A76" i="28"/>
  <c r="BS76" i="28"/>
  <c r="BR76" i="28"/>
  <c r="BI76" i="28"/>
  <c r="BB76" i="28"/>
  <c r="AS76" i="28"/>
  <c r="AS75" i="28" s="1"/>
  <c r="AK76" i="28"/>
  <c r="AK75" i="28" s="1"/>
  <c r="AB76" i="28"/>
  <c r="U76" i="28"/>
  <c r="U75" i="28" s="1"/>
  <c r="S76" i="28"/>
  <c r="R76" i="28"/>
  <c r="Q76" i="28"/>
  <c r="P76" i="28"/>
  <c r="O76" i="28"/>
  <c r="B76" i="28"/>
  <c r="A12" i="28"/>
  <c r="B12" i="28"/>
  <c r="A13" i="28"/>
  <c r="B13" i="28"/>
  <c r="A14" i="28"/>
  <c r="B14" i="28"/>
  <c r="A15" i="28"/>
  <c r="B15" i="28"/>
  <c r="BB75" i="28" l="1"/>
  <c r="AB75" i="28"/>
  <c r="N76" i="28"/>
  <c r="M76" i="28" s="1"/>
  <c r="R75" i="28"/>
  <c r="P75" i="28"/>
  <c r="Q75" i="28"/>
  <c r="S75" i="28"/>
  <c r="O75" i="28"/>
  <c r="N77" i="28"/>
  <c r="M77" i="28" s="1"/>
  <c r="N75" i="28" l="1"/>
  <c r="M75" i="28"/>
  <c r="R64" i="1"/>
  <c r="R52" i="1"/>
  <c r="BT95" i="1"/>
  <c r="BT93" i="1" s="1"/>
  <c r="BT102" i="1"/>
  <c r="BB29" i="27"/>
  <c r="BC29" i="27"/>
  <c r="BE29" i="27"/>
  <c r="BF29" i="27"/>
  <c r="BH29" i="27"/>
  <c r="BI29" i="27"/>
  <c r="BJ29" i="27"/>
  <c r="BK29" i="27"/>
  <c r="BL29" i="27"/>
  <c r="BM29" i="27"/>
  <c r="Q95" i="1"/>
  <c r="P95" i="1"/>
  <c r="O95" i="1"/>
  <c r="N95" i="1"/>
  <c r="M95" i="1"/>
  <c r="BY93" i="1"/>
  <c r="BX93" i="1"/>
  <c r="BW93" i="1"/>
  <c r="BV93" i="1"/>
  <c r="BU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O93" i="1"/>
  <c r="AN93" i="1"/>
  <c r="AM93" i="1"/>
  <c r="AL93" i="1"/>
  <c r="AK93" i="1"/>
  <c r="AE93" i="1"/>
  <c r="AF93" i="1"/>
  <c r="AG93" i="1"/>
  <c r="AH93" i="1"/>
  <c r="AI93" i="1"/>
  <c r="AP94" i="1"/>
  <c r="AP93" i="1" s="1"/>
  <c r="AJ94" i="1"/>
  <c r="AJ93" i="1" s="1"/>
  <c r="AD94" i="1"/>
  <c r="AD93" i="1" s="1"/>
  <c r="Q94" i="1"/>
  <c r="P94" i="1"/>
  <c r="O94" i="1"/>
  <c r="N94" i="1"/>
  <c r="M94" i="1"/>
  <c r="M93" i="1" l="1"/>
  <c r="O93" i="1"/>
  <c r="BG29" i="27"/>
  <c r="BD29" i="27"/>
  <c r="L95" i="1"/>
  <c r="L77" i="28" s="1"/>
  <c r="J77" i="28" s="1"/>
  <c r="N93" i="1"/>
  <c r="P93" i="1"/>
  <c r="Q93" i="1"/>
  <c r="L94" i="1"/>
  <c r="BN29" i="27" l="1"/>
  <c r="K95" i="1"/>
  <c r="K77" i="28" s="1"/>
  <c r="I77" i="28" s="1"/>
  <c r="K94" i="1"/>
  <c r="K76" i="28" s="1"/>
  <c r="I76" i="28" s="1"/>
  <c r="L76" i="28"/>
  <c r="J76" i="28" s="1"/>
  <c r="L93" i="1"/>
  <c r="A73" i="28"/>
  <c r="AB83" i="28"/>
  <c r="AC83" i="28"/>
  <c r="AD83" i="28"/>
  <c r="AE83" i="28"/>
  <c r="AF83" i="28"/>
  <c r="AG83" i="28"/>
  <c r="BJ26" i="13"/>
  <c r="B44" i="27"/>
  <c r="K93" i="1" l="1"/>
  <c r="B69" i="28"/>
  <c r="BH24" i="27" l="1"/>
  <c r="BI103" i="28"/>
  <c r="BI102" i="28"/>
  <c r="BI101" i="28"/>
  <c r="BI100" i="28"/>
  <c r="BI99" i="28"/>
  <c r="U103" i="28"/>
  <c r="AB99" i="28"/>
  <c r="AB100" i="28"/>
  <c r="U102" i="28"/>
  <c r="U101" i="28"/>
  <c r="U100" i="28"/>
  <c r="U99" i="28"/>
  <c r="BS84" i="28" l="1"/>
  <c r="BR84" i="28"/>
  <c r="BP83" i="28"/>
  <c r="BO83" i="28"/>
  <c r="BN83" i="28"/>
  <c r="BM83" i="28"/>
  <c r="BL83" i="28"/>
  <c r="BK83" i="28"/>
  <c r="BJ83" i="28"/>
  <c r="BG83" i="28"/>
  <c r="BF83" i="28"/>
  <c r="BE83" i="28"/>
  <c r="BD83" i="28"/>
  <c r="BC83" i="28"/>
  <c r="AX83" i="28"/>
  <c r="AW83" i="28"/>
  <c r="AV83" i="28"/>
  <c r="AU83" i="28"/>
  <c r="AT83" i="28"/>
  <c r="AS83" i="28"/>
  <c r="AP83" i="28"/>
  <c r="AO83" i="28"/>
  <c r="AN83" i="28"/>
  <c r="AM83" i="28"/>
  <c r="AL83" i="28"/>
  <c r="AK83" i="28"/>
  <c r="V83" i="28"/>
  <c r="X83" i="28"/>
  <c r="Y83" i="28"/>
  <c r="Z83" i="28"/>
  <c r="U83" i="28"/>
  <c r="BI84" i="28"/>
  <c r="BB84" i="28"/>
  <c r="S84" i="28"/>
  <c r="R84" i="28"/>
  <c r="Q84" i="28"/>
  <c r="P84" i="28"/>
  <c r="O84" i="28"/>
  <c r="BB61" i="28"/>
  <c r="O61" i="28"/>
  <c r="P61" i="28"/>
  <c r="Q61" i="28"/>
  <c r="R61" i="28"/>
  <c r="S61" i="28"/>
  <c r="S87" i="28"/>
  <c r="R87" i="28"/>
  <c r="R86" i="28" s="1"/>
  <c r="R92" i="28" s="1"/>
  <c r="Q87" i="28"/>
  <c r="Q86" i="28" s="1"/>
  <c r="Q92" i="28" s="1"/>
  <c r="P87" i="28"/>
  <c r="P86" i="28" s="1"/>
  <c r="P92" i="28" s="1"/>
  <c r="O87" i="28"/>
  <c r="S85" i="28"/>
  <c r="R85" i="28"/>
  <c r="Q85" i="28"/>
  <c r="P85" i="28"/>
  <c r="O85" i="28"/>
  <c r="S82" i="28"/>
  <c r="R82" i="28"/>
  <c r="Q82" i="28"/>
  <c r="P82" i="28"/>
  <c r="O82" i="28"/>
  <c r="S81" i="28"/>
  <c r="R81" i="28"/>
  <c r="Q81" i="28"/>
  <c r="P81" i="28"/>
  <c r="O81" i="28"/>
  <c r="S80" i="28"/>
  <c r="R80" i="28"/>
  <c r="Q80" i="28"/>
  <c r="P80" i="28"/>
  <c r="O80" i="28"/>
  <c r="S79" i="28"/>
  <c r="R79" i="28"/>
  <c r="Q79" i="28"/>
  <c r="P79" i="28"/>
  <c r="O79" i="28"/>
  <c r="S73" i="28"/>
  <c r="S71" i="28" s="1"/>
  <c r="R73" i="28"/>
  <c r="R71" i="28" s="1"/>
  <c r="Q73" i="28"/>
  <c r="P73" i="28"/>
  <c r="P71" i="28" s="1"/>
  <c r="O73" i="28"/>
  <c r="O71" i="28" s="1"/>
  <c r="S69" i="28"/>
  <c r="S68" i="28" s="1"/>
  <c r="R69" i="28"/>
  <c r="R68" i="28" s="1"/>
  <c r="Q69" i="28"/>
  <c r="P69" i="28"/>
  <c r="P68" i="28" s="1"/>
  <c r="O69" i="28"/>
  <c r="S66" i="28"/>
  <c r="R66" i="28"/>
  <c r="Q66" i="28"/>
  <c r="P66" i="28"/>
  <c r="O66" i="28"/>
  <c r="S65" i="28"/>
  <c r="R65" i="28"/>
  <c r="Q65" i="28"/>
  <c r="P65" i="28"/>
  <c r="O65" i="28"/>
  <c r="S60" i="28"/>
  <c r="R60" i="28"/>
  <c r="Q60" i="28"/>
  <c r="P60" i="28"/>
  <c r="O60" i="28"/>
  <c r="S59" i="28"/>
  <c r="R59" i="28"/>
  <c r="Q59" i="28"/>
  <c r="AA59" i="28" s="1"/>
  <c r="P59" i="28"/>
  <c r="O59" i="28"/>
  <c r="S54" i="28"/>
  <c r="R54" i="28"/>
  <c r="Q54" i="28"/>
  <c r="P54" i="28"/>
  <c r="O54" i="28"/>
  <c r="S53" i="28"/>
  <c r="R53" i="28"/>
  <c r="Q53" i="28"/>
  <c r="P53" i="28"/>
  <c r="O53" i="28"/>
  <c r="S52" i="28"/>
  <c r="R52" i="28"/>
  <c r="Q52" i="28"/>
  <c r="P52" i="28"/>
  <c r="O52" i="28"/>
  <c r="S50" i="28"/>
  <c r="R50" i="28"/>
  <c r="Q50" i="28"/>
  <c r="P50" i="28"/>
  <c r="O50" i="28"/>
  <c r="S49" i="28"/>
  <c r="R49" i="28"/>
  <c r="Q49" i="28"/>
  <c r="P49" i="28"/>
  <c r="O49" i="28"/>
  <c r="S48" i="28"/>
  <c r="R48" i="28"/>
  <c r="Q48" i="28"/>
  <c r="AA48" i="28" s="1"/>
  <c r="P48" i="28"/>
  <c r="O48" i="28"/>
  <c r="S47" i="28"/>
  <c r="R47" i="28"/>
  <c r="Q47" i="28"/>
  <c r="P47" i="28"/>
  <c r="O47" i="28"/>
  <c r="S46" i="28"/>
  <c r="R46" i="28"/>
  <c r="Q46" i="28"/>
  <c r="P46" i="28"/>
  <c r="O46" i="28"/>
  <c r="S45" i="28"/>
  <c r="R45" i="28"/>
  <c r="Q45" i="28"/>
  <c r="P45" i="28"/>
  <c r="O45" i="28"/>
  <c r="S43" i="28"/>
  <c r="R43" i="28"/>
  <c r="Q43" i="28"/>
  <c r="P43" i="28"/>
  <c r="O43" i="28"/>
  <c r="S41" i="28"/>
  <c r="R41" i="28"/>
  <c r="Q41" i="28"/>
  <c r="AA41" i="28" s="1"/>
  <c r="P41" i="28"/>
  <c r="O41" i="28"/>
  <c r="S40" i="28"/>
  <c r="R40" i="28"/>
  <c r="Q40" i="28"/>
  <c r="P40" i="28"/>
  <c r="O40" i="28"/>
  <c r="S39" i="28"/>
  <c r="R39" i="28"/>
  <c r="Q39" i="28"/>
  <c r="P39" i="28"/>
  <c r="O39" i="28"/>
  <c r="S38" i="28"/>
  <c r="R38" i="28"/>
  <c r="Q38" i="28"/>
  <c r="P38" i="28"/>
  <c r="O38" i="28"/>
  <c r="S36" i="28"/>
  <c r="R36" i="28"/>
  <c r="Q36" i="28"/>
  <c r="P36" i="28"/>
  <c r="O36" i="28"/>
  <c r="S35" i="28"/>
  <c r="R35" i="28"/>
  <c r="Q35" i="28"/>
  <c r="P35" i="28"/>
  <c r="O35" i="28"/>
  <c r="R34" i="28"/>
  <c r="Q34" i="28"/>
  <c r="P34" i="28"/>
  <c r="O34" i="28"/>
  <c r="S33" i="28"/>
  <c r="R33" i="28"/>
  <c r="Q33" i="28"/>
  <c r="AA33" i="28" s="1"/>
  <c r="P33" i="28"/>
  <c r="O33" i="28"/>
  <c r="S32" i="28"/>
  <c r="R32" i="28"/>
  <c r="Q32" i="28"/>
  <c r="P32" i="28"/>
  <c r="O32" i="28"/>
  <c r="S28" i="28"/>
  <c r="R28" i="28"/>
  <c r="Q28" i="28"/>
  <c r="AA28" i="28" s="1"/>
  <c r="P28" i="28"/>
  <c r="O28" i="28"/>
  <c r="S27" i="28"/>
  <c r="R27" i="28"/>
  <c r="Q27" i="28"/>
  <c r="AA27" i="28" s="1"/>
  <c r="P27" i="28"/>
  <c r="O27" i="28"/>
  <c r="R26" i="28"/>
  <c r="Q26" i="28"/>
  <c r="AA26" i="28" s="1"/>
  <c r="P26" i="28"/>
  <c r="O26" i="28"/>
  <c r="R25" i="28"/>
  <c r="Q25" i="28"/>
  <c r="AA25" i="28" s="1"/>
  <c r="P25" i="28"/>
  <c r="O25" i="28"/>
  <c r="R24" i="28"/>
  <c r="Q24" i="28"/>
  <c r="P24" i="28"/>
  <c r="O24" i="28"/>
  <c r="S23" i="28"/>
  <c r="R23" i="28"/>
  <c r="Q23" i="28"/>
  <c r="AA23" i="28" s="1"/>
  <c r="P23" i="28"/>
  <c r="O23" i="28"/>
  <c r="S22" i="28"/>
  <c r="R22" i="28"/>
  <c r="Q22" i="28"/>
  <c r="P22" i="28"/>
  <c r="O22" i="28"/>
  <c r="R19" i="28"/>
  <c r="Q19" i="28"/>
  <c r="P19" i="28"/>
  <c r="O19" i="28"/>
  <c r="R18" i="28"/>
  <c r="Q18" i="28"/>
  <c r="AA18" i="28" s="1"/>
  <c r="P18" i="28"/>
  <c r="O18" i="28"/>
  <c r="R17" i="28"/>
  <c r="Q17" i="28"/>
  <c r="AA17" i="28" s="1"/>
  <c r="AA16" i="28" s="1"/>
  <c r="P17" i="28"/>
  <c r="O17" i="28"/>
  <c r="O16" i="28" s="1"/>
  <c r="O12" i="28"/>
  <c r="P12" i="28"/>
  <c r="Q12" i="28"/>
  <c r="R12" i="28"/>
  <c r="O13" i="28"/>
  <c r="P13" i="28"/>
  <c r="Q13" i="28"/>
  <c r="AA13" i="28" s="1"/>
  <c r="R13" i="28"/>
  <c r="S13" i="28"/>
  <c r="O14" i="28"/>
  <c r="P14" i="28"/>
  <c r="Q14" i="28"/>
  <c r="R14" i="28"/>
  <c r="S14" i="28"/>
  <c r="O15" i="28"/>
  <c r="P15" i="28"/>
  <c r="Q15" i="28"/>
  <c r="R15" i="28"/>
  <c r="S15" i="28"/>
  <c r="O11" i="28"/>
  <c r="P11" i="28"/>
  <c r="Q11" i="28"/>
  <c r="AA11" i="28" s="1"/>
  <c r="R11" i="28"/>
  <c r="BL25" i="27"/>
  <c r="BL26" i="27"/>
  <c r="BL27" i="27"/>
  <c r="BL28" i="27"/>
  <c r="BK25" i="27"/>
  <c r="BK26" i="27"/>
  <c r="BK27" i="27"/>
  <c r="BK28" i="27"/>
  <c r="BK30" i="27"/>
  <c r="BM27" i="27"/>
  <c r="BM28" i="27"/>
  <c r="AB103" i="28"/>
  <c r="AB102" i="28"/>
  <c r="AB101" i="28"/>
  <c r="AG93" i="28"/>
  <c r="AF93" i="28"/>
  <c r="AE93" i="28"/>
  <c r="AD93" i="28"/>
  <c r="AC93" i="28"/>
  <c r="AB93" i="28"/>
  <c r="AG92" i="28"/>
  <c r="AF92" i="28"/>
  <c r="AE92" i="28"/>
  <c r="AD92" i="28"/>
  <c r="AC92" i="28"/>
  <c r="AA86" i="28"/>
  <c r="AB82" i="28"/>
  <c r="AB81" i="28"/>
  <c r="AB80" i="28"/>
  <c r="AB79" i="28"/>
  <c r="AG78" i="28"/>
  <c r="AF78" i="28"/>
  <c r="AE78" i="28"/>
  <c r="AE91" i="28" s="1"/>
  <c r="AD78" i="28"/>
  <c r="AC78" i="28"/>
  <c r="AA78" i="28"/>
  <c r="AB73" i="28"/>
  <c r="AG71" i="28"/>
  <c r="AF71" i="28"/>
  <c r="AE71" i="28"/>
  <c r="AD71" i="28"/>
  <c r="AC71" i="28"/>
  <c r="AA71" i="28"/>
  <c r="AB69" i="28"/>
  <c r="AG68" i="28"/>
  <c r="AF68" i="28"/>
  <c r="AE68" i="28"/>
  <c r="AD68" i="28"/>
  <c r="AC68" i="28"/>
  <c r="AB68" i="28"/>
  <c r="AB66" i="28"/>
  <c r="AB65" i="28"/>
  <c r="AB64" i="28"/>
  <c r="AG63" i="28"/>
  <c r="AF63" i="28"/>
  <c r="AE63" i="28"/>
  <c r="AD63" i="28"/>
  <c r="AC63" i="28"/>
  <c r="AA63" i="28"/>
  <c r="AB60" i="28"/>
  <c r="AB59" i="28"/>
  <c r="AB57" i="28"/>
  <c r="AG56" i="28"/>
  <c r="AF56" i="28"/>
  <c r="AE56" i="28"/>
  <c r="AD56" i="28"/>
  <c r="AC56" i="28"/>
  <c r="AB54" i="28"/>
  <c r="AB53" i="28"/>
  <c r="AB52" i="28"/>
  <c r="AG51" i="28"/>
  <c r="AF51" i="28"/>
  <c r="AE51" i="28"/>
  <c r="AD51" i="28"/>
  <c r="AC51" i="28"/>
  <c r="AA51" i="28"/>
  <c r="AB50" i="28"/>
  <c r="AB49" i="28"/>
  <c r="AB48" i="28"/>
  <c r="AB47" i="28"/>
  <c r="AB46" i="28"/>
  <c r="AB45" i="28"/>
  <c r="AG44" i="28"/>
  <c r="AF44" i="28"/>
  <c r="AE44" i="28"/>
  <c r="AD44" i="28"/>
  <c r="AC44" i="28"/>
  <c r="AB43" i="28"/>
  <c r="AB40" i="28"/>
  <c r="AA40" i="28"/>
  <c r="AB39" i="28"/>
  <c r="AB38" i="28"/>
  <c r="AG37" i="28"/>
  <c r="AF37" i="28"/>
  <c r="AE37" i="28"/>
  <c r="AD37" i="28"/>
  <c r="AC37" i="28"/>
  <c r="AB36" i="28"/>
  <c r="AB35" i="28"/>
  <c r="AB34" i="28"/>
  <c r="AB33" i="28"/>
  <c r="AB32" i="28"/>
  <c r="AA32" i="28"/>
  <c r="AB28" i="28"/>
  <c r="AB27" i="28"/>
  <c r="AB26" i="28"/>
  <c r="AB25" i="28"/>
  <c r="AA24" i="28"/>
  <c r="AB23" i="28"/>
  <c r="AB22" i="28"/>
  <c r="AA22" i="28"/>
  <c r="AF21" i="28"/>
  <c r="AE21" i="28"/>
  <c r="AD21" i="28"/>
  <c r="AC21" i="28"/>
  <c r="AB19" i="28"/>
  <c r="AB18" i="28"/>
  <c r="AB17" i="28"/>
  <c r="AG16" i="28"/>
  <c r="AF16" i="28"/>
  <c r="AE16" i="28"/>
  <c r="AD16" i="28"/>
  <c r="AC16" i="28"/>
  <c r="AB15" i="28"/>
  <c r="AA15" i="28"/>
  <c r="AB14" i="28"/>
  <c r="AB13" i="28"/>
  <c r="AB11" i="28"/>
  <c r="AF10" i="28"/>
  <c r="AE10" i="28"/>
  <c r="AD10" i="28"/>
  <c r="AC10" i="28"/>
  <c r="BI14" i="28"/>
  <c r="BR10" i="28"/>
  <c r="BS10" i="28"/>
  <c r="BR11" i="28"/>
  <c r="BS11" i="28"/>
  <c r="BR12" i="28"/>
  <c r="BS12" i="28"/>
  <c r="BR13" i="28"/>
  <c r="BS13" i="28"/>
  <c r="BR14" i="28"/>
  <c r="BS14" i="28"/>
  <c r="BR15" i="28"/>
  <c r="BS15" i="28"/>
  <c r="BR16" i="28"/>
  <c r="BS16" i="28"/>
  <c r="BR17" i="28"/>
  <c r="BS17" i="28"/>
  <c r="BR18" i="28"/>
  <c r="BS18" i="28"/>
  <c r="BR19" i="28"/>
  <c r="BS19" i="28"/>
  <c r="BR20" i="28"/>
  <c r="BS20" i="28"/>
  <c r="BR21" i="28"/>
  <c r="BS21" i="28"/>
  <c r="BR22" i="28"/>
  <c r="BS22" i="28"/>
  <c r="BR23" i="28"/>
  <c r="BS23" i="28"/>
  <c r="BR24" i="28"/>
  <c r="BS24" i="28"/>
  <c r="BR25" i="28"/>
  <c r="BS25" i="28"/>
  <c r="BR26" i="28"/>
  <c r="BS26" i="28"/>
  <c r="BR27" i="28"/>
  <c r="BS27" i="28"/>
  <c r="BR28" i="28"/>
  <c r="BS28" i="28"/>
  <c r="BR29" i="28"/>
  <c r="BS29" i="28"/>
  <c r="BR30" i="28"/>
  <c r="BS30" i="28"/>
  <c r="BR31" i="28"/>
  <c r="BS31" i="28"/>
  <c r="BR32" i="28"/>
  <c r="BS32" i="28"/>
  <c r="BR33" i="28"/>
  <c r="BS33" i="28"/>
  <c r="BR34" i="28"/>
  <c r="BS34" i="28"/>
  <c r="BR35" i="28"/>
  <c r="BS35" i="28"/>
  <c r="BR36" i="28"/>
  <c r="BS36" i="28"/>
  <c r="BR37" i="28"/>
  <c r="BS37" i="28"/>
  <c r="BR38" i="28"/>
  <c r="BS38" i="28"/>
  <c r="BR39" i="28"/>
  <c r="BS39" i="28"/>
  <c r="BR40" i="28"/>
  <c r="BS40" i="28"/>
  <c r="BR41" i="28"/>
  <c r="BS41" i="28"/>
  <c r="BR43" i="28"/>
  <c r="BS43" i="28"/>
  <c r="BR44" i="28"/>
  <c r="BS44" i="28"/>
  <c r="BR45" i="28"/>
  <c r="BS45" i="28"/>
  <c r="BR46" i="28"/>
  <c r="BS46" i="28"/>
  <c r="BR47" i="28"/>
  <c r="BS47" i="28"/>
  <c r="BR48" i="28"/>
  <c r="BS48" i="28"/>
  <c r="BR49" i="28"/>
  <c r="BS49" i="28"/>
  <c r="BR50" i="28"/>
  <c r="BS50" i="28"/>
  <c r="BR51" i="28"/>
  <c r="BS51" i="28"/>
  <c r="BR52" i="28"/>
  <c r="BS52" i="28"/>
  <c r="BR53" i="28"/>
  <c r="BS53" i="28"/>
  <c r="BR54" i="28"/>
  <c r="BS54" i="28"/>
  <c r="BR56" i="28"/>
  <c r="BS56" i="28"/>
  <c r="BS57" i="28"/>
  <c r="BS58" i="28"/>
  <c r="BR59" i="28"/>
  <c r="BS59" i="28"/>
  <c r="BR60" i="28"/>
  <c r="BS60" i="28"/>
  <c r="BR61" i="28"/>
  <c r="BS61" i="28"/>
  <c r="BR63" i="28"/>
  <c r="BS63" i="28"/>
  <c r="BR64" i="28"/>
  <c r="BS64" i="28"/>
  <c r="BR65" i="28"/>
  <c r="BS65" i="28"/>
  <c r="BR66" i="28"/>
  <c r="BS66" i="28"/>
  <c r="BR68" i="28"/>
  <c r="BS68" i="28"/>
  <c r="BR69" i="28"/>
  <c r="BS69" i="28"/>
  <c r="BR71" i="28"/>
  <c r="BS71" i="28"/>
  <c r="BR72" i="28"/>
  <c r="BS72" i="28"/>
  <c r="BR73" i="28"/>
  <c r="BS73" i="28"/>
  <c r="BR74" i="28"/>
  <c r="BS74" i="28"/>
  <c r="BR75" i="28"/>
  <c r="BS75" i="28"/>
  <c r="BR78" i="28"/>
  <c r="BS78" i="28"/>
  <c r="BR79" i="28"/>
  <c r="BS79" i="28"/>
  <c r="BR80" i="28"/>
  <c r="BS80" i="28"/>
  <c r="BR81" i="28"/>
  <c r="BS81" i="28"/>
  <c r="BR82" i="28"/>
  <c r="BS82" i="28"/>
  <c r="BR83" i="28"/>
  <c r="BS83" i="28"/>
  <c r="BR85" i="28"/>
  <c r="BS85" i="28"/>
  <c r="BR86" i="28"/>
  <c r="BS86" i="28"/>
  <c r="BR87" i="28"/>
  <c r="BS87" i="28"/>
  <c r="BS9" i="28"/>
  <c r="BR9" i="28"/>
  <c r="I10" i="29"/>
  <c r="J10" i="29"/>
  <c r="K10" i="29"/>
  <c r="L10" i="29"/>
  <c r="M10" i="29"/>
  <c r="I11" i="29"/>
  <c r="J11" i="29"/>
  <c r="K11" i="29"/>
  <c r="L11" i="29"/>
  <c r="M11" i="29"/>
  <c r="I16" i="29"/>
  <c r="J16" i="29"/>
  <c r="K16" i="29"/>
  <c r="L16" i="29"/>
  <c r="M16" i="29"/>
  <c r="I17" i="29"/>
  <c r="J17" i="29"/>
  <c r="K17" i="29"/>
  <c r="L17" i="29"/>
  <c r="M17" i="29"/>
  <c r="I29" i="29"/>
  <c r="J29" i="29"/>
  <c r="K29" i="29"/>
  <c r="L29" i="29"/>
  <c r="M29" i="29"/>
  <c r="I30" i="29"/>
  <c r="J30" i="29"/>
  <c r="K30" i="29"/>
  <c r="L30" i="29"/>
  <c r="M30" i="29"/>
  <c r="I31" i="29"/>
  <c r="J31" i="29"/>
  <c r="K31" i="29"/>
  <c r="L31" i="29"/>
  <c r="M31" i="29"/>
  <c r="I32" i="29"/>
  <c r="J32" i="29"/>
  <c r="K32" i="29"/>
  <c r="L32" i="29"/>
  <c r="M32" i="29"/>
  <c r="I37" i="29"/>
  <c r="J37" i="29"/>
  <c r="K37" i="29"/>
  <c r="L37" i="29"/>
  <c r="M37" i="29"/>
  <c r="I38" i="29"/>
  <c r="J38" i="29"/>
  <c r="K38" i="29"/>
  <c r="L38" i="29"/>
  <c r="M38" i="29"/>
  <c r="I43" i="29"/>
  <c r="J43" i="29"/>
  <c r="K43" i="29"/>
  <c r="L43" i="29"/>
  <c r="M43" i="29"/>
  <c r="I44" i="29"/>
  <c r="J44" i="29"/>
  <c r="K44" i="29"/>
  <c r="L44" i="29"/>
  <c r="M44" i="29"/>
  <c r="I50" i="29"/>
  <c r="J50" i="29"/>
  <c r="K50" i="29"/>
  <c r="L50" i="29"/>
  <c r="M50" i="29"/>
  <c r="I51" i="29"/>
  <c r="J51" i="29"/>
  <c r="K51" i="29"/>
  <c r="L51" i="29"/>
  <c r="M51" i="29"/>
  <c r="I54" i="29"/>
  <c r="J54" i="29"/>
  <c r="K54" i="29"/>
  <c r="L54" i="29"/>
  <c r="M54" i="29"/>
  <c r="I55" i="29"/>
  <c r="J55" i="29"/>
  <c r="K55" i="29"/>
  <c r="L55" i="29"/>
  <c r="M55" i="29"/>
  <c r="I56" i="29"/>
  <c r="J56" i="29"/>
  <c r="K56" i="29"/>
  <c r="L56" i="29"/>
  <c r="M56" i="29"/>
  <c r="I57" i="29"/>
  <c r="J57" i="29"/>
  <c r="K57" i="29"/>
  <c r="L57" i="29"/>
  <c r="M57" i="29"/>
  <c r="I61" i="29"/>
  <c r="J61" i="29"/>
  <c r="K61" i="29"/>
  <c r="L61" i="29"/>
  <c r="M61" i="29"/>
  <c r="I62" i="29"/>
  <c r="J62" i="29"/>
  <c r="K62" i="29"/>
  <c r="L62" i="29"/>
  <c r="M62" i="29"/>
  <c r="I63" i="29"/>
  <c r="J63" i="29"/>
  <c r="K63" i="29"/>
  <c r="L63" i="29"/>
  <c r="M63" i="29"/>
  <c r="I64" i="29"/>
  <c r="J64" i="29"/>
  <c r="K64" i="29"/>
  <c r="L64" i="29"/>
  <c r="M64" i="29"/>
  <c r="I65" i="29"/>
  <c r="J65" i="29"/>
  <c r="K65" i="29"/>
  <c r="L65" i="29"/>
  <c r="M65" i="29"/>
  <c r="I66" i="29"/>
  <c r="J66" i="29"/>
  <c r="K66" i="29"/>
  <c r="L66" i="29"/>
  <c r="M66" i="29"/>
  <c r="I67" i="29"/>
  <c r="J67" i="29"/>
  <c r="K67" i="29"/>
  <c r="L67" i="29"/>
  <c r="M67" i="29"/>
  <c r="I68" i="29"/>
  <c r="J68" i="29"/>
  <c r="K68" i="29"/>
  <c r="L68" i="29"/>
  <c r="M68" i="29"/>
  <c r="I69" i="29"/>
  <c r="J69" i="29"/>
  <c r="K69" i="29"/>
  <c r="L69" i="29"/>
  <c r="M69" i="29"/>
  <c r="I70" i="29"/>
  <c r="J70" i="29"/>
  <c r="K70" i="29"/>
  <c r="L70" i="29"/>
  <c r="M70" i="29"/>
  <c r="I71" i="29"/>
  <c r="J71" i="29"/>
  <c r="K71" i="29"/>
  <c r="L71" i="29"/>
  <c r="M71" i="29"/>
  <c r="I72" i="29"/>
  <c r="J72" i="29"/>
  <c r="K72" i="29"/>
  <c r="L72" i="29"/>
  <c r="M72" i="29"/>
  <c r="I73" i="29"/>
  <c r="J73" i="29"/>
  <c r="K73" i="29"/>
  <c r="L73" i="29"/>
  <c r="M73" i="29"/>
  <c r="I76" i="29"/>
  <c r="J76" i="29"/>
  <c r="K76" i="29"/>
  <c r="L76" i="29"/>
  <c r="M76" i="29"/>
  <c r="I77" i="29"/>
  <c r="J77" i="29"/>
  <c r="K77" i="29"/>
  <c r="L77" i="29"/>
  <c r="M77" i="29"/>
  <c r="I78" i="29"/>
  <c r="J78" i="29"/>
  <c r="K78" i="29"/>
  <c r="L78" i="29"/>
  <c r="M78" i="29"/>
  <c r="I79" i="29"/>
  <c r="J79" i="29"/>
  <c r="K79" i="29"/>
  <c r="L79" i="29"/>
  <c r="M79" i="29"/>
  <c r="I80" i="29"/>
  <c r="J80" i="29"/>
  <c r="K80" i="29"/>
  <c r="L80" i="29"/>
  <c r="M80" i="29"/>
  <c r="I81" i="29"/>
  <c r="J81" i="29"/>
  <c r="K81" i="29"/>
  <c r="L81" i="29"/>
  <c r="M81" i="29"/>
  <c r="I82" i="29"/>
  <c r="J82" i="29"/>
  <c r="K82" i="29"/>
  <c r="L82" i="29"/>
  <c r="M82" i="29"/>
  <c r="I83" i="29"/>
  <c r="J83" i="29"/>
  <c r="K83" i="29"/>
  <c r="L83" i="29"/>
  <c r="M83" i="29"/>
  <c r="I84" i="29"/>
  <c r="J84" i="29"/>
  <c r="K84" i="29"/>
  <c r="L84" i="29"/>
  <c r="M84" i="29"/>
  <c r="I85" i="29"/>
  <c r="J85" i="29"/>
  <c r="K85" i="29"/>
  <c r="L85" i="29"/>
  <c r="M85" i="29"/>
  <c r="I86" i="29"/>
  <c r="J86" i="29"/>
  <c r="K86" i="29"/>
  <c r="L86" i="29"/>
  <c r="M86" i="29"/>
  <c r="J9" i="29"/>
  <c r="K9" i="29"/>
  <c r="L9" i="29"/>
  <c r="M9" i="29"/>
  <c r="I9" i="29"/>
  <c r="A84" i="29"/>
  <c r="B84" i="29"/>
  <c r="C84" i="29"/>
  <c r="D84" i="29"/>
  <c r="E84" i="29"/>
  <c r="F84" i="29"/>
  <c r="G84" i="29"/>
  <c r="A85" i="29"/>
  <c r="B85" i="29"/>
  <c r="C85" i="29"/>
  <c r="D85" i="29"/>
  <c r="E85" i="29"/>
  <c r="F85" i="29"/>
  <c r="G85" i="29"/>
  <c r="A86" i="29"/>
  <c r="B86" i="29"/>
  <c r="C86" i="29"/>
  <c r="D86" i="29"/>
  <c r="E86" i="29"/>
  <c r="F86" i="29"/>
  <c r="G86" i="29"/>
  <c r="A79" i="29"/>
  <c r="B79" i="29"/>
  <c r="C79" i="29"/>
  <c r="D79" i="29"/>
  <c r="E79" i="29"/>
  <c r="F79" i="29"/>
  <c r="G79" i="29"/>
  <c r="A80" i="29"/>
  <c r="B80" i="29"/>
  <c r="C80" i="29"/>
  <c r="D80" i="29"/>
  <c r="E80" i="29"/>
  <c r="F80" i="29"/>
  <c r="G80" i="29"/>
  <c r="A81" i="29"/>
  <c r="B81" i="29"/>
  <c r="C81" i="29"/>
  <c r="D81" i="29"/>
  <c r="E81" i="29"/>
  <c r="F81" i="29"/>
  <c r="G81" i="29"/>
  <c r="A82" i="29"/>
  <c r="B82" i="29"/>
  <c r="C82" i="29"/>
  <c r="D82" i="29"/>
  <c r="E82" i="29"/>
  <c r="F82" i="29"/>
  <c r="G82" i="29"/>
  <c r="A83" i="29"/>
  <c r="B83" i="29"/>
  <c r="C83" i="29"/>
  <c r="D83" i="29"/>
  <c r="E83" i="29"/>
  <c r="F83" i="29"/>
  <c r="G83" i="29"/>
  <c r="A68" i="29"/>
  <c r="B68" i="29"/>
  <c r="C68" i="29"/>
  <c r="D68" i="29"/>
  <c r="E68" i="29"/>
  <c r="F68" i="29"/>
  <c r="G68" i="29"/>
  <c r="A69" i="29"/>
  <c r="B69" i="29"/>
  <c r="C69" i="29"/>
  <c r="D69" i="29"/>
  <c r="E69" i="29"/>
  <c r="F69" i="29"/>
  <c r="G69" i="29"/>
  <c r="A70" i="29"/>
  <c r="B70" i="29"/>
  <c r="C70" i="29"/>
  <c r="D70" i="29"/>
  <c r="E70" i="29"/>
  <c r="F70" i="29"/>
  <c r="G70" i="29"/>
  <c r="A71" i="29"/>
  <c r="B71" i="29"/>
  <c r="C71" i="29"/>
  <c r="D71" i="29"/>
  <c r="E71" i="29"/>
  <c r="F71" i="29"/>
  <c r="G71" i="29"/>
  <c r="A72" i="29"/>
  <c r="B72" i="29"/>
  <c r="C72" i="29"/>
  <c r="D72" i="29"/>
  <c r="E72" i="29"/>
  <c r="F72" i="29"/>
  <c r="G72" i="29"/>
  <c r="A73" i="29"/>
  <c r="B73" i="29"/>
  <c r="C73" i="29"/>
  <c r="D73" i="29"/>
  <c r="E73" i="29"/>
  <c r="F73" i="29"/>
  <c r="G73" i="29"/>
  <c r="A76" i="29"/>
  <c r="B76" i="29"/>
  <c r="C76" i="29"/>
  <c r="D76" i="29"/>
  <c r="E76" i="29"/>
  <c r="F76" i="29"/>
  <c r="G76" i="29"/>
  <c r="A77" i="29"/>
  <c r="B77" i="29"/>
  <c r="C77" i="29"/>
  <c r="D77" i="29"/>
  <c r="E77" i="29"/>
  <c r="F77" i="29"/>
  <c r="G77" i="29"/>
  <c r="A78" i="29"/>
  <c r="B78" i="29"/>
  <c r="C78" i="29"/>
  <c r="D78" i="29"/>
  <c r="E78" i="29"/>
  <c r="F78" i="29"/>
  <c r="G78" i="29"/>
  <c r="A57" i="29"/>
  <c r="B57" i="29"/>
  <c r="C57" i="29"/>
  <c r="D57" i="29"/>
  <c r="E57" i="29"/>
  <c r="F57" i="29"/>
  <c r="G57" i="29"/>
  <c r="A61" i="29"/>
  <c r="B61" i="29"/>
  <c r="C61" i="29"/>
  <c r="D61" i="29"/>
  <c r="E61" i="29"/>
  <c r="F61" i="29"/>
  <c r="G61" i="29"/>
  <c r="A62" i="29"/>
  <c r="B62" i="29"/>
  <c r="C62" i="29"/>
  <c r="D62" i="29"/>
  <c r="E62" i="29"/>
  <c r="F62" i="29"/>
  <c r="G62" i="29"/>
  <c r="A63" i="29"/>
  <c r="B63" i="29"/>
  <c r="C63" i="29"/>
  <c r="D63" i="29"/>
  <c r="E63" i="29"/>
  <c r="F63" i="29"/>
  <c r="G63" i="29"/>
  <c r="A64" i="29"/>
  <c r="B64" i="29"/>
  <c r="C64" i="29"/>
  <c r="D64" i="29"/>
  <c r="E64" i="29"/>
  <c r="F64" i="29"/>
  <c r="G64" i="29"/>
  <c r="A65" i="29"/>
  <c r="B65" i="29"/>
  <c r="C65" i="29"/>
  <c r="D65" i="29"/>
  <c r="E65" i="29"/>
  <c r="F65" i="29"/>
  <c r="G65" i="29"/>
  <c r="A66" i="29"/>
  <c r="B66" i="29"/>
  <c r="C66" i="29"/>
  <c r="D66" i="29"/>
  <c r="E66" i="29"/>
  <c r="F66" i="29"/>
  <c r="G66" i="29"/>
  <c r="A67" i="29"/>
  <c r="B67" i="29"/>
  <c r="C67" i="29"/>
  <c r="D67" i="29"/>
  <c r="E67" i="29"/>
  <c r="F67" i="29"/>
  <c r="G67" i="29"/>
  <c r="A54" i="29"/>
  <c r="B54" i="29"/>
  <c r="C54" i="29"/>
  <c r="D54" i="29"/>
  <c r="E54" i="29"/>
  <c r="F54" i="29"/>
  <c r="G54" i="29"/>
  <c r="A55" i="29"/>
  <c r="B55" i="29"/>
  <c r="C55" i="29"/>
  <c r="D55" i="29"/>
  <c r="E55" i="29"/>
  <c r="F55" i="29"/>
  <c r="G55" i="29"/>
  <c r="A56" i="29"/>
  <c r="B56" i="29"/>
  <c r="C56" i="29"/>
  <c r="D56" i="29"/>
  <c r="E56" i="29"/>
  <c r="F56" i="29"/>
  <c r="G56" i="29"/>
  <c r="A10" i="29"/>
  <c r="B10" i="29"/>
  <c r="C10" i="29"/>
  <c r="D10" i="29"/>
  <c r="E10" i="29"/>
  <c r="F10" i="29"/>
  <c r="G10" i="29"/>
  <c r="A11" i="29"/>
  <c r="B11" i="29"/>
  <c r="C11" i="29"/>
  <c r="D11" i="29"/>
  <c r="E11" i="29"/>
  <c r="F11" i="29"/>
  <c r="G11" i="29"/>
  <c r="A16" i="29"/>
  <c r="B16" i="29"/>
  <c r="C16" i="29"/>
  <c r="D16" i="29"/>
  <c r="E16" i="29"/>
  <c r="F16" i="29"/>
  <c r="G16" i="29"/>
  <c r="A17" i="29"/>
  <c r="B17" i="29"/>
  <c r="C17" i="29"/>
  <c r="D17" i="29"/>
  <c r="E17" i="29"/>
  <c r="F17" i="29"/>
  <c r="G17" i="29"/>
  <c r="A29" i="29"/>
  <c r="B29" i="29"/>
  <c r="C29" i="29"/>
  <c r="D29" i="29"/>
  <c r="E29" i="29"/>
  <c r="F29" i="29"/>
  <c r="G29" i="29"/>
  <c r="A30" i="29"/>
  <c r="B30" i="29"/>
  <c r="C30" i="29"/>
  <c r="D30" i="29"/>
  <c r="E30" i="29"/>
  <c r="F30" i="29"/>
  <c r="G30" i="29"/>
  <c r="A31" i="29"/>
  <c r="B31" i="29"/>
  <c r="C31" i="29"/>
  <c r="D31" i="29"/>
  <c r="E31" i="29"/>
  <c r="F31" i="29"/>
  <c r="G31" i="29"/>
  <c r="A32" i="29"/>
  <c r="B32" i="29"/>
  <c r="C32" i="29"/>
  <c r="D32" i="29"/>
  <c r="E32" i="29"/>
  <c r="F32" i="29"/>
  <c r="G32" i="29"/>
  <c r="A37" i="29"/>
  <c r="B37" i="29"/>
  <c r="C37" i="29"/>
  <c r="D37" i="29"/>
  <c r="E37" i="29"/>
  <c r="F37" i="29"/>
  <c r="G37" i="29"/>
  <c r="A38" i="29"/>
  <c r="B38" i="29"/>
  <c r="C38" i="29"/>
  <c r="D38" i="29"/>
  <c r="E38" i="29"/>
  <c r="F38" i="29"/>
  <c r="G38" i="29"/>
  <c r="A43" i="29"/>
  <c r="B43" i="29"/>
  <c r="C43" i="29"/>
  <c r="D43" i="29"/>
  <c r="E43" i="29"/>
  <c r="F43" i="29"/>
  <c r="G43" i="29"/>
  <c r="A44" i="29"/>
  <c r="B44" i="29"/>
  <c r="C44" i="29"/>
  <c r="D44" i="29"/>
  <c r="E44" i="29"/>
  <c r="F44" i="29"/>
  <c r="G44" i="29"/>
  <c r="A50" i="29"/>
  <c r="B50" i="29"/>
  <c r="C50" i="29"/>
  <c r="D50" i="29"/>
  <c r="E50" i="29"/>
  <c r="F50" i="29"/>
  <c r="G50" i="29"/>
  <c r="A51" i="29"/>
  <c r="B51" i="29"/>
  <c r="C51" i="29"/>
  <c r="D51" i="29"/>
  <c r="E51" i="29"/>
  <c r="F51" i="29"/>
  <c r="G51" i="29"/>
  <c r="B9" i="29"/>
  <c r="C9" i="29"/>
  <c r="D9" i="29"/>
  <c r="E9" i="29"/>
  <c r="F9" i="29"/>
  <c r="G9" i="29"/>
  <c r="A9" i="29"/>
  <c r="K72" i="28"/>
  <c r="L72" i="28"/>
  <c r="K74" i="28"/>
  <c r="L74" i="28"/>
  <c r="K75" i="28"/>
  <c r="L75" i="28"/>
  <c r="A75" i="28"/>
  <c r="B75" i="28"/>
  <c r="A78" i="28"/>
  <c r="B78" i="28"/>
  <c r="A79" i="28"/>
  <c r="B79" i="28"/>
  <c r="A80" i="28"/>
  <c r="B80" i="28"/>
  <c r="A81" i="28"/>
  <c r="B81" i="28"/>
  <c r="A82" i="28"/>
  <c r="B82" i="28"/>
  <c r="A83" i="28"/>
  <c r="B83" i="28"/>
  <c r="A85" i="28"/>
  <c r="B85" i="28"/>
  <c r="A86" i="28"/>
  <c r="B86" i="28"/>
  <c r="A87" i="28"/>
  <c r="B87" i="28"/>
  <c r="A68" i="28"/>
  <c r="B68" i="28"/>
  <c r="A69" i="28"/>
  <c r="A71" i="28"/>
  <c r="B71" i="28"/>
  <c r="A72" i="28"/>
  <c r="B72" i="28"/>
  <c r="B73" i="28"/>
  <c r="A74" i="28"/>
  <c r="A63" i="28"/>
  <c r="B63" i="28"/>
  <c r="A64" i="28"/>
  <c r="B64" i="28"/>
  <c r="A65" i="28"/>
  <c r="B65" i="28"/>
  <c r="A66" i="28"/>
  <c r="B66" i="28"/>
  <c r="A59" i="28"/>
  <c r="B59" i="28"/>
  <c r="A60" i="28"/>
  <c r="B60" i="28"/>
  <c r="A61" i="28"/>
  <c r="B61" i="28"/>
  <c r="A58" i="28"/>
  <c r="B58" i="28"/>
  <c r="A56" i="28"/>
  <c r="B56" i="28"/>
  <c r="A57" i="28"/>
  <c r="B57" i="28"/>
  <c r="A51" i="28"/>
  <c r="B51" i="28"/>
  <c r="A52" i="28"/>
  <c r="B52" i="28"/>
  <c r="A53" i="28"/>
  <c r="B53" i="28"/>
  <c r="A54" i="28"/>
  <c r="B54" i="28"/>
  <c r="A45" i="28"/>
  <c r="B45" i="28"/>
  <c r="A46" i="28"/>
  <c r="B46" i="28"/>
  <c r="A47" i="28"/>
  <c r="B47" i="28"/>
  <c r="A48" i="28"/>
  <c r="B48" i="28"/>
  <c r="A49" i="28"/>
  <c r="B49" i="28"/>
  <c r="A50" i="28"/>
  <c r="B50" i="28"/>
  <c r="A44" i="28"/>
  <c r="B44" i="28"/>
  <c r="A38" i="28"/>
  <c r="B38" i="28"/>
  <c r="A39" i="28"/>
  <c r="B39" i="28"/>
  <c r="A40" i="28"/>
  <c r="B40" i="28"/>
  <c r="A41" i="28"/>
  <c r="B41" i="28"/>
  <c r="A43" i="28"/>
  <c r="B43" i="28"/>
  <c r="BI40" i="28"/>
  <c r="BH40" i="28"/>
  <c r="BB40" i="28"/>
  <c r="BA40" i="28"/>
  <c r="AZ40" i="28"/>
  <c r="AY40" i="28"/>
  <c r="AS40" i="28"/>
  <c r="AR40" i="28"/>
  <c r="AQ40" i="28"/>
  <c r="AK40" i="28"/>
  <c r="AJ40" i="28"/>
  <c r="AH40" i="28"/>
  <c r="U40" i="28"/>
  <c r="T40" i="28"/>
  <c r="B37" i="28"/>
  <c r="A37" i="28"/>
  <c r="B32" i="28"/>
  <c r="B33" i="28"/>
  <c r="B34" i="28"/>
  <c r="B35" i="28"/>
  <c r="B36" i="28"/>
  <c r="A32" i="28"/>
  <c r="A33" i="28"/>
  <c r="A34" i="28"/>
  <c r="A35" i="28"/>
  <c r="A36" i="28"/>
  <c r="B29" i="28"/>
  <c r="B30" i="28"/>
  <c r="B31" i="28"/>
  <c r="A29" i="28"/>
  <c r="A30" i="28"/>
  <c r="A31" i="28"/>
  <c r="B22" i="28"/>
  <c r="B23" i="28"/>
  <c r="B24" i="28"/>
  <c r="B25" i="28"/>
  <c r="B26" i="28"/>
  <c r="B27" i="28"/>
  <c r="B28" i="28"/>
  <c r="A22" i="28"/>
  <c r="A23" i="28"/>
  <c r="A24" i="28"/>
  <c r="A25" i="28"/>
  <c r="A26" i="28"/>
  <c r="A27" i="28"/>
  <c r="A28" i="28"/>
  <c r="B20" i="28"/>
  <c r="B21" i="28"/>
  <c r="A21" i="28"/>
  <c r="A20" i="28"/>
  <c r="B17" i="28"/>
  <c r="B18" i="28"/>
  <c r="B19" i="28"/>
  <c r="A17" i="28"/>
  <c r="A18" i="28"/>
  <c r="A19" i="28"/>
  <c r="B16" i="28"/>
  <c r="A16" i="28"/>
  <c r="B11" i="28"/>
  <c r="A11" i="28"/>
  <c r="BJ28" i="27"/>
  <c r="BI28" i="27"/>
  <c r="BH28" i="27"/>
  <c r="BF28" i="27"/>
  <c r="BE28" i="27"/>
  <c r="BC28" i="27"/>
  <c r="BB28" i="27"/>
  <c r="BB103" i="28"/>
  <c r="AS103" i="28"/>
  <c r="AK103" i="28"/>
  <c r="BB102" i="28"/>
  <c r="AS102" i="28"/>
  <c r="AK102" i="28"/>
  <c r="BB101" i="28"/>
  <c r="AS101" i="28"/>
  <c r="AK101" i="28"/>
  <c r="BB100" i="28"/>
  <c r="AS100" i="28"/>
  <c r="AK100" i="28"/>
  <c r="BB99" i="28"/>
  <c r="AS99" i="28"/>
  <c r="AK99" i="28"/>
  <c r="BA94" i="28"/>
  <c r="AY94" i="28"/>
  <c r="AQ94" i="28"/>
  <c r="AH94" i="28"/>
  <c r="BO93" i="28"/>
  <c r="BN93" i="28"/>
  <c r="BM93" i="28"/>
  <c r="BL93" i="28"/>
  <c r="BK93" i="28"/>
  <c r="BJ93" i="28"/>
  <c r="BI93" i="28"/>
  <c r="BF93" i="28"/>
  <c r="BE93" i="28"/>
  <c r="BD93" i="28"/>
  <c r="BC93" i="28"/>
  <c r="BB93" i="28"/>
  <c r="AX93" i="28"/>
  <c r="AW93" i="28"/>
  <c r="AV93" i="28"/>
  <c r="AU93" i="28"/>
  <c r="AT93" i="28"/>
  <c r="AP93" i="28"/>
  <c r="AO93" i="28"/>
  <c r="AN93" i="28"/>
  <c r="AM93" i="28"/>
  <c r="AL93" i="28"/>
  <c r="Z93" i="28"/>
  <c r="Y93" i="28"/>
  <c r="X93" i="28"/>
  <c r="W93" i="28"/>
  <c r="V93" i="28"/>
  <c r="U93" i="28"/>
  <c r="S93" i="28"/>
  <c r="R93" i="28"/>
  <c r="Q93" i="28"/>
  <c r="P93" i="28"/>
  <c r="O93" i="28"/>
  <c r="N93" i="28"/>
  <c r="M93" i="28"/>
  <c r="K93" i="28"/>
  <c r="AX92" i="28"/>
  <c r="AW92" i="28"/>
  <c r="AV92" i="28"/>
  <c r="AU92" i="28"/>
  <c r="AT92" i="28"/>
  <c r="AP92" i="28"/>
  <c r="AO92" i="28"/>
  <c r="AN92" i="28"/>
  <c r="AM92" i="28"/>
  <c r="AL92" i="28"/>
  <c r="Z92" i="28"/>
  <c r="Y92" i="28"/>
  <c r="X92" i="28"/>
  <c r="W92" i="28"/>
  <c r="V92" i="28"/>
  <c r="U92" i="28"/>
  <c r="L88" i="28"/>
  <c r="L93" i="28" s="1"/>
  <c r="BI87" i="28"/>
  <c r="BI86" i="28" s="1"/>
  <c r="BI92" i="28" s="1"/>
  <c r="BB87" i="28"/>
  <c r="BB86" i="28" s="1"/>
  <c r="BB92" i="28" s="1"/>
  <c r="BP86" i="28"/>
  <c r="BP93" i="28" s="1"/>
  <c r="BO86" i="28"/>
  <c r="BO92" i="28" s="1"/>
  <c r="BN86" i="28"/>
  <c r="BN92" i="28" s="1"/>
  <c r="BM86" i="28"/>
  <c r="BM92" i="28" s="1"/>
  <c r="BL86" i="28"/>
  <c r="BL92" i="28" s="1"/>
  <c r="BK86" i="28"/>
  <c r="BK92" i="28" s="1"/>
  <c r="BJ86" i="28"/>
  <c r="BJ92" i="28" s="1"/>
  <c r="BH86" i="28"/>
  <c r="BH92" i="28" s="1"/>
  <c r="BG86" i="28"/>
  <c r="BG93" i="28" s="1"/>
  <c r="BF86" i="28"/>
  <c r="BF92" i="28" s="1"/>
  <c r="BE86" i="28"/>
  <c r="BE92" i="28" s="1"/>
  <c r="BD86" i="28"/>
  <c r="BD92" i="28" s="1"/>
  <c r="BC86" i="28"/>
  <c r="BC92" i="28" s="1"/>
  <c r="BA86" i="28"/>
  <c r="AZ86" i="28"/>
  <c r="AY86" i="28"/>
  <c r="AR86" i="28"/>
  <c r="AQ86" i="28"/>
  <c r="AJ86" i="28"/>
  <c r="AH86" i="28"/>
  <c r="T86" i="28"/>
  <c r="S86" i="28"/>
  <c r="S92" i="28" s="1"/>
  <c r="O86" i="28"/>
  <c r="O92" i="28" s="1"/>
  <c r="BI85" i="28"/>
  <c r="BB85" i="28"/>
  <c r="BH83" i="28"/>
  <c r="AJ83" i="28"/>
  <c r="AH83" i="28"/>
  <c r="S83" i="28"/>
  <c r="P83" i="28"/>
  <c r="BI82" i="28"/>
  <c r="BB82" i="28"/>
  <c r="AS82" i="28"/>
  <c r="AK82" i="28"/>
  <c r="U82" i="28"/>
  <c r="BI81" i="28"/>
  <c r="BB81" i="28"/>
  <c r="AS81" i="28"/>
  <c r="AK81" i="28"/>
  <c r="U81" i="28"/>
  <c r="BI80" i="28"/>
  <c r="BB80" i="28"/>
  <c r="AS80" i="28"/>
  <c r="AK80" i="28"/>
  <c r="U80" i="28"/>
  <c r="BI79" i="28"/>
  <c r="BH79" i="28"/>
  <c r="BB79" i="28"/>
  <c r="AS79" i="28"/>
  <c r="AK79" i="28"/>
  <c r="AJ79" i="28"/>
  <c r="AH79" i="28"/>
  <c r="AH78" i="28" s="1"/>
  <c r="U79" i="28"/>
  <c r="BP78" i="28"/>
  <c r="BO78" i="28"/>
  <c r="BN78" i="28"/>
  <c r="BM78" i="28"/>
  <c r="BL78" i="28"/>
  <c r="BK78" i="28"/>
  <c r="BJ78" i="28"/>
  <c r="BG78" i="28"/>
  <c r="BF78" i="28"/>
  <c r="BE78" i="28"/>
  <c r="BD78" i="28"/>
  <c r="BC78" i="28"/>
  <c r="BA78" i="28"/>
  <c r="AZ78" i="28"/>
  <c r="AY78" i="28"/>
  <c r="AX78" i="28"/>
  <c r="AW78" i="28"/>
  <c r="AV78" i="28"/>
  <c r="AU78" i="28"/>
  <c r="AT78" i="28"/>
  <c r="AR78" i="28"/>
  <c r="AQ78" i="28"/>
  <c r="AP78" i="28"/>
  <c r="AP91" i="28" s="1"/>
  <c r="AO78" i="28"/>
  <c r="AO91" i="28" s="1"/>
  <c r="AN78" i="28"/>
  <c r="AM78" i="28"/>
  <c r="AM91" i="28" s="1"/>
  <c r="AL78" i="28"/>
  <c r="AJ78" i="28"/>
  <c r="Z78" i="28"/>
  <c r="Z91" i="28" s="1"/>
  <c r="Y91" i="28"/>
  <c r="X78" i="28"/>
  <c r="X91" i="28" s="1"/>
  <c r="W78" i="28"/>
  <c r="W91" i="28" s="1"/>
  <c r="V78" i="28"/>
  <c r="T78" i="28"/>
  <c r="O78" i="28"/>
  <c r="BH75" i="28"/>
  <c r="BI73" i="28"/>
  <c r="BB73" i="28"/>
  <c r="BB71" i="28" s="1"/>
  <c r="AS73" i="28"/>
  <c r="AS71" i="28" s="1"/>
  <c r="AK73" i="28"/>
  <c r="U73" i="28"/>
  <c r="U71" i="28" s="1"/>
  <c r="BP71" i="28"/>
  <c r="BO71" i="28"/>
  <c r="BN71" i="28"/>
  <c r="BM71" i="28"/>
  <c r="BL71" i="28"/>
  <c r="BK71" i="28"/>
  <c r="BJ71" i="28"/>
  <c r="BI71" i="28"/>
  <c r="BG71" i="28"/>
  <c r="BF71" i="28"/>
  <c r="BE71" i="28"/>
  <c r="BD71" i="28"/>
  <c r="BC71" i="28"/>
  <c r="AX71" i="28"/>
  <c r="AW71" i="28"/>
  <c r="AV71" i="28"/>
  <c r="AU71" i="28"/>
  <c r="AT71" i="28"/>
  <c r="AP71" i="28"/>
  <c r="AO71" i="28"/>
  <c r="AN71" i="28"/>
  <c r="AM71" i="28"/>
  <c r="Z71" i="28"/>
  <c r="Y71" i="28"/>
  <c r="X71" i="28"/>
  <c r="W71" i="28"/>
  <c r="V71" i="28"/>
  <c r="T71" i="28"/>
  <c r="Q71" i="28"/>
  <c r="BI69" i="28"/>
  <c r="BB69" i="28"/>
  <c r="BB68" i="28" s="1"/>
  <c r="AS69" i="28"/>
  <c r="AS68" i="28" s="1"/>
  <c r="AK69" i="28"/>
  <c r="AK68" i="28" s="1"/>
  <c r="U69" i="28"/>
  <c r="U68" i="28" s="1"/>
  <c r="BP68" i="28"/>
  <c r="BO68" i="28"/>
  <c r="BN68" i="28"/>
  <c r="BM68" i="28"/>
  <c r="BL68" i="28"/>
  <c r="BK68" i="28"/>
  <c r="BJ68" i="28"/>
  <c r="BI68" i="28"/>
  <c r="BG68" i="28"/>
  <c r="BF68" i="28"/>
  <c r="BE68" i="28"/>
  <c r="BD68" i="28"/>
  <c r="BC68" i="28"/>
  <c r="AX68" i="28"/>
  <c r="AW68" i="28"/>
  <c r="AV68" i="28"/>
  <c r="AU68" i="28"/>
  <c r="AT68" i="28"/>
  <c r="AP68" i="28"/>
  <c r="AO68" i="28"/>
  <c r="AN68" i="28"/>
  <c r="AM68" i="28"/>
  <c r="AL68" i="28"/>
  <c r="Z68" i="28"/>
  <c r="Y68" i="28"/>
  <c r="X68" i="28"/>
  <c r="W68" i="28"/>
  <c r="V68" i="28"/>
  <c r="Q68" i="28"/>
  <c r="O68" i="28"/>
  <c r="BI66" i="28"/>
  <c r="BB66" i="28"/>
  <c r="AS66" i="28"/>
  <c r="AK66" i="28"/>
  <c r="U66" i="28"/>
  <c r="BI65" i="28"/>
  <c r="BB65" i="28"/>
  <c r="AS65" i="28"/>
  <c r="AK65" i="28"/>
  <c r="U65" i="28"/>
  <c r="BI64" i="28"/>
  <c r="BB64" i="28"/>
  <c r="AS64" i="28"/>
  <c r="AK64" i="28"/>
  <c r="U64" i="28"/>
  <c r="S64" i="28"/>
  <c r="R64" i="28"/>
  <c r="Q64" i="28"/>
  <c r="P64" i="28"/>
  <c r="O64" i="28"/>
  <c r="BP63" i="28"/>
  <c r="BO63" i="28"/>
  <c r="BN63" i="28"/>
  <c r="BM63" i="28"/>
  <c r="BL63" i="28"/>
  <c r="BK63" i="28"/>
  <c r="BJ63" i="28"/>
  <c r="BG63" i="28"/>
  <c r="BF63" i="28"/>
  <c r="BE63" i="28"/>
  <c r="BD63" i="28"/>
  <c r="BC63" i="28"/>
  <c r="BA63" i="28"/>
  <c r="AZ63" i="28"/>
  <c r="AY63" i="28"/>
  <c r="AX63" i="28"/>
  <c r="AW63" i="28"/>
  <c r="AV63" i="28"/>
  <c r="AU63" i="28"/>
  <c r="AT63" i="28"/>
  <c r="AR63" i="28"/>
  <c r="AQ63" i="28"/>
  <c r="AP63" i="28"/>
  <c r="AO63" i="28"/>
  <c r="AN63" i="28"/>
  <c r="AM63" i="28"/>
  <c r="AL63" i="28"/>
  <c r="AJ63" i="28"/>
  <c r="AH63" i="28"/>
  <c r="Z63" i="28"/>
  <c r="Y63" i="28"/>
  <c r="X63" i="28"/>
  <c r="W63" i="28"/>
  <c r="V63" i="28"/>
  <c r="T63" i="28"/>
  <c r="Q63" i="28"/>
  <c r="BI60" i="28"/>
  <c r="BB60" i="28"/>
  <c r="AS60" i="28"/>
  <c r="AK60" i="28"/>
  <c r="U60" i="28"/>
  <c r="BI59" i="28"/>
  <c r="BH59" i="28"/>
  <c r="BB59" i="28"/>
  <c r="BA59" i="28"/>
  <c r="BA56" i="28" s="1"/>
  <c r="BA44" i="28" s="1"/>
  <c r="AZ59" i="28"/>
  <c r="AZ56" i="28" s="1"/>
  <c r="AZ44" i="28" s="1"/>
  <c r="AY59" i="28"/>
  <c r="AY56" i="28" s="1"/>
  <c r="AY44" i="28" s="1"/>
  <c r="AS59" i="28"/>
  <c r="AR59" i="28"/>
  <c r="AQ59" i="28"/>
  <c r="AK59" i="28"/>
  <c r="AJ59" i="28"/>
  <c r="AH59" i="28"/>
  <c r="U59" i="28"/>
  <c r="T59" i="28"/>
  <c r="BI57" i="28"/>
  <c r="BH57" i="28"/>
  <c r="BH44" i="28" s="1"/>
  <c r="BB57" i="28"/>
  <c r="BB56" i="28" s="1"/>
  <c r="AS57" i="28"/>
  <c r="AR57" i="28"/>
  <c r="AQ57" i="28"/>
  <c r="AK57" i="28"/>
  <c r="AJ57" i="28"/>
  <c r="AH57" i="28"/>
  <c r="U57" i="28"/>
  <c r="T57" i="28"/>
  <c r="S57" i="28"/>
  <c r="R57" i="28"/>
  <c r="Q57" i="28"/>
  <c r="AA57" i="28" s="1"/>
  <c r="P57" i="28"/>
  <c r="O57" i="28"/>
  <c r="BP56" i="28"/>
  <c r="BO56" i="28"/>
  <c r="BN56" i="28"/>
  <c r="BM56" i="28"/>
  <c r="BL56" i="28"/>
  <c r="BK56" i="28"/>
  <c r="BJ56" i="28"/>
  <c r="BG56" i="28"/>
  <c r="BF56" i="28"/>
  <c r="BE56" i="28"/>
  <c r="BD56" i="28"/>
  <c r="BC56" i="28"/>
  <c r="AX56" i="28"/>
  <c r="AW56" i="28"/>
  <c r="AV56" i="28"/>
  <c r="AU56" i="28"/>
  <c r="AT56" i="28"/>
  <c r="Z56" i="28"/>
  <c r="Y56" i="28"/>
  <c r="X56" i="28"/>
  <c r="W56" i="28"/>
  <c r="V56" i="28"/>
  <c r="BI54" i="28"/>
  <c r="BB54" i="28"/>
  <c r="AS54" i="28"/>
  <c r="AK54" i="28"/>
  <c r="U54" i="28"/>
  <c r="BI53" i="28"/>
  <c r="BB53" i="28"/>
  <c r="AS53" i="28"/>
  <c r="AK53" i="28"/>
  <c r="U53" i="28"/>
  <c r="BI52" i="28"/>
  <c r="BB52" i="28"/>
  <c r="AS52" i="28"/>
  <c r="AK52" i="28"/>
  <c r="U52" i="28"/>
  <c r="BP51" i="28"/>
  <c r="BO51" i="28"/>
  <c r="BN51" i="28"/>
  <c r="BM51" i="28"/>
  <c r="BL51" i="28"/>
  <c r="BK51" i="28"/>
  <c r="BJ51" i="28"/>
  <c r="BG51" i="28"/>
  <c r="BF51" i="28"/>
  <c r="BE51" i="28"/>
  <c r="BD51" i="28"/>
  <c r="BC51" i="28"/>
  <c r="AX51" i="28"/>
  <c r="AW51" i="28"/>
  <c r="AV51" i="28"/>
  <c r="AU51" i="28"/>
  <c r="AT51" i="28"/>
  <c r="AP51" i="28"/>
  <c r="AO51" i="28"/>
  <c r="AN51" i="28"/>
  <c r="AM51" i="28"/>
  <c r="AL51" i="28"/>
  <c r="Z51" i="28"/>
  <c r="Y51" i="28"/>
  <c r="X51" i="28"/>
  <c r="W51" i="28"/>
  <c r="V51" i="28"/>
  <c r="T51" i="28"/>
  <c r="O51" i="28"/>
  <c r="BI50" i="28"/>
  <c r="BB50" i="28"/>
  <c r="AS50" i="28"/>
  <c r="AK50" i="28"/>
  <c r="U50" i="28"/>
  <c r="BI49" i="28"/>
  <c r="BB49" i="28"/>
  <c r="AS49" i="28"/>
  <c r="AK49" i="28"/>
  <c r="U49" i="28"/>
  <c r="BI48" i="28"/>
  <c r="BH48" i="28"/>
  <c r="BB48" i="28"/>
  <c r="BA48" i="28"/>
  <c r="AZ48" i="28"/>
  <c r="AY48" i="28"/>
  <c r="AS48" i="28"/>
  <c r="AR48" i="28"/>
  <c r="AQ48" i="28"/>
  <c r="AK48" i="28"/>
  <c r="AJ48" i="28"/>
  <c r="AH48" i="28"/>
  <c r="U48" i="28"/>
  <c r="T48" i="28"/>
  <c r="BI47" i="28"/>
  <c r="BB47" i="28"/>
  <c r="AS47" i="28"/>
  <c r="AK47" i="28"/>
  <c r="U47" i="28"/>
  <c r="BI46" i="28"/>
  <c r="BB46" i="28"/>
  <c r="AS46" i="28"/>
  <c r="AK46" i="28"/>
  <c r="U46" i="28"/>
  <c r="BI45" i="28"/>
  <c r="BB45" i="28"/>
  <c r="AS45" i="28"/>
  <c r="AK45" i="28"/>
  <c r="U45" i="28"/>
  <c r="BP44" i="28"/>
  <c r="BO44" i="28"/>
  <c r="BN44" i="28"/>
  <c r="BM44" i="28"/>
  <c r="BL44" i="28"/>
  <c r="BK44" i="28"/>
  <c r="BJ44" i="28"/>
  <c r="BG44" i="28"/>
  <c r="BF44" i="28"/>
  <c r="BE44" i="28"/>
  <c r="BD44" i="28"/>
  <c r="BC44" i="28"/>
  <c r="AX44" i="28"/>
  <c r="AW44" i="28"/>
  <c r="AV44" i="28"/>
  <c r="AU44" i="28"/>
  <c r="AT44" i="28"/>
  <c r="AP44" i="28"/>
  <c r="AO44" i="28"/>
  <c r="AN44" i="28"/>
  <c r="AM44" i="28"/>
  <c r="AL44" i="28"/>
  <c r="Z44" i="28"/>
  <c r="Y44" i="28"/>
  <c r="X44" i="28"/>
  <c r="W44" i="28"/>
  <c r="V44" i="28"/>
  <c r="BI43" i="28"/>
  <c r="U43" i="28"/>
  <c r="BI41" i="28"/>
  <c r="BH41" i="28"/>
  <c r="BA41" i="28"/>
  <c r="AZ41" i="28"/>
  <c r="AY41" i="28"/>
  <c r="AR41" i="28"/>
  <c r="AQ41" i="28"/>
  <c r="AQ37" i="28" s="1"/>
  <c r="AJ41" i="28"/>
  <c r="AJ37" i="28" s="1"/>
  <c r="AH41" i="28"/>
  <c r="T41" i="28"/>
  <c r="T37" i="28" s="1"/>
  <c r="BI39" i="28"/>
  <c r="BB39" i="28"/>
  <c r="AS39" i="28"/>
  <c r="AK39" i="28"/>
  <c r="U39" i="28"/>
  <c r="BI38" i="28"/>
  <c r="BB38" i="28"/>
  <c r="AS38" i="28"/>
  <c r="AK38" i="28"/>
  <c r="U38" i="28"/>
  <c r="BP37" i="28"/>
  <c r="BO37" i="28"/>
  <c r="BN37" i="28"/>
  <c r="BM37" i="28"/>
  <c r="BL37" i="28"/>
  <c r="BK37" i="28"/>
  <c r="BJ37" i="28"/>
  <c r="BG37" i="28"/>
  <c r="BF37" i="28"/>
  <c r="BE37" i="28"/>
  <c r="BD37" i="28"/>
  <c r="BC37" i="28"/>
  <c r="AZ37" i="28"/>
  <c r="AX37" i="28"/>
  <c r="AW37" i="28"/>
  <c r="AV37" i="28"/>
  <c r="AU37" i="28"/>
  <c r="AT37" i="28"/>
  <c r="AP37" i="28"/>
  <c r="AO37" i="28"/>
  <c r="AO30" i="28" s="1"/>
  <c r="AN37" i="28"/>
  <c r="AM37" i="28"/>
  <c r="AL37" i="28"/>
  <c r="Z37" i="28"/>
  <c r="Y37" i="28"/>
  <c r="X37" i="28"/>
  <c r="W37" i="28"/>
  <c r="V37" i="28"/>
  <c r="BI36" i="28"/>
  <c r="BB36" i="28"/>
  <c r="AS36" i="28"/>
  <c r="AK36" i="28"/>
  <c r="U36" i="28"/>
  <c r="BI35" i="28"/>
  <c r="BB35" i="28"/>
  <c r="AS35" i="28"/>
  <c r="AK35" i="28"/>
  <c r="U35" i="28"/>
  <c r="BI34" i="28"/>
  <c r="AS34" i="28"/>
  <c r="AK34" i="28"/>
  <c r="U34" i="28"/>
  <c r="BI33" i="28"/>
  <c r="BH33" i="28"/>
  <c r="BB33" i="28"/>
  <c r="BA33" i="28"/>
  <c r="AZ33" i="28"/>
  <c r="AY33" i="28"/>
  <c r="AS33" i="28"/>
  <c r="AR33" i="28"/>
  <c r="AQ33" i="28"/>
  <c r="AK33" i="28"/>
  <c r="AJ33" i="28"/>
  <c r="AH33" i="28"/>
  <c r="U33" i="28"/>
  <c r="T33" i="28"/>
  <c r="BI32" i="28"/>
  <c r="BH32" i="28"/>
  <c r="BB32" i="28"/>
  <c r="BA32" i="28"/>
  <c r="BA31" i="28" s="1"/>
  <c r="AZ32" i="28"/>
  <c r="AZ31" i="28" s="1"/>
  <c r="AZ30" i="28" s="1"/>
  <c r="AZ29" i="28" s="1"/>
  <c r="AY32" i="28"/>
  <c r="AY31" i="28" s="1"/>
  <c r="AS32" i="28"/>
  <c r="AR32" i="28"/>
  <c r="AR31" i="28" s="1"/>
  <c r="AQ32" i="28"/>
  <c r="AQ31" i="28" s="1"/>
  <c r="AQ30" i="28" s="1"/>
  <c r="AK32" i="28"/>
  <c r="AJ32" i="28"/>
  <c r="AJ31" i="28" s="1"/>
  <c r="AH32" i="28"/>
  <c r="AH31" i="28" s="1"/>
  <c r="U32" i="28"/>
  <c r="U31" i="28" s="1"/>
  <c r="T32" i="28"/>
  <c r="T31" i="28" s="1"/>
  <c r="P31" i="28"/>
  <c r="BP31" i="28"/>
  <c r="BO31" i="28"/>
  <c r="BO30" i="28" s="1"/>
  <c r="BO29" i="28" s="1"/>
  <c r="BN31" i="28"/>
  <c r="BM31" i="28"/>
  <c r="BM30" i="28" s="1"/>
  <c r="BM29" i="28" s="1"/>
  <c r="BL31" i="28"/>
  <c r="BK31" i="28"/>
  <c r="BK30" i="28" s="1"/>
  <c r="BK29" i="28" s="1"/>
  <c r="BJ31" i="28"/>
  <c r="BH31" i="28"/>
  <c r="AO29" i="28"/>
  <c r="Z31" i="28"/>
  <c r="Z30" i="28" s="1"/>
  <c r="Z29" i="28" s="1"/>
  <c r="Y31" i="28"/>
  <c r="Y30" i="28" s="1"/>
  <c r="X31" i="28"/>
  <c r="W31" i="28"/>
  <c r="W30" i="28" s="1"/>
  <c r="V31" i="28"/>
  <c r="O31" i="28"/>
  <c r="BJ30" i="28"/>
  <c r="BJ29" i="28" s="1"/>
  <c r="BI28" i="28"/>
  <c r="BH28" i="28"/>
  <c r="BB28" i="28"/>
  <c r="BA28" i="28"/>
  <c r="AZ28" i="28"/>
  <c r="AY28" i="28"/>
  <c r="AS28" i="28"/>
  <c r="AR28" i="28"/>
  <c r="AQ28" i="28"/>
  <c r="AK28" i="28"/>
  <c r="AJ28" i="28"/>
  <c r="AH28" i="28"/>
  <c r="U28" i="28"/>
  <c r="T28" i="28"/>
  <c r="BI27" i="28"/>
  <c r="BH27" i="28"/>
  <c r="BB27" i="28"/>
  <c r="BA27" i="28"/>
  <c r="AZ27" i="28"/>
  <c r="AY27" i="28"/>
  <c r="AS27" i="28"/>
  <c r="AR27" i="28"/>
  <c r="AQ27" i="28"/>
  <c r="AK27" i="28"/>
  <c r="AJ27" i="28"/>
  <c r="AH27" i="28"/>
  <c r="U27" i="28"/>
  <c r="T27" i="28"/>
  <c r="BI26" i="28"/>
  <c r="BH26" i="28"/>
  <c r="BB26" i="28"/>
  <c r="BA26" i="28"/>
  <c r="AZ26" i="28"/>
  <c r="AY26" i="28"/>
  <c r="AS26" i="28"/>
  <c r="AR26" i="28"/>
  <c r="AQ26" i="28"/>
  <c r="AJ26" i="28"/>
  <c r="AH26" i="28"/>
  <c r="U26" i="28"/>
  <c r="T26" i="28"/>
  <c r="BH25" i="28"/>
  <c r="BB25" i="28"/>
  <c r="BA25" i="28"/>
  <c r="AZ25" i="28"/>
  <c r="AY25" i="28"/>
  <c r="AS25" i="28"/>
  <c r="AR25" i="28"/>
  <c r="AQ25" i="28"/>
  <c r="AK25" i="28"/>
  <c r="AJ25" i="28"/>
  <c r="AH25" i="28"/>
  <c r="U25" i="28"/>
  <c r="T25" i="28"/>
  <c r="BI24" i="28"/>
  <c r="BH24" i="28"/>
  <c r="BB24" i="28"/>
  <c r="BA24" i="28"/>
  <c r="AZ24" i="28"/>
  <c r="AY24" i="28"/>
  <c r="AS24" i="28"/>
  <c r="AR24" i="28"/>
  <c r="AQ24" i="28"/>
  <c r="AK24" i="28"/>
  <c r="AJ24" i="28"/>
  <c r="AH24" i="28"/>
  <c r="U24" i="28"/>
  <c r="T24" i="28"/>
  <c r="BI23" i="28"/>
  <c r="BH23" i="28"/>
  <c r="BB23" i="28"/>
  <c r="BA23" i="28"/>
  <c r="AZ23" i="28"/>
  <c r="AY23" i="28"/>
  <c r="AS23" i="28"/>
  <c r="AR23" i="28"/>
  <c r="AQ23" i="28"/>
  <c r="AK23" i="28"/>
  <c r="AJ23" i="28"/>
  <c r="AH23" i="28"/>
  <c r="U23" i="28"/>
  <c r="T23" i="28"/>
  <c r="BI22" i="28"/>
  <c r="BH22" i="28"/>
  <c r="BB22" i="28"/>
  <c r="BB21" i="28" s="1"/>
  <c r="BA22" i="28"/>
  <c r="BA21" i="28" s="1"/>
  <c r="AZ22" i="28"/>
  <c r="AZ21" i="28" s="1"/>
  <c r="AY22" i="28"/>
  <c r="AY21" i="28" s="1"/>
  <c r="AS22" i="28"/>
  <c r="AR22" i="28"/>
  <c r="AQ22" i="28"/>
  <c r="AQ21" i="28" s="1"/>
  <c r="AK22" i="28"/>
  <c r="AJ22" i="28"/>
  <c r="AH22" i="28"/>
  <c r="U22" i="28"/>
  <c r="T22" i="28"/>
  <c r="P21" i="28"/>
  <c r="BO21" i="28"/>
  <c r="BN21" i="28"/>
  <c r="BM21" i="28"/>
  <c r="BL21" i="28"/>
  <c r="BK21" i="28"/>
  <c r="BJ21" i="28"/>
  <c r="BG21" i="28"/>
  <c r="BF21" i="28"/>
  <c r="BE21" i="28"/>
  <c r="BD21" i="28"/>
  <c r="BC21" i="28"/>
  <c r="AX21" i="28"/>
  <c r="AW21" i="28"/>
  <c r="AV21" i="28"/>
  <c r="AU21" i="28"/>
  <c r="AT21" i="28"/>
  <c r="AO21" i="28"/>
  <c r="AN21" i="28"/>
  <c r="AM21" i="28"/>
  <c r="AL21" i="28"/>
  <c r="Z21" i="28"/>
  <c r="Y21" i="28"/>
  <c r="X21" i="28"/>
  <c r="W21" i="28"/>
  <c r="V21" i="28"/>
  <c r="AS19" i="28"/>
  <c r="U19" i="28"/>
  <c r="BI18" i="28"/>
  <c r="BH18" i="28"/>
  <c r="BB18" i="28"/>
  <c r="BA18" i="28"/>
  <c r="AZ18" i="28"/>
  <c r="AY18" i="28"/>
  <c r="AS18" i="28"/>
  <c r="AR18" i="28"/>
  <c r="AQ18" i="28"/>
  <c r="AK18" i="28"/>
  <c r="AJ18" i="28"/>
  <c r="AH18" i="28"/>
  <c r="T18" i="28"/>
  <c r="BI17" i="28"/>
  <c r="BH17" i="28"/>
  <c r="BB17" i="28"/>
  <c r="BA17" i="28"/>
  <c r="AZ17" i="28"/>
  <c r="AY17" i="28"/>
  <c r="AS17" i="28"/>
  <c r="AR17" i="28"/>
  <c r="AQ17" i="28"/>
  <c r="AK17" i="28"/>
  <c r="AJ17" i="28"/>
  <c r="AH17" i="28"/>
  <c r="T17" i="28"/>
  <c r="BP16" i="28"/>
  <c r="BO16" i="28"/>
  <c r="BN16" i="28"/>
  <c r="BM16" i="28"/>
  <c r="BL16" i="28"/>
  <c r="BK16" i="28"/>
  <c r="BJ16" i="28"/>
  <c r="AX16" i="28"/>
  <c r="AW16" i="28"/>
  <c r="AV16" i="28"/>
  <c r="AU16" i="28"/>
  <c r="AT16" i="28"/>
  <c r="AO16" i="28"/>
  <c r="AN16" i="28"/>
  <c r="AM16" i="28"/>
  <c r="AL16" i="28"/>
  <c r="Y16" i="28"/>
  <c r="X16" i="28"/>
  <c r="W16" i="28"/>
  <c r="V16" i="28"/>
  <c r="BI15" i="28"/>
  <c r="BH15" i="28"/>
  <c r="BB15" i="28"/>
  <c r="BA15" i="28"/>
  <c r="AZ15" i="28"/>
  <c r="AY15" i="28"/>
  <c r="AS15" i="28"/>
  <c r="AR15" i="28"/>
  <c r="AQ15" i="28"/>
  <c r="AK15" i="28"/>
  <c r="AJ15" i="28"/>
  <c r="AH15" i="28"/>
  <c r="U15" i="28"/>
  <c r="T15" i="28"/>
  <c r="BB14" i="28"/>
  <c r="AS14" i="28"/>
  <c r="AK14" i="28"/>
  <c r="U14" i="28"/>
  <c r="BI13" i="28"/>
  <c r="BH13" i="28"/>
  <c r="BB13" i="28"/>
  <c r="BA13" i="28"/>
  <c r="AZ13" i="28"/>
  <c r="AY13" i="28"/>
  <c r="AS13" i="28"/>
  <c r="AR13" i="28"/>
  <c r="AQ13" i="28"/>
  <c r="AK13" i="28"/>
  <c r="AJ13" i="28"/>
  <c r="AH13" i="28"/>
  <c r="U13" i="28"/>
  <c r="T13" i="28"/>
  <c r="BI12" i="28"/>
  <c r="BH12" i="28"/>
  <c r="BB12" i="28"/>
  <c r="BA12" i="28"/>
  <c r="AZ12" i="28"/>
  <c r="AY12" i="28"/>
  <c r="AS12" i="28"/>
  <c r="AR12" i="28"/>
  <c r="AQ12" i="28"/>
  <c r="AK12" i="28"/>
  <c r="AJ12" i="28"/>
  <c r="AH12" i="28"/>
  <c r="U12" i="28"/>
  <c r="T12" i="28"/>
  <c r="AA12" i="28"/>
  <c r="BI11" i="28"/>
  <c r="BH11" i="28"/>
  <c r="BB11" i="28"/>
  <c r="BA11" i="28"/>
  <c r="AZ11" i="28"/>
  <c r="AY11" i="28"/>
  <c r="AS11" i="28"/>
  <c r="AR11" i="28"/>
  <c r="AQ11" i="28"/>
  <c r="AK11" i="28"/>
  <c r="AJ11" i="28"/>
  <c r="AH11" i="28"/>
  <c r="T11" i="28"/>
  <c r="BP10" i="28"/>
  <c r="BO10" i="28"/>
  <c r="BN10" i="28"/>
  <c r="BM10" i="28"/>
  <c r="BL10" i="28"/>
  <c r="BK10" i="28"/>
  <c r="BJ10" i="28"/>
  <c r="BG10" i="28"/>
  <c r="BF10" i="28"/>
  <c r="BE10" i="28"/>
  <c r="BD10" i="28"/>
  <c r="BC10" i="28"/>
  <c r="AX10" i="28"/>
  <c r="AW10" i="28"/>
  <c r="AV10" i="28"/>
  <c r="AU10" i="28"/>
  <c r="AT10" i="28"/>
  <c r="AP10" i="28"/>
  <c r="AO10" i="28"/>
  <c r="AN10" i="28"/>
  <c r="AM10" i="28"/>
  <c r="AL10" i="28"/>
  <c r="Y10" i="28"/>
  <c r="X10" i="28"/>
  <c r="W10" i="28"/>
  <c r="V10" i="28"/>
  <c r="B46" i="27"/>
  <c r="B45" i="27"/>
  <c r="B43" i="27"/>
  <c r="B42" i="27"/>
  <c r="B41" i="27"/>
  <c r="B40" i="27"/>
  <c r="B39" i="27"/>
  <c r="B38" i="27"/>
  <c r="B37" i="27"/>
  <c r="B36" i="27"/>
  <c r="BJ27" i="27"/>
  <c r="BI27" i="27"/>
  <c r="BH27" i="27"/>
  <c r="BF27" i="27"/>
  <c r="BE27" i="27"/>
  <c r="BC27" i="27"/>
  <c r="BB27" i="27"/>
  <c r="BM26" i="27"/>
  <c r="BJ26" i="27"/>
  <c r="BI26" i="27"/>
  <c r="BH26" i="27"/>
  <c r="BF26" i="27"/>
  <c r="BE26" i="27"/>
  <c r="BC26" i="27"/>
  <c r="BB26" i="27"/>
  <c r="BM25" i="27"/>
  <c r="BJ25" i="27"/>
  <c r="BI25" i="27"/>
  <c r="BH25" i="27"/>
  <c r="BF25" i="27"/>
  <c r="BE25" i="27"/>
  <c r="BC25" i="27"/>
  <c r="BB25" i="27"/>
  <c r="BM24" i="27"/>
  <c r="BL24" i="27"/>
  <c r="BK24" i="27"/>
  <c r="BJ24" i="27"/>
  <c r="BI24" i="27"/>
  <c r="BF24" i="27"/>
  <c r="BE24" i="27"/>
  <c r="BC24" i="27"/>
  <c r="BB24" i="27"/>
  <c r="AJ51" i="1"/>
  <c r="AJ52" i="1"/>
  <c r="D162" i="1"/>
  <c r="W29" i="28" l="1"/>
  <c r="Y29" i="28"/>
  <c r="U51" i="28"/>
  <c r="AW5" i="28"/>
  <c r="Y5" i="28"/>
  <c r="AC91" i="28"/>
  <c r="AF5" i="28"/>
  <c r="AO5" i="28"/>
  <c r="BF5" i="28"/>
  <c r="R37" i="28"/>
  <c r="U37" i="28"/>
  <c r="AK56" i="28"/>
  <c r="AE30" i="28"/>
  <c r="AE29" i="28" s="1"/>
  <c r="AE20" i="28" s="1"/>
  <c r="AE9" i="28" s="1"/>
  <c r="AE90" i="28" s="1"/>
  <c r="AE94" i="28" s="1"/>
  <c r="AB92" i="28"/>
  <c r="O37" i="28"/>
  <c r="Q51" i="28"/>
  <c r="O63" i="28"/>
  <c r="Q78" i="28"/>
  <c r="AF30" i="28"/>
  <c r="BN30" i="28"/>
  <c r="BN29" i="28" s="1"/>
  <c r="AK96" i="28"/>
  <c r="AK92" i="28"/>
  <c r="AK93" i="28"/>
  <c r="Q10" i="28"/>
  <c r="R83" i="28"/>
  <c r="AR37" i="28"/>
  <c r="BH37" i="28"/>
  <c r="AD30" i="28"/>
  <c r="AG30" i="28"/>
  <c r="BD26" i="27"/>
  <c r="BG26" i="27"/>
  <c r="BD27" i="27"/>
  <c r="BG27" i="27"/>
  <c r="AZ10" i="28"/>
  <c r="AR10" i="28"/>
  <c r="AR30" i="28"/>
  <c r="AN30" i="28"/>
  <c r="V91" i="28"/>
  <c r="AL91" i="28"/>
  <c r="AN91" i="28"/>
  <c r="BI83" i="28"/>
  <c r="AS92" i="28"/>
  <c r="AS93" i="28"/>
  <c r="AA31" i="28"/>
  <c r="AA37" i="28"/>
  <c r="R21" i="28"/>
  <c r="Q31" i="28"/>
  <c r="N34" i="28"/>
  <c r="Q37" i="28"/>
  <c r="P51" i="28"/>
  <c r="R51" i="28"/>
  <c r="P78" i="28"/>
  <c r="O83" i="28"/>
  <c r="Q83" i="28"/>
  <c r="S51" i="28"/>
  <c r="AX30" i="28"/>
  <c r="AX29" i="28" s="1"/>
  <c r="AX20" i="28" s="1"/>
  <c r="AX9" i="28" s="1"/>
  <c r="AX90" i="28" s="1"/>
  <c r="AP30" i="28"/>
  <c r="AP29" i="28" s="1"/>
  <c r="AK31" i="28"/>
  <c r="BD30" i="28"/>
  <c r="BD29" i="28" s="1"/>
  <c r="BD20" i="28" s="1"/>
  <c r="BD9" i="28" s="1"/>
  <c r="BD90" i="28" s="1"/>
  <c r="AM30" i="28"/>
  <c r="AM29" i="28" s="1"/>
  <c r="AM20" i="28" s="1"/>
  <c r="AM9" i="28" s="1"/>
  <c r="AM90" i="28" s="1"/>
  <c r="AM94" i="28" s="1"/>
  <c r="BF30" i="28"/>
  <c r="BF29" i="28" s="1"/>
  <c r="BF20" i="28" s="1"/>
  <c r="BF9" i="28" s="1"/>
  <c r="BF90" i="28" s="1"/>
  <c r="BE30" i="28"/>
  <c r="BE29" i="28" s="1"/>
  <c r="BE20" i="28" s="1"/>
  <c r="BE9" i="28" s="1"/>
  <c r="BE90" i="28" s="1"/>
  <c r="AB56" i="28"/>
  <c r="AV30" i="28"/>
  <c r="AW30" i="28"/>
  <c r="AW29" i="28" s="1"/>
  <c r="AC30" i="28"/>
  <c r="AC29" i="28" s="1"/>
  <c r="AC20" i="28" s="1"/>
  <c r="AC9" i="28" s="1"/>
  <c r="AC90" i="28" s="1"/>
  <c r="AL30" i="28"/>
  <c r="AL29" i="28" s="1"/>
  <c r="AL20" i="28" s="1"/>
  <c r="AL9" i="28" s="1"/>
  <c r="AL90" i="28" s="1"/>
  <c r="AT30" i="28"/>
  <c r="AT29" i="28" s="1"/>
  <c r="AT20" i="28" s="1"/>
  <c r="AT9" i="28" s="1"/>
  <c r="AT90" i="28" s="1"/>
  <c r="BC30" i="28"/>
  <c r="BC29" i="28" s="1"/>
  <c r="BC20" i="28" s="1"/>
  <c r="BC9" i="28" s="1"/>
  <c r="BC90" i="28" s="1"/>
  <c r="O10" i="28"/>
  <c r="AS31" i="28"/>
  <c r="BB96" i="28"/>
  <c r="AU30" i="28"/>
  <c r="AU29" i="28" s="1"/>
  <c r="AU20" i="28" s="1"/>
  <c r="AU9" i="28" s="1"/>
  <c r="AU90" i="28" s="1"/>
  <c r="O30" i="28"/>
  <c r="P63" i="28"/>
  <c r="R63" i="28"/>
  <c r="S63" i="28"/>
  <c r="AD29" i="28"/>
  <c r="AD20" i="28" s="1"/>
  <c r="AD9" i="28" s="1"/>
  <c r="AD90" i="28" s="1"/>
  <c r="AF29" i="28"/>
  <c r="AF20" i="28" s="1"/>
  <c r="AF9" i="28" s="1"/>
  <c r="AF90" i="28" s="1"/>
  <c r="P37" i="28"/>
  <c r="P30" i="28" s="1"/>
  <c r="S37" i="28"/>
  <c r="AK10" i="28"/>
  <c r="BL30" i="28"/>
  <c r="BL29" i="28" s="1"/>
  <c r="BP30" i="28"/>
  <c r="BP29" i="28" s="1"/>
  <c r="R31" i="28"/>
  <c r="R30" i="28" s="1"/>
  <c r="R10" i="28"/>
  <c r="P10" i="28"/>
  <c r="BH78" i="28"/>
  <c r="S78" i="28"/>
  <c r="AH10" i="28"/>
  <c r="AY10" i="28"/>
  <c r="BA10" i="28"/>
  <c r="BH10" i="28"/>
  <c r="Q16" i="28"/>
  <c r="AR16" i="28"/>
  <c r="BM20" i="28"/>
  <c r="BM9" i="28" s="1"/>
  <c r="BM90" i="28" s="1"/>
  <c r="AH21" i="28"/>
  <c r="V30" i="28"/>
  <c r="V29" i="28" s="1"/>
  <c r="V20" i="28" s="1"/>
  <c r="V9" i="28" s="1"/>
  <c r="X30" i="28"/>
  <c r="X29" i="28" s="1"/>
  <c r="X20" i="28" s="1"/>
  <c r="X9" i="28" s="1"/>
  <c r="X90" i="28" s="1"/>
  <c r="X94" i="28" s="1"/>
  <c r="AN29" i="28"/>
  <c r="AN20" i="28" s="1"/>
  <c r="AN9" i="28" s="1"/>
  <c r="AN90" i="28" s="1"/>
  <c r="AN94" i="28" s="1"/>
  <c r="AV29" i="28"/>
  <c r="AV20" i="28" s="1"/>
  <c r="AV9" i="28" s="1"/>
  <c r="AV90" i="28" s="1"/>
  <c r="Q44" i="28"/>
  <c r="U44" i="28"/>
  <c r="S44" i="28"/>
  <c r="AA56" i="28"/>
  <c r="AT91" i="28"/>
  <c r="AV91" i="28"/>
  <c r="AB44" i="28"/>
  <c r="N84" i="28"/>
  <c r="M84" i="28" s="1"/>
  <c r="AB51" i="28"/>
  <c r="BN27" i="27"/>
  <c r="BN26" i="27"/>
  <c r="BI96" i="28"/>
  <c r="N17" i="28"/>
  <c r="N18" i="28"/>
  <c r="N19" i="28"/>
  <c r="N22" i="28"/>
  <c r="M22" i="28" s="1"/>
  <c r="N26" i="28"/>
  <c r="N32" i="28"/>
  <c r="M32" i="28" s="1"/>
  <c r="N40" i="28"/>
  <c r="M40" i="28" s="1"/>
  <c r="N50" i="28"/>
  <c r="M50" i="28" s="1"/>
  <c r="P56" i="28"/>
  <c r="R56" i="28"/>
  <c r="N69" i="28"/>
  <c r="M69" i="28" s="1"/>
  <c r="AJ10" i="28"/>
  <c r="BB10" i="28"/>
  <c r="T10" i="28"/>
  <c r="AZ16" i="28"/>
  <c r="AB37" i="28"/>
  <c r="N80" i="28"/>
  <c r="M80" i="28" s="1"/>
  <c r="N82" i="28"/>
  <c r="M82" i="28" s="1"/>
  <c r="N87" i="28"/>
  <c r="BO5" i="28"/>
  <c r="AS78" i="28"/>
  <c r="N28" i="28"/>
  <c r="M28" i="28" s="1"/>
  <c r="O56" i="28"/>
  <c r="O29" i="28" s="1"/>
  <c r="Q56" i="28"/>
  <c r="BB83" i="28"/>
  <c r="AB31" i="28"/>
  <c r="AB63" i="28"/>
  <c r="AB71" i="28"/>
  <c r="BO6" i="28"/>
  <c r="BF6" i="28"/>
  <c r="AU91" i="28"/>
  <c r="AW91" i="28"/>
  <c r="AX91" i="28"/>
  <c r="AD91" i="28"/>
  <c r="AF91" i="28"/>
  <c r="AG91" i="28"/>
  <c r="U91" i="28"/>
  <c r="AS21" i="28"/>
  <c r="N35" i="28"/>
  <c r="M35" i="28" s="1"/>
  <c r="N54" i="28"/>
  <c r="M54" i="28" s="1"/>
  <c r="N60" i="28"/>
  <c r="M60" i="28" s="1"/>
  <c r="N66" i="28"/>
  <c r="M66" i="28" s="1"/>
  <c r="BB37" i="28"/>
  <c r="N57" i="28"/>
  <c r="M57" i="28" s="1"/>
  <c r="AJ56" i="28"/>
  <c r="AJ44" i="28" s="1"/>
  <c r="AJ30" i="28" s="1"/>
  <c r="AJ29" i="28" s="1"/>
  <c r="T56" i="28"/>
  <c r="T44" i="28" s="1"/>
  <c r="AR56" i="28"/>
  <c r="AR44" i="28" s="1"/>
  <c r="AK63" i="28"/>
  <c r="BB63" i="28"/>
  <c r="U63" i="28"/>
  <c r="BI63" i="28"/>
  <c r="AW20" i="28"/>
  <c r="AW9" i="28" s="1"/>
  <c r="AW90" i="28" s="1"/>
  <c r="BO20" i="28"/>
  <c r="BO9" i="28" s="1"/>
  <c r="BO90" i="28" s="1"/>
  <c r="S56" i="28"/>
  <c r="N85" i="28"/>
  <c r="M85" i="28" s="1"/>
  <c r="T16" i="28"/>
  <c r="AJ16" i="28"/>
  <c r="BB16" i="28"/>
  <c r="BH16" i="28"/>
  <c r="BN20" i="28"/>
  <c r="BN9" i="28" s="1"/>
  <c r="BN90" i="28" s="1"/>
  <c r="AK37" i="28"/>
  <c r="AS37" i="28"/>
  <c r="T30" i="28"/>
  <c r="R44" i="28"/>
  <c r="AK51" i="28"/>
  <c r="BI51" i="28"/>
  <c r="AH56" i="28"/>
  <c r="AH44" i="28" s="1"/>
  <c r="U56" i="28"/>
  <c r="AQ56" i="28"/>
  <c r="AQ44" i="28" s="1"/>
  <c r="AS56" i="28"/>
  <c r="N64" i="28"/>
  <c r="M64" i="28" s="1"/>
  <c r="AS63" i="28"/>
  <c r="BB78" i="28"/>
  <c r="N11" i="28"/>
  <c r="N39" i="28"/>
  <c r="M39" i="28" s="1"/>
  <c r="AB78" i="28"/>
  <c r="AB96" i="28"/>
  <c r="N86" i="28"/>
  <c r="N92" i="28" s="1"/>
  <c r="AS95" i="28"/>
  <c r="AS16" i="28"/>
  <c r="AH16" i="28"/>
  <c r="AK16" i="28"/>
  <c r="AY16" i="28"/>
  <c r="BA16" i="28"/>
  <c r="BI16" i="28"/>
  <c r="AJ21" i="28"/>
  <c r="Y20" i="28"/>
  <c r="Y9" i="28" s="1"/>
  <c r="Y90" i="28" s="1"/>
  <c r="Y94" i="28" s="1"/>
  <c r="U30" i="28"/>
  <c r="BI31" i="28"/>
  <c r="BI56" i="28"/>
  <c r="AK78" i="28"/>
  <c r="BI78" i="28"/>
  <c r="BI91" i="28" s="1"/>
  <c r="U96" i="28"/>
  <c r="AS96" i="28"/>
  <c r="AH37" i="28"/>
  <c r="AH30" i="28" s="1"/>
  <c r="AY37" i="28"/>
  <c r="AY30" i="28" s="1"/>
  <c r="BA37" i="28"/>
  <c r="BA30" i="28" s="1"/>
  <c r="N12" i="28"/>
  <c r="N43" i="28"/>
  <c r="M43" i="28" s="1"/>
  <c r="N48" i="28"/>
  <c r="M48" i="28" s="1"/>
  <c r="N52" i="28"/>
  <c r="M52" i="28" s="1"/>
  <c r="BJ20" i="28"/>
  <c r="BJ9" i="28" s="1"/>
  <c r="BJ90" i="28" s="1"/>
  <c r="AZ20" i="28"/>
  <c r="AZ9" i="28" s="1"/>
  <c r="BL20" i="28"/>
  <c r="BL9" i="28" s="1"/>
  <c r="BL90" i="28" s="1"/>
  <c r="BB44" i="28"/>
  <c r="N15" i="28"/>
  <c r="M15" i="28" s="1"/>
  <c r="N14" i="28"/>
  <c r="M14" i="28" s="1"/>
  <c r="N13" i="28"/>
  <c r="M13" i="28" s="1"/>
  <c r="N25" i="28"/>
  <c r="N36" i="28"/>
  <c r="M36" i="28" s="1"/>
  <c r="N38" i="28"/>
  <c r="M38" i="28" s="1"/>
  <c r="N47" i="28"/>
  <c r="M47" i="28" s="1"/>
  <c r="N61" i="28"/>
  <c r="M61" i="28" s="1"/>
  <c r="N79" i="28"/>
  <c r="M79" i="28" s="1"/>
  <c r="BC91" i="28"/>
  <c r="BE91" i="28"/>
  <c r="BJ91" i="28"/>
  <c r="BL91" i="28"/>
  <c r="BN91" i="28"/>
  <c r="BP91" i="28"/>
  <c r="N81" i="28"/>
  <c r="M81" i="28" s="1"/>
  <c r="BD91" i="28"/>
  <c r="BF91" i="28"/>
  <c r="BG91" i="28"/>
  <c r="BK91" i="28"/>
  <c r="BM91" i="28"/>
  <c r="BO91" i="28"/>
  <c r="AG29" i="28"/>
  <c r="AK71" i="28"/>
  <c r="N65" i="28"/>
  <c r="M65" i="28" s="1"/>
  <c r="BB51" i="28"/>
  <c r="AS51" i="28"/>
  <c r="N53" i="28"/>
  <c r="M53" i="28" s="1"/>
  <c r="N49" i="28"/>
  <c r="M49" i="28" s="1"/>
  <c r="AS44" i="28"/>
  <c r="BI44" i="28"/>
  <c r="O44" i="28"/>
  <c r="AK44" i="28"/>
  <c r="N46" i="28"/>
  <c r="M46" i="28" s="1"/>
  <c r="P44" i="28"/>
  <c r="N45" i="28"/>
  <c r="M45" i="28" s="1"/>
  <c r="BI37" i="28"/>
  <c r="N41" i="28"/>
  <c r="M41" i="28" s="1"/>
  <c r="N33" i="28"/>
  <c r="M33" i="28" s="1"/>
  <c r="BK20" i="28"/>
  <c r="BK9" i="28" s="1"/>
  <c r="BK90" i="28" s="1"/>
  <c r="M101" i="28"/>
  <c r="M103" i="28"/>
  <c r="N73" i="28"/>
  <c r="M73" i="28" s="1"/>
  <c r="N59" i="28"/>
  <c r="M59" i="28" s="1"/>
  <c r="N27" i="28"/>
  <c r="M27" i="28" s="1"/>
  <c r="AO20" i="28"/>
  <c r="AO9" i="28" s="1"/>
  <c r="AO90" i="28" s="1"/>
  <c r="AO94" i="28" s="1"/>
  <c r="AA21" i="28"/>
  <c r="N24" i="28"/>
  <c r="U21" i="28"/>
  <c r="N23" i="28"/>
  <c r="M23" i="28" s="1"/>
  <c r="AA30" i="28"/>
  <c r="AA29" i="28" s="1"/>
  <c r="Z20" i="28"/>
  <c r="W20" i="28"/>
  <c r="W9" i="28" s="1"/>
  <c r="W90" i="28" s="1"/>
  <c r="T21" i="28"/>
  <c r="AR21" i="28"/>
  <c r="BH21" i="28"/>
  <c r="BH20" i="28" s="1"/>
  <c r="AQ16" i="28"/>
  <c r="AB16" i="28"/>
  <c r="AQ10" i="28"/>
  <c r="M100" i="28"/>
  <c r="BI10" i="28"/>
  <c r="AS10" i="28"/>
  <c r="AA10" i="28"/>
  <c r="BC30" i="27"/>
  <c r="BF30" i="27"/>
  <c r="BI30" i="27"/>
  <c r="BM30" i="27"/>
  <c r="BB30" i="27"/>
  <c r="BE30" i="27"/>
  <c r="BH30" i="27"/>
  <c r="BJ30" i="27"/>
  <c r="BL30" i="27"/>
  <c r="BD28" i="27"/>
  <c r="BG28" i="27"/>
  <c r="AA44" i="28"/>
  <c r="N68" i="28"/>
  <c r="P16" i="28"/>
  <c r="R16" i="28"/>
  <c r="O21" i="28"/>
  <c r="Q21" i="28"/>
  <c r="P91" i="28"/>
  <c r="R91" i="28"/>
  <c r="S91" i="28"/>
  <c r="O91" i="28"/>
  <c r="Q91" i="28"/>
  <c r="BD25" i="27"/>
  <c r="BG25" i="27"/>
  <c r="M102" i="28"/>
  <c r="M99" i="28"/>
  <c r="BP92" i="28"/>
  <c r="BG92" i="28"/>
  <c r="BD24" i="27"/>
  <c r="BG24" i="27"/>
  <c r="M76" i="1"/>
  <c r="N76" i="1"/>
  <c r="O76" i="1"/>
  <c r="P76" i="1"/>
  <c r="Q76" i="1"/>
  <c r="R76" i="1"/>
  <c r="AD76" i="1"/>
  <c r="AJ76" i="1"/>
  <c r="AP76" i="1"/>
  <c r="AV76" i="1"/>
  <c r="BB76" i="1"/>
  <c r="BH76" i="1"/>
  <c r="BN76" i="1"/>
  <c r="BO94" i="28" l="1"/>
  <c r="T29" i="28"/>
  <c r="T20" i="28" s="1"/>
  <c r="T9" i="28" s="1"/>
  <c r="BA29" i="28"/>
  <c r="BA20" i="28" s="1"/>
  <c r="BA9" i="28" s="1"/>
  <c r="AH29" i="28"/>
  <c r="AH20" i="28" s="1"/>
  <c r="AH9" i="28" s="1"/>
  <c r="AS98" i="28"/>
  <c r="AR29" i="28"/>
  <c r="AQ29" i="28"/>
  <c r="AY29" i="28"/>
  <c r="AY20" i="28" s="1"/>
  <c r="AY9" i="28" s="1"/>
  <c r="M87" i="28"/>
  <c r="M86" i="28" s="1"/>
  <c r="M92" i="28" s="1"/>
  <c r="R29" i="28"/>
  <c r="R20" i="28" s="1"/>
  <c r="AK91" i="28"/>
  <c r="AB91" i="28"/>
  <c r="AS91" i="28"/>
  <c r="BH9" i="28"/>
  <c r="AX94" i="28"/>
  <c r="Q30" i="28"/>
  <c r="Q29" i="28" s="1"/>
  <c r="Q20" i="28" s="1"/>
  <c r="Q9" i="28" s="1"/>
  <c r="Q90" i="28" s="1"/>
  <c r="Q94" i="28" s="1"/>
  <c r="AK98" i="28"/>
  <c r="AB98" i="28"/>
  <c r="M63" i="28"/>
  <c r="N63" i="28"/>
  <c r="AK30" i="28"/>
  <c r="AK29" i="28" s="1"/>
  <c r="AB30" i="28"/>
  <c r="AB29" i="28" s="1"/>
  <c r="N31" i="28"/>
  <c r="AS30" i="28"/>
  <c r="AS29" i="28" s="1"/>
  <c r="P29" i="28"/>
  <c r="P20" i="28" s="1"/>
  <c r="P9" i="28" s="1"/>
  <c r="P90" i="28" s="1"/>
  <c r="P94" i="28" s="1"/>
  <c r="N83" i="28"/>
  <c r="AF94" i="28"/>
  <c r="V90" i="28"/>
  <c r="M68" i="28"/>
  <c r="BC94" i="28"/>
  <c r="BD94" i="28"/>
  <c r="M71" i="28"/>
  <c r="M51" i="28"/>
  <c r="M37" i="28"/>
  <c r="BF94" i="28"/>
  <c r="BI30" i="28"/>
  <c r="BI29" i="28" s="1"/>
  <c r="BM94" i="28"/>
  <c r="AT94" i="28"/>
  <c r="AV94" i="28"/>
  <c r="AL94" i="28"/>
  <c r="BK94" i="28"/>
  <c r="BB91" i="28"/>
  <c r="BL94" i="28"/>
  <c r="AU94" i="28"/>
  <c r="AS20" i="28"/>
  <c r="AS9" i="28" s="1"/>
  <c r="BN94" i="28"/>
  <c r="BB98" i="28"/>
  <c r="AQ20" i="28"/>
  <c r="AQ9" i="28" s="1"/>
  <c r="BN28" i="27"/>
  <c r="AJ20" i="28"/>
  <c r="AJ9" i="28" s="1"/>
  <c r="AR20" i="28"/>
  <c r="AR9" i="28" s="1"/>
  <c r="U29" i="28"/>
  <c r="M83" i="28"/>
  <c r="AW94" i="28"/>
  <c r="AD94" i="28"/>
  <c r="M96" i="28"/>
  <c r="BE94" i="28"/>
  <c r="BJ94" i="28"/>
  <c r="N56" i="28"/>
  <c r="N21" i="28"/>
  <c r="N71" i="28"/>
  <c r="N51" i="28"/>
  <c r="N44" i="28"/>
  <c r="M44" i="28" s="1"/>
  <c r="N37" i="28"/>
  <c r="AS90" i="28"/>
  <c r="BI98" i="28"/>
  <c r="O20" i="28"/>
  <c r="O9" i="28" s="1"/>
  <c r="O90" i="28" s="1"/>
  <c r="O94" i="28" s="1"/>
  <c r="AA20" i="28"/>
  <c r="AA9" i="28" s="1"/>
  <c r="U20" i="28"/>
  <c r="N91" i="28"/>
  <c r="R9" i="28"/>
  <c r="R90" i="28" s="1"/>
  <c r="R94" i="28" s="1"/>
  <c r="W94" i="28"/>
  <c r="BD30" i="27"/>
  <c r="BG30" i="27"/>
  <c r="AC94" i="28"/>
  <c r="N10" i="28"/>
  <c r="BN25" i="27"/>
  <c r="N16" i="28"/>
  <c r="BN24" i="27"/>
  <c r="L76" i="1"/>
  <c r="V94" i="28" l="1"/>
  <c r="U98" i="28"/>
  <c r="AS94" i="28"/>
  <c r="AS97" i="28"/>
  <c r="N30" i="28"/>
  <c r="N29" i="28" s="1"/>
  <c r="N20" i="28" s="1"/>
  <c r="N9" i="28" s="1"/>
  <c r="N90" i="28" s="1"/>
  <c r="N94" i="28" s="1"/>
  <c r="M56" i="28"/>
  <c r="M91" i="28"/>
  <c r="K76" i="1"/>
  <c r="K58" i="28" s="1"/>
  <c r="I58" i="28" s="1"/>
  <c r="L58" i="28"/>
  <c r="BN30" i="27"/>
  <c r="F15" i="24" l="1"/>
  <c r="BB98" i="1"/>
  <c r="BB99" i="1"/>
  <c r="BB100" i="1"/>
  <c r="AV98" i="1"/>
  <c r="AV99" i="1"/>
  <c r="AV100" i="1"/>
  <c r="AP98" i="1"/>
  <c r="AP99" i="1"/>
  <c r="AP100" i="1"/>
  <c r="I158" i="1"/>
  <c r="BU49" i="1" l="1"/>
  <c r="BU55" i="1"/>
  <c r="BU62" i="1"/>
  <c r="BU69" i="1"/>
  <c r="BU86" i="1"/>
  <c r="BO49" i="1"/>
  <c r="BO55" i="1"/>
  <c r="BO62" i="1"/>
  <c r="BO69" i="1"/>
  <c r="BI75" i="1"/>
  <c r="BI74" i="1" s="1"/>
  <c r="M105" i="1"/>
  <c r="N105" i="1"/>
  <c r="Q105" i="1"/>
  <c r="BA89" i="1"/>
  <c r="AZ89" i="1"/>
  <c r="AY89" i="1"/>
  <c r="AX89" i="1"/>
  <c r="AW89" i="1"/>
  <c r="AU89" i="1"/>
  <c r="AT89" i="1"/>
  <c r="AS89" i="1"/>
  <c r="AR89" i="1"/>
  <c r="AQ89" i="1"/>
  <c r="AO89" i="1"/>
  <c r="AN89" i="1"/>
  <c r="AM89" i="1"/>
  <c r="AL89" i="1"/>
  <c r="AK89" i="1"/>
  <c r="BN79" i="1"/>
  <c r="BN78" i="1"/>
  <c r="BN77" i="1"/>
  <c r="BY75" i="1"/>
  <c r="BY74" i="1" s="1"/>
  <c r="BX75" i="1"/>
  <c r="BX74" i="1" s="1"/>
  <c r="BW75" i="1"/>
  <c r="BW74" i="1" s="1"/>
  <c r="BV75" i="1"/>
  <c r="BV74" i="1" s="1"/>
  <c r="BU75" i="1"/>
  <c r="BU74" i="1" s="1"/>
  <c r="BT75" i="1"/>
  <c r="BT74" i="1" s="1"/>
  <c r="BS75" i="1"/>
  <c r="BS74" i="1" s="1"/>
  <c r="BR75" i="1"/>
  <c r="BR74" i="1" s="1"/>
  <c r="BQ75" i="1"/>
  <c r="BQ74" i="1" s="1"/>
  <c r="BP75" i="1"/>
  <c r="BP74" i="1" s="1"/>
  <c r="BO75" i="1"/>
  <c r="BO74" i="1" s="1"/>
  <c r="Y75" i="1"/>
  <c r="S75" i="1"/>
  <c r="BY49" i="1"/>
  <c r="BX49" i="1"/>
  <c r="BW49" i="1"/>
  <c r="BV49" i="1"/>
  <c r="BS49" i="1"/>
  <c r="BR49" i="1"/>
  <c r="BQ49" i="1"/>
  <c r="BP49" i="1"/>
  <c r="BM49" i="1"/>
  <c r="BL49" i="1"/>
  <c r="BK49" i="1"/>
  <c r="BJ49" i="1"/>
  <c r="BI49" i="1"/>
  <c r="BG49" i="1"/>
  <c r="BF49" i="1"/>
  <c r="BE49" i="1"/>
  <c r="BD49" i="1"/>
  <c r="BC49" i="1"/>
  <c r="BA49" i="1"/>
  <c r="AZ49" i="1"/>
  <c r="AY49" i="1"/>
  <c r="AX49" i="1"/>
  <c r="AW49" i="1"/>
  <c r="AU49" i="1"/>
  <c r="AT49" i="1"/>
  <c r="AS49" i="1"/>
  <c r="AR49" i="1"/>
  <c r="AQ49" i="1"/>
  <c r="AO49" i="1"/>
  <c r="AN49" i="1"/>
  <c r="AM49" i="1"/>
  <c r="AL49" i="1"/>
  <c r="AK49" i="1"/>
  <c r="AI49" i="1"/>
  <c r="AH49" i="1"/>
  <c r="AG49" i="1"/>
  <c r="AF49" i="1"/>
  <c r="AE49" i="1"/>
  <c r="AC49" i="1"/>
  <c r="AB49" i="1"/>
  <c r="AA49" i="1"/>
  <c r="Z49" i="1"/>
  <c r="Y49" i="1"/>
  <c r="W49" i="1"/>
  <c r="V49" i="1"/>
  <c r="U49" i="1"/>
  <c r="T49" i="1"/>
  <c r="S49" i="1"/>
  <c r="BN75" i="1" l="1"/>
  <c r="BN74" i="1" s="1"/>
  <c r="BU48" i="1"/>
  <c r="BO48" i="1"/>
  <c r="BY86" i="1"/>
  <c r="BX86" i="1"/>
  <c r="BW86" i="1"/>
  <c r="BV86" i="1"/>
  <c r="BS86" i="1"/>
  <c r="BR86" i="1"/>
  <c r="BQ86" i="1"/>
  <c r="BP86" i="1"/>
  <c r="BO86" i="1"/>
  <c r="BM86" i="1"/>
  <c r="BL86" i="1"/>
  <c r="BK86" i="1"/>
  <c r="BJ86" i="1"/>
  <c r="BI86" i="1"/>
  <c r="BG86" i="1"/>
  <c r="BF86" i="1"/>
  <c r="BE86" i="1"/>
  <c r="BD86" i="1"/>
  <c r="BC86" i="1"/>
  <c r="AU86" i="1"/>
  <c r="AT86" i="1"/>
  <c r="AS86" i="1"/>
  <c r="AR86" i="1"/>
  <c r="AQ86" i="1"/>
  <c r="AQ75" i="1"/>
  <c r="AQ74" i="1" s="1"/>
  <c r="AQ69" i="1"/>
  <c r="AQ62" i="1"/>
  <c r="AQ55" i="1"/>
  <c r="AW82" i="1"/>
  <c r="AW81" i="1" s="1"/>
  <c r="AW86" i="1"/>
  <c r="AK55" i="1"/>
  <c r="AE62" i="1"/>
  <c r="AF62" i="1"/>
  <c r="AG62" i="1"/>
  <c r="AH62" i="1"/>
  <c r="AI62" i="1"/>
  <c r="AK62" i="1"/>
  <c r="AL62" i="1"/>
  <c r="AM62" i="1"/>
  <c r="AN62" i="1"/>
  <c r="AO62" i="1"/>
  <c r="AR62" i="1"/>
  <c r="AS62" i="1"/>
  <c r="AT62" i="1"/>
  <c r="AU62" i="1"/>
  <c r="AW62" i="1"/>
  <c r="AX62" i="1"/>
  <c r="AY62" i="1"/>
  <c r="AZ62" i="1"/>
  <c r="BA62" i="1"/>
  <c r="BC62" i="1"/>
  <c r="BD62" i="1"/>
  <c r="BE62" i="1"/>
  <c r="BF62" i="1"/>
  <c r="BG62" i="1"/>
  <c r="BI62" i="1"/>
  <c r="BJ62" i="1"/>
  <c r="BK62" i="1"/>
  <c r="BL62" i="1"/>
  <c r="BM62" i="1"/>
  <c r="BP62" i="1"/>
  <c r="BQ62" i="1"/>
  <c r="BR62" i="1"/>
  <c r="BS62" i="1"/>
  <c r="BV62" i="1"/>
  <c r="BW62" i="1"/>
  <c r="BX62" i="1"/>
  <c r="BY62" i="1"/>
  <c r="AV54" i="1"/>
  <c r="AP51" i="1"/>
  <c r="R51" i="1"/>
  <c r="Q51" i="1"/>
  <c r="P51" i="1"/>
  <c r="O51" i="1"/>
  <c r="N51" i="1"/>
  <c r="M51" i="1"/>
  <c r="AJ100" i="1"/>
  <c r="M100" i="1"/>
  <c r="N100" i="1"/>
  <c r="O100" i="1"/>
  <c r="P100" i="1"/>
  <c r="Q100" i="1"/>
  <c r="BH77" i="1"/>
  <c r="BB77" i="1"/>
  <c r="AV77" i="1"/>
  <c r="AP77" i="1"/>
  <c r="AJ77" i="1"/>
  <c r="AD77" i="1"/>
  <c r="R77" i="1"/>
  <c r="Q77" i="1"/>
  <c r="P77" i="1"/>
  <c r="O77" i="1"/>
  <c r="N77" i="1"/>
  <c r="M77" i="1"/>
  <c r="R72" i="1"/>
  <c r="R71" i="1"/>
  <c r="R70" i="1"/>
  <c r="X72" i="1"/>
  <c r="X71" i="1"/>
  <c r="X70" i="1"/>
  <c r="AD72" i="1"/>
  <c r="AD71" i="1"/>
  <c r="AD70" i="1"/>
  <c r="AJ72" i="1"/>
  <c r="AJ71" i="1"/>
  <c r="AJ70" i="1"/>
  <c r="AP72" i="1"/>
  <c r="AP71" i="1"/>
  <c r="AP70" i="1"/>
  <c r="AV72" i="1"/>
  <c r="AV71" i="1"/>
  <c r="AV70" i="1"/>
  <c r="BB72" i="1"/>
  <c r="BB71" i="1"/>
  <c r="BB70" i="1"/>
  <c r="BH72" i="1"/>
  <c r="BH71" i="1"/>
  <c r="BH70" i="1"/>
  <c r="BN72" i="1"/>
  <c r="BN71" i="1"/>
  <c r="BN70" i="1"/>
  <c r="BT72" i="1"/>
  <c r="BT71" i="1"/>
  <c r="BT70" i="1"/>
  <c r="Q72" i="1"/>
  <c r="P72" i="1"/>
  <c r="O72" i="1"/>
  <c r="N72" i="1"/>
  <c r="M72" i="1"/>
  <c r="Q71" i="1"/>
  <c r="P71" i="1"/>
  <c r="O71" i="1"/>
  <c r="N71" i="1"/>
  <c r="M71" i="1"/>
  <c r="Q70" i="1"/>
  <c r="P70" i="1"/>
  <c r="O70" i="1"/>
  <c r="N70" i="1"/>
  <c r="M70" i="1"/>
  <c r="S69" i="1"/>
  <c r="T69" i="1"/>
  <c r="U69" i="1"/>
  <c r="V69" i="1"/>
  <c r="W69" i="1"/>
  <c r="Y69" i="1"/>
  <c r="Z69" i="1"/>
  <c r="AA69" i="1"/>
  <c r="AB69" i="1"/>
  <c r="AC69" i="1"/>
  <c r="AE69" i="1"/>
  <c r="AF69" i="1"/>
  <c r="AG69" i="1"/>
  <c r="AH69" i="1"/>
  <c r="AI69" i="1"/>
  <c r="AK69" i="1"/>
  <c r="AL69" i="1"/>
  <c r="AM69" i="1"/>
  <c r="AN69" i="1"/>
  <c r="AO69" i="1"/>
  <c r="AR69" i="1"/>
  <c r="AS69" i="1"/>
  <c r="AT69" i="1"/>
  <c r="AU69" i="1"/>
  <c r="AW69" i="1"/>
  <c r="AX69" i="1"/>
  <c r="AY69" i="1"/>
  <c r="AZ69" i="1"/>
  <c r="BA69" i="1"/>
  <c r="BC69" i="1"/>
  <c r="BD69" i="1"/>
  <c r="BE69" i="1"/>
  <c r="BF69" i="1"/>
  <c r="BG69" i="1"/>
  <c r="BI69" i="1"/>
  <c r="BJ69" i="1"/>
  <c r="BK69" i="1"/>
  <c r="BL69" i="1"/>
  <c r="BM69" i="1"/>
  <c r="BP69" i="1"/>
  <c r="BQ69" i="1"/>
  <c r="BR69" i="1"/>
  <c r="BS69" i="1"/>
  <c r="BV69" i="1"/>
  <c r="BW69" i="1"/>
  <c r="BX69" i="1"/>
  <c r="BY69" i="1"/>
  <c r="BT59" i="1"/>
  <c r="BN59" i="1"/>
  <c r="AV59" i="1"/>
  <c r="AP59" i="1"/>
  <c r="AJ59" i="1"/>
  <c r="AD59" i="1"/>
  <c r="R59" i="1"/>
  <c r="Q59" i="1"/>
  <c r="P59" i="1"/>
  <c r="O59" i="1"/>
  <c r="N59" i="1"/>
  <c r="M59" i="1"/>
  <c r="BN58" i="1"/>
  <c r="AV58" i="1"/>
  <c r="AP58" i="1"/>
  <c r="AJ58" i="1"/>
  <c r="AD58" i="1"/>
  <c r="R58" i="1"/>
  <c r="Q58" i="1"/>
  <c r="P58" i="1"/>
  <c r="O58" i="1"/>
  <c r="N58" i="1"/>
  <c r="M58" i="1"/>
  <c r="BH56" i="1"/>
  <c r="AV56" i="1"/>
  <c r="AP56" i="1"/>
  <c r="AJ56" i="1"/>
  <c r="AD56" i="1"/>
  <c r="R56" i="1"/>
  <c r="Q56" i="1"/>
  <c r="P56" i="1"/>
  <c r="O56" i="1"/>
  <c r="N56" i="1"/>
  <c r="M56" i="1"/>
  <c r="M54" i="1"/>
  <c r="N54" i="1"/>
  <c r="O54" i="1"/>
  <c r="P54" i="1"/>
  <c r="Q54" i="1"/>
  <c r="P69" i="1" l="1"/>
  <c r="BN69" i="1"/>
  <c r="R69" i="1"/>
  <c r="AQ48" i="1"/>
  <c r="AK48" i="1"/>
  <c r="BH69" i="1"/>
  <c r="L72" i="1"/>
  <c r="L51" i="1"/>
  <c r="K51" i="1" s="1"/>
  <c r="L100" i="1"/>
  <c r="Q69" i="1"/>
  <c r="N69" i="1"/>
  <c r="L70" i="1"/>
  <c r="BB69" i="1"/>
  <c r="AP69" i="1"/>
  <c r="AD69" i="1"/>
  <c r="L77" i="1"/>
  <c r="M69" i="1"/>
  <c r="O69" i="1"/>
  <c r="L71" i="1"/>
  <c r="BT69" i="1"/>
  <c r="AV69" i="1"/>
  <c r="AJ69" i="1"/>
  <c r="X69" i="1"/>
  <c r="L58" i="1"/>
  <c r="L59" i="1"/>
  <c r="L56" i="1"/>
  <c r="L54" i="1"/>
  <c r="BB64" i="1"/>
  <c r="BB65" i="1"/>
  <c r="AV64" i="1"/>
  <c r="AV65" i="1"/>
  <c r="BT64" i="1"/>
  <c r="BN64" i="1"/>
  <c r="BH64" i="1"/>
  <c r="AP64" i="1"/>
  <c r="AJ64" i="1"/>
  <c r="AD64" i="1"/>
  <c r="Q64" i="1"/>
  <c r="P64" i="1"/>
  <c r="O64" i="1"/>
  <c r="N64" i="1"/>
  <c r="M64" i="1"/>
  <c r="BT61" i="1"/>
  <c r="BN61" i="1"/>
  <c r="AV61" i="1"/>
  <c r="AP61" i="1"/>
  <c r="AJ61" i="1"/>
  <c r="AD61" i="1"/>
  <c r="R61" i="1"/>
  <c r="Q61" i="1"/>
  <c r="P61" i="1"/>
  <c r="O61" i="1"/>
  <c r="N61" i="1"/>
  <c r="M61" i="1"/>
  <c r="K58" i="1" l="1"/>
  <c r="K40" i="28" s="1"/>
  <c r="I40" i="28" s="1"/>
  <c r="L40" i="28"/>
  <c r="J40" i="28" s="1"/>
  <c r="K72" i="1"/>
  <c r="K54" i="28" s="1"/>
  <c r="I54" i="28" s="1"/>
  <c r="L54" i="28"/>
  <c r="J54" i="28" s="1"/>
  <c r="K54" i="1"/>
  <c r="K36" i="28" s="1"/>
  <c r="I36" i="28" s="1"/>
  <c r="L36" i="28"/>
  <c r="J36" i="28" s="1"/>
  <c r="K59" i="1"/>
  <c r="K41" i="28" s="1"/>
  <c r="I41" i="28" s="1"/>
  <c r="L41" i="28"/>
  <c r="J41" i="28" s="1"/>
  <c r="K71" i="1"/>
  <c r="K53" i="28" s="1"/>
  <c r="I53" i="28" s="1"/>
  <c r="L53" i="28"/>
  <c r="J53" i="28" s="1"/>
  <c r="K77" i="1"/>
  <c r="K59" i="28" s="1"/>
  <c r="I59" i="28" s="1"/>
  <c r="L59" i="28"/>
  <c r="J59" i="28" s="1"/>
  <c r="K70" i="1"/>
  <c r="K52" i="28" s="1"/>
  <c r="I52" i="28" s="1"/>
  <c r="L52" i="28"/>
  <c r="J52" i="28" s="1"/>
  <c r="K33" i="28"/>
  <c r="I33" i="28" s="1"/>
  <c r="L33" i="28"/>
  <c r="J33" i="28" s="1"/>
  <c r="K56" i="1"/>
  <c r="K38" i="28" s="1"/>
  <c r="I38" i="28" s="1"/>
  <c r="L38" i="28"/>
  <c r="J38" i="28" s="1"/>
  <c r="K100" i="1"/>
  <c r="K82" i="28" s="1"/>
  <c r="L82" i="28"/>
  <c r="L69" i="1"/>
  <c r="L51" i="28" s="1"/>
  <c r="L64" i="1"/>
  <c r="L61" i="1"/>
  <c r="K69" i="1" l="1"/>
  <c r="K51" i="28" s="1"/>
  <c r="K61" i="1"/>
  <c r="K43" i="28" s="1"/>
  <c r="I43" i="28" s="1"/>
  <c r="L43" i="28"/>
  <c r="J43" i="28" s="1"/>
  <c r="K64" i="1"/>
  <c r="K46" i="28" s="1"/>
  <c r="I46" i="28" s="1"/>
  <c r="L46" i="28"/>
  <c r="J46" i="28" s="1"/>
  <c r="BS89" i="1"/>
  <c r="P102" i="1"/>
  <c r="R120" i="1"/>
  <c r="AB119" i="1"/>
  <c r="BU39" i="1"/>
  <c r="BV39" i="1"/>
  <c r="BW39" i="1"/>
  <c r="BX39" i="1"/>
  <c r="BY39" i="1"/>
  <c r="BY55" i="1"/>
  <c r="BY48" i="1" s="1"/>
  <c r="BX55" i="1"/>
  <c r="BX48" i="1" s="1"/>
  <c r="BW55" i="1"/>
  <c r="BW48" i="1" s="1"/>
  <c r="BV55" i="1"/>
  <c r="BV48" i="1" s="1"/>
  <c r="BT55" i="1"/>
  <c r="BS55" i="1"/>
  <c r="BS48" i="1" s="1"/>
  <c r="BR55" i="1"/>
  <c r="BR48" i="1" s="1"/>
  <c r="BQ55" i="1"/>
  <c r="BQ48" i="1" s="1"/>
  <c r="BP55" i="1"/>
  <c r="BP48" i="1" s="1"/>
  <c r="BN55" i="1"/>
  <c r="BU104" i="1"/>
  <c r="BV104" i="1"/>
  <c r="BW104" i="1"/>
  <c r="BX104" i="1"/>
  <c r="BY104" i="1"/>
  <c r="BU101" i="1"/>
  <c r="BV101" i="1"/>
  <c r="BW101" i="1"/>
  <c r="BX101" i="1"/>
  <c r="BY101" i="1"/>
  <c r="BU96" i="1"/>
  <c r="BV96" i="1"/>
  <c r="BW96" i="1"/>
  <c r="BX96" i="1"/>
  <c r="BY96" i="1"/>
  <c r="BU81" i="1"/>
  <c r="BV81" i="1"/>
  <c r="BW81" i="1"/>
  <c r="BX81" i="1"/>
  <c r="BY81" i="1"/>
  <c r="BX7" i="1" l="1"/>
  <c r="BB87" i="1"/>
  <c r="BB86" i="1" s="1"/>
  <c r="M98" i="1"/>
  <c r="N98" i="1"/>
  <c r="O98" i="1"/>
  <c r="P98" i="1"/>
  <c r="Q98" i="1"/>
  <c r="M99" i="1"/>
  <c r="N99" i="1"/>
  <c r="O99" i="1"/>
  <c r="P99" i="1"/>
  <c r="Q99" i="1"/>
  <c r="M31" i="1"/>
  <c r="N31" i="1"/>
  <c r="O31" i="1"/>
  <c r="P31" i="1"/>
  <c r="Q31" i="1"/>
  <c r="L31" i="1" l="1"/>
  <c r="L99" i="1"/>
  <c r="L98" i="1"/>
  <c r="K31" i="1" l="1"/>
  <c r="K13" i="28" s="1"/>
  <c r="I13" i="28" s="1"/>
  <c r="L13" i="28"/>
  <c r="J13" i="28" s="1"/>
  <c r="K98" i="1"/>
  <c r="K80" i="28" s="1"/>
  <c r="L80" i="28"/>
  <c r="K99" i="1"/>
  <c r="K81" i="28" s="1"/>
  <c r="L81" i="28"/>
  <c r="BU34" i="1"/>
  <c r="BV34" i="1"/>
  <c r="BW34" i="1"/>
  <c r="BX34" i="1"/>
  <c r="BY34" i="1"/>
  <c r="BT65" i="1" l="1"/>
  <c r="BT66" i="1"/>
  <c r="BT67" i="1"/>
  <c r="BT68" i="1"/>
  <c r="BN65" i="1"/>
  <c r="BN66" i="1"/>
  <c r="BN67" i="1"/>
  <c r="BN68" i="1"/>
  <c r="AP65" i="1"/>
  <c r="AP66" i="1"/>
  <c r="AP67" i="1"/>
  <c r="AP68" i="1"/>
  <c r="AV66" i="1"/>
  <c r="AV67" i="1"/>
  <c r="AV68" i="1"/>
  <c r="BB66" i="1"/>
  <c r="BB67" i="1"/>
  <c r="BB68" i="1"/>
  <c r="BH65" i="1"/>
  <c r="BH66" i="1"/>
  <c r="BH67" i="1"/>
  <c r="BH68" i="1"/>
  <c r="AJ66" i="1"/>
  <c r="AJ67" i="1"/>
  <c r="AJ68" i="1"/>
  <c r="M66" i="1"/>
  <c r="N66" i="1"/>
  <c r="O66" i="1"/>
  <c r="P66" i="1"/>
  <c r="Q66" i="1"/>
  <c r="M68" i="1"/>
  <c r="N68" i="1"/>
  <c r="O68" i="1"/>
  <c r="P68" i="1"/>
  <c r="Q68" i="1"/>
  <c r="R68" i="1"/>
  <c r="X68" i="1"/>
  <c r="AD68" i="1"/>
  <c r="L66" i="1" l="1"/>
  <c r="L68" i="1"/>
  <c r="K66" i="1" l="1"/>
  <c r="K48" i="28" s="1"/>
  <c r="I48" i="28" s="1"/>
  <c r="L48" i="28"/>
  <c r="J48" i="28" s="1"/>
  <c r="K68" i="1"/>
  <c r="K50" i="28" s="1"/>
  <c r="I50" i="28" s="1"/>
  <c r="L50" i="28"/>
  <c r="J50" i="28" s="1"/>
  <c r="AL96" i="1"/>
  <c r="AM96" i="1"/>
  <c r="AN96" i="1"/>
  <c r="AO96" i="1"/>
  <c r="AK96" i="1"/>
  <c r="AJ99" i="1"/>
  <c r="BB79" i="1" l="1"/>
  <c r="BB78" i="1"/>
  <c r="BI48" i="1"/>
  <c r="D20" i="24"/>
  <c r="D6" i="24"/>
  <c r="D21" i="24" l="1"/>
  <c r="BA86" i="1"/>
  <c r="AZ86" i="1"/>
  <c r="AY86" i="1"/>
  <c r="AX86" i="1"/>
  <c r="BT87" i="1"/>
  <c r="BT86" i="1" s="1"/>
  <c r="BN87" i="1"/>
  <c r="BN86" i="1" s="1"/>
  <c r="BH87" i="1"/>
  <c r="BH86" i="1" s="1"/>
  <c r="AV87" i="1"/>
  <c r="AV86" i="1" s="1"/>
  <c r="AP87" i="1"/>
  <c r="AP86" i="1" s="1"/>
  <c r="AJ87" i="1"/>
  <c r="AD87" i="1"/>
  <c r="X87" i="1"/>
  <c r="R87" i="1"/>
  <c r="Q87" i="1"/>
  <c r="Q86" i="1" s="1"/>
  <c r="P87" i="1"/>
  <c r="P86" i="1" s="1"/>
  <c r="O87" i="1"/>
  <c r="O86" i="1" s="1"/>
  <c r="N87" i="1"/>
  <c r="N86" i="1" s="1"/>
  <c r="M87" i="1"/>
  <c r="M86" i="1" s="1"/>
  <c r="Q67" i="1"/>
  <c r="P67" i="1"/>
  <c r="O67" i="1"/>
  <c r="N67" i="1"/>
  <c r="M67" i="1"/>
  <c r="Q65" i="1"/>
  <c r="P65" i="1"/>
  <c r="O65" i="1"/>
  <c r="N65" i="1"/>
  <c r="M65" i="1"/>
  <c r="Q63" i="1"/>
  <c r="P63" i="1"/>
  <c r="O63" i="1"/>
  <c r="N63" i="1"/>
  <c r="M63" i="1"/>
  <c r="BT63" i="1"/>
  <c r="BT62" i="1" s="1"/>
  <c r="BN63" i="1"/>
  <c r="BN62" i="1" s="1"/>
  <c r="BH63" i="1"/>
  <c r="BH62" i="1" s="1"/>
  <c r="BB63" i="1"/>
  <c r="BB62" i="1" s="1"/>
  <c r="AV63" i="1"/>
  <c r="AV62" i="1" s="1"/>
  <c r="AP63" i="1"/>
  <c r="AP62" i="1" s="1"/>
  <c r="AJ65" i="1"/>
  <c r="AJ63" i="1"/>
  <c r="AD67" i="1"/>
  <c r="AD65" i="1"/>
  <c r="AD63" i="1"/>
  <c r="X67" i="1"/>
  <c r="X65" i="1"/>
  <c r="X63" i="1"/>
  <c r="R67" i="1"/>
  <c r="R65" i="1"/>
  <c r="R63" i="1"/>
  <c r="AC62" i="1"/>
  <c r="AB62" i="1"/>
  <c r="AA62" i="1"/>
  <c r="Z62" i="1"/>
  <c r="Y62" i="1"/>
  <c r="W62" i="1"/>
  <c r="V62" i="1"/>
  <c r="U62" i="1"/>
  <c r="T62" i="1"/>
  <c r="S62" i="1"/>
  <c r="BY28" i="1"/>
  <c r="BX28" i="1"/>
  <c r="BW28" i="1"/>
  <c r="BV28" i="1"/>
  <c r="BU28" i="1"/>
  <c r="BS28" i="1"/>
  <c r="BR28" i="1"/>
  <c r="BQ28" i="1"/>
  <c r="BP28" i="1"/>
  <c r="BO28" i="1"/>
  <c r="AP31" i="1"/>
  <c r="M44" i="1"/>
  <c r="N44" i="1"/>
  <c r="O44" i="1"/>
  <c r="P44" i="1"/>
  <c r="M45" i="1"/>
  <c r="N45" i="1"/>
  <c r="O45" i="1"/>
  <c r="P45" i="1"/>
  <c r="Q44" i="1"/>
  <c r="Q45" i="1"/>
  <c r="AJ62" i="1" l="1"/>
  <c r="AD62" i="1"/>
  <c r="Q62" i="1"/>
  <c r="M62" i="1"/>
  <c r="X62" i="1"/>
  <c r="N62" i="1"/>
  <c r="P62" i="1"/>
  <c r="L87" i="1"/>
  <c r="L69" i="28" s="1"/>
  <c r="J69" i="28" s="1"/>
  <c r="L65" i="1"/>
  <c r="R62" i="1"/>
  <c r="O62" i="1"/>
  <c r="L63" i="1"/>
  <c r="L67" i="1"/>
  <c r="AI89" i="1"/>
  <c r="AF89" i="1"/>
  <c r="AE89" i="1"/>
  <c r="K67" i="1" l="1"/>
  <c r="K49" i="28" s="1"/>
  <c r="I49" i="28" s="1"/>
  <c r="L49" i="28"/>
  <c r="J49" i="28" s="1"/>
  <c r="K65" i="1"/>
  <c r="K47" i="28" s="1"/>
  <c r="I47" i="28" s="1"/>
  <c r="L47" i="28"/>
  <c r="J47" i="28" s="1"/>
  <c r="K63" i="1"/>
  <c r="K45" i="28" s="1"/>
  <c r="I45" i="28" s="1"/>
  <c r="L45" i="28"/>
  <c r="J45" i="28" s="1"/>
  <c r="K87" i="1"/>
  <c r="L86" i="1"/>
  <c r="L68" i="28" s="1"/>
  <c r="L62" i="1"/>
  <c r="L44" i="28" s="1"/>
  <c r="BI104" i="1"/>
  <c r="K62" i="1" l="1"/>
  <c r="K44" i="28" s="1"/>
  <c r="K86" i="1"/>
  <c r="K68" i="28" s="1"/>
  <c r="K69" i="28"/>
  <c r="I69" i="28" s="1"/>
  <c r="AD91" i="1" l="1"/>
  <c r="AD89" i="1" s="1"/>
  <c r="I41" i="24"/>
  <c r="BH91" i="1"/>
  <c r="BB91" i="1"/>
  <c r="AV91" i="1"/>
  <c r="AV89" i="1" s="1"/>
  <c r="AP91" i="1"/>
  <c r="AP89" i="1" s="1"/>
  <c r="AJ91" i="1"/>
  <c r="AJ89" i="1" s="1"/>
  <c r="X91" i="1"/>
  <c r="R91" i="1"/>
  <c r="Q91" i="1"/>
  <c r="Q89" i="1" s="1"/>
  <c r="P91" i="1"/>
  <c r="P89" i="1" s="1"/>
  <c r="O91" i="1"/>
  <c r="O89" i="1" s="1"/>
  <c r="N91" i="1"/>
  <c r="N89" i="1" s="1"/>
  <c r="M91" i="1"/>
  <c r="M89" i="1" s="1"/>
  <c r="BH78" i="1"/>
  <c r="Q78" i="1"/>
  <c r="P78" i="1"/>
  <c r="O78" i="1"/>
  <c r="N78" i="1"/>
  <c r="M78" i="1"/>
  <c r="W75" i="1"/>
  <c r="V75" i="1"/>
  <c r="U75" i="1"/>
  <c r="T75" i="1"/>
  <c r="AC75" i="1"/>
  <c r="AB75" i="1"/>
  <c r="AA75" i="1"/>
  <c r="Z75" i="1"/>
  <c r="X75" i="1"/>
  <c r="AI75" i="1"/>
  <c r="AH75" i="1"/>
  <c r="AG75" i="1"/>
  <c r="AF75" i="1"/>
  <c r="AE75" i="1"/>
  <c r="AO75" i="1"/>
  <c r="AN75" i="1"/>
  <c r="AM75" i="1"/>
  <c r="AL75" i="1"/>
  <c r="AK75" i="1"/>
  <c r="BM75" i="1"/>
  <c r="BL75" i="1"/>
  <c r="BK75" i="1"/>
  <c r="BJ75" i="1"/>
  <c r="BG75" i="1"/>
  <c r="BF75" i="1"/>
  <c r="BE75" i="1"/>
  <c r="BD75" i="1"/>
  <c r="BC75" i="1"/>
  <c r="BB75" i="1"/>
  <c r="BA75" i="1"/>
  <c r="AZ75" i="1"/>
  <c r="AY75" i="1"/>
  <c r="AX75" i="1"/>
  <c r="AW75" i="1"/>
  <c r="AU75" i="1"/>
  <c r="AT75" i="1"/>
  <c r="AS75" i="1"/>
  <c r="AR75" i="1"/>
  <c r="M75" i="1" l="1"/>
  <c r="L91" i="1"/>
  <c r="L78" i="1"/>
  <c r="BM82" i="1"/>
  <c r="BM81" i="1" s="1"/>
  <c r="BL82" i="1"/>
  <c r="BL81" i="1" s="1"/>
  <c r="BK82" i="1"/>
  <c r="BK81" i="1" s="1"/>
  <c r="BJ82" i="1"/>
  <c r="BJ81" i="1" s="1"/>
  <c r="BI82" i="1"/>
  <c r="BI81" i="1" s="1"/>
  <c r="BG82" i="1"/>
  <c r="BG81" i="1" s="1"/>
  <c r="BF82" i="1"/>
  <c r="BF81" i="1" s="1"/>
  <c r="BE82" i="1"/>
  <c r="BE81" i="1" s="1"/>
  <c r="BD82" i="1"/>
  <c r="BD81" i="1" s="1"/>
  <c r="BC82" i="1"/>
  <c r="BC81" i="1" s="1"/>
  <c r="BA82" i="1"/>
  <c r="BA81" i="1" s="1"/>
  <c r="AZ82" i="1"/>
  <c r="AZ81" i="1" s="1"/>
  <c r="AY82" i="1"/>
  <c r="AY81" i="1" s="1"/>
  <c r="AX82" i="1"/>
  <c r="AX81" i="1" s="1"/>
  <c r="AU82" i="1"/>
  <c r="AU81" i="1" s="1"/>
  <c r="AT82" i="1"/>
  <c r="AT81" i="1" s="1"/>
  <c r="AS82" i="1"/>
  <c r="AS81" i="1" s="1"/>
  <c r="AR82" i="1"/>
  <c r="AR81" i="1" s="1"/>
  <c r="AQ82" i="1"/>
  <c r="AQ81" i="1" s="1"/>
  <c r="AQ47" i="1" s="1"/>
  <c r="AO82" i="1"/>
  <c r="AO81" i="1" s="1"/>
  <c r="AN82" i="1"/>
  <c r="AN81" i="1" s="1"/>
  <c r="AM82" i="1"/>
  <c r="AM81" i="1" s="1"/>
  <c r="AL82" i="1"/>
  <c r="AL81" i="1" s="1"/>
  <c r="AK82" i="1"/>
  <c r="AK81" i="1" s="1"/>
  <c r="AI82" i="1"/>
  <c r="AI81" i="1" s="1"/>
  <c r="AH82" i="1"/>
  <c r="AH81" i="1" s="1"/>
  <c r="AG82" i="1"/>
  <c r="AG81" i="1" s="1"/>
  <c r="AF82" i="1"/>
  <c r="AF81" i="1" s="1"/>
  <c r="AE82" i="1"/>
  <c r="AE81" i="1" s="1"/>
  <c r="AC82" i="1"/>
  <c r="AC81" i="1" s="1"/>
  <c r="AB82" i="1"/>
  <c r="AB81" i="1" s="1"/>
  <c r="AA82" i="1"/>
  <c r="AA81" i="1" s="1"/>
  <c r="Z82" i="1"/>
  <c r="Z81" i="1" s="1"/>
  <c r="Y82" i="1"/>
  <c r="Y81" i="1" s="1"/>
  <c r="W82" i="1"/>
  <c r="W81" i="1" s="1"/>
  <c r="V82" i="1"/>
  <c r="V81" i="1" s="1"/>
  <c r="U82" i="1"/>
  <c r="U81" i="1" s="1"/>
  <c r="T82" i="1"/>
  <c r="T81" i="1" s="1"/>
  <c r="S82" i="1"/>
  <c r="S81" i="1" s="1"/>
  <c r="BM74" i="1"/>
  <c r="BL74" i="1"/>
  <c r="BK74" i="1"/>
  <c r="BJ74" i="1"/>
  <c r="BG74" i="1"/>
  <c r="BF74" i="1"/>
  <c r="BE74" i="1"/>
  <c r="BD74" i="1"/>
  <c r="BC74" i="1"/>
  <c r="BB74" i="1"/>
  <c r="AZ74" i="1"/>
  <c r="AY74" i="1"/>
  <c r="AT74" i="1"/>
  <c r="AS74" i="1"/>
  <c r="AO74" i="1"/>
  <c r="AN74" i="1"/>
  <c r="AM74" i="1"/>
  <c r="AL74" i="1"/>
  <c r="AK74" i="1"/>
  <c r="AI74" i="1"/>
  <c r="AH74" i="1"/>
  <c r="AG74" i="1"/>
  <c r="AF74" i="1"/>
  <c r="AE74" i="1"/>
  <c r="AC74" i="1"/>
  <c r="AB74" i="1"/>
  <c r="AA74" i="1"/>
  <c r="Z74" i="1"/>
  <c r="Y74" i="1"/>
  <c r="X74" i="1"/>
  <c r="W74" i="1"/>
  <c r="V74" i="1"/>
  <c r="U74" i="1"/>
  <c r="T74" i="1"/>
  <c r="S74" i="1"/>
  <c r="AJ57" i="1"/>
  <c r="AJ55" i="1" s="1"/>
  <c r="R98" i="1"/>
  <c r="R97" i="1"/>
  <c r="R89" i="1"/>
  <c r="R84" i="1"/>
  <c r="R83" i="1"/>
  <c r="R79" i="1"/>
  <c r="R78" i="1"/>
  <c r="R57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AH89" i="1"/>
  <c r="AG89" i="1"/>
  <c r="AC89" i="1"/>
  <c r="AB89" i="1"/>
  <c r="AA89" i="1"/>
  <c r="Z89" i="1"/>
  <c r="Y89" i="1"/>
  <c r="X89" i="1"/>
  <c r="W89" i="1"/>
  <c r="V89" i="1"/>
  <c r="U89" i="1"/>
  <c r="T89" i="1"/>
  <c r="S89" i="1"/>
  <c r="K78" i="1" l="1"/>
  <c r="K60" i="28" s="1"/>
  <c r="I60" i="28" s="1"/>
  <c r="L60" i="28"/>
  <c r="J60" i="28" s="1"/>
  <c r="L89" i="1"/>
  <c r="L71" i="28" s="1"/>
  <c r="L73" i="28"/>
  <c r="J73" i="28" s="1"/>
  <c r="BI47" i="1"/>
  <c r="K91" i="1"/>
  <c r="R82" i="1"/>
  <c r="R81" i="1" s="1"/>
  <c r="R75" i="1"/>
  <c r="R74" i="1" s="1"/>
  <c r="K89" i="1" l="1"/>
  <c r="K71" i="28" s="1"/>
  <c r="K73" i="28"/>
  <c r="I73" i="28" s="1"/>
  <c r="R119" i="1"/>
  <c r="X119" i="1"/>
  <c r="Q84" i="1" l="1"/>
  <c r="P84" i="1"/>
  <c r="O84" i="1"/>
  <c r="N84" i="1"/>
  <c r="M84" i="1"/>
  <c r="W28" i="1"/>
  <c r="V28" i="1"/>
  <c r="U28" i="1"/>
  <c r="S28" i="1"/>
  <c r="AC28" i="1"/>
  <c r="AB28" i="1"/>
  <c r="AA28" i="1"/>
  <c r="Z28" i="1"/>
  <c r="Y28" i="1"/>
  <c r="W34" i="1"/>
  <c r="V34" i="1"/>
  <c r="U34" i="1"/>
  <c r="T34" i="1"/>
  <c r="S34" i="1"/>
  <c r="AC34" i="1"/>
  <c r="AB34" i="1"/>
  <c r="AA34" i="1"/>
  <c r="Z34" i="1"/>
  <c r="Y34" i="1"/>
  <c r="W39" i="1"/>
  <c r="V39" i="1"/>
  <c r="U39" i="1"/>
  <c r="T39" i="1"/>
  <c r="S39" i="1"/>
  <c r="AC39" i="1"/>
  <c r="AB39" i="1"/>
  <c r="AA39" i="1"/>
  <c r="Z39" i="1"/>
  <c r="Y39" i="1"/>
  <c r="W55" i="1"/>
  <c r="W48" i="1" s="1"/>
  <c r="V55" i="1"/>
  <c r="V48" i="1" s="1"/>
  <c r="U55" i="1"/>
  <c r="U48" i="1" s="1"/>
  <c r="T55" i="1"/>
  <c r="T48" i="1" s="1"/>
  <c r="S55" i="1"/>
  <c r="S48" i="1" s="1"/>
  <c r="AC55" i="1"/>
  <c r="AC48" i="1" s="1"/>
  <c r="AB55" i="1"/>
  <c r="AB48" i="1" s="1"/>
  <c r="AA55" i="1"/>
  <c r="AA48" i="1" s="1"/>
  <c r="Z55" i="1"/>
  <c r="Z48" i="1" s="1"/>
  <c r="Y55" i="1"/>
  <c r="Y48" i="1" s="1"/>
  <c r="BM28" i="1"/>
  <c r="BL28" i="1"/>
  <c r="BK28" i="1"/>
  <c r="BJ28" i="1"/>
  <c r="BI28" i="1"/>
  <c r="BM34" i="1"/>
  <c r="BL34" i="1"/>
  <c r="BK34" i="1"/>
  <c r="BJ34" i="1"/>
  <c r="BI34" i="1"/>
  <c r="BM39" i="1"/>
  <c r="BL39" i="1"/>
  <c r="BK39" i="1"/>
  <c r="BJ39" i="1"/>
  <c r="BI39" i="1"/>
  <c r="BM55" i="1"/>
  <c r="BM48" i="1" s="1"/>
  <c r="BL55" i="1"/>
  <c r="BL48" i="1" s="1"/>
  <c r="BK55" i="1"/>
  <c r="BK48" i="1" s="1"/>
  <c r="BJ55" i="1"/>
  <c r="BJ48" i="1" s="1"/>
  <c r="BH84" i="1"/>
  <c r="BB84" i="1"/>
  <c r="BG55" i="1"/>
  <c r="BG48" i="1" s="1"/>
  <c r="BF55" i="1"/>
  <c r="BF48" i="1" s="1"/>
  <c r="BE55" i="1"/>
  <c r="BD55" i="1"/>
  <c r="BD48" i="1" s="1"/>
  <c r="BC55" i="1"/>
  <c r="BC48" i="1" s="1"/>
  <c r="BG39" i="1"/>
  <c r="BF39" i="1"/>
  <c r="BE39" i="1"/>
  <c r="BD39" i="1"/>
  <c r="BC39" i="1"/>
  <c r="BG34" i="1"/>
  <c r="BF34" i="1"/>
  <c r="BE34" i="1"/>
  <c r="BD34" i="1"/>
  <c r="BC34" i="1"/>
  <c r="BG28" i="1"/>
  <c r="BF28" i="1"/>
  <c r="BE28" i="1"/>
  <c r="BD28" i="1"/>
  <c r="BC28" i="1"/>
  <c r="BA55" i="1"/>
  <c r="BA48" i="1" s="1"/>
  <c r="AZ55" i="1"/>
  <c r="AY55" i="1"/>
  <c r="AX55" i="1"/>
  <c r="AX48" i="1" s="1"/>
  <c r="AW55" i="1"/>
  <c r="AW48" i="1" s="1"/>
  <c r="BA39" i="1"/>
  <c r="AZ39" i="1"/>
  <c r="AY39" i="1"/>
  <c r="AX39" i="1"/>
  <c r="AW39" i="1"/>
  <c r="BA34" i="1"/>
  <c r="AZ34" i="1"/>
  <c r="AY34" i="1"/>
  <c r="AX34" i="1"/>
  <c r="AW34" i="1"/>
  <c r="BA28" i="1"/>
  <c r="AZ28" i="1"/>
  <c r="AY28" i="1"/>
  <c r="AX28" i="1"/>
  <c r="AW28" i="1"/>
  <c r="AU39" i="1"/>
  <c r="AT39" i="1"/>
  <c r="AS39" i="1"/>
  <c r="AR39" i="1"/>
  <c r="AQ39" i="1"/>
  <c r="AQ38" i="1" s="1"/>
  <c r="AV84" i="1"/>
  <c r="AP84" i="1"/>
  <c r="AU55" i="1"/>
  <c r="AU48" i="1" s="1"/>
  <c r="AT55" i="1"/>
  <c r="AS55" i="1"/>
  <c r="AR55" i="1"/>
  <c r="AR48" i="1" s="1"/>
  <c r="AU34" i="1"/>
  <c r="AT34" i="1"/>
  <c r="AS34" i="1"/>
  <c r="AR34" i="1"/>
  <c r="AQ34" i="1"/>
  <c r="AU28" i="1"/>
  <c r="AT28" i="1"/>
  <c r="AS28" i="1"/>
  <c r="AR28" i="1"/>
  <c r="AQ28" i="1"/>
  <c r="AJ84" i="1"/>
  <c r="AO55" i="1"/>
  <c r="AN55" i="1"/>
  <c r="AM55" i="1"/>
  <c r="AL55" i="1"/>
  <c r="AK47" i="1"/>
  <c r="X84" i="1"/>
  <c r="AD84" i="1"/>
  <c r="AI55" i="1"/>
  <c r="AI48" i="1" s="1"/>
  <c r="AH55" i="1"/>
  <c r="AH48" i="1" s="1"/>
  <c r="AG55" i="1"/>
  <c r="AG48" i="1" s="1"/>
  <c r="AF55" i="1"/>
  <c r="AF48" i="1" s="1"/>
  <c r="AE55" i="1"/>
  <c r="AE48" i="1" s="1"/>
  <c r="AJ98" i="1"/>
  <c r="AT48" i="1" l="1"/>
  <c r="AT47" i="1" s="1"/>
  <c r="AY48" i="1"/>
  <c r="AY47" i="1" s="1"/>
  <c r="AY38" i="1" s="1"/>
  <c r="BE48" i="1"/>
  <c r="BE47" i="1" s="1"/>
  <c r="BE38" i="1" s="1"/>
  <c r="BE27" i="1" s="1"/>
  <c r="AQ27" i="1"/>
  <c r="AS48" i="1"/>
  <c r="AS47" i="1" s="1"/>
  <c r="AZ48" i="1"/>
  <c r="AZ47" i="1" s="1"/>
  <c r="AM48" i="1"/>
  <c r="AM47" i="1" s="1"/>
  <c r="AN48" i="1"/>
  <c r="AN47" i="1" s="1"/>
  <c r="AO48" i="1"/>
  <c r="AO47" i="1" s="1"/>
  <c r="AL48" i="1"/>
  <c r="AL47" i="1" s="1"/>
  <c r="BC47" i="1"/>
  <c r="BC38" i="1" s="1"/>
  <c r="BC27" i="1" s="1"/>
  <c r="BK47" i="1"/>
  <c r="BK38" i="1" s="1"/>
  <c r="BK27" i="1" s="1"/>
  <c r="BJ47" i="1"/>
  <c r="BJ38" i="1" s="1"/>
  <c r="BJ27" i="1" s="1"/>
  <c r="BL47" i="1"/>
  <c r="BL38" i="1" s="1"/>
  <c r="BL27" i="1" s="1"/>
  <c r="BM47" i="1"/>
  <c r="BM38" i="1" s="1"/>
  <c r="BM27" i="1" s="1"/>
  <c r="AR74" i="1"/>
  <c r="AU74" i="1"/>
  <c r="AX74" i="1"/>
  <c r="BA74" i="1"/>
  <c r="AW74" i="1"/>
  <c r="L84" i="1"/>
  <c r="Y47" i="1"/>
  <c r="Y38" i="1" s="1"/>
  <c r="Y27" i="1" s="1"/>
  <c r="AA47" i="1"/>
  <c r="AA38" i="1" s="1"/>
  <c r="AA27" i="1" s="1"/>
  <c r="T47" i="1"/>
  <c r="T38" i="1" s="1"/>
  <c r="V47" i="1"/>
  <c r="V38" i="1" s="1"/>
  <c r="W47" i="1"/>
  <c r="W38" i="1" s="1"/>
  <c r="Z47" i="1"/>
  <c r="Z38" i="1" s="1"/>
  <c r="Z27" i="1" s="1"/>
  <c r="AB47" i="1"/>
  <c r="AB38" i="1" s="1"/>
  <c r="AB27" i="1" s="1"/>
  <c r="AC47" i="1"/>
  <c r="AC38" i="1" s="1"/>
  <c r="AC27" i="1" s="1"/>
  <c r="S47" i="1"/>
  <c r="S38" i="1" s="1"/>
  <c r="U47" i="1"/>
  <c r="U38" i="1" s="1"/>
  <c r="K84" i="1" l="1"/>
  <c r="K66" i="28" s="1"/>
  <c r="I66" i="28" s="1"/>
  <c r="L66" i="28"/>
  <c r="J66" i="28" s="1"/>
  <c r="AW47" i="1"/>
  <c r="AW38" i="1" s="1"/>
  <c r="AW27" i="1" s="1"/>
  <c r="BA47" i="1"/>
  <c r="BA38" i="1" s="1"/>
  <c r="BA27" i="1" s="1"/>
  <c r="AX47" i="1"/>
  <c r="AX38" i="1" s="1"/>
  <c r="AU47" i="1"/>
  <c r="AU38" i="1" s="1"/>
  <c r="AU27" i="1" s="1"/>
  <c r="AR47" i="1"/>
  <c r="AR38" i="1" s="1"/>
  <c r="AR27" i="1" s="1"/>
  <c r="BF47" i="1"/>
  <c r="BF38" i="1" s="1"/>
  <c r="BF27" i="1" s="1"/>
  <c r="BG47" i="1"/>
  <c r="BG38" i="1" s="1"/>
  <c r="BG27" i="1" s="1"/>
  <c r="BD47" i="1"/>
  <c r="BD38" i="1" s="1"/>
  <c r="BD27" i="1" s="1"/>
  <c r="BI38" i="1"/>
  <c r="BI27" i="1" s="1"/>
  <c r="AZ38" i="1"/>
  <c r="AS38" i="1"/>
  <c r="AS27" i="1" s="1"/>
  <c r="AT38" i="1"/>
  <c r="AT27" i="1" s="1"/>
  <c r="BG101" i="1"/>
  <c r="BC101" i="1"/>
  <c r="BD101" i="1"/>
  <c r="BE101" i="1"/>
  <c r="BF101" i="1"/>
  <c r="Q53" i="1"/>
  <c r="Q52" i="1"/>
  <c r="AV102" i="1"/>
  <c r="J27" i="1"/>
  <c r="BH52" i="1"/>
  <c r="AP79" i="1"/>
  <c r="AD79" i="1"/>
  <c r="AD83" i="1"/>
  <c r="AD82" i="1" s="1"/>
  <c r="AD81" i="1" s="1"/>
  <c r="AD57" i="1"/>
  <c r="AD52" i="1"/>
  <c r="AD53" i="1"/>
  <c r="AD41" i="1"/>
  <c r="AD42" i="1"/>
  <c r="AD43" i="1"/>
  <c r="AD44" i="1"/>
  <c r="AD45" i="1"/>
  <c r="AD46" i="1"/>
  <c r="AD36" i="1"/>
  <c r="AD37" i="1"/>
  <c r="AD29" i="1"/>
  <c r="AD30" i="1"/>
  <c r="Q42" i="1"/>
  <c r="Q57" i="1"/>
  <c r="Q75" i="1"/>
  <c r="Q74" i="1" s="1"/>
  <c r="Q30" i="1"/>
  <c r="Q29" i="1"/>
  <c r="AJ79" i="1"/>
  <c r="AJ83" i="1"/>
  <c r="AJ82" i="1" s="1"/>
  <c r="AJ81" i="1" s="1"/>
  <c r="AV79" i="1"/>
  <c r="AJ50" i="1"/>
  <c r="AJ53" i="1"/>
  <c r="BH57" i="1"/>
  <c r="BH79" i="1"/>
  <c r="AE47" i="1"/>
  <c r="AF47" i="1"/>
  <c r="AG47" i="1"/>
  <c r="AH47" i="1"/>
  <c r="AI47" i="1"/>
  <c r="P53" i="1"/>
  <c r="P57" i="1"/>
  <c r="O53" i="1"/>
  <c r="O57" i="1"/>
  <c r="O75" i="1"/>
  <c r="O74" i="1" s="1"/>
  <c r="N53" i="1"/>
  <c r="N57" i="1"/>
  <c r="N75" i="1"/>
  <c r="N74" i="1" s="1"/>
  <c r="M57" i="1"/>
  <c r="M55" i="1" s="1"/>
  <c r="M74" i="1"/>
  <c r="AP50" i="1"/>
  <c r="AP52" i="1"/>
  <c r="AP53" i="1"/>
  <c r="AP57" i="1"/>
  <c r="AV50" i="1"/>
  <c r="AV52" i="1"/>
  <c r="AV53" i="1"/>
  <c r="AV57" i="1"/>
  <c r="BK27" i="13"/>
  <c r="Q79" i="1"/>
  <c r="P75" i="1"/>
  <c r="P74" i="1" s="1"/>
  <c r="P79" i="1"/>
  <c r="O79" i="1"/>
  <c r="N79" i="1"/>
  <c r="M79" i="1"/>
  <c r="P50" i="1"/>
  <c r="P52" i="1"/>
  <c r="O50" i="1"/>
  <c r="O52" i="1"/>
  <c r="N50" i="1"/>
  <c r="N52" i="1"/>
  <c r="M52" i="1"/>
  <c r="M53" i="1"/>
  <c r="BB24" i="13"/>
  <c r="BC24" i="13"/>
  <c r="BE24" i="13"/>
  <c r="W5" i="1" s="1"/>
  <c r="BF24" i="13"/>
  <c r="BH24" i="13"/>
  <c r="BI24" i="13"/>
  <c r="BJ24" i="13"/>
  <c r="BK24" i="13"/>
  <c r="BL24" i="13"/>
  <c r="BM24" i="13"/>
  <c r="BB25" i="13"/>
  <c r="AH5" i="1" s="1"/>
  <c r="BC25" i="13"/>
  <c r="BE25" i="13"/>
  <c r="AI5" i="1" s="1"/>
  <c r="BF25" i="13"/>
  <c r="AO5" i="1" s="1"/>
  <c r="BH25" i="13"/>
  <c r="BI25" i="13"/>
  <c r="BJ25" i="13"/>
  <c r="BK25" i="13"/>
  <c r="BL25" i="13"/>
  <c r="BM25" i="13"/>
  <c r="BB26" i="13"/>
  <c r="AT5" i="1" s="1"/>
  <c r="BC26" i="13"/>
  <c r="AZ5" i="1" s="1"/>
  <c r="BE26" i="13"/>
  <c r="AU5" i="1" s="1"/>
  <c r="BF26" i="13"/>
  <c r="BA5" i="1" s="1"/>
  <c r="BH26" i="13"/>
  <c r="BI26" i="13"/>
  <c r="BK26" i="13"/>
  <c r="BL26" i="13"/>
  <c r="BM26" i="13"/>
  <c r="BB27" i="13"/>
  <c r="BF5" i="1" s="1"/>
  <c r="BC27" i="13"/>
  <c r="BE27" i="13"/>
  <c r="BG5" i="1" s="1"/>
  <c r="BF27" i="13"/>
  <c r="BH27" i="13"/>
  <c r="BI27" i="13"/>
  <c r="BJ27" i="13"/>
  <c r="BM27" i="13"/>
  <c r="BB28" i="13"/>
  <c r="BC28" i="13"/>
  <c r="BX5" i="1" s="1"/>
  <c r="BE28" i="13"/>
  <c r="BS5" i="1" s="1"/>
  <c r="BF28" i="13"/>
  <c r="BY5" i="1" s="1"/>
  <c r="BH28" i="13"/>
  <c r="BI28" i="13"/>
  <c r="BJ28" i="13"/>
  <c r="BK28" i="13"/>
  <c r="BL28" i="13"/>
  <c r="BM28" i="13"/>
  <c r="BR5" i="1"/>
  <c r="M29" i="1"/>
  <c r="N29" i="1"/>
  <c r="O29" i="1"/>
  <c r="P29" i="1"/>
  <c r="M30" i="1"/>
  <c r="N30" i="1"/>
  <c r="O30" i="1"/>
  <c r="P30" i="1"/>
  <c r="M32" i="1"/>
  <c r="N32" i="1"/>
  <c r="O32" i="1"/>
  <c r="P32" i="1"/>
  <c r="M33" i="1"/>
  <c r="N33" i="1"/>
  <c r="O33" i="1"/>
  <c r="P33" i="1"/>
  <c r="M35" i="1"/>
  <c r="N35" i="1"/>
  <c r="O35" i="1"/>
  <c r="P35" i="1"/>
  <c r="M36" i="1"/>
  <c r="N36" i="1"/>
  <c r="O36" i="1"/>
  <c r="P36" i="1"/>
  <c r="M37" i="1"/>
  <c r="N37" i="1"/>
  <c r="O37" i="1"/>
  <c r="P37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6" i="1"/>
  <c r="N46" i="1"/>
  <c r="O46" i="1"/>
  <c r="P46" i="1"/>
  <c r="M50" i="1"/>
  <c r="BT81" i="1"/>
  <c r="BO81" i="1"/>
  <c r="BP81" i="1"/>
  <c r="BQ81" i="1"/>
  <c r="BR81" i="1"/>
  <c r="M83" i="1"/>
  <c r="M81" i="1" s="1"/>
  <c r="N83" i="1"/>
  <c r="N81" i="1" s="1"/>
  <c r="O83" i="1"/>
  <c r="O81" i="1" s="1"/>
  <c r="P83" i="1"/>
  <c r="P81" i="1" s="1"/>
  <c r="S96" i="1"/>
  <c r="T96" i="1"/>
  <c r="U96" i="1"/>
  <c r="V96" i="1"/>
  <c r="W96" i="1"/>
  <c r="S101" i="1"/>
  <c r="T101" i="1"/>
  <c r="U101" i="1"/>
  <c r="V101" i="1"/>
  <c r="W101" i="1"/>
  <c r="S104" i="1"/>
  <c r="T104" i="1"/>
  <c r="T112" i="1" s="1"/>
  <c r="U104" i="1"/>
  <c r="U112" i="1" s="1"/>
  <c r="V104" i="1"/>
  <c r="V112" i="1" s="1"/>
  <c r="W104" i="1"/>
  <c r="W112" i="1" s="1"/>
  <c r="Y96" i="1"/>
  <c r="Z96" i="1"/>
  <c r="AA96" i="1"/>
  <c r="AB96" i="1"/>
  <c r="AC96" i="1"/>
  <c r="Y101" i="1"/>
  <c r="Z101" i="1"/>
  <c r="AA101" i="1"/>
  <c r="AB101" i="1"/>
  <c r="AC101" i="1"/>
  <c r="Y104" i="1"/>
  <c r="Z104" i="1"/>
  <c r="Z112" i="1" s="1"/>
  <c r="AA104" i="1"/>
  <c r="AA112" i="1" s="1"/>
  <c r="AB104" i="1"/>
  <c r="AB112" i="1" s="1"/>
  <c r="AC104" i="1"/>
  <c r="AC112" i="1" s="1"/>
  <c r="AE96" i="1"/>
  <c r="AF96" i="1"/>
  <c r="AG96" i="1"/>
  <c r="AH96" i="1"/>
  <c r="AI96" i="1"/>
  <c r="AE101" i="1"/>
  <c r="AF101" i="1"/>
  <c r="AG101" i="1"/>
  <c r="AH101" i="1"/>
  <c r="AI101" i="1"/>
  <c r="AE104" i="1"/>
  <c r="AF104" i="1"/>
  <c r="AF112" i="1" s="1"/>
  <c r="AG104" i="1"/>
  <c r="AG112" i="1" s="1"/>
  <c r="AH104" i="1"/>
  <c r="AH112" i="1" s="1"/>
  <c r="AI104" i="1"/>
  <c r="AI112" i="1" s="1"/>
  <c r="AK101" i="1"/>
  <c r="AL101" i="1"/>
  <c r="AM101" i="1"/>
  <c r="AN101" i="1"/>
  <c r="AN111" i="1" s="1"/>
  <c r="AO101" i="1"/>
  <c r="AK104" i="1"/>
  <c r="AL104" i="1"/>
  <c r="AM104" i="1"/>
  <c r="AM112" i="1" s="1"/>
  <c r="AN104" i="1"/>
  <c r="AN112" i="1" s="1"/>
  <c r="AO104" i="1"/>
  <c r="AQ96" i="1"/>
  <c r="AR96" i="1"/>
  <c r="AS96" i="1"/>
  <c r="AT96" i="1"/>
  <c r="AU96" i="1"/>
  <c r="AQ101" i="1"/>
  <c r="AR101" i="1"/>
  <c r="AS101" i="1"/>
  <c r="AT101" i="1"/>
  <c r="AU101" i="1"/>
  <c r="AQ104" i="1"/>
  <c r="AR104" i="1"/>
  <c r="AR112" i="1" s="1"/>
  <c r="AS104" i="1"/>
  <c r="AS112" i="1" s="1"/>
  <c r="AT104" i="1"/>
  <c r="AT112" i="1" s="1"/>
  <c r="AU104" i="1"/>
  <c r="AU112" i="1" s="1"/>
  <c r="AW96" i="1"/>
  <c r="AX96" i="1"/>
  <c r="AY96" i="1"/>
  <c r="AZ96" i="1"/>
  <c r="BA96" i="1"/>
  <c r="AW101" i="1"/>
  <c r="AX101" i="1"/>
  <c r="AY101" i="1"/>
  <c r="AZ101" i="1"/>
  <c r="BA101" i="1"/>
  <c r="AW104" i="1"/>
  <c r="AX104" i="1"/>
  <c r="AY104" i="1"/>
  <c r="AY112" i="1" s="1"/>
  <c r="AZ104" i="1"/>
  <c r="AZ112" i="1" s="1"/>
  <c r="BA104" i="1"/>
  <c r="BC96" i="1"/>
  <c r="BD96" i="1"/>
  <c r="BD111" i="1" s="1"/>
  <c r="BE96" i="1"/>
  <c r="BF96" i="1"/>
  <c r="BF111" i="1" s="1"/>
  <c r="BG96" i="1"/>
  <c r="BG111" i="1" s="1"/>
  <c r="BC104" i="1"/>
  <c r="BD104" i="1"/>
  <c r="BD112" i="1" s="1"/>
  <c r="BE104" i="1"/>
  <c r="BE112" i="1" s="1"/>
  <c r="BF104" i="1"/>
  <c r="BF112" i="1" s="1"/>
  <c r="BG104" i="1"/>
  <c r="BG112" i="1" s="1"/>
  <c r="BI96" i="1"/>
  <c r="BJ96" i="1"/>
  <c r="BK96" i="1"/>
  <c r="BL96" i="1"/>
  <c r="BM96" i="1"/>
  <c r="BI101" i="1"/>
  <c r="BJ101" i="1"/>
  <c r="BK101" i="1"/>
  <c r="BL101" i="1"/>
  <c r="BM101" i="1"/>
  <c r="BI112" i="1"/>
  <c r="BJ104" i="1"/>
  <c r="BK104" i="1"/>
  <c r="BK112" i="1" s="1"/>
  <c r="BL104" i="1"/>
  <c r="BL112" i="1" s="1"/>
  <c r="BM104" i="1"/>
  <c r="BO96" i="1"/>
  <c r="BP96" i="1"/>
  <c r="BQ96" i="1"/>
  <c r="BR96" i="1"/>
  <c r="BS96" i="1"/>
  <c r="BO101" i="1"/>
  <c r="BP101" i="1"/>
  <c r="BQ101" i="1"/>
  <c r="BR101" i="1"/>
  <c r="BS101" i="1"/>
  <c r="BO104" i="1"/>
  <c r="BP104" i="1"/>
  <c r="BP112" i="1" s="1"/>
  <c r="BQ104" i="1"/>
  <c r="BQ112" i="1" s="1"/>
  <c r="BR104" i="1"/>
  <c r="BR112" i="1" s="1"/>
  <c r="BS104" i="1"/>
  <c r="BS112" i="1" s="1"/>
  <c r="BU112" i="1"/>
  <c r="BV112" i="1"/>
  <c r="BX112" i="1"/>
  <c r="BY112" i="1"/>
  <c r="Q32" i="1"/>
  <c r="Q33" i="1"/>
  <c r="Q35" i="1"/>
  <c r="Q36" i="1"/>
  <c r="Q37" i="1"/>
  <c r="Q40" i="1"/>
  <c r="Q41" i="1"/>
  <c r="Q43" i="1"/>
  <c r="Q46" i="1"/>
  <c r="Q50" i="1"/>
  <c r="BS81" i="1"/>
  <c r="Q83" i="1"/>
  <c r="Q81" i="1" s="1"/>
  <c r="M97" i="1"/>
  <c r="M96" i="1" s="1"/>
  <c r="N97" i="1"/>
  <c r="N96" i="1" s="1"/>
  <c r="O97" i="1"/>
  <c r="O96" i="1" s="1"/>
  <c r="P97" i="1"/>
  <c r="P96" i="1" s="1"/>
  <c r="Q97" i="1"/>
  <c r="Q96" i="1" s="1"/>
  <c r="M102" i="1"/>
  <c r="N102" i="1"/>
  <c r="O102" i="1"/>
  <c r="Q102" i="1"/>
  <c r="M103" i="1"/>
  <c r="N103" i="1"/>
  <c r="O103" i="1"/>
  <c r="P103" i="1"/>
  <c r="Q103" i="1"/>
  <c r="O105" i="1"/>
  <c r="P105" i="1"/>
  <c r="BH105" i="1"/>
  <c r="BH104" i="1" s="1"/>
  <c r="BH112" i="1" s="1"/>
  <c r="AV105" i="1"/>
  <c r="AV104" i="1" s="1"/>
  <c r="AV112" i="1" s="1"/>
  <c r="AK28" i="1"/>
  <c r="AK34" i="1"/>
  <c r="AK39" i="1"/>
  <c r="AL28" i="1"/>
  <c r="AL34" i="1"/>
  <c r="AL39" i="1"/>
  <c r="AM28" i="1"/>
  <c r="AM34" i="1"/>
  <c r="AM39" i="1"/>
  <c r="AN28" i="1"/>
  <c r="AN34" i="1"/>
  <c r="AN39" i="1"/>
  <c r="AO28" i="1"/>
  <c r="AO34" i="1"/>
  <c r="AO39" i="1"/>
  <c r="AJ105" i="1"/>
  <c r="AJ104" i="1" s="1"/>
  <c r="AJ112" i="1" s="1"/>
  <c r="AE28" i="1"/>
  <c r="AE34" i="1"/>
  <c r="AE39" i="1"/>
  <c r="AF28" i="1"/>
  <c r="AF34" i="1"/>
  <c r="AF39" i="1"/>
  <c r="AG28" i="1"/>
  <c r="AG34" i="1"/>
  <c r="AG39" i="1"/>
  <c r="AH28" i="1"/>
  <c r="AH34" i="1"/>
  <c r="AH39" i="1"/>
  <c r="AI28" i="1"/>
  <c r="AI34" i="1"/>
  <c r="AI39" i="1"/>
  <c r="AD105" i="1"/>
  <c r="X105" i="1"/>
  <c r="BT105" i="1"/>
  <c r="BT104" i="1" s="1"/>
  <c r="BT112" i="1" s="1"/>
  <c r="BO34" i="1"/>
  <c r="BO39" i="1"/>
  <c r="BP34" i="1"/>
  <c r="BP39" i="1"/>
  <c r="BQ34" i="1"/>
  <c r="BQ39" i="1"/>
  <c r="BR34" i="1"/>
  <c r="BR39" i="1"/>
  <c r="BS34" i="1"/>
  <c r="BS39" i="1"/>
  <c r="BN105" i="1"/>
  <c r="BN104" i="1" s="1"/>
  <c r="BN112" i="1" s="1"/>
  <c r="BB105" i="1"/>
  <c r="AP105" i="1"/>
  <c r="R33" i="1"/>
  <c r="R35" i="1"/>
  <c r="R40" i="1"/>
  <c r="R50" i="1"/>
  <c r="R32" i="1"/>
  <c r="R30" i="1"/>
  <c r="R37" i="1"/>
  <c r="R36" i="1"/>
  <c r="R46" i="1"/>
  <c r="R45" i="1"/>
  <c r="R44" i="1"/>
  <c r="R43" i="1"/>
  <c r="R42" i="1"/>
  <c r="R41" i="1"/>
  <c r="R53" i="1"/>
  <c r="X33" i="1"/>
  <c r="X32" i="1"/>
  <c r="X30" i="1"/>
  <c r="X29" i="1"/>
  <c r="X37" i="1"/>
  <c r="X36" i="1"/>
  <c r="X35" i="1"/>
  <c r="X46" i="1"/>
  <c r="X45" i="1"/>
  <c r="X44" i="1"/>
  <c r="X43" i="1"/>
  <c r="X42" i="1"/>
  <c r="X41" i="1"/>
  <c r="X40" i="1"/>
  <c r="X50" i="1"/>
  <c r="X53" i="1"/>
  <c r="X83" i="1"/>
  <c r="X82" i="1" s="1"/>
  <c r="X81" i="1" s="1"/>
  <c r="AD33" i="1"/>
  <c r="AD35" i="1"/>
  <c r="AD40" i="1"/>
  <c r="AD50" i="1"/>
  <c r="AD49" i="1" s="1"/>
  <c r="AD32" i="1"/>
  <c r="AJ33" i="1"/>
  <c r="AJ32" i="1"/>
  <c r="AJ30" i="1"/>
  <c r="AJ29" i="1"/>
  <c r="AJ37" i="1"/>
  <c r="AJ36" i="1"/>
  <c r="AJ35" i="1"/>
  <c r="AP33" i="1"/>
  <c r="AP32" i="1"/>
  <c r="AP30" i="1"/>
  <c r="AP29" i="1"/>
  <c r="AP37" i="1"/>
  <c r="AP36" i="1"/>
  <c r="AP35" i="1"/>
  <c r="AP46" i="1"/>
  <c r="AP45" i="1"/>
  <c r="AP44" i="1"/>
  <c r="AP43" i="1"/>
  <c r="AP42" i="1"/>
  <c r="AP41" i="1"/>
  <c r="AP40" i="1"/>
  <c r="AP83" i="1"/>
  <c r="AP82" i="1" s="1"/>
  <c r="AP81" i="1" s="1"/>
  <c r="AV33" i="1"/>
  <c r="AV32" i="1"/>
  <c r="AV30" i="1"/>
  <c r="AV29" i="1"/>
  <c r="AV37" i="1"/>
  <c r="AV36" i="1"/>
  <c r="AV35" i="1"/>
  <c r="AV46" i="1"/>
  <c r="AV45" i="1"/>
  <c r="AV44" i="1"/>
  <c r="AV43" i="1"/>
  <c r="AV42" i="1"/>
  <c r="AV41" i="1"/>
  <c r="AV40" i="1"/>
  <c r="AV83" i="1"/>
  <c r="AV82" i="1" s="1"/>
  <c r="AV81" i="1" s="1"/>
  <c r="BB33" i="1"/>
  <c r="BB32" i="1"/>
  <c r="BB30" i="1"/>
  <c r="BB29" i="1"/>
  <c r="BB37" i="1"/>
  <c r="BB36" i="1"/>
  <c r="BB35" i="1"/>
  <c r="BB46" i="1"/>
  <c r="BB45" i="1"/>
  <c r="BB44" i="1"/>
  <c r="BB43" i="1"/>
  <c r="BB42" i="1"/>
  <c r="BB41" i="1"/>
  <c r="BB40" i="1"/>
  <c r="BB50" i="1"/>
  <c r="BB83" i="1"/>
  <c r="BB82" i="1" s="1"/>
  <c r="BB81" i="1" s="1"/>
  <c r="BH33" i="1"/>
  <c r="BH32" i="1"/>
  <c r="BH30" i="1"/>
  <c r="BH29" i="1"/>
  <c r="BH37" i="1"/>
  <c r="BH36" i="1"/>
  <c r="BH35" i="1"/>
  <c r="BH46" i="1"/>
  <c r="BH45" i="1"/>
  <c r="BH44" i="1"/>
  <c r="BH43" i="1"/>
  <c r="BH42" i="1"/>
  <c r="BH41" i="1"/>
  <c r="BH40" i="1"/>
  <c r="BH50" i="1"/>
  <c r="BH53" i="1"/>
  <c r="BH83" i="1"/>
  <c r="BH82" i="1" s="1"/>
  <c r="BH81" i="1" s="1"/>
  <c r="BN33" i="1"/>
  <c r="BN32" i="1"/>
  <c r="BN30" i="1"/>
  <c r="BN29" i="1"/>
  <c r="BN37" i="1"/>
  <c r="BN36" i="1"/>
  <c r="BN35" i="1"/>
  <c r="BN46" i="1"/>
  <c r="BN45" i="1"/>
  <c r="BN44" i="1"/>
  <c r="BN43" i="1"/>
  <c r="BN42" i="1"/>
  <c r="BN41" i="1"/>
  <c r="BN40" i="1"/>
  <c r="BN50" i="1"/>
  <c r="BN53" i="1"/>
  <c r="BN83" i="1"/>
  <c r="BT33" i="1"/>
  <c r="BT32" i="1"/>
  <c r="BT30" i="1"/>
  <c r="BT29" i="1"/>
  <c r="BT37" i="1"/>
  <c r="BT36" i="1"/>
  <c r="BT35" i="1"/>
  <c r="BT46" i="1"/>
  <c r="BT45" i="1"/>
  <c r="BT44" i="1"/>
  <c r="BT43" i="1"/>
  <c r="BT42" i="1"/>
  <c r="BT41" i="1"/>
  <c r="BT40" i="1"/>
  <c r="BT50" i="1"/>
  <c r="BT53" i="1"/>
  <c r="BT83" i="1"/>
  <c r="R121" i="1"/>
  <c r="I27" i="1"/>
  <c r="R55" i="1"/>
  <c r="BB55" i="1"/>
  <c r="X55" i="1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68" i="24"/>
  <c r="A69" i="24"/>
  <c r="A70" i="24"/>
  <c r="A71" i="24"/>
  <c r="A72" i="24"/>
  <c r="A73" i="24"/>
  <c r="A74" i="24"/>
  <c r="A75" i="24"/>
  <c r="A76" i="24"/>
  <c r="BY113" i="1"/>
  <c r="BX113" i="1"/>
  <c r="BW113" i="1"/>
  <c r="BV113" i="1"/>
  <c r="BU113" i="1"/>
  <c r="BS113" i="1"/>
  <c r="BR113" i="1"/>
  <c r="BQ113" i="1"/>
  <c r="BP113" i="1"/>
  <c r="BO113" i="1"/>
  <c r="BM113" i="1"/>
  <c r="BL113" i="1"/>
  <c r="BK113" i="1"/>
  <c r="BJ113" i="1"/>
  <c r="BI113" i="1"/>
  <c r="BG113" i="1"/>
  <c r="BF113" i="1"/>
  <c r="BE113" i="1"/>
  <c r="BD113" i="1"/>
  <c r="BC113" i="1"/>
  <c r="BA113" i="1"/>
  <c r="AZ113" i="1"/>
  <c r="AY113" i="1"/>
  <c r="AX113" i="1"/>
  <c r="AW113" i="1"/>
  <c r="AU113" i="1"/>
  <c r="AT113" i="1"/>
  <c r="AS113" i="1"/>
  <c r="AR113" i="1"/>
  <c r="AQ113" i="1"/>
  <c r="AO113" i="1"/>
  <c r="AN113" i="1"/>
  <c r="AM113" i="1"/>
  <c r="AL113" i="1"/>
  <c r="AK113" i="1"/>
  <c r="AI113" i="1"/>
  <c r="AH113" i="1"/>
  <c r="AG113" i="1"/>
  <c r="AF113" i="1"/>
  <c r="AE113" i="1"/>
  <c r="AC113" i="1"/>
  <c r="AB113" i="1"/>
  <c r="AA113" i="1"/>
  <c r="Z113" i="1"/>
  <c r="Y113" i="1"/>
  <c r="W113" i="1"/>
  <c r="S113" i="1"/>
  <c r="T113" i="1"/>
  <c r="U113" i="1"/>
  <c r="V113" i="1"/>
  <c r="Q113" i="1"/>
  <c r="L113" i="1"/>
  <c r="M113" i="1"/>
  <c r="N113" i="1"/>
  <c r="O113" i="1"/>
  <c r="P113" i="1"/>
  <c r="BW112" i="1"/>
  <c r="BM112" i="1"/>
  <c r="BJ112" i="1"/>
  <c r="BA112" i="1"/>
  <c r="AX112" i="1"/>
  <c r="AO112" i="1"/>
  <c r="AL112" i="1"/>
  <c r="M104" i="1"/>
  <c r="M112" i="1" s="1"/>
  <c r="N104" i="1"/>
  <c r="N112" i="1" s="1"/>
  <c r="J112" i="1"/>
  <c r="J113" i="1"/>
  <c r="I113" i="1"/>
  <c r="X121" i="1"/>
  <c r="AD121" i="1"/>
  <c r="AJ121" i="1"/>
  <c r="AP121" i="1"/>
  <c r="AV121" i="1"/>
  <c r="BN121" i="1"/>
  <c r="BT121" i="1"/>
  <c r="J38" i="1"/>
  <c r="I38" i="1"/>
  <c r="J28" i="1"/>
  <c r="I28" i="1"/>
  <c r="R103" i="1"/>
  <c r="R102" i="1"/>
  <c r="A5" i="24"/>
  <c r="A54" i="24" s="1"/>
  <c r="A4" i="24"/>
  <c r="BT97" i="1"/>
  <c r="BT103" i="1"/>
  <c r="BN97" i="1"/>
  <c r="BN96" i="1" s="1"/>
  <c r="BN103" i="1"/>
  <c r="BN102" i="1"/>
  <c r="BH97" i="1"/>
  <c r="BH103" i="1"/>
  <c r="BH102" i="1"/>
  <c r="BB97" i="1"/>
  <c r="BB103" i="1"/>
  <c r="BB102" i="1"/>
  <c r="AV97" i="1"/>
  <c r="AV96" i="1" s="1"/>
  <c r="AV103" i="1"/>
  <c r="AP97" i="1"/>
  <c r="AP103" i="1"/>
  <c r="AP102" i="1"/>
  <c r="AJ97" i="1"/>
  <c r="AJ103" i="1"/>
  <c r="AJ102" i="1"/>
  <c r="AD97" i="1"/>
  <c r="AD103" i="1"/>
  <c r="AD102" i="1"/>
  <c r="X97" i="1"/>
  <c r="X103" i="1"/>
  <c r="X102" i="1"/>
  <c r="R104" i="1"/>
  <c r="A109" i="1"/>
  <c r="A108" i="1"/>
  <c r="B36" i="13"/>
  <c r="B35" i="13"/>
  <c r="B37" i="13"/>
  <c r="B38" i="13"/>
  <c r="F57" i="24"/>
  <c r="B44" i="13"/>
  <c r="B43" i="13"/>
  <c r="B42" i="13"/>
  <c r="B41" i="13"/>
  <c r="B40" i="13"/>
  <c r="B39" i="13"/>
  <c r="I104" i="1"/>
  <c r="I112" i="1" s="1"/>
  <c r="BU111" i="1"/>
  <c r="V5" i="1"/>
  <c r="AN5" i="1"/>
  <c r="BX8" i="1"/>
  <c r="L102" i="1"/>
  <c r="P104" i="1"/>
  <c r="P112" i="1" s="1"/>
  <c r="N101" i="1"/>
  <c r="V27" i="1"/>
  <c r="U27" i="1"/>
  <c r="S27" i="1"/>
  <c r="AY27" i="1"/>
  <c r="BO112" i="1" l="1"/>
  <c r="BR8" i="1"/>
  <c r="BC112" i="1"/>
  <c r="BF8" i="1"/>
  <c r="AW112" i="1"/>
  <c r="AZ8" i="1"/>
  <c r="AK112" i="1"/>
  <c r="AN8" i="1"/>
  <c r="AE112" i="1"/>
  <c r="AH8" i="1"/>
  <c r="S112" i="1"/>
  <c r="V8" i="1"/>
  <c r="BL8" i="1"/>
  <c r="AQ112" i="1"/>
  <c r="AT8" i="1"/>
  <c r="Y112" i="1"/>
  <c r="AB8" i="1"/>
  <c r="AN7" i="1"/>
  <c r="BL7" i="1"/>
  <c r="BF7" i="1"/>
  <c r="AT7" i="1"/>
  <c r="AB7" i="1"/>
  <c r="BR7" i="1"/>
  <c r="AZ7" i="1"/>
  <c r="AH7" i="1"/>
  <c r="V7" i="1"/>
  <c r="Q49" i="1"/>
  <c r="AJ96" i="1"/>
  <c r="AJ116" i="1" s="1"/>
  <c r="BL111" i="1"/>
  <c r="BI111" i="1"/>
  <c r="AZ111" i="1"/>
  <c r="AH111" i="1"/>
  <c r="BD24" i="13"/>
  <c r="BN49" i="1"/>
  <c r="BN48" i="1" s="1"/>
  <c r="X49" i="1"/>
  <c r="X48" i="1" s="1"/>
  <c r="X47" i="1" s="1"/>
  <c r="R49" i="1"/>
  <c r="R48" i="1" s="1"/>
  <c r="R47" i="1" s="1"/>
  <c r="M49" i="1"/>
  <c r="M48" i="1" s="1"/>
  <c r="E18" i="24"/>
  <c r="D18" i="24"/>
  <c r="D19" i="24" s="1"/>
  <c r="BK111" i="1"/>
  <c r="BB49" i="1"/>
  <c r="BB48" i="1" s="1"/>
  <c r="BB47" i="1" s="1"/>
  <c r="Y111" i="1"/>
  <c r="N49" i="1"/>
  <c r="O49" i="1"/>
  <c r="P49" i="1"/>
  <c r="BT49" i="1"/>
  <c r="BT48" i="1" s="1"/>
  <c r="BT47" i="1" s="1"/>
  <c r="AV49" i="1"/>
  <c r="AP49" i="1"/>
  <c r="AJ49" i="1"/>
  <c r="AJ48" i="1" s="1"/>
  <c r="BH49" i="1"/>
  <c r="L75" i="1"/>
  <c r="AJ115" i="1"/>
  <c r="BT115" i="1"/>
  <c r="BN115" i="1"/>
  <c r="BH115" i="1"/>
  <c r="BB115" i="1"/>
  <c r="AV115" i="1"/>
  <c r="AP115" i="1"/>
  <c r="AD115" i="1"/>
  <c r="X115" i="1"/>
  <c r="AV75" i="1"/>
  <c r="AY111" i="1"/>
  <c r="AF111" i="1"/>
  <c r="AG111" i="1"/>
  <c r="Z111" i="1"/>
  <c r="BK110" i="1"/>
  <c r="BP111" i="1"/>
  <c r="BM111" i="1"/>
  <c r="BJ111" i="1"/>
  <c r="AW111" i="1"/>
  <c r="AQ111" i="1"/>
  <c r="AR111" i="1"/>
  <c r="S111" i="1"/>
  <c r="V110" i="1"/>
  <c r="L105" i="1"/>
  <c r="K105" i="1" s="1"/>
  <c r="L37" i="1"/>
  <c r="BS47" i="1"/>
  <c r="BS38" i="1" s="1"/>
  <c r="BS27" i="1" s="1"/>
  <c r="BR47" i="1"/>
  <c r="BR38" i="1" s="1"/>
  <c r="BR27" i="1" s="1"/>
  <c r="BQ47" i="1"/>
  <c r="BQ38" i="1" s="1"/>
  <c r="BQ27" i="1" s="1"/>
  <c r="BP47" i="1"/>
  <c r="BP38" i="1" s="1"/>
  <c r="BP27" i="1" s="1"/>
  <c r="BO47" i="1"/>
  <c r="BO38" i="1" s="1"/>
  <c r="BO27" i="1" s="1"/>
  <c r="BY47" i="1"/>
  <c r="BX47" i="1"/>
  <c r="BX38" i="1" s="1"/>
  <c r="BW47" i="1"/>
  <c r="BV47" i="1"/>
  <c r="BV38" i="1" s="1"/>
  <c r="BV27" i="1" s="1"/>
  <c r="BV110" i="1" s="1"/>
  <c r="BU47" i="1"/>
  <c r="BU38" i="1" s="1"/>
  <c r="BG110" i="1"/>
  <c r="BG114" i="1" s="1"/>
  <c r="BD25" i="13"/>
  <c r="BD28" i="13"/>
  <c r="BG25" i="13"/>
  <c r="AJ75" i="1"/>
  <c r="AJ74" i="1" s="1"/>
  <c r="BT28" i="1"/>
  <c r="BN28" i="1"/>
  <c r="BG28" i="13"/>
  <c r="BJ29" i="13"/>
  <c r="BH29" i="13"/>
  <c r="BB29" i="13"/>
  <c r="BK29" i="13"/>
  <c r="BL29" i="13"/>
  <c r="AB5" i="1"/>
  <c r="BE29" i="13"/>
  <c r="BG24" i="13"/>
  <c r="BC29" i="13"/>
  <c r="BE110" i="1"/>
  <c r="BL110" i="1"/>
  <c r="BL114" i="1" s="1"/>
  <c r="O101" i="1"/>
  <c r="O111" i="1" s="1"/>
  <c r="M101" i="1"/>
  <c r="M111" i="1" s="1"/>
  <c r="Q101" i="1"/>
  <c r="Q111" i="1" s="1"/>
  <c r="BX111" i="1"/>
  <c r="BW111" i="1"/>
  <c r="BQ111" i="1"/>
  <c r="BO111" i="1"/>
  <c r="BS111" i="1"/>
  <c r="BA111" i="1"/>
  <c r="AS111" i="1"/>
  <c r="AU111" i="1"/>
  <c r="AL111" i="1"/>
  <c r="AM111" i="1"/>
  <c r="AE111" i="1"/>
  <c r="AC111" i="1"/>
  <c r="U111" i="1"/>
  <c r="AA111" i="1"/>
  <c r="L97" i="1"/>
  <c r="V111" i="1"/>
  <c r="BN81" i="1"/>
  <c r="BE111" i="1"/>
  <c r="L103" i="1"/>
  <c r="AP104" i="1"/>
  <c r="AP112" i="1" s="1"/>
  <c r="AU110" i="1"/>
  <c r="O104" i="1"/>
  <c r="O112" i="1" s="1"/>
  <c r="AA110" i="1"/>
  <c r="Y110" i="1"/>
  <c r="Y114" i="1" s="1"/>
  <c r="AP75" i="1"/>
  <c r="O82" i="1"/>
  <c r="M82" i="1"/>
  <c r="BT34" i="1"/>
  <c r="AJ34" i="1"/>
  <c r="AJ28" i="1"/>
  <c r="BC111" i="1"/>
  <c r="Q82" i="1"/>
  <c r="P82" i="1"/>
  <c r="N82" i="1"/>
  <c r="BH75" i="1"/>
  <c r="BH74" i="1" s="1"/>
  <c r="AD75" i="1"/>
  <c r="AD74" i="1" s="1"/>
  <c r="BG27" i="13"/>
  <c r="D67" i="24"/>
  <c r="AV101" i="1"/>
  <c r="AT110" i="1"/>
  <c r="AS110" i="1"/>
  <c r="BB104" i="1"/>
  <c r="BB112" i="1" s="1"/>
  <c r="BD110" i="1"/>
  <c r="BD114" i="1" s="1"/>
  <c r="BC110" i="1"/>
  <c r="X104" i="1"/>
  <c r="X112" i="1" s="1"/>
  <c r="AD104" i="1"/>
  <c r="AD112" i="1" s="1"/>
  <c r="T111" i="1"/>
  <c r="AP101" i="1"/>
  <c r="BN101" i="1"/>
  <c r="BT116" i="1"/>
  <c r="AC110" i="1"/>
  <c r="Z110" i="1"/>
  <c r="AO38" i="1"/>
  <c r="AO27" i="1" s="1"/>
  <c r="Q28" i="1"/>
  <c r="X101" i="1"/>
  <c r="AJ101" i="1"/>
  <c r="BH101" i="1"/>
  <c r="U110" i="1"/>
  <c r="AV116" i="1"/>
  <c r="L42" i="1"/>
  <c r="L52" i="1"/>
  <c r="L34" i="28" s="1"/>
  <c r="J34" i="28" s="1"/>
  <c r="L43" i="1"/>
  <c r="AP116" i="1"/>
  <c r="BB101" i="1"/>
  <c r="BH96" i="1"/>
  <c r="BT101" i="1"/>
  <c r="R116" i="1"/>
  <c r="BH34" i="1"/>
  <c r="BB28" i="1"/>
  <c r="X28" i="1"/>
  <c r="AH38" i="1"/>
  <c r="AH27" i="1" s="1"/>
  <c r="N111" i="1"/>
  <c r="R96" i="1"/>
  <c r="AG38" i="1"/>
  <c r="AG27" i="1" s="1"/>
  <c r="S110" i="1"/>
  <c r="L44" i="1"/>
  <c r="L32" i="1"/>
  <c r="BB39" i="1"/>
  <c r="AV39" i="1"/>
  <c r="X39" i="1"/>
  <c r="AI38" i="1"/>
  <c r="AI27" i="1" s="1"/>
  <c r="AF38" i="1"/>
  <c r="AF27" i="1" s="1"/>
  <c r="AD34" i="1"/>
  <c r="K120" i="1"/>
  <c r="BL5" i="1"/>
  <c r="BI29" i="13"/>
  <c r="BM5" i="1"/>
  <c r="BD27" i="13"/>
  <c r="BD26" i="13"/>
  <c r="BM29" i="13"/>
  <c r="BF29" i="13"/>
  <c r="BG26" i="13"/>
  <c r="E67" i="24"/>
  <c r="AC5" i="1"/>
  <c r="BN25" i="13"/>
  <c r="BH39" i="1"/>
  <c r="BB34" i="1"/>
  <c r="R39" i="1"/>
  <c r="AN38" i="1"/>
  <c r="AN27" i="1" s="1"/>
  <c r="AL38" i="1"/>
  <c r="AL27" i="1" s="1"/>
  <c r="AL110" i="1" s="1"/>
  <c r="Q34" i="1"/>
  <c r="P39" i="1"/>
  <c r="N39" i="1"/>
  <c r="O34" i="1"/>
  <c r="M34" i="1"/>
  <c r="O28" i="1"/>
  <c r="M28" i="1"/>
  <c r="AV55" i="1"/>
  <c r="P55" i="1"/>
  <c r="P48" i="1" s="1"/>
  <c r="Q55" i="1"/>
  <c r="X34" i="1"/>
  <c r="R34" i="1"/>
  <c r="AM38" i="1"/>
  <c r="AM27" i="1" s="1"/>
  <c r="AM110" i="1" s="1"/>
  <c r="AM114" i="1" s="1"/>
  <c r="AK38" i="1"/>
  <c r="AK27" i="1" s="1"/>
  <c r="AK110" i="1" s="1"/>
  <c r="O39" i="1"/>
  <c r="M39" i="1"/>
  <c r="P34" i="1"/>
  <c r="N34" i="1"/>
  <c r="P28" i="1"/>
  <c r="N28" i="1"/>
  <c r="N55" i="1"/>
  <c r="N48" i="1" s="1"/>
  <c r="O55" i="1"/>
  <c r="BH55" i="1"/>
  <c r="Q39" i="1"/>
  <c r="BH28" i="1"/>
  <c r="BM110" i="1"/>
  <c r="BM114" i="1" s="1"/>
  <c r="AV34" i="1"/>
  <c r="AP39" i="1"/>
  <c r="AP28" i="1"/>
  <c r="R112" i="1"/>
  <c r="X116" i="1"/>
  <c r="BT39" i="1"/>
  <c r="AV28" i="1"/>
  <c r="AP34" i="1"/>
  <c r="P101" i="1"/>
  <c r="P111" i="1" s="1"/>
  <c r="BY111" i="1"/>
  <c r="AX111" i="1"/>
  <c r="AI111" i="1"/>
  <c r="AB111" i="1"/>
  <c r="W111" i="1"/>
  <c r="BX27" i="1"/>
  <c r="AP55" i="1"/>
  <c r="AD55" i="1"/>
  <c r="AZ27" i="1"/>
  <c r="BF110" i="1"/>
  <c r="BF114" i="1" s="1"/>
  <c r="W27" i="1"/>
  <c r="AY110" i="1"/>
  <c r="AY114" i="1" s="1"/>
  <c r="BI110" i="1"/>
  <c r="AR110" i="1"/>
  <c r="AR114" i="1" s="1"/>
  <c r="BA110" i="1"/>
  <c r="BA114" i="1" s="1"/>
  <c r="AQ110" i="1"/>
  <c r="L79" i="1"/>
  <c r="L50" i="1"/>
  <c r="L32" i="28" s="1"/>
  <c r="J32" i="28" s="1"/>
  <c r="AO111" i="1"/>
  <c r="AK111" i="1"/>
  <c r="L57" i="1"/>
  <c r="L40" i="1"/>
  <c r="L22" i="28" s="1"/>
  <c r="J22" i="28" s="1"/>
  <c r="L35" i="1"/>
  <c r="L53" i="1"/>
  <c r="L35" i="28" s="1"/>
  <c r="J35" i="28" s="1"/>
  <c r="AD39" i="1"/>
  <c r="J110" i="1"/>
  <c r="L29" i="1"/>
  <c r="X96" i="1"/>
  <c r="AD101" i="1"/>
  <c r="AD96" i="1"/>
  <c r="AP96" i="1"/>
  <c r="BB116" i="1"/>
  <c r="BH116" i="1"/>
  <c r="BN116" i="1"/>
  <c r="BT96" i="1"/>
  <c r="R101" i="1"/>
  <c r="BN34" i="1"/>
  <c r="Q104" i="1"/>
  <c r="Q112" i="1" s="1"/>
  <c r="BV111" i="1"/>
  <c r="BR111" i="1"/>
  <c r="AT111" i="1"/>
  <c r="BJ110" i="1"/>
  <c r="AW110" i="1"/>
  <c r="AW114" i="1" s="1"/>
  <c r="K102" i="1"/>
  <c r="AB110" i="1"/>
  <c r="AD116" i="1"/>
  <c r="BB96" i="1"/>
  <c r="BN39" i="1"/>
  <c r="AJ39" i="1"/>
  <c r="I110" i="1"/>
  <c r="K121" i="1"/>
  <c r="L83" i="1"/>
  <c r="L65" i="28" s="1"/>
  <c r="J65" i="28" s="1"/>
  <c r="L46" i="1"/>
  <c r="L45" i="1"/>
  <c r="L41" i="1"/>
  <c r="L36" i="1"/>
  <c r="L33" i="1"/>
  <c r="P120" i="1"/>
  <c r="AD28" i="1"/>
  <c r="K119" i="1"/>
  <c r="AE38" i="1"/>
  <c r="AE27" i="1" s="1"/>
  <c r="AE110" i="1" s="1"/>
  <c r="P119" i="1"/>
  <c r="L30" i="1"/>
  <c r="L12" i="28" s="1"/>
  <c r="J12" i="28" s="1"/>
  <c r="AS114" i="1" l="1"/>
  <c r="Q48" i="1"/>
  <c r="Q47" i="1" s="1"/>
  <c r="AE114" i="1"/>
  <c r="BJ114" i="1"/>
  <c r="AP48" i="1"/>
  <c r="O48" i="1"/>
  <c r="O47" i="1" s="1"/>
  <c r="AH110" i="1"/>
  <c r="AH114" i="1" s="1"/>
  <c r="Z114" i="1"/>
  <c r="BH111" i="1"/>
  <c r="L11" i="28"/>
  <c r="J11" i="28" s="1"/>
  <c r="K29" i="1"/>
  <c r="L28" i="1"/>
  <c r="L10" i="28" s="1"/>
  <c r="BK114" i="1"/>
  <c r="BN24" i="13"/>
  <c r="K41" i="1"/>
  <c r="K23" i="28" s="1"/>
  <c r="I23" i="28" s="1"/>
  <c r="L23" i="28"/>
  <c r="J23" i="28" s="1"/>
  <c r="K57" i="1"/>
  <c r="L39" i="28"/>
  <c r="J39" i="28" s="1"/>
  <c r="K32" i="1"/>
  <c r="L14" i="28"/>
  <c r="J14" i="28" s="1"/>
  <c r="K42" i="1"/>
  <c r="K24" i="28" s="1"/>
  <c r="L24" i="28"/>
  <c r="J24" i="28" s="1"/>
  <c r="K103" i="1"/>
  <c r="K85" i="28" s="1"/>
  <c r="L85" i="28"/>
  <c r="K37" i="1"/>
  <c r="K19" i="28" s="1"/>
  <c r="L19" i="28"/>
  <c r="J19" i="28" s="1"/>
  <c r="L74" i="1"/>
  <c r="L56" i="28" s="1"/>
  <c r="L57" i="28"/>
  <c r="K33" i="1"/>
  <c r="K15" i="28" s="1"/>
  <c r="I15" i="28" s="1"/>
  <c r="L15" i="28"/>
  <c r="K46" i="1"/>
  <c r="K28" i="28" s="1"/>
  <c r="I28" i="28" s="1"/>
  <c r="L28" i="28"/>
  <c r="J28" i="28" s="1"/>
  <c r="K36" i="1"/>
  <c r="K18" i="28" s="1"/>
  <c r="L18" i="28"/>
  <c r="J18" i="28" s="1"/>
  <c r="K45" i="1"/>
  <c r="K27" i="28" s="1"/>
  <c r="I27" i="28" s="1"/>
  <c r="L27" i="28"/>
  <c r="J27" i="28" s="1"/>
  <c r="K35" i="1"/>
  <c r="L17" i="28"/>
  <c r="J17" i="28" s="1"/>
  <c r="K79" i="1"/>
  <c r="K61" i="28" s="1"/>
  <c r="I61" i="28" s="1"/>
  <c r="L61" i="28"/>
  <c r="J61" i="28" s="1"/>
  <c r="K44" i="1"/>
  <c r="K26" i="28" s="1"/>
  <c r="L26" i="28"/>
  <c r="J26" i="28" s="1"/>
  <c r="K43" i="1"/>
  <c r="K25" i="28" s="1"/>
  <c r="L25" i="28"/>
  <c r="J25" i="28" s="1"/>
  <c r="K104" i="1"/>
  <c r="K112" i="1" s="1"/>
  <c r="K87" i="28"/>
  <c r="L104" i="1"/>
  <c r="G20" i="24" s="1"/>
  <c r="L87" i="28"/>
  <c r="L96" i="1"/>
  <c r="L78" i="28" s="1"/>
  <c r="L79" i="28"/>
  <c r="E21" i="24"/>
  <c r="AZ110" i="1"/>
  <c r="AZ114" i="1" s="1"/>
  <c r="AN110" i="1"/>
  <c r="AN114" i="1" s="1"/>
  <c r="AI110" i="1"/>
  <c r="AI114" i="1" s="1"/>
  <c r="S114" i="1"/>
  <c r="BH48" i="1"/>
  <c r="AV48" i="1"/>
  <c r="AD48" i="1"/>
  <c r="AD47" i="1" s="1"/>
  <c r="AD38" i="1" s="1"/>
  <c r="AD27" i="1" s="1"/>
  <c r="L49" i="1"/>
  <c r="L31" i="28" s="1"/>
  <c r="BI114" i="1"/>
  <c r="K152" i="1"/>
  <c r="K53" i="1"/>
  <c r="K35" i="28" s="1"/>
  <c r="I35" i="28" s="1"/>
  <c r="BN47" i="1"/>
  <c r="BN38" i="1" s="1"/>
  <c r="BN27" i="1" s="1"/>
  <c r="AQ114" i="1"/>
  <c r="AD111" i="1"/>
  <c r="AV111" i="1"/>
  <c r="AF110" i="1"/>
  <c r="AF114" i="1" s="1"/>
  <c r="AO110" i="1"/>
  <c r="AO114" i="1" s="1"/>
  <c r="AU114" i="1"/>
  <c r="BP110" i="1"/>
  <c r="BP114" i="1" s="1"/>
  <c r="N47" i="1"/>
  <c r="P47" i="1"/>
  <c r="M47" i="1"/>
  <c r="BY38" i="1"/>
  <c r="BY27" i="1" s="1"/>
  <c r="BY110" i="1" s="1"/>
  <c r="BY114" i="1" s="1"/>
  <c r="BW38" i="1"/>
  <c r="BW27" i="1" s="1"/>
  <c r="BW110" i="1" s="1"/>
  <c r="BW114" i="1" s="1"/>
  <c r="BR110" i="1"/>
  <c r="BR114" i="1" s="1"/>
  <c r="BN28" i="13"/>
  <c r="AJ47" i="1"/>
  <c r="AJ38" i="1" s="1"/>
  <c r="AJ27" i="1" s="1"/>
  <c r="BG29" i="13"/>
  <c r="I111" i="1"/>
  <c r="I114" i="1" s="1"/>
  <c r="L82" i="1"/>
  <c r="L64" i="28" s="1"/>
  <c r="L81" i="1"/>
  <c r="L63" i="28" s="1"/>
  <c r="AB114" i="1"/>
  <c r="AA114" i="1"/>
  <c r="K97" i="1"/>
  <c r="BX110" i="1"/>
  <c r="BX114" i="1" s="1"/>
  <c r="BU27" i="1"/>
  <c r="BU110" i="1" s="1"/>
  <c r="BC114" i="1"/>
  <c r="U114" i="1"/>
  <c r="AC114" i="1"/>
  <c r="AL114" i="1"/>
  <c r="AG110" i="1"/>
  <c r="AG114" i="1" s="1"/>
  <c r="BB111" i="1"/>
  <c r="BT106" i="1"/>
  <c r="BT113" i="1" s="1"/>
  <c r="W110" i="1"/>
  <c r="W114" i="1" s="1"/>
  <c r="AP74" i="1"/>
  <c r="X111" i="1"/>
  <c r="BE114" i="1"/>
  <c r="L101" i="1"/>
  <c r="BO110" i="1"/>
  <c r="BS110" i="1"/>
  <c r="BS114" i="1" s="1"/>
  <c r="R111" i="1"/>
  <c r="X38" i="1"/>
  <c r="X27" i="1" s="1"/>
  <c r="BV114" i="1"/>
  <c r="BQ110" i="1"/>
  <c r="BQ114" i="1" s="1"/>
  <c r="BT111" i="1"/>
  <c r="BN27" i="13"/>
  <c r="BD29" i="13"/>
  <c r="K52" i="1"/>
  <c r="K34" i="28" s="1"/>
  <c r="BG34" i="28" s="1"/>
  <c r="BG31" i="28" s="1"/>
  <c r="BG30" i="28" s="1"/>
  <c r="AV74" i="1"/>
  <c r="AJ111" i="1"/>
  <c r="BT38" i="1"/>
  <c r="BT27" i="1" s="1"/>
  <c r="AP111" i="1"/>
  <c r="AK114" i="1"/>
  <c r="BB118" i="1"/>
  <c r="BB38" i="1"/>
  <c r="BB27" i="1" s="1"/>
  <c r="BN26" i="13"/>
  <c r="L55" i="1"/>
  <c r="L37" i="28" s="1"/>
  <c r="K40" i="1"/>
  <c r="L39" i="1"/>
  <c r="K50" i="1"/>
  <c r="K32" i="28" s="1"/>
  <c r="I32" i="28" s="1"/>
  <c r="K83" i="1"/>
  <c r="K65" i="28" s="1"/>
  <c r="I65" i="28" s="1"/>
  <c r="K75" i="1"/>
  <c r="L34" i="1"/>
  <c r="R38" i="1"/>
  <c r="BB110" i="1"/>
  <c r="BB117" i="1" s="1"/>
  <c r="AT114" i="1"/>
  <c r="AX27" i="1"/>
  <c r="AX110" i="1" s="1"/>
  <c r="AX114" i="1" s="1"/>
  <c r="AP118" i="1"/>
  <c r="AP110" i="1"/>
  <c r="AP117" i="1" s="1"/>
  <c r="V114" i="1"/>
  <c r="X118" i="1"/>
  <c r="X110" i="1"/>
  <c r="X117" i="1" s="1"/>
  <c r="BH110" i="1"/>
  <c r="BH114" i="1" s="1"/>
  <c r="BH118" i="1"/>
  <c r="F8" i="24"/>
  <c r="G8" i="24"/>
  <c r="G7" i="24"/>
  <c r="BN111" i="1"/>
  <c r="BB106" i="1"/>
  <c r="BB113" i="1" s="1"/>
  <c r="BH106" i="1"/>
  <c r="BH113" i="1" s="1"/>
  <c r="R106" i="1"/>
  <c r="R113" i="1" s="1"/>
  <c r="AP106" i="1"/>
  <c r="AP113" i="1" s="1"/>
  <c r="F7" i="24"/>
  <c r="K30" i="1"/>
  <c r="K12" i="28" s="1"/>
  <c r="BH117" i="1" l="1"/>
  <c r="K115" i="1"/>
  <c r="G18" i="24"/>
  <c r="X106" i="1"/>
  <c r="X113" i="1" s="1"/>
  <c r="K17" i="28"/>
  <c r="K11" i="28"/>
  <c r="Z11" i="28" s="1"/>
  <c r="Z10" i="28" s="1"/>
  <c r="K101" i="1"/>
  <c r="K83" i="28" s="1"/>
  <c r="K34" i="1"/>
  <c r="F11" i="24" s="1"/>
  <c r="Z18" i="28"/>
  <c r="Z16" i="28" s="1"/>
  <c r="U16" i="28" s="1"/>
  <c r="K14" i="28"/>
  <c r="I14" i="28" s="1"/>
  <c r="K28" i="1"/>
  <c r="K10" i="28" s="1"/>
  <c r="X114" i="1"/>
  <c r="AJ118" i="1"/>
  <c r="AG10" i="28"/>
  <c r="S12" i="28"/>
  <c r="AB12" i="28"/>
  <c r="AB10" i="28" s="1"/>
  <c r="K74" i="1"/>
  <c r="K56" i="28" s="1"/>
  <c r="K57" i="28"/>
  <c r="I57" i="28" s="1"/>
  <c r="K39" i="1"/>
  <c r="K21" i="28" s="1"/>
  <c r="K22" i="28"/>
  <c r="I22" i="28" s="1"/>
  <c r="BB34" i="28"/>
  <c r="BB31" i="28" s="1"/>
  <c r="BB30" i="28" s="1"/>
  <c r="S34" i="28"/>
  <c r="M34" i="28" s="1"/>
  <c r="BG29" i="28"/>
  <c r="BG20" i="28" s="1"/>
  <c r="BG9" i="28" s="1"/>
  <c r="BG90" i="28" s="1"/>
  <c r="S25" i="28"/>
  <c r="BI25" i="28"/>
  <c r="BP21" i="28"/>
  <c r="BP20" i="28" s="1"/>
  <c r="BP9" i="28" s="1"/>
  <c r="BP90" i="28" s="1"/>
  <c r="S26" i="28"/>
  <c r="AP21" i="28"/>
  <c r="AP20" i="28" s="1"/>
  <c r="AK26" i="28"/>
  <c r="S17" i="28"/>
  <c r="M17" i="28" s="1"/>
  <c r="U17" i="28"/>
  <c r="S19" i="28"/>
  <c r="AP16" i="28"/>
  <c r="K55" i="1"/>
  <c r="K37" i="28" s="1"/>
  <c r="K39" i="28"/>
  <c r="I39" i="28" s="1"/>
  <c r="G11" i="24"/>
  <c r="L16" i="28"/>
  <c r="G13" i="24"/>
  <c r="L21" i="28"/>
  <c r="G19" i="24"/>
  <c r="L84" i="28"/>
  <c r="L83" i="28"/>
  <c r="L112" i="1"/>
  <c r="L86" i="28"/>
  <c r="L92" i="28" s="1"/>
  <c r="F20" i="24"/>
  <c r="K86" i="28"/>
  <c r="K92" i="28" s="1"/>
  <c r="K94" i="28" s="1"/>
  <c r="K116" i="1"/>
  <c r="K79" i="28"/>
  <c r="K49" i="1"/>
  <c r="L48" i="1"/>
  <c r="K153" i="1"/>
  <c r="K151" i="1"/>
  <c r="K150" i="1"/>
  <c r="BU114" i="1"/>
  <c r="BT118" i="1"/>
  <c r="BO114" i="1"/>
  <c r="BN118" i="1"/>
  <c r="BB114" i="1"/>
  <c r="AD118" i="1"/>
  <c r="AD110" i="1"/>
  <c r="BH47" i="1"/>
  <c r="BH38" i="1" s="1"/>
  <c r="BH27" i="1" s="1"/>
  <c r="AV47" i="1"/>
  <c r="AV38" i="1" s="1"/>
  <c r="AV27" i="1" s="1"/>
  <c r="AP47" i="1"/>
  <c r="AP38" i="1" s="1"/>
  <c r="AP27" i="1" s="1"/>
  <c r="K96" i="1"/>
  <c r="O38" i="1"/>
  <c r="O27" i="1" s="1"/>
  <c r="O110" i="1" s="1"/>
  <c r="O114" i="1" s="1"/>
  <c r="N38" i="1"/>
  <c r="N27" i="1" s="1"/>
  <c r="N110" i="1" s="1"/>
  <c r="N114" i="1" s="1"/>
  <c r="G17" i="24"/>
  <c r="BN106" i="1"/>
  <c r="BN113" i="1" s="1"/>
  <c r="BN29" i="13"/>
  <c r="H27" i="24" s="1"/>
  <c r="I27" i="24" s="1"/>
  <c r="BN110" i="1"/>
  <c r="BT110" i="1"/>
  <c r="L111" i="1"/>
  <c r="K81" i="1"/>
  <c r="K63" i="28" s="1"/>
  <c r="K82" i="1"/>
  <c r="K64" i="28" s="1"/>
  <c r="P38" i="1"/>
  <c r="P27" i="1" s="1"/>
  <c r="P110" i="1" s="1"/>
  <c r="P114" i="1" s="1"/>
  <c r="AP114" i="1"/>
  <c r="Q38" i="1"/>
  <c r="Q27" i="1" s="1"/>
  <c r="Q110" i="1" s="1"/>
  <c r="Q114" i="1" s="1"/>
  <c r="M38" i="1"/>
  <c r="M27" i="1" s="1"/>
  <c r="M110" i="1" s="1"/>
  <c r="M114" i="1" s="1"/>
  <c r="G15" i="24"/>
  <c r="AJ110" i="1"/>
  <c r="AD106" i="1"/>
  <c r="AD113" i="1" s="1"/>
  <c r="G6" i="24"/>
  <c r="J111" i="1"/>
  <c r="J114" i="1" s="1"/>
  <c r="AV118" i="1"/>
  <c r="AV110" i="1"/>
  <c r="AV106" i="1"/>
  <c r="AV113" i="1" s="1"/>
  <c r="F13" i="24"/>
  <c r="F6" i="24"/>
  <c r="G10" i="24"/>
  <c r="AJ114" i="1" l="1"/>
  <c r="AJ117" i="1"/>
  <c r="AD114" i="1"/>
  <c r="AD117" i="1"/>
  <c r="BN114" i="1"/>
  <c r="BN117" i="1"/>
  <c r="BT114" i="1"/>
  <c r="BT117" i="1"/>
  <c r="AV114" i="1"/>
  <c r="AV117" i="1"/>
  <c r="M26" i="28"/>
  <c r="I26" i="28" s="1"/>
  <c r="M12" i="28"/>
  <c r="I12" i="28" s="1"/>
  <c r="M19" i="28"/>
  <c r="I19" i="28" s="1"/>
  <c r="M25" i="28"/>
  <c r="I25" i="28" s="1"/>
  <c r="U11" i="28"/>
  <c r="U10" i="28" s="1"/>
  <c r="U9" i="28" s="1"/>
  <c r="S11" i="28"/>
  <c r="K84" i="28"/>
  <c r="U18" i="28"/>
  <c r="K16" i="28"/>
  <c r="F19" i="24"/>
  <c r="S18" i="28"/>
  <c r="AK21" i="28"/>
  <c r="AK20" i="28" s="1"/>
  <c r="AK9" i="28" s="1"/>
  <c r="AK95" i="28"/>
  <c r="BI21" i="28"/>
  <c r="BI20" i="28" s="1"/>
  <c r="BI9" i="28" s="1"/>
  <c r="BI95" i="28"/>
  <c r="BB90" i="28"/>
  <c r="BG94" i="28"/>
  <c r="BB95" i="28"/>
  <c r="BB29" i="28"/>
  <c r="BB20" i="28" s="1"/>
  <c r="BB9" i="28" s="1"/>
  <c r="K48" i="1"/>
  <c r="K30" i="28" s="1"/>
  <c r="K31" i="28"/>
  <c r="I17" i="28"/>
  <c r="BI90" i="28"/>
  <c r="BI94" i="28" s="1"/>
  <c r="BI97" i="28" s="1"/>
  <c r="BP94" i="28"/>
  <c r="S31" i="28"/>
  <c r="S30" i="28" s="1"/>
  <c r="S29" i="28" s="1"/>
  <c r="AP9" i="28"/>
  <c r="AP90" i="28" s="1"/>
  <c r="Z9" i="28"/>
  <c r="Z90" i="28" s="1"/>
  <c r="L47" i="1"/>
  <c r="L29" i="28" s="1"/>
  <c r="L30" i="28"/>
  <c r="F18" i="24"/>
  <c r="K78" i="28"/>
  <c r="K122" i="1"/>
  <c r="F17" i="24"/>
  <c r="H39" i="24"/>
  <c r="I39" i="24" s="1"/>
  <c r="H26" i="24"/>
  <c r="I26" i="24" s="1"/>
  <c r="H28" i="24"/>
  <c r="I28" i="24" s="1"/>
  <c r="H30" i="24"/>
  <c r="I30" i="24" s="1"/>
  <c r="H29" i="24"/>
  <c r="I29" i="24" s="1"/>
  <c r="H35" i="24"/>
  <c r="I35" i="24" s="1"/>
  <c r="K111" i="1"/>
  <c r="H40" i="24"/>
  <c r="I40" i="24" s="1"/>
  <c r="H31" i="24"/>
  <c r="I31" i="24" s="1"/>
  <c r="H32" i="24"/>
  <c r="I32" i="24" s="1"/>
  <c r="H34" i="24"/>
  <c r="I34" i="24" s="1"/>
  <c r="H33" i="24"/>
  <c r="I33" i="24" s="1"/>
  <c r="AJ106" i="1"/>
  <c r="F10" i="24"/>
  <c r="M18" i="28" l="1"/>
  <c r="I18" i="28" s="1"/>
  <c r="S10" i="28"/>
  <c r="M11" i="28"/>
  <c r="M10" i="28" s="1"/>
  <c r="U95" i="28"/>
  <c r="G14" i="24"/>
  <c r="L38" i="1"/>
  <c r="L20" i="28" s="1"/>
  <c r="S16" i="28"/>
  <c r="M16" i="28" s="1"/>
  <c r="BB94" i="28"/>
  <c r="BB97" i="28"/>
  <c r="M31" i="28"/>
  <c r="M30" i="28" s="1"/>
  <c r="M29" i="28" s="1"/>
  <c r="I34" i="28"/>
  <c r="AP94" i="28"/>
  <c r="AK90" i="28"/>
  <c r="Z94" i="28"/>
  <c r="U90" i="28"/>
  <c r="K47" i="1"/>
  <c r="AJ113" i="1"/>
  <c r="I11" i="28" l="1"/>
  <c r="L27" i="1"/>
  <c r="L9" i="28" s="1"/>
  <c r="L90" i="28" s="1"/>
  <c r="L94" i="28" s="1"/>
  <c r="G12" i="24"/>
  <c r="U94" i="28"/>
  <c r="U97" i="28"/>
  <c r="AK94" i="28"/>
  <c r="AK97" i="28"/>
  <c r="K38" i="1"/>
  <c r="F12" i="24" s="1"/>
  <c r="K29" i="28"/>
  <c r="F14" i="24"/>
  <c r="K113" i="1"/>
  <c r="R29" i="1"/>
  <c r="R115" i="1" s="1"/>
  <c r="T28" i="1"/>
  <c r="T27" i="1" s="1"/>
  <c r="T110" i="1" s="1"/>
  <c r="L110" i="1" l="1"/>
  <c r="L114" i="1" s="1"/>
  <c r="G9" i="24"/>
  <c r="G16" i="24" s="1"/>
  <c r="K27" i="1"/>
  <c r="K20" i="28"/>
  <c r="K149" i="1"/>
  <c r="K155" i="1" s="1"/>
  <c r="K157" i="1" s="1"/>
  <c r="I160" i="1" s="1"/>
  <c r="I47" i="24"/>
  <c r="T114" i="1"/>
  <c r="R118" i="1"/>
  <c r="R110" i="1"/>
  <c r="R28" i="1"/>
  <c r="R27" i="1" s="1"/>
  <c r="I48" i="24"/>
  <c r="R114" i="1" l="1"/>
  <c r="R117" i="1"/>
  <c r="K118" i="1"/>
  <c r="G21" i="24"/>
  <c r="F9" i="24"/>
  <c r="K9" i="28"/>
  <c r="K110" i="1"/>
  <c r="K114" i="1" s="1"/>
  <c r="H46" i="24" s="1"/>
  <c r="D173" i="1"/>
  <c r="D174" i="1" s="1"/>
  <c r="D176" i="1" s="1"/>
  <c r="I20" i="24" l="1"/>
  <c r="H9" i="24"/>
  <c r="H20" i="24"/>
  <c r="I11" i="24"/>
  <c r="I17" i="24"/>
  <c r="I15" i="24"/>
  <c r="H15" i="24"/>
  <c r="I18" i="24"/>
  <c r="H37" i="24"/>
  <c r="I37" i="24" s="1"/>
  <c r="I16" i="24"/>
  <c r="I8" i="24"/>
  <c r="H44" i="24"/>
  <c r="I44" i="24" s="1"/>
  <c r="H45" i="24"/>
  <c r="I45" i="24" s="1"/>
  <c r="H18" i="24"/>
  <c r="H8" i="24"/>
  <c r="I12" i="24"/>
  <c r="H7" i="24"/>
  <c r="H11" i="24"/>
  <c r="H17" i="24"/>
  <c r="I6" i="24"/>
  <c r="I9" i="24"/>
  <c r="I13" i="24"/>
  <c r="H42" i="24"/>
  <c r="I42" i="24" s="1"/>
  <c r="H43" i="24"/>
  <c r="I43" i="24" s="1"/>
  <c r="I21" i="24"/>
  <c r="H13" i="24"/>
  <c r="I10" i="24"/>
  <c r="H14" i="24"/>
  <c r="H10" i="24"/>
  <c r="I7" i="24"/>
  <c r="H19" i="24"/>
  <c r="H12" i="24"/>
  <c r="I19" i="24"/>
  <c r="H6" i="24"/>
  <c r="H38" i="24"/>
  <c r="I38" i="24" s="1"/>
  <c r="I14" i="24"/>
  <c r="I46" i="24"/>
  <c r="F16" i="24"/>
  <c r="H16" i="24" s="1"/>
  <c r="F21" i="24"/>
  <c r="H21" i="24" s="1"/>
  <c r="E174" i="1"/>
  <c r="E176" i="1" s="1"/>
  <c r="AG21" i="28" l="1"/>
  <c r="AB21" i="28" s="1"/>
  <c r="AB24" i="28"/>
  <c r="AB95" i="28" s="1"/>
  <c r="S24" i="28"/>
  <c r="M24" i="28" s="1"/>
  <c r="M95" i="28" l="1"/>
  <c r="I24" i="28"/>
  <c r="S21" i="28"/>
  <c r="M21" i="28" s="1"/>
  <c r="AG20" i="28"/>
  <c r="AG9" i="28" s="1"/>
  <c r="AG90" i="28" s="1"/>
  <c r="AG94" i="28" s="1"/>
  <c r="S20" i="28" l="1"/>
  <c r="AB90" i="28"/>
  <c r="AB20" i="28"/>
  <c r="AB9" i="28" s="1"/>
  <c r="M20" i="28" l="1"/>
  <c r="M9" i="28" s="1"/>
  <c r="M90" i="28" s="1"/>
  <c r="AB94" i="28"/>
  <c r="AB97" i="28"/>
  <c r="S9" i="28"/>
  <c r="S90" i="28" s="1"/>
  <c r="S94" i="28" s="1"/>
  <c r="M94" i="28" l="1"/>
  <c r="M97" i="28" s="1"/>
  <c r="M98" i="28"/>
</calcChain>
</file>

<file path=xl/sharedStrings.xml><?xml version="1.0" encoding="utf-8"?>
<sst xmlns="http://schemas.openxmlformats.org/spreadsheetml/2006/main" count="2158" uniqueCount="647">
  <si>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</si>
  <si>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</si>
  <si>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</si>
  <si>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</si>
  <si>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</si>
  <si>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</si>
  <si>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</si>
  <si>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</si>
  <si>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</si>
  <si>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</si>
  <si>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</si>
  <si>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</si>
  <si>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</si>
  <si>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</si>
  <si>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</si>
  <si>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</si>
  <si>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</si>
  <si>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</si>
  <si>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</si>
  <si>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</si>
  <si>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</si>
  <si>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</si>
  <si>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</si>
  <si>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</si>
  <si>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</si>
  <si>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</si>
  <si>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</si>
  <si>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</si>
  <si>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</si>
  <si>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</si>
  <si>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</si>
  <si>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</si>
  <si>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</si>
  <si>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</si>
  <si>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</si>
  <si>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</si>
  <si>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</si>
  <si>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</si>
  <si>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</si>
  <si>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</si>
  <si>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</si>
  <si>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</si>
  <si>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</si>
  <si>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</si>
  <si>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</si>
  <si>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</si>
  <si>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</si>
  <si>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</si>
  <si>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</si>
  <si>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</si>
  <si>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</si>
  <si>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</si>
  <si>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</si>
  <si>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</si>
  <si>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выпускная работа</t>
  </si>
  <si>
    <t>Итоговая аттестация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</si>
  <si>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</si>
  <si>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</si>
  <si>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</si>
  <si>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</si>
  <si>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</si>
  <si>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</si>
  <si>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</si>
  <si>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</si>
  <si>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</si>
  <si>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</si>
  <si>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</si>
  <si>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</si>
  <si>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</si>
  <si>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</si>
  <si>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</si>
  <si>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</si>
  <si>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</si>
  <si>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</si>
  <si>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</si>
  <si>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</si>
  <si>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</si>
  <si>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</si>
  <si>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</si>
  <si>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</si>
  <si>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</si>
  <si>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</si>
  <si>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</si>
  <si>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</si>
  <si>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</si>
  <si>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</si>
  <si>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</si>
  <si>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</si>
  <si>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</si>
  <si>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</si>
  <si>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</si>
  <si>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</si>
  <si>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</si>
  <si>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</si>
  <si>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</si>
  <si>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</si>
  <si>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</si>
  <si>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</si>
  <si>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</si>
  <si>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</si>
  <si>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</si>
  <si>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</si>
  <si>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</si>
  <si>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</si>
  <si>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</si>
  <si>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</si>
  <si>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</si>
  <si>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</si>
  <si>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</si>
  <si>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</si>
  <si>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</si>
  <si>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</si>
  <si>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</si>
  <si>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</si>
  <si>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</si>
  <si>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</si>
  <si>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</si>
  <si>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</si>
  <si>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</si>
  <si>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</si>
  <si>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</si>
  <si>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</si>
  <si>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</si>
  <si>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</si>
  <si>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</si>
  <si>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</si>
  <si>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</si>
  <si>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</si>
  <si>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</si>
  <si>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</si>
  <si>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</si>
  <si>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</si>
  <si>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</si>
  <si>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</si>
  <si>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</si>
  <si>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</si>
  <si>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</si>
  <si>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</si>
  <si>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</si>
  <si>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</si>
  <si>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</si>
  <si>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</si>
  <si>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</si>
  <si>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</si>
  <si>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</si>
  <si>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</si>
  <si>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</si>
  <si>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</si>
  <si>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</si>
  <si>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</si>
  <si>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</si>
  <si>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</si>
  <si>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</si>
  <si>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</si>
  <si>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</si>
  <si>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</si>
  <si>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</si>
  <si>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</si>
  <si>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</si>
  <si>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</si>
  <si>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</si>
  <si>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</si>
  <si>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</si>
  <si>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</si>
  <si>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</si>
  <si>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</si>
  <si>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</si>
  <si>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</si>
  <si>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</si>
  <si>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</si>
  <si>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</si>
  <si>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</si>
  <si>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</si>
  <si>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</si>
  <si>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</si>
  <si>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</si>
  <si>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</si>
  <si>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</si>
  <si>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</si>
  <si>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</si>
  <si>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</si>
  <si>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</si>
  <si>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</si>
  <si>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</si>
  <si>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</si>
  <si>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Обществознание (включая экономику и право)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</si>
  <si>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</si>
  <si>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</si>
  <si>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</si>
  <si>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</si>
  <si>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</si>
  <si>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</si>
  <si>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</si>
  <si>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</si>
  <si>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</si>
  <si>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</si>
  <si>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</si>
  <si>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</si>
  <si>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</si>
  <si>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</si>
  <si>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</si>
  <si>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</si>
  <si>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</si>
  <si>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</si>
  <si>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</si>
  <si>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</si>
  <si>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</si>
  <si>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</si>
  <si>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</si>
  <si>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</si>
  <si>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</si>
  <si>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</si>
  <si>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</si>
  <si>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</si>
  <si>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</si>
  <si>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</si>
  <si>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</si>
  <si>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</si>
  <si>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</si>
  <si>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</si>
  <si>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</si>
  <si>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</si>
  <si>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</si>
  <si>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</si>
  <si>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</si>
  <si>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</si>
  <si>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</si>
  <si>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</si>
  <si>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</si>
  <si>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</si>
  <si>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</si>
  <si>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</si>
  <si>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</si>
  <si>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</si>
  <si>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</si>
  <si>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</si>
  <si>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</si>
  <si>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</si>
  <si>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</si>
  <si>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</si>
  <si>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</si>
  <si>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</si>
  <si>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</si>
  <si>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</si>
  <si>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</si>
  <si>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</si>
  <si>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</si>
  <si>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</si>
  <si>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</si>
  <si>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</si>
  <si>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</si>
  <si>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</si>
  <si>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</si>
  <si>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</si>
  <si>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</si>
  <si>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</si>
  <si>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</si>
  <si>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</si>
  <si>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</si>
  <si>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</si>
  <si>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</si>
  <si>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</si>
  <si>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</si>
  <si>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</si>
  <si>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</si>
  <si>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</si>
  <si>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</si>
  <si>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</si>
  <si>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работ</t>
  </si>
  <si>
    <t>Количество курсовых проектов</t>
  </si>
  <si>
    <t>Количество контрольных работ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</si>
  <si>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</si>
  <si>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</si>
  <si>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</si>
  <si>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</si>
  <si>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</si>
  <si>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</si>
  <si>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</si>
  <si>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</si>
  <si>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</si>
  <si>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</si>
  <si>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</si>
  <si>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</si>
  <si>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</si>
  <si>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</si>
  <si>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</si>
  <si>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</si>
  <si>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</si>
  <si>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</si>
  <si>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</si>
  <si>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</si>
  <si>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</si>
  <si>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</si>
  <si>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</si>
  <si>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</si>
  <si>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</si>
  <si>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</si>
  <si>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</si>
  <si>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</si>
  <si>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</si>
  <si>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</si>
  <si>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</si>
  <si>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</si>
  <si>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</si>
  <si>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</si>
  <si>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</si>
  <si>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</si>
  <si>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</si>
  <si>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</si>
  <si>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</si>
  <si>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</si>
  <si>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</si>
  <si>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</si>
  <si>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</si>
  <si>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</si>
  <si>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</si>
  <si>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</si>
  <si>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</si>
  <si>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</si>
  <si>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</si>
  <si>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</si>
  <si>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</si>
  <si>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</si>
  <si>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</si>
  <si>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</si>
  <si>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</si>
  <si>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</si>
  <si>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</si>
  <si>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Преддипломная практика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</si>
  <si>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</si>
  <si>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</si>
  <si>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</si>
  <si>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</si>
  <si>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</si>
  <si>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</si>
  <si>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</si>
  <si>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</si>
  <si>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</si>
  <si>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</si>
  <si>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</si>
  <si>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</si>
  <si>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</si>
  <si>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</si>
  <si>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</si>
  <si>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</si>
  <si>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</si>
  <si>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</si>
  <si>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</si>
  <si>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</si>
  <si>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</si>
  <si>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____________________ И.К.Кузьмичев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</si>
  <si>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</si>
  <si>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</si>
  <si>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</si>
  <si>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</si>
  <si>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</si>
  <si>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</si>
  <si>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</si>
  <si>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ПМ.01, ПМ.04</t>
  </si>
  <si>
    <t>ПМ.01, ПМ.02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</si>
  <si>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</si>
  <si>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</si>
  <si>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</si>
  <si>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</si>
  <si>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</si>
  <si>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</si>
  <si>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</si>
  <si>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</si>
  <si>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</si>
  <si>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География</t>
  </si>
  <si>
    <t>Экология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</si>
  <si>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</si>
  <si>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</si>
  <si>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</si>
  <si>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</si>
  <si>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</si>
  <si>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</si>
  <si>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УП.04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</si>
  <si>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</si>
  <si>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</si>
  <si>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</si>
  <si>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</si>
  <si>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</si>
  <si>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</si>
  <si>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</si>
  <si>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Судовождение на вспомогательном уровне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</si>
  <si>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</si>
  <si>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</si>
  <si>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</si>
  <si>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</si>
  <si>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</si>
  <si>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</si>
  <si>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</si>
  <si>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</si>
  <si>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</si>
  <si>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</si>
  <si>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ОУД.01 Русский язык и литература</t>
  </si>
  <si>
    <t>ОУД.11 Математика: алгебра и начала анализа; геометрия</t>
  </si>
  <si>
    <t>ОУД.12 Физика</t>
  </si>
  <si>
    <t>ОК 1-10; ПК 1.1-1.3, 2.1-2.7, 3.1-3.2</t>
  </si>
  <si>
    <t>5 часов занятий*</t>
  </si>
  <si>
    <t>21 час занятий*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</si>
  <si>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</si>
  <si>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</si>
  <si>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</si>
  <si>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</si>
  <si>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</si>
  <si>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</si>
  <si>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</si>
  <si>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Старший техник-судоводитель</t>
  </si>
  <si>
    <t>Психология общения</t>
  </si>
  <si>
    <t>Управление и эксплуатация судна с правом эксплуатации
судовых энергетических установок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</si>
  <si>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</si>
  <si>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</si>
  <si>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</si>
  <si>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</si>
  <si>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</si>
  <si>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</si>
  <si>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</si>
  <si>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</si>
  <si>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ПМ 05</t>
  </si>
  <si>
    <t>МДК 05.01</t>
  </si>
  <si>
    <t>Судовые энергетические установки и электрооборудование судов</t>
  </si>
  <si>
    <t>Х</t>
  </si>
  <si>
    <t>ПМ.01, ПМ.02, ПМ.04</t>
  </si>
  <si>
    <t>Протокол №7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</si>
  <si>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</si>
  <si>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</si>
  <si>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</si>
  <si>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</si>
  <si>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</si>
  <si>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</si>
  <si>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</si>
  <si>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</si>
  <si>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</si>
  <si>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</si>
  <si>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</si>
  <si>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</si>
  <si>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</si>
  <si>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</si>
  <si>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</si>
  <si>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</si>
  <si>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</si>
  <si>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</si>
  <si>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</si>
  <si>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</si>
  <si>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</si>
  <si>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</si>
  <si>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</si>
  <si>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</si>
  <si>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</si>
  <si>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</si>
  <si>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</si>
  <si>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</si>
  <si>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</si>
  <si>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</si>
  <si>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</si>
  <si>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</si>
  <si>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</si>
  <si>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</si>
  <si>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</si>
  <si>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</si>
  <si>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</si>
  <si>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</si>
  <si>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</si>
  <si>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</si>
  <si>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</si>
  <si>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</si>
  <si>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</si>
  <si>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Практика по БЖС и ОСПС</t>
  </si>
  <si>
    <t>Эксплуатация судовых энергетических установок на вспомогательном уровне</t>
  </si>
  <si>
    <t>ОК 1-10; ПК 2,4, 2.6, 2,7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</si>
  <si>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</si>
  <si>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</si>
  <si>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</si>
  <si>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</si>
  <si>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</si>
  <si>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</si>
  <si>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</si>
  <si>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8,Х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</si>
  <si>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</si>
  <si>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</si>
  <si>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</si>
  <si>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</si>
  <si>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</si>
  <si>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</si>
  <si>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</si>
  <si>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</si>
  <si>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</si>
  <si>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</si>
  <si>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______________________ И.К. Кузьмичев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</si>
  <si>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</si>
  <si>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</si>
  <si>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</si>
  <si>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</si>
  <si>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1-2 курс</t>
  </si>
  <si>
    <t>дней</t>
  </si>
  <si>
    <t>6 курс</t>
  </si>
  <si>
    <t>0,3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</si>
  <si>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</si>
  <si>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</si>
  <si>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</si>
  <si>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</si>
  <si>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Производственная практика (по профилю специальности)</t>
  </si>
  <si>
    <t>64-1</t>
  </si>
  <si>
    <t>64-2</t>
  </si>
  <si>
    <t>33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</si>
  <si>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</si>
  <si>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</si>
  <si>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</si>
  <si>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</si>
  <si>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</si>
  <si>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</si>
  <si>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</si>
  <si>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</si>
  <si>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</si>
  <si>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</si>
  <si>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</si>
  <si>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</si>
  <si>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</si>
  <si>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</si>
  <si>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</si>
  <si>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</si>
  <si>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</si>
  <si>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64-9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</si>
  <si>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</si>
  <si>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</si>
  <si>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</si>
  <si>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</si>
  <si>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</si>
  <si>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</si>
  <si>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</si>
  <si>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</si>
  <si>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</si>
  <si>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</si>
  <si>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</si>
  <si>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</si>
  <si>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</si>
  <si>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</si>
  <si>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</si>
  <si>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</si>
  <si>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</si>
  <si>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</si>
  <si>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</si>
  <si>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</si>
  <si>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</si>
  <si>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</si>
  <si>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</si>
  <si>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</si>
  <si>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ВЧ.02</t>
  </si>
  <si>
    <t>ВЧ.01</t>
  </si>
  <si>
    <t>12 часов из ВЧ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</si>
  <si>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</si>
  <si>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</si>
  <si>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</si>
  <si>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Профессиональный                  английский язык</t>
  </si>
  <si>
    <t>ОГСЭ.05</t>
  </si>
  <si>
    <t xml:space="preserve">Правовые основы профессиональной деятельности                                               </t>
  </si>
  <si>
    <t>старший техник - судоводитель</t>
  </si>
  <si>
    <t>Учебная практика - 2 курс -  9 недель</t>
  </si>
  <si>
    <t>ПМ.01, ПМ.02, ПМ.05</t>
  </si>
  <si>
    <t>Производственная практика - 3 курс - Практика по профилю специальности - 15 недель</t>
  </si>
  <si>
    <t>Производственная практика - 4 курс Практика по профилю специальности - 25 недель</t>
  </si>
  <si>
    <t>ПМ.01, ПМ.03, ПМ.04</t>
  </si>
  <si>
    <t>Производственная практика - 5 курс Преддипломная по специальности - 4 недель</t>
  </si>
  <si>
    <t>Производственная практика - 5 курс Практика по профилю специальности - 2 недели</t>
  </si>
  <si>
    <t>МДК.01.04</t>
  </si>
  <si>
    <t>Судоводительское отделение</t>
  </si>
  <si>
    <t>ЕН.00 Математический и общий естественнонаучный цикл</t>
  </si>
  <si>
    <t>П.00 Общепрофессиональные дисциплины</t>
  </si>
  <si>
    <t>ПМ.00 Профессиональные модули</t>
  </si>
  <si>
    <t>4,5</t>
  </si>
  <si>
    <t>3,4,5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</si>
  <si>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</si>
  <si>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</si>
  <si>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</si>
  <si>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</si>
  <si>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</si>
  <si>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</si>
  <si>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</si>
  <si>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</si>
  <si>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</si>
  <si>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</si>
  <si>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</si>
  <si>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</si>
  <si>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</si>
  <si>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</si>
  <si>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</si>
  <si>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</si>
  <si>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</si>
  <si>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дифференцированные зачеты</t>
  </si>
  <si>
    <t>6,7</t>
  </si>
  <si>
    <t>ОК-1-10 ПК 1.1-1.4, 3.1</t>
  </si>
  <si>
    <t>ОК 1-10, ПК 2.3-2.7</t>
  </si>
  <si>
    <t>Электроника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</si>
  <si>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</si>
  <si>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</si>
  <si>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</si>
  <si>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</si>
  <si>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</si>
  <si>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</si>
  <si>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</si>
  <si>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</si>
  <si>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</si>
  <si>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</si>
  <si>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</si>
  <si>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</si>
  <si>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Русский язык и литература</t>
  </si>
  <si>
    <t>Математика: алгебра и начала математического анализа; геометрия</t>
  </si>
  <si>
    <t>Радиооборудование судов</t>
  </si>
  <si>
    <t>7,Х</t>
  </si>
  <si>
    <t>5,6,8,9</t>
  </si>
  <si>
    <t>Государственная итоговая аттестация, недель</t>
  </si>
  <si>
    <t>3,4,5,6,7,8,9,Х</t>
  </si>
  <si>
    <t>Всего часов обучения по циклам</t>
  </si>
  <si>
    <t>Количество учебных занятий (часов) в неделю</t>
  </si>
  <si>
    <t>ОК-1-10; ПК 2.1-2.7</t>
  </si>
  <si>
    <t>3,4,6,7,9</t>
  </si>
  <si>
    <t>3,4</t>
  </si>
  <si>
    <t>59 часов из ВЧ</t>
  </si>
  <si>
    <t>903 часа из ВЧ</t>
  </si>
  <si>
    <t>6,8,Х</t>
  </si>
  <si>
    <t>5,7,9</t>
  </si>
  <si>
    <t>7,9</t>
  </si>
  <si>
    <t>4,5,7</t>
  </si>
  <si>
    <t>8,9</t>
  </si>
  <si>
    <t>7,8</t>
  </si>
  <si>
    <t>Оператор связи ГМССБ</t>
  </si>
  <si>
    <t>ОДб.01</t>
  </si>
  <si>
    <t>ОДб.02</t>
  </si>
  <si>
    <t>ОДб.03</t>
  </si>
  <si>
    <t>ОДб.04</t>
  </si>
  <si>
    <t>ОДб.05</t>
  </si>
  <si>
    <t>ОДб.06</t>
  </si>
  <si>
    <t>ОДп.01</t>
  </si>
  <si>
    <t>ОДп.02</t>
  </si>
  <si>
    <t>ОДп.03</t>
  </si>
  <si>
    <t>ОДп.04</t>
  </si>
  <si>
    <t>ОДп.05</t>
  </si>
  <si>
    <t>ОДп.06</t>
  </si>
  <si>
    <t>ОДп.07</t>
  </si>
  <si>
    <t xml:space="preserve">Базовые дисциплины </t>
  </si>
  <si>
    <t>Профильные дисциплины</t>
  </si>
  <si>
    <t>ОК 1-10, ПК1.1-1.4</t>
  </si>
  <si>
    <t>ОК 1-10; 
ПК-1.1,1.2,1.4</t>
  </si>
  <si>
    <t>ОК 1-10; 
ПК-1.1,1.2,1.4
ПК-4.2,4.3</t>
  </si>
  <si>
    <t>ОК 1-10, ПК-1.3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</si>
</sst>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 vertical="top"/>
    </xf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29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33" borderId="29" xfId="0" applyFont="1" applyFill="1" applyBorder="1" applyAlignment="1" applyProtection="1">
      <alignment horizontal="center" textRotation="90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0" fontId="3" fillId="33" borderId="33" xfId="0" applyFont="1" applyFill="1" applyBorder="1" applyAlignment="1" applyProtection="1">
      <alignment horizontal="center" textRotation="90" wrapText="1"/>
    </xf>
    <xf numFmtId="0" fontId="3" fillId="33" borderId="34" xfId="0" applyFont="1" applyFill="1" applyBorder="1" applyAlignment="1" applyProtection="1">
      <alignment horizontal="center" textRotation="90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33" borderId="30" xfId="0" applyNumberFormat="1" applyFont="1" applyFill="1" applyBorder="1" applyAlignment="1" applyProtection="1">
      <alignment vertical="top" wrapText="1"/>
    </xf>
    <xf numFmtId="1" fontId="7" fillId="28" borderId="3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33" borderId="38" xfId="0" applyNumberFormat="1" applyFont="1" applyFill="1" applyBorder="1" applyAlignment="1" applyProtection="1">
      <alignment vertical="top" wrapText="1"/>
    </xf>
    <xf numFmtId="1" fontId="7" fillId="28" borderId="39" xfId="0" applyNumberFormat="1" applyFont="1" applyFill="1" applyBorder="1" applyAlignment="1" applyProtection="1">
      <alignment horizontal="center" vertical="top" wrapText="1"/>
    </xf>
    <xf numFmtId="49" fontId="7" fillId="28" borderId="40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41" xfId="0" applyNumberFormat="1" applyFont="1" applyFill="1" applyBorder="1" applyAlignment="1" applyProtection="1">
      <alignment horizontal="center" textRotation="90" wrapText="1"/>
    </xf>
    <xf numFmtId="1" fontId="3" fillId="28" borderId="42" xfId="0" applyNumberFormat="1" applyFont="1" applyFill="1" applyBorder="1" applyAlignment="1" applyProtection="1">
      <alignment horizontal="center" textRotation="90" wrapText="1"/>
    </xf>
    <xf numFmtId="0" fontId="7" fillId="28" borderId="13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7" fillId="28" borderId="18" xfId="0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7" xfId="0" applyNumberFormat="1" applyFont="1" applyFill="1" applyBorder="1" applyAlignment="1" applyProtection="1">
      <alignment horizontal="left" vertical="center" wrapText="1"/>
    </xf>
    <xf numFmtId="0" fontId="7" fillId="34" borderId="47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</xf>
    <xf numFmtId="0" fontId="8" fillId="24" borderId="26" xfId="0" applyFont="1" applyFill="1" applyBorder="1" applyAlignment="1" applyProtection="1">
      <alignment horizontal="center" vertical="top" wrapText="1"/>
    </xf>
    <xf numFmtId="0" fontId="0" fillId="27" borderId="13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36" borderId="0" xfId="0" applyFont="1" applyFill="1" applyAlignment="1">
      <alignment vertical="top"/>
    </xf>
    <xf numFmtId="0" fontId="2" fillId="36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0" fontId="2" fillId="38" borderId="0" xfId="0" applyFont="1" applyFill="1" applyAlignment="1">
      <alignment vertical="top" wrapText="1"/>
    </xf>
    <xf numFmtId="0" fontId="12" fillId="39" borderId="10" xfId="0" applyFont="1" applyFill="1" applyBorder="1" applyAlignment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8" fillId="30" borderId="24" xfId="0" applyNumberFormat="1" applyFont="1" applyFill="1" applyBorder="1" applyAlignment="1" applyProtection="1">
      <alignment horizontal="left" vertical="center" wrapText="1"/>
    </xf>
    <xf numFmtId="0" fontId="8" fillId="30" borderId="25" xfId="0" applyFont="1" applyFill="1" applyBorder="1" applyAlignment="1" applyProtection="1">
      <alignment horizontal="left" vertical="center" wrapText="1"/>
    </xf>
    <xf numFmtId="0" fontId="8" fillId="30" borderId="68" xfId="0" applyFont="1" applyFill="1" applyBorder="1" applyAlignment="1" applyProtection="1">
      <alignment horizontal="left" vertical="center" wrapText="1"/>
    </xf>
    <xf numFmtId="49" fontId="8" fillId="30" borderId="68" xfId="0" applyNumberFormat="1" applyFont="1" applyFill="1" applyBorder="1" applyAlignment="1" applyProtection="1">
      <alignment horizontal="center" vertical="center" wrapText="1"/>
    </xf>
    <xf numFmtId="1" fontId="8" fillId="30" borderId="24" xfId="0" applyNumberFormat="1" applyFont="1" applyFill="1" applyBorder="1" applyAlignment="1" applyProtection="1">
      <alignment horizontal="center" vertical="center" wrapText="1"/>
    </xf>
    <xf numFmtId="1" fontId="8" fillId="30" borderId="68" xfId="0" applyNumberFormat="1" applyFont="1" applyFill="1" applyBorder="1" applyAlignment="1" applyProtection="1">
      <alignment horizontal="center" vertical="center" wrapText="1"/>
    </xf>
    <xf numFmtId="1" fontId="8" fillId="30" borderId="23" xfId="0" applyNumberFormat="1" applyFont="1" applyFill="1" applyBorder="1" applyAlignment="1" applyProtection="1">
      <alignment horizontal="center" vertical="center" wrapText="1"/>
    </xf>
    <xf numFmtId="1" fontId="8" fillId="30" borderId="51" xfId="0" applyNumberFormat="1" applyFont="1" applyFill="1" applyBorder="1" applyAlignment="1" applyProtection="1">
      <alignment horizontal="center" vertical="center" wrapText="1"/>
    </xf>
    <xf numFmtId="1" fontId="8" fillId="30" borderId="46" xfId="0" applyNumberFormat="1" applyFont="1" applyFill="1" applyBorder="1" applyAlignment="1" applyProtection="1">
      <alignment horizontal="center" vertical="center" wrapText="1"/>
    </xf>
    <xf numFmtId="49" fontId="8" fillId="30" borderId="51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left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2" fillId="34" borderId="14" xfId="0" applyFont="1" applyFill="1" applyBorder="1" applyAlignment="1" applyProtection="1">
      <alignment horizontal="center" vertical="center" wrapText="1"/>
    </xf>
    <xf numFmtId="1" fontId="8" fillId="34" borderId="45" xfId="0" applyNumberFormat="1" applyFont="1" applyFill="1" applyBorder="1" applyAlignment="1" applyProtection="1">
      <alignment horizontal="center" vertical="center" wrapText="1"/>
    </xf>
    <xf numFmtId="3" fontId="8" fillId="25" borderId="45" xfId="0" applyNumberFormat="1" applyFont="1" applyFill="1" applyBorder="1" applyAlignment="1" applyProtection="1">
      <alignment horizontal="center" vertical="center" wrapText="1"/>
    </xf>
    <xf numFmtId="3" fontId="7" fillId="25" borderId="13" xfId="0" applyNumberFormat="1" applyFont="1" applyFill="1" applyBorder="1" applyAlignment="1" applyProtection="1">
      <alignment horizontal="center" vertical="center" wrapText="1"/>
    </xf>
    <xf numFmtId="3" fontId="7" fillId="25" borderId="43" xfId="0" applyNumberFormat="1" applyFont="1" applyFill="1" applyBorder="1" applyAlignment="1" applyProtection="1">
      <alignment horizontal="center" vertical="center" wrapText="1"/>
    </xf>
    <xf numFmtId="1" fontId="7" fillId="34" borderId="45" xfId="0" applyNumberFormat="1" applyFont="1" applyFill="1" applyBorder="1" applyAlignment="1" applyProtection="1">
      <alignment horizontal="center" vertical="center" wrapText="1"/>
    </xf>
    <xf numFmtId="3" fontId="7" fillId="25" borderId="45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2" fillId="34" borderId="50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3" fontId="7" fillId="25" borderId="17" xfId="0" applyNumberFormat="1" applyFont="1" applyFill="1" applyBorder="1" applyAlignment="1" applyProtection="1">
      <alignment horizontal="center" vertical="center" wrapText="1"/>
    </xf>
    <xf numFmtId="49" fontId="3" fillId="34" borderId="50" xfId="0" applyNumberFormat="1" applyFont="1" applyFill="1" applyBorder="1" applyAlignment="1" applyProtection="1">
      <alignment horizontal="left" vertical="center" wrapText="1"/>
    </xf>
    <xf numFmtId="49" fontId="2" fillId="34" borderId="50" xfId="0" applyNumberFormat="1" applyFont="1" applyFill="1" applyBorder="1" applyAlignment="1" applyProtection="1">
      <alignment horizontal="left" vertical="center" wrapText="1"/>
    </xf>
    <xf numFmtId="49" fontId="2" fillId="34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49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7" borderId="21" xfId="37" applyNumberFormat="1" applyFont="1" applyFill="1" applyBorder="1" applyAlignment="1" applyProtection="1">
      <alignment horizontal="justify" vertical="center" wrapText="1"/>
    </xf>
    <xf numFmtId="0" fontId="34" fillId="27" borderId="14" xfId="37" applyFont="1" applyFill="1" applyBorder="1" applyAlignment="1" applyProtection="1">
      <alignment horizontal="center" vertical="center" wrapText="1"/>
    </xf>
    <xf numFmtId="0" fontId="34" fillId="27" borderId="15" xfId="37" applyFont="1" applyFill="1" applyBorder="1" applyAlignment="1" applyProtection="1">
      <alignment horizontal="center" vertical="center" wrapText="1"/>
    </xf>
    <xf numFmtId="0" fontId="8" fillId="27" borderId="22" xfId="37" applyNumberFormat="1" applyFont="1" applyFill="1" applyBorder="1" applyAlignment="1" applyProtection="1">
      <alignment horizontal="justify" vertical="center" wrapText="1"/>
    </xf>
    <xf numFmtId="0" fontId="34" fillId="27" borderId="16" xfId="37" applyFont="1" applyFill="1" applyBorder="1" applyAlignment="1" applyProtection="1">
      <alignment horizontal="center" vertical="center" wrapText="1"/>
    </xf>
    <xf numFmtId="49" fontId="34" fillId="27" borderId="16" xfId="37" applyNumberFormat="1" applyFont="1" applyFill="1" applyBorder="1" applyAlignment="1" applyProtection="1">
      <alignment horizontal="center" vertical="center" wrapText="1" shrinkToFit="1"/>
    </xf>
    <xf numFmtId="49" fontId="34" fillId="27" borderId="10" xfId="37" applyNumberFormat="1" applyFont="1" applyFill="1" applyBorder="1" applyAlignment="1" applyProtection="1">
      <alignment horizontal="center" vertical="center" wrapText="1" shrinkToFit="1"/>
    </xf>
    <xf numFmtId="164" fontId="7" fillId="32" borderId="13" xfId="37" applyNumberFormat="1" applyFont="1" applyFill="1" applyBorder="1" applyAlignment="1" applyProtection="1">
      <alignment horizontal="center" vertical="center" wrapText="1"/>
    </xf>
    <xf numFmtId="164" fontId="8" fillId="26" borderId="13" xfId="41" applyNumberFormat="1" applyFont="1" applyFill="1" applyBorder="1" applyAlignment="1" applyProtection="1">
      <alignment horizontal="center" vertical="center" wrapText="1"/>
    </xf>
    <xf numFmtId="0" fontId="34" fillId="0" borderId="0" xfId="37" applyFont="1" applyAlignment="1" applyProtection="1">
      <alignment vertical="center" wrapText="1"/>
    </xf>
    <xf numFmtId="0" fontId="0" fillId="24" borderId="13" xfId="37" applyFont="1" applyFill="1" applyBorder="1" applyAlignment="1" applyProtection="1">
      <alignment horizontal="center" vertical="center" wrapText="1"/>
    </xf>
    <xf numFmtId="2" fontId="7" fillId="29" borderId="13" xfId="37" applyNumberFormat="1" applyFont="1" applyFill="1" applyBorder="1" applyAlignment="1" applyProtection="1">
      <alignment horizontal="center" vertical="center" wrapText="1"/>
    </xf>
    <xf numFmtId="2" fontId="36" fillId="29" borderId="13" xfId="37" applyNumberFormat="1" applyFont="1" applyFill="1" applyBorder="1" applyAlignment="1" applyProtection="1">
      <alignment horizontal="center" vertical="center" wrapText="1"/>
    </xf>
    <xf numFmtId="2" fontId="37" fillId="29" borderId="13" xfId="37" applyNumberFormat="1" applyFont="1" applyFill="1" applyBorder="1" applyAlignment="1" applyProtection="1">
      <alignment horizontal="center" vertical="center" wrapText="1"/>
    </xf>
    <xf numFmtId="0" fontId="8" fillId="29" borderId="13" xfId="37" applyFont="1" applyFill="1" applyBorder="1" applyAlignment="1" applyProtection="1">
      <alignment horizontal="center" vertical="center" wrapText="1"/>
    </xf>
    <xf numFmtId="1" fontId="7" fillId="32" borderId="13" xfId="37" applyNumberFormat="1" applyFont="1" applyFill="1" applyBorder="1" applyAlignment="1" applyProtection="1">
      <alignment horizontal="center" vertical="center" wrapText="1"/>
    </xf>
    <xf numFmtId="1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" fontId="37" fillId="32" borderId="13" xfId="37" applyNumberFormat="1" applyFont="1" applyFill="1" applyBorder="1" applyAlignment="1" applyProtection="1">
      <alignment horizontal="center" vertical="center" wrapText="1"/>
    </xf>
    <xf numFmtId="2" fontId="8" fillId="26" borderId="13" xfId="37" applyNumberFormat="1" applyFont="1" applyFill="1" applyBorder="1" applyAlignment="1" applyProtection="1">
      <alignment horizontal="center" vertical="center" wrapText="1"/>
    </xf>
    <xf numFmtId="2" fontId="7" fillId="32" borderId="13" xfId="37" applyNumberFormat="1" applyFont="1" applyFill="1" applyBorder="1" applyAlignment="1" applyProtection="1">
      <alignment horizontal="center" vertical="center" wrapText="1"/>
    </xf>
    <xf numFmtId="2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2" fontId="37" fillId="32" borderId="13" xfId="37" applyNumberFormat="1" applyFont="1" applyFill="1" applyBorder="1" applyAlignment="1" applyProtection="1">
      <alignment horizontal="center" vertical="center" wrapText="1"/>
    </xf>
    <xf numFmtId="0" fontId="8" fillId="26" borderId="13" xfId="37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164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64" fontId="37" fillId="32" borderId="13" xfId="37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2" fontId="9" fillId="31" borderId="13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vertical="center" wrapText="1"/>
    </xf>
    <xf numFmtId="0" fontId="40" fillId="31" borderId="13" xfId="0" applyFont="1" applyFill="1" applyBorder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vertical="center" wrapText="1"/>
    </xf>
    <xf numFmtId="0" fontId="9" fillId="35" borderId="13" xfId="0" applyFont="1" applyFill="1" applyBorder="1" applyAlignment="1" applyProtection="1">
      <alignment vertical="center" wrapText="1"/>
    </xf>
    <xf numFmtId="164" fontId="9" fillId="31" borderId="13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horizontal="left" vertical="center" wrapText="1"/>
    </xf>
    <xf numFmtId="0" fontId="9" fillId="35" borderId="1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1" fontId="8" fillId="30" borderId="25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ont="1" applyFill="1" applyBorder="1" applyAlignment="1" applyProtection="1">
      <alignment horizontal="center" vertical="center" wrapText="1"/>
    </xf>
    <xf numFmtId="49" fontId="8" fillId="30" borderId="24" xfId="0" applyNumberFormat="1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 applyProtection="1">
      <alignment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vertical="top" wrapText="1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left" vertical="top" wrapText="1"/>
    </xf>
    <xf numFmtId="49" fontId="0" fillId="37" borderId="13" xfId="37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41" borderId="0" xfId="0" applyFont="1" applyFill="1" applyBorder="1" applyAlignment="1" applyProtection="1">
      <alignment horizontal="left" vertical="top" wrapText="1"/>
    </xf>
    <xf numFmtId="1" fontId="2" fillId="41" borderId="0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horizontal="left" vertical="top" wrapText="1"/>
    </xf>
    <xf numFmtId="0" fontId="8" fillId="41" borderId="0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</xf>
    <xf numFmtId="0" fontId="43" fillId="37" borderId="0" xfId="0" applyFont="1" applyFill="1" applyBorder="1" applyAlignment="1" applyProtection="1">
      <alignment horizontal="left" vertical="top" wrapText="1"/>
    </xf>
    <xf numFmtId="0" fontId="5" fillId="37" borderId="0" xfId="0" applyFont="1" applyFill="1" applyBorder="1" applyAlignment="1" applyProtection="1">
      <alignment horizontal="left" vertical="top" wrapText="1"/>
    </xf>
    <xf numFmtId="0" fontId="2" fillId="41" borderId="0" xfId="0" applyNumberFormat="1" applyFont="1" applyFill="1" applyBorder="1" applyAlignment="1" applyProtection="1">
      <alignment horizontal="left" vertical="top" wrapText="1"/>
    </xf>
    <xf numFmtId="49" fontId="2" fillId="41" borderId="0" xfId="0" applyNumberFormat="1" applyFont="1" applyFill="1" applyBorder="1" applyAlignment="1" applyProtection="1">
      <alignment horizontal="left" vertical="top" wrapText="1"/>
    </xf>
    <xf numFmtId="2" fontId="2" fillId="41" borderId="0" xfId="0" applyNumberFormat="1" applyFont="1" applyFill="1" applyBorder="1" applyAlignment="1" applyProtection="1">
      <alignment horizontal="left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0" fillId="0" borderId="0" xfId="0">
      <alignment vertical="top"/>
    </xf>
    <xf numFmtId="0" fontId="2" fillId="0" borderId="0" xfId="0" applyFont="1" applyAlignment="1">
      <alignment vertical="top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  <protection locked="0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37" borderId="14" xfId="0" applyFont="1" applyFill="1" applyBorder="1" applyAlignment="1" applyProtection="1">
      <alignment horizontal="center" vertical="top" wrapText="1"/>
    </xf>
    <xf numFmtId="0" fontId="3" fillId="37" borderId="75" xfId="0" applyFont="1" applyFill="1" applyBorder="1" applyAlignment="1" applyProtection="1">
      <alignment horizontal="center" textRotation="90" wrapText="1"/>
    </xf>
    <xf numFmtId="0" fontId="3" fillId="33" borderId="44" xfId="0" applyFont="1" applyFill="1" applyBorder="1" applyAlignment="1" applyProtection="1">
      <alignment horizontal="center" textRotation="90" wrapText="1"/>
    </xf>
    <xf numFmtId="0" fontId="3" fillId="37" borderId="37" xfId="0" applyFont="1" applyFill="1" applyBorder="1" applyAlignment="1" applyProtection="1">
      <alignment horizontal="center" textRotation="90"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" fontId="2" fillId="32" borderId="53" xfId="0" applyNumberFormat="1" applyFont="1" applyFill="1" applyBorder="1" applyAlignment="1" applyProtection="1">
      <alignment horizontal="center" vertical="top" wrapText="1"/>
    </xf>
    <xf numFmtId="1" fontId="3" fillId="48" borderId="10" xfId="0" applyNumberFormat="1" applyFont="1" applyFill="1" applyBorder="1" applyAlignment="1" applyProtection="1">
      <alignment horizontal="center" vertical="top" wrapText="1"/>
    </xf>
    <xf numFmtId="1" fontId="2" fillId="48" borderId="12" xfId="0" applyNumberFormat="1" applyFont="1" applyFill="1" applyBorder="1" applyAlignment="1" applyProtection="1">
      <alignment horizontal="center" vertical="top" wrapText="1"/>
    </xf>
    <xf numFmtId="0" fontId="7" fillId="0" borderId="43" xfId="0" applyFont="1" applyFill="1" applyBorder="1" applyAlignment="1" applyProtection="1">
      <alignment vertical="top" wrapText="1"/>
      <protection locked="0"/>
    </xf>
    <xf numFmtId="1" fontId="7" fillId="33" borderId="48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8" fillId="30" borderId="14" xfId="0" applyNumberFormat="1" applyFont="1" applyFill="1" applyBorder="1" applyAlignment="1" applyProtection="1">
      <alignment horizontal="center" vertical="top" wrapText="1"/>
    </xf>
    <xf numFmtId="1" fontId="8" fillId="30" borderId="15" xfId="0" applyNumberFormat="1" applyFont="1" applyFill="1" applyBorder="1" applyAlignment="1" applyProtection="1">
      <alignment horizontal="center" vertical="top" wrapText="1"/>
    </xf>
    <xf numFmtId="1" fontId="8" fillId="30" borderId="26" xfId="0" applyNumberFormat="1" applyFont="1" applyFill="1" applyBorder="1" applyAlignment="1" applyProtection="1">
      <alignment horizontal="center" vertical="top" wrapText="1"/>
    </xf>
    <xf numFmtId="1" fontId="8" fillId="37" borderId="15" xfId="0" applyNumberFormat="1" applyFont="1" applyFill="1" applyBorder="1" applyAlignment="1" applyProtection="1">
      <alignment horizontal="center" vertical="top" wrapText="1"/>
    </xf>
    <xf numFmtId="49" fontId="8" fillId="30" borderId="26" xfId="0" applyNumberFormat="1" applyFont="1" applyFill="1" applyBorder="1" applyAlignment="1" applyProtection="1">
      <alignment horizontal="left" vertical="top" wrapText="1"/>
    </xf>
    <xf numFmtId="0" fontId="8" fillId="30" borderId="21" xfId="0" applyFont="1" applyFill="1" applyBorder="1" applyAlignment="1" applyProtection="1">
      <alignment horizontal="left" vertical="top" wrapText="1"/>
    </xf>
    <xf numFmtId="0" fontId="8" fillId="30" borderId="14" xfId="0" applyFont="1" applyFill="1" applyBorder="1" applyAlignment="1" applyProtection="1">
      <alignment horizontal="left" vertical="top" wrapText="1"/>
    </xf>
    <xf numFmtId="1" fontId="8" fillId="30" borderId="18" xfId="0" applyNumberFormat="1" applyFont="1" applyFill="1" applyBorder="1" applyAlignment="1" applyProtection="1">
      <alignment horizontal="center" vertical="top" wrapText="1"/>
    </xf>
    <xf numFmtId="1" fontId="8" fillId="30" borderId="19" xfId="0" applyNumberFormat="1" applyFont="1" applyFill="1" applyBorder="1" applyAlignment="1" applyProtection="1">
      <alignment horizontal="center" vertical="top" wrapText="1"/>
    </xf>
    <xf numFmtId="1" fontId="8" fillId="30" borderId="20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43" xfId="0" applyFont="1" applyFill="1" applyBorder="1" applyAlignment="1" applyProtection="1">
      <alignment horizontal="justify" vertical="top" wrapText="1"/>
    </xf>
    <xf numFmtId="49" fontId="2" fillId="0" borderId="43" xfId="0" applyNumberFormat="1" applyFont="1" applyFill="1" applyBorder="1" applyAlignment="1" applyProtection="1">
      <alignment horizontal="center" vertical="top" wrapText="1"/>
    </xf>
    <xf numFmtId="1" fontId="2" fillId="0" borderId="43" xfId="0" applyNumberFormat="1" applyFont="1" applyFill="1" applyBorder="1" applyAlignment="1" applyProtection="1">
      <alignment horizontal="center" vertical="top" wrapText="1"/>
    </xf>
    <xf numFmtId="1" fontId="2" fillId="37" borderId="0" xfId="0" applyNumberFormat="1" applyFont="1" applyFill="1" applyBorder="1" applyAlignment="1" applyProtection="1">
      <alignment horizontal="center" vertical="top" wrapText="1"/>
    </xf>
    <xf numFmtId="1" fontId="8" fillId="34" borderId="45" xfId="0" applyNumberFormat="1" applyFont="1" applyFill="1" applyBorder="1" applyAlignment="1" applyProtection="1">
      <alignment horizontal="center" vertical="top" wrapText="1"/>
    </xf>
    <xf numFmtId="3" fontId="8" fillId="25" borderId="45" xfId="0" applyNumberFormat="1" applyFont="1" applyFill="1" applyBorder="1" applyAlignment="1" applyProtection="1">
      <alignment horizontal="center" vertical="top" wrapText="1"/>
    </xf>
    <xf numFmtId="1" fontId="3" fillId="33" borderId="48" xfId="0" applyNumberFormat="1" applyFont="1" applyFill="1" applyBorder="1" applyAlignment="1" applyProtection="1">
      <alignment horizontal="center" vertical="top" wrapText="1"/>
    </xf>
    <xf numFmtId="1" fontId="3" fillId="25" borderId="19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1" fontId="3" fillId="37" borderId="0" xfId="0" applyNumberFormat="1" applyFont="1" applyFill="1" applyBorder="1" applyAlignment="1" applyProtection="1">
      <alignment horizontal="center" vertical="top" wrapText="1"/>
    </xf>
    <xf numFmtId="1" fontId="3" fillId="25" borderId="48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3" fillId="25" borderId="45" xfId="0" applyNumberFormat="1" applyFont="1" applyFill="1" applyBorder="1" applyAlignment="1" applyProtection="1">
      <alignment horizontal="center" vertical="top" wrapText="1"/>
    </xf>
    <xf numFmtId="3" fontId="7" fillId="37" borderId="0" xfId="0" applyNumberFormat="1" applyFont="1" applyFill="1" applyBorder="1" applyAlignment="1" applyProtection="1">
      <alignment horizontal="center" vertical="top" wrapText="1"/>
    </xf>
    <xf numFmtId="1" fontId="7" fillId="34" borderId="45" xfId="0" applyNumberFormat="1" applyFont="1" applyFill="1" applyBorder="1" applyAlignment="1" applyProtection="1">
      <alignment horizontal="center" vertical="top" wrapText="1"/>
    </xf>
    <xf numFmtId="3" fontId="7" fillId="25" borderId="45" xfId="0" applyNumberFormat="1" applyFont="1" applyFill="1" applyBorder="1" applyAlignment="1" applyProtection="1">
      <alignment horizontal="center" vertical="top" wrapText="1"/>
    </xf>
    <xf numFmtId="3" fontId="7" fillId="25" borderId="43" xfId="0" applyNumberFormat="1" applyFont="1" applyFill="1" applyBorder="1" applyAlignment="1" applyProtection="1">
      <alignment horizontal="center" vertical="top" wrapText="1"/>
    </xf>
    <xf numFmtId="1" fontId="7" fillId="25" borderId="19" xfId="0" applyNumberFormat="1" applyFont="1" applyFill="1" applyBorder="1" applyAlignment="1" applyProtection="1">
      <alignment horizontal="center" vertical="top" wrapText="1"/>
    </xf>
    <xf numFmtId="1" fontId="7" fillId="37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50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1" fontId="3" fillId="33" borderId="34" xfId="0" applyNumberFormat="1" applyFont="1" applyFill="1" applyBorder="1" applyAlignment="1" applyProtection="1">
      <alignment horizontal="center" vertical="top" wrapText="1"/>
    </xf>
    <xf numFmtId="49" fontId="3" fillId="34" borderId="50" xfId="0" applyNumberFormat="1" applyFont="1" applyFill="1" applyBorder="1" applyAlignment="1" applyProtection="1">
      <alignment horizontal="left" vertical="top" wrapText="1"/>
    </xf>
    <xf numFmtId="49" fontId="2" fillId="34" borderId="50" xfId="0" applyNumberFormat="1" applyFont="1" applyFill="1" applyBorder="1" applyAlignment="1" applyProtection="1">
      <alignment horizontal="left" vertical="top" wrapText="1"/>
    </xf>
    <xf numFmtId="1" fontId="3" fillId="33" borderId="34" xfId="0" applyNumberFormat="1" applyFont="1" applyFill="1" applyBorder="1" applyAlignment="1" applyProtection="1">
      <alignment horizontal="left" vertical="top" wrapText="1"/>
    </xf>
    <xf numFmtId="1" fontId="3" fillId="37" borderId="0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0" fontId="3" fillId="33" borderId="78" xfId="0" applyFont="1" applyFill="1" applyBorder="1" applyAlignment="1" applyProtection="1">
      <alignment horizontal="center" textRotation="90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61" xfId="0" applyNumberFormat="1" applyFont="1" applyFill="1" applyBorder="1" applyAlignment="1" applyProtection="1">
      <alignment horizontal="center" vertical="top" wrapText="1"/>
    </xf>
    <xf numFmtId="0" fontId="0" fillId="38" borderId="60" xfId="0" applyFill="1" applyBorder="1" applyAlignment="1">
      <alignment vertical="top" wrapText="1"/>
    </xf>
    <xf numFmtId="49" fontId="0" fillId="38" borderId="60" xfId="0" applyNumberFormat="1" applyFill="1" applyBorder="1">
      <alignment vertical="top"/>
    </xf>
    <xf numFmtId="0" fontId="0" fillId="0" borderId="60" xfId="0" applyBorder="1" applyAlignment="1">
      <alignment vertical="top" wrapText="1"/>
    </xf>
    <xf numFmtId="49" fontId="0" fillId="0" borderId="60" xfId="0" applyNumberFormat="1" applyBorder="1">
      <alignment vertical="top"/>
    </xf>
    <xf numFmtId="0" fontId="0" fillId="0" borderId="0" xfId="0" applyBorder="1">
      <alignment vertical="top"/>
    </xf>
    <xf numFmtId="0" fontId="0" fillId="38" borderId="0" xfId="0" applyFill="1" applyBorder="1">
      <alignment vertical="top"/>
    </xf>
    <xf numFmtId="0" fontId="8" fillId="34" borderId="45" xfId="0" applyFont="1" applyFill="1" applyBorder="1" applyAlignment="1" applyProtection="1">
      <alignment horizontal="left" vertical="top" wrapText="1"/>
    </xf>
    <xf numFmtId="0" fontId="7" fillId="34" borderId="45" xfId="0" applyFont="1" applyFill="1" applyBorder="1" applyAlignment="1" applyProtection="1">
      <alignment horizontal="left" vertical="top" wrapText="1"/>
    </xf>
    <xf numFmtId="0" fontId="8" fillId="34" borderId="43" xfId="0" applyFont="1" applyFill="1" applyBorder="1" applyAlignment="1" applyProtection="1">
      <alignment horizontal="left" vertical="top" wrapText="1"/>
    </xf>
    <xf numFmtId="0" fontId="3" fillId="33" borderId="0" xfId="0" applyFont="1" applyFill="1" applyBorder="1" applyAlignment="1" applyProtection="1">
      <alignment horizontal="center" textRotation="90" wrapText="1"/>
    </xf>
    <xf numFmtId="0" fontId="3" fillId="33" borderId="14" xfId="0" applyFont="1" applyFill="1" applyBorder="1" applyAlignment="1" applyProtection="1">
      <alignment horizontal="center" textRotation="90" wrapText="1"/>
    </xf>
    <xf numFmtId="49" fontId="7" fillId="33" borderId="14" xfId="0" applyNumberFormat="1" applyFont="1" applyFill="1" applyBorder="1" applyAlignment="1" applyProtection="1">
      <alignment vertical="top" wrapText="1"/>
    </xf>
    <xf numFmtId="49" fontId="7" fillId="33" borderId="16" xfId="0" applyNumberFormat="1" applyFont="1" applyFill="1" applyBorder="1" applyAlignment="1" applyProtection="1">
      <alignment vertical="top" wrapText="1"/>
    </xf>
    <xf numFmtId="0" fontId="3" fillId="33" borderId="43" xfId="0" applyFont="1" applyFill="1" applyBorder="1" applyAlignment="1" applyProtection="1">
      <alignment horizontal="center" textRotation="90" wrapText="1"/>
    </xf>
    <xf numFmtId="1" fontId="3" fillId="33" borderId="43" xfId="0" applyNumberFormat="1" applyFont="1" applyFill="1" applyBorder="1" applyAlignment="1" applyProtection="1">
      <alignment horizontal="center" vertical="top" wrapText="1"/>
    </xf>
    <xf numFmtId="1" fontId="7" fillId="33" borderId="43" xfId="0" applyNumberFormat="1" applyFont="1" applyFill="1" applyBorder="1" applyAlignment="1" applyProtection="1">
      <alignment horizontal="center" vertical="top" wrapText="1"/>
    </xf>
    <xf numFmtId="3" fontId="7" fillId="33" borderId="43" xfId="0" applyNumberFormat="1" applyFont="1" applyFill="1" applyBorder="1" applyAlignment="1" applyProtection="1">
      <alignment horizontal="center" vertical="top" wrapText="1"/>
    </xf>
    <xf numFmtId="1" fontId="3" fillId="33" borderId="43" xfId="0" applyNumberFormat="1" applyFont="1" applyFill="1" applyBorder="1" applyAlignment="1" applyProtection="1">
      <alignment horizontal="left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8" fillId="30" borderId="24" xfId="0" applyNumberFormat="1" applyFont="1" applyFill="1" applyBorder="1" applyAlignment="1" applyProtection="1">
      <alignment horizontal="center" vertical="top" wrapText="1"/>
    </xf>
    <xf numFmtId="1" fontId="8" fillId="30" borderId="51" xfId="0" applyNumberFormat="1" applyFont="1" applyFill="1" applyBorder="1" applyAlignment="1" applyProtection="1">
      <alignment horizontal="center" vertical="top" wrapText="1"/>
    </xf>
    <xf numFmtId="1" fontId="8" fillId="49" borderId="58" xfId="0" applyNumberFormat="1" applyFont="1" applyFill="1" applyBorder="1" applyAlignment="1" applyProtection="1">
      <alignment horizontal="center" vertical="top" wrapText="1"/>
    </xf>
    <xf numFmtId="1" fontId="8" fillId="49" borderId="59" xfId="0" applyNumberFormat="1" applyFont="1" applyFill="1" applyBorder="1" applyAlignment="1" applyProtection="1">
      <alignment horizontal="center" vertical="top" wrapText="1"/>
    </xf>
    <xf numFmtId="1" fontId="2" fillId="32" borderId="70" xfId="0" applyNumberFormat="1" applyFont="1" applyFill="1" applyBorder="1" applyAlignment="1" applyProtection="1">
      <alignment horizontal="center" vertical="top" wrapText="1"/>
    </xf>
    <xf numFmtId="0" fontId="0" fillId="49" borderId="50" xfId="0" applyFont="1" applyFill="1" applyBorder="1" applyAlignment="1" applyProtection="1">
      <alignment horizontal="left" vertical="top" wrapText="1"/>
    </xf>
    <xf numFmtId="0" fontId="0" fillId="49" borderId="47" xfId="0" applyFont="1" applyFill="1" applyBorder="1" applyAlignment="1" applyProtection="1">
      <alignment horizontal="left" vertical="top" wrapText="1"/>
    </xf>
    <xf numFmtId="0" fontId="8" fillId="49" borderId="12" xfId="0" applyFont="1" applyFill="1" applyBorder="1" applyAlignment="1" applyProtection="1">
      <alignment horizontal="left" vertical="top" wrapText="1"/>
    </xf>
    <xf numFmtId="49" fontId="8" fillId="49" borderId="12" xfId="0" applyNumberFormat="1" applyFont="1" applyFill="1" applyBorder="1" applyAlignment="1" applyProtection="1">
      <alignment horizontal="center" vertical="top" wrapText="1"/>
    </xf>
    <xf numFmtId="49" fontId="8" fillId="49" borderId="0" xfId="0" applyNumberFormat="1" applyFont="1" applyFill="1" applyBorder="1" applyAlignment="1" applyProtection="1">
      <alignment horizontal="center" vertical="top" wrapText="1"/>
    </xf>
    <xf numFmtId="1" fontId="8" fillId="49" borderId="11" xfId="0" applyNumberFormat="1" applyFont="1" applyFill="1" applyBorder="1" applyAlignment="1" applyProtection="1">
      <alignment horizontal="center" vertical="top" wrapText="1"/>
    </xf>
    <xf numFmtId="1" fontId="8" fillId="49" borderId="50" xfId="0" applyNumberFormat="1" applyFont="1" applyFill="1" applyBorder="1" applyAlignment="1" applyProtection="1">
      <alignment horizontal="center" vertical="top" wrapText="1"/>
    </xf>
    <xf numFmtId="1" fontId="8" fillId="49" borderId="77" xfId="0" applyNumberFormat="1" applyFont="1" applyFill="1" applyBorder="1" applyAlignment="1" applyProtection="1">
      <alignment horizontal="center" vertical="top" wrapText="1"/>
    </xf>
    <xf numFmtId="1" fontId="8" fillId="49" borderId="47" xfId="0" applyNumberFormat="1" applyFont="1" applyFill="1" applyBorder="1" applyAlignment="1" applyProtection="1">
      <alignment horizontal="center" vertical="top" wrapText="1"/>
    </xf>
    <xf numFmtId="1" fontId="8" fillId="49" borderId="53" xfId="0" applyNumberFormat="1" applyFont="1" applyFill="1" applyBorder="1" applyAlignment="1" applyProtection="1">
      <alignment horizontal="center" vertical="top" wrapText="1"/>
    </xf>
    <xf numFmtId="1" fontId="8" fillId="49" borderId="76" xfId="0" applyNumberFormat="1" applyFont="1" applyFill="1" applyBorder="1" applyAlignment="1" applyProtection="1">
      <alignment horizontal="center" vertical="top" wrapText="1"/>
    </xf>
    <xf numFmtId="1" fontId="8" fillId="30" borderId="41" xfId="0" applyNumberFormat="1" applyFont="1" applyFill="1" applyBorder="1" applyAlignment="1" applyProtection="1">
      <alignment horizontal="center" vertical="top" wrapText="1"/>
    </xf>
    <xf numFmtId="1" fontId="8" fillId="30" borderId="50" xfId="0" applyNumberFormat="1" applyFont="1" applyFill="1" applyBorder="1" applyAlignment="1" applyProtection="1">
      <alignment horizontal="center" vertical="top" wrapText="1"/>
    </xf>
    <xf numFmtId="1" fontId="8" fillId="37" borderId="0" xfId="0" applyNumberFormat="1" applyFont="1" applyFill="1" applyBorder="1" applyAlignment="1" applyProtection="1">
      <alignment horizontal="center" vertical="top" wrapText="1"/>
    </xf>
    <xf numFmtId="49" fontId="8" fillId="30" borderId="53" xfId="0" applyNumberFormat="1" applyFont="1" applyFill="1" applyBorder="1" applyAlignment="1" applyProtection="1">
      <alignment horizontal="center" vertical="top" wrapText="1"/>
    </xf>
    <xf numFmtId="49" fontId="8" fillId="30" borderId="12" xfId="0" applyNumberFormat="1" applyFont="1" applyFill="1" applyBorder="1" applyAlignment="1" applyProtection="1">
      <alignment horizontal="center" vertical="top" wrapText="1"/>
    </xf>
    <xf numFmtId="0" fontId="14" fillId="38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top"/>
    </xf>
    <xf numFmtId="0" fontId="4" fillId="32" borderId="11" xfId="0" applyFont="1" applyFill="1" applyBorder="1" applyAlignment="1">
      <alignment vertical="top"/>
    </xf>
    <xf numFmtId="0" fontId="3" fillId="28" borderId="26" xfId="0" applyFont="1" applyFill="1" applyBorder="1" applyAlignment="1" applyProtection="1">
      <alignment horizontal="center" vertical="top" wrapText="1"/>
    </xf>
    <xf numFmtId="0" fontId="42" fillId="0" borderId="13" xfId="0" applyFont="1" applyFill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horizontal="justify" vertical="top" wrapText="1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27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64" fontId="7" fillId="26" borderId="13" xfId="37" applyNumberFormat="1" applyFont="1" applyFill="1" applyBorder="1" applyAlignment="1" applyProtection="1">
      <alignment horizontal="center" vertical="top" wrapText="1"/>
    </xf>
    <xf numFmtId="164" fontId="7" fillId="0" borderId="13" xfId="37" applyNumberFormat="1" applyFont="1" applyBorder="1" applyAlignment="1" applyProtection="1">
      <alignment horizontal="center" vertical="top" wrapText="1"/>
      <protection locked="0"/>
    </xf>
    <xf numFmtId="164" fontId="0" fillId="0" borderId="13" xfId="37" applyNumberFormat="1" applyFont="1" applyBorder="1" applyAlignment="1" applyProtection="1">
      <alignment horizontal="center" vertical="top" wrapText="1"/>
      <protection locked="0"/>
    </xf>
    <xf numFmtId="164" fontId="7" fillId="26" borderId="13" xfId="37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>
      <alignment vertical="top"/>
    </xf>
    <xf numFmtId="1" fontId="3" fillId="38" borderId="14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textRotation="90" wrapText="1"/>
    </xf>
    <xf numFmtId="1" fontId="3" fillId="38" borderId="16" xfId="0" applyNumberFormat="1" applyFont="1" applyFill="1" applyBorder="1" applyAlignment="1" applyProtection="1">
      <alignment horizontal="center" textRotation="90" wrapText="1"/>
    </xf>
    <xf numFmtId="1" fontId="8" fillId="49" borderId="0" xfId="0" applyNumberFormat="1" applyFont="1" applyFill="1" applyBorder="1" applyAlignment="1" applyProtection="1">
      <alignment horizontal="center" vertical="top" wrapText="1"/>
    </xf>
    <xf numFmtId="1" fontId="8" fillId="30" borderId="14" xfId="0" applyNumberFormat="1" applyFont="1" applyFill="1" applyBorder="1" applyAlignment="1" applyProtection="1">
      <alignment horizontal="center" vertical="top" wrapText="1"/>
    </xf>
    <xf numFmtId="1" fontId="8" fillId="34" borderId="45" xfId="0" applyNumberFormat="1" applyFont="1" applyFill="1" applyBorder="1" applyAlignment="1" applyProtection="1">
      <alignment horizontal="left" vertical="top" wrapText="1"/>
    </xf>
    <xf numFmtId="1" fontId="7" fillId="34" borderId="45" xfId="0" applyNumberFormat="1" applyFont="1" applyFill="1" applyBorder="1" applyAlignment="1" applyProtection="1">
      <alignment horizontal="left" vertical="top" wrapText="1"/>
    </xf>
    <xf numFmtId="1" fontId="8" fillId="34" borderId="43" xfId="0" applyNumberFormat="1" applyFont="1" applyFill="1" applyBorder="1" applyAlignment="1" applyProtection="1">
      <alignment horizontal="left" vertical="top" wrapText="1"/>
    </xf>
    <xf numFmtId="0" fontId="0" fillId="37" borderId="60" xfId="0" applyFill="1" applyBorder="1" applyAlignment="1">
      <alignment vertical="top" wrapText="1"/>
    </xf>
    <xf numFmtId="0" fontId="0" fillId="37" borderId="0" xfId="0" applyFill="1" applyBorder="1">
      <alignment vertical="top"/>
    </xf>
    <xf numFmtId="49" fontId="0" fillId="37" borderId="60" xfId="0" applyNumberFormat="1" applyFill="1" applyBorder="1">
      <alignment vertical="top"/>
    </xf>
    <xf numFmtId="0" fontId="8" fillId="37" borderId="0" xfId="0" applyFont="1" applyFill="1" applyBorder="1" applyAlignment="1" applyProtection="1">
      <alignment vertical="top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49" fontId="0" fillId="37" borderId="17" xfId="37" applyNumberFormat="1" applyFont="1" applyFill="1" applyBorder="1" applyAlignment="1" applyProtection="1">
      <alignment vertical="center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7" borderId="26" xfId="0" applyFont="1" applyFill="1" applyBorder="1" applyAlignment="1" applyProtection="1">
      <alignment horizontal="left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49" fontId="8" fillId="28" borderId="26" xfId="0" applyNumberFormat="1" applyFont="1" applyFill="1" applyBorder="1" applyAlignment="1" applyProtection="1">
      <alignment horizontal="center" textRotation="90" wrapText="1"/>
    </xf>
    <xf numFmtId="49" fontId="8" fillId="28" borderId="50" xfId="0" applyNumberFormat="1" applyFont="1" applyFill="1" applyBorder="1" applyAlignment="1" applyProtection="1">
      <alignment horizontal="center" textRotation="90" wrapText="1"/>
    </xf>
    <xf numFmtId="0" fontId="0" fillId="28" borderId="26" xfId="0" applyFill="1" applyBorder="1" applyAlignment="1" applyProtection="1">
      <alignment horizontal="center" textRotation="90" wrapText="1"/>
    </xf>
    <xf numFmtId="0" fontId="0" fillId="28" borderId="26" xfId="0" applyFont="1" applyFill="1" applyBorder="1" applyAlignment="1" applyProtection="1">
      <alignment horizontal="center" textRotation="90" wrapText="1"/>
    </xf>
    <xf numFmtId="0" fontId="2" fillId="38" borderId="42" xfId="0" applyFont="1" applyFill="1" applyBorder="1" applyAlignment="1" applyProtection="1">
      <alignment horizontal="center" vertical="center" wrapText="1"/>
      <protection locked="0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8" fillId="28" borderId="26" xfId="0" applyNumberFormat="1" applyFont="1" applyFill="1" applyBorder="1" applyAlignment="1" applyProtection="1">
      <alignment horizontal="center" textRotation="90" wrapText="1"/>
    </xf>
    <xf numFmtId="49" fontId="8" fillId="28" borderId="50" xfId="0" applyNumberFormat="1" applyFont="1" applyFill="1" applyBorder="1" applyAlignment="1" applyProtection="1">
      <alignment horizontal="center" textRotation="90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21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0" fillId="28" borderId="21" xfId="0" applyFont="1" applyFill="1" applyBorder="1" applyAlignment="1" applyProtection="1">
      <alignment horizontal="center" textRotation="90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17" xfId="0" applyFont="1" applyFill="1" applyBorder="1" applyAlignment="1" applyProtection="1">
      <alignment horizontal="center" textRotation="90" wrapText="1"/>
    </xf>
    <xf numFmtId="0" fontId="39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1" fontId="39" fillId="42" borderId="13" xfId="0" applyNumberFormat="1" applyFont="1" applyFill="1" applyBorder="1" applyAlignment="1" applyProtection="1">
      <alignment horizontal="center" vertical="center" wrapText="1"/>
    </xf>
    <xf numFmtId="164" fontId="39" fillId="42" borderId="13" xfId="0" applyNumberFormat="1" applyFont="1" applyFill="1" applyBorder="1" applyAlignment="1" applyProtection="1">
      <alignment horizontal="center" vertical="center" wrapText="1"/>
    </xf>
    <xf numFmtId="1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40" borderId="13" xfId="0" applyNumberFormat="1" applyFont="1" applyFill="1" applyBorder="1" applyAlignment="1" applyProtection="1">
      <alignment horizontal="center" vertical="center" wrapText="1"/>
    </xf>
    <xf numFmtId="0" fontId="42" fillId="0" borderId="13" xfId="36" applyFont="1" applyFill="1" applyBorder="1" applyAlignment="1">
      <alignment horizontal="left" vertical="center" wrapText="1"/>
    </xf>
    <xf numFmtId="1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3" xfId="0" applyNumberFormat="1" applyFont="1" applyFill="1" applyBorder="1" applyAlignment="1" applyProtection="1">
      <alignment horizontal="center" vertical="center" wrapText="1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164" fontId="0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46" borderId="13" xfId="0" applyFont="1" applyFill="1" applyBorder="1" applyAlignment="1" applyProtection="1">
      <alignment vertical="center"/>
      <protection locked="0"/>
    </xf>
    <xf numFmtId="0" fontId="39" fillId="50" borderId="13" xfId="0" applyFont="1" applyFill="1" applyBorder="1" applyAlignment="1" applyProtection="1">
      <alignment vertical="center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0" fontId="39" fillId="46" borderId="13" xfId="0" applyFont="1" applyFill="1" applyBorder="1" applyAlignment="1" applyProtection="1">
      <alignment horizontal="center" vertical="center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center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41" fillId="29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vertical="center"/>
    </xf>
    <xf numFmtId="164" fontId="0" fillId="30" borderId="13" xfId="0" applyNumberFormat="1" applyFont="1" applyFill="1" applyBorder="1" applyAlignment="1" applyProtection="1">
      <alignment horizontal="center" vertical="center" wrapText="1"/>
    </xf>
    <xf numFmtId="49" fontId="41" fillId="3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vertical="center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164" fontId="0" fillId="29" borderId="13" xfId="0" applyNumberFormat="1" applyFont="1" applyFill="1" applyBorder="1" applyAlignment="1" applyProtection="1">
      <alignment horizontal="left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29" borderId="13" xfId="0" applyNumberFormat="1" applyFont="1" applyFill="1" applyBorder="1" applyAlignment="1" applyProtection="1">
      <alignment horizontal="center" vertical="center" wrapText="1"/>
    </xf>
    <xf numFmtId="49" fontId="41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49" fontId="41" fillId="42" borderId="13" xfId="0" applyNumberFormat="1" applyFont="1" applyFill="1" applyBorder="1" applyAlignment="1" applyProtection="1">
      <alignment horizontal="center" vertical="center" wrapText="1"/>
    </xf>
    <xf numFmtId="49" fontId="0" fillId="4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4" borderId="13" xfId="0" applyNumberFormat="1" applyFont="1" applyFill="1" applyBorder="1" applyAlignment="1" applyProtection="1">
      <alignment horizontal="center" vertical="center" wrapText="1"/>
    </xf>
    <xf numFmtId="1" fontId="0" fillId="4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49" fontId="0" fillId="43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3" xfId="0" applyNumberFormat="1" applyFont="1" applyFill="1" applyBorder="1" applyAlignment="1" applyProtection="1">
      <alignment horizontal="center" vertical="center" wrapText="1"/>
    </xf>
    <xf numFmtId="1" fontId="0" fillId="43" borderId="13" xfId="0" applyNumberFormat="1" applyFont="1" applyFill="1" applyBorder="1" applyAlignment="1" applyProtection="1">
      <alignment horizontal="center" vertical="center" wrapText="1"/>
    </xf>
    <xf numFmtId="49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3" xfId="36" applyFont="1" applyFill="1" applyBorder="1" applyAlignment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49" fontId="0" fillId="4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5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46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0" fontId="0" fillId="43" borderId="13" xfId="0" applyFont="1" applyFill="1" applyBorder="1" applyAlignment="1" applyProtection="1">
      <alignment vertical="center" wrapText="1"/>
      <protection locked="0"/>
    </xf>
    <xf numFmtId="0" fontId="0" fillId="4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3" xfId="0" applyFont="1" applyFill="1" applyBorder="1" applyAlignment="1" applyProtection="1">
      <alignment horizontal="left" vertical="center" wrapText="1"/>
      <protection locked="0"/>
    </xf>
    <xf numFmtId="0" fontId="0" fillId="40" borderId="13" xfId="0" applyFont="1" applyFill="1" applyBorder="1" applyAlignment="1" applyProtection="1">
      <alignment horizontal="left" vertical="center" wrapText="1"/>
    </xf>
    <xf numFmtId="0" fontId="0" fillId="40" borderId="13" xfId="0" applyFont="1" applyFill="1" applyBorder="1" applyAlignment="1" applyProtection="1">
      <alignment vertical="center" wrapText="1"/>
    </xf>
    <xf numFmtId="49" fontId="0" fillId="40" borderId="13" xfId="0" applyNumberFormat="1" applyFont="1" applyFill="1" applyBorder="1" applyAlignment="1" applyProtection="1">
      <alignment horizontal="center" vertical="center" wrapText="1"/>
    </xf>
    <xf numFmtId="49" fontId="41" fillId="40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</xf>
    <xf numFmtId="0" fontId="3" fillId="33" borderId="56" xfId="0" applyFont="1" applyFill="1" applyBorder="1" applyAlignment="1" applyProtection="1">
      <alignment horizontal="center" textRotation="90" wrapText="1"/>
    </xf>
    <xf numFmtId="0" fontId="3" fillId="33" borderId="73" xfId="0" applyFont="1" applyFill="1" applyBorder="1" applyAlignment="1" applyProtection="1">
      <alignment horizontal="center" textRotation="90" wrapText="1"/>
    </xf>
    <xf numFmtId="49" fontId="7" fillId="33" borderId="36" xfId="0" applyNumberFormat="1" applyFont="1" applyFill="1" applyBorder="1" applyAlignment="1" applyProtection="1">
      <alignment vertical="top" wrapText="1"/>
    </xf>
    <xf numFmtId="49" fontId="7" fillId="33" borderId="39" xfId="0" applyNumberFormat="1" applyFont="1" applyFill="1" applyBorder="1" applyAlignment="1" applyProtection="1">
      <alignment vertical="top" wrapText="1"/>
    </xf>
    <xf numFmtId="0" fontId="3" fillId="33" borderId="61" xfId="0" applyFont="1" applyFill="1" applyBorder="1" applyAlignment="1" applyProtection="1">
      <alignment horizontal="center" textRotation="90" wrapText="1"/>
    </xf>
    <xf numFmtId="0" fontId="3" fillId="33" borderId="49" xfId="0" applyFont="1" applyFill="1" applyBorder="1" applyAlignment="1" applyProtection="1">
      <alignment horizontal="center" textRotation="90" wrapText="1"/>
    </xf>
    <xf numFmtId="0" fontId="3" fillId="33" borderId="31" xfId="0" applyFont="1" applyFill="1" applyBorder="1" applyAlignment="1" applyProtection="1">
      <alignment horizontal="center" textRotation="90" wrapText="1"/>
    </xf>
    <xf numFmtId="49" fontId="7" fillId="28" borderId="15" xfId="0" applyNumberFormat="1" applyFont="1" applyFill="1" applyBorder="1" applyAlignment="1" applyProtection="1">
      <alignment vertical="top" wrapText="1"/>
    </xf>
    <xf numFmtId="0" fontId="3" fillId="28" borderId="17" xfId="0" applyFont="1" applyFill="1" applyBorder="1" applyAlignment="1" applyProtection="1">
      <alignment vertical="top" wrapText="1"/>
    </xf>
    <xf numFmtId="0" fontId="3" fillId="28" borderId="43" xfId="0" applyFont="1" applyFill="1" applyBorder="1" applyAlignment="1" applyProtection="1">
      <alignment vertical="top" wrapText="1"/>
    </xf>
    <xf numFmtId="0" fontId="3" fillId="28" borderId="45" xfId="0" applyFont="1" applyFill="1" applyBorder="1" applyAlignment="1" applyProtection="1">
      <alignment vertical="top" wrapText="1"/>
    </xf>
    <xf numFmtId="0" fontId="3" fillId="33" borderId="75" xfId="0" applyFont="1" applyFill="1" applyBorder="1" applyAlignment="1" applyProtection="1">
      <alignment horizontal="center" textRotation="90" wrapText="1"/>
    </xf>
    <xf numFmtId="0" fontId="3" fillId="33" borderId="35" xfId="0" applyFont="1" applyFill="1" applyBorder="1" applyAlignment="1" applyProtection="1">
      <alignment horizontal="center" textRotation="90" wrapText="1"/>
    </xf>
    <xf numFmtId="0" fontId="3" fillId="33" borderId="57" xfId="0" applyFont="1" applyFill="1" applyBorder="1" applyAlignment="1" applyProtection="1">
      <alignment horizontal="center" textRotation="90" wrapText="1"/>
    </xf>
    <xf numFmtId="0" fontId="3" fillId="33" borderId="48" xfId="0" applyFont="1" applyFill="1" applyBorder="1" applyAlignment="1" applyProtection="1">
      <alignment horizontal="center" textRotation="90" wrapText="1"/>
    </xf>
    <xf numFmtId="0" fontId="3" fillId="33" borderId="28" xfId="0" applyFont="1" applyFill="1" applyBorder="1" applyAlignment="1" applyProtection="1">
      <alignment horizontal="center" textRotation="90" wrapText="1"/>
    </xf>
    <xf numFmtId="1" fontId="8" fillId="49" borderId="69" xfId="0" applyNumberFormat="1" applyFont="1" applyFill="1" applyBorder="1" applyAlignment="1" applyProtection="1">
      <alignment horizontal="center" vertical="top" wrapText="1"/>
    </xf>
    <xf numFmtId="1" fontId="8" fillId="49" borderId="72" xfId="0" applyNumberFormat="1" applyFont="1" applyFill="1" applyBorder="1" applyAlignment="1" applyProtection="1">
      <alignment horizontal="center" vertical="top" wrapText="1"/>
    </xf>
    <xf numFmtId="49" fontId="2" fillId="49" borderId="70" xfId="0" applyNumberFormat="1" applyFont="1" applyFill="1" applyBorder="1" applyAlignment="1" applyProtection="1">
      <alignment horizontal="center" vertical="top" wrapText="1"/>
      <protection locked="0"/>
    </xf>
    <xf numFmtId="49" fontId="2" fillId="49" borderId="7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28" borderId="13" xfId="0" applyFont="1" applyFill="1" applyBorder="1" applyAlignment="1" applyProtection="1">
      <alignment horizontal="center" vertical="center" wrapText="1"/>
    </xf>
    <xf numFmtId="1" fontId="0" fillId="28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center" vertical="center" wrapText="1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3" xfId="0" applyFont="1" applyFill="1" applyBorder="1" applyAlignment="1" applyProtection="1">
      <alignment horizontal="left" vertical="center" wrapText="1"/>
    </xf>
    <xf numFmtId="49" fontId="0" fillId="38" borderId="13" xfId="0" applyNumberFormat="1" applyFont="1" applyFill="1" applyBorder="1" applyAlignment="1" applyProtection="1">
      <alignment horizontal="center" vertical="center" wrapText="1"/>
    </xf>
    <xf numFmtId="49" fontId="0" fillId="40" borderId="13" xfId="0" applyNumberFormat="1" applyFont="1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ont="1" applyFill="1" applyBorder="1" applyAlignment="1" applyProtection="1">
      <alignment horizontal="left" vertical="center" wrapText="1"/>
    </xf>
    <xf numFmtId="49" fontId="0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9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vertical="center" wrapText="1"/>
    </xf>
    <xf numFmtId="0" fontId="0" fillId="41" borderId="13" xfId="0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vertical="center" wrapText="1"/>
    </xf>
    <xf numFmtId="49" fontId="0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justify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1" fontId="0" fillId="43" borderId="13" xfId="0" applyNumberFormat="1" applyFill="1" applyBorder="1" applyAlignment="1" applyProtection="1">
      <alignment horizontal="center" vertical="center" wrapText="1"/>
    </xf>
    <xf numFmtId="1" fontId="3" fillId="33" borderId="73" xfId="0" applyNumberFormat="1" applyFont="1" applyFill="1" applyBorder="1" applyAlignment="1" applyProtection="1">
      <alignment horizontal="center" vertical="top" wrapText="1"/>
    </xf>
    <xf numFmtId="1" fontId="7" fillId="33" borderId="73" xfId="0" applyNumberFormat="1" applyFont="1" applyFill="1" applyBorder="1" applyAlignment="1" applyProtection="1">
      <alignment horizontal="center" vertical="top" wrapText="1"/>
    </xf>
    <xf numFmtId="3" fontId="7" fillId="33" borderId="73" xfId="0" applyNumberFormat="1" applyFont="1" applyFill="1" applyBorder="1" applyAlignment="1" applyProtection="1">
      <alignment horizontal="center" vertical="top" wrapText="1"/>
    </xf>
    <xf numFmtId="1" fontId="3" fillId="33" borderId="73" xfId="0" applyNumberFormat="1" applyFont="1" applyFill="1" applyBorder="1" applyAlignment="1" applyProtection="1">
      <alignment horizontal="left" vertical="top" wrapText="1"/>
    </xf>
    <xf numFmtId="1" fontId="3" fillId="33" borderId="49" xfId="0" applyNumberFormat="1" applyFont="1" applyFill="1" applyBorder="1" applyAlignment="1" applyProtection="1">
      <alignment horizontal="center" vertical="top" wrapText="1"/>
    </xf>
    <xf numFmtId="1" fontId="3" fillId="33" borderId="49" xfId="0" applyNumberFormat="1" applyFont="1" applyFill="1" applyBorder="1" applyAlignment="1" applyProtection="1">
      <alignment horizontal="left" vertical="top" wrapText="1"/>
    </xf>
    <xf numFmtId="1" fontId="3" fillId="25" borderId="17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0" fillId="5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13" xfId="0" applyNumberFormat="1" applyFont="1" applyFill="1" applyBorder="1" applyAlignment="1" applyProtection="1">
      <alignment horizontal="left" vertical="center" wrapText="1"/>
    </xf>
    <xf numFmtId="0" fontId="0" fillId="52" borderId="13" xfId="0" applyFont="1" applyFill="1" applyBorder="1" applyAlignment="1" applyProtection="1">
      <alignment horizontal="left" vertical="center" wrapText="1"/>
      <protection locked="0"/>
    </xf>
    <xf numFmtId="49" fontId="0" fillId="5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52" borderId="13" xfId="0" applyNumberFormat="1" applyFill="1" applyBorder="1" applyAlignment="1" applyProtection="1">
      <alignment horizontal="center" vertical="center" wrapText="1"/>
      <protection locked="0"/>
    </xf>
    <xf numFmtId="1" fontId="0" fillId="52" borderId="13" xfId="0" applyNumberFormat="1" applyFont="1" applyFill="1" applyBorder="1" applyAlignment="1" applyProtection="1">
      <alignment horizontal="center" vertical="center" wrapText="1"/>
    </xf>
    <xf numFmtId="49" fontId="0" fillId="52" borderId="13" xfId="0" applyNumberFormat="1" applyFont="1" applyFill="1" applyBorder="1" applyAlignment="1" applyProtection="1">
      <alignment horizontal="left" vertical="center" wrapText="1"/>
    </xf>
    <xf numFmtId="0" fontId="0" fillId="52" borderId="13" xfId="0" applyFont="1" applyFill="1" applyBorder="1" applyAlignment="1" applyProtection="1">
      <alignment vertical="center" wrapText="1"/>
    </xf>
    <xf numFmtId="0" fontId="0" fillId="52" borderId="13" xfId="0" applyFont="1" applyFill="1" applyBorder="1" applyAlignment="1" applyProtection="1">
      <alignment vertical="center" wrapText="1"/>
      <protection locked="0"/>
    </xf>
    <xf numFmtId="0" fontId="0" fillId="52" borderId="13" xfId="0" applyFont="1" applyFill="1" applyBorder="1" applyAlignment="1" applyProtection="1">
      <alignment horizontal="center" vertical="center" wrapText="1"/>
      <protection locked="0"/>
    </xf>
    <xf numFmtId="0" fontId="0" fillId="52" borderId="13" xfId="0" applyNumberFormat="1" applyFont="1" applyFill="1" applyBorder="1" applyAlignment="1" applyProtection="1">
      <alignment vertical="center" wrapText="1"/>
    </xf>
    <xf numFmtId="0" fontId="0" fillId="52" borderId="13" xfId="0" applyNumberFormat="1" applyFont="1" applyFill="1" applyBorder="1" applyAlignment="1" applyProtection="1">
      <alignment vertical="center" wrapText="1"/>
      <protection locked="0"/>
    </xf>
    <xf numFmtId="49" fontId="0" fillId="52" borderId="13" xfId="0" applyNumberFormat="1" applyFont="1" applyFill="1" applyBorder="1" applyAlignment="1" applyProtection="1">
      <alignment horizontal="center" vertical="center" wrapText="1"/>
    </xf>
    <xf numFmtId="1" fontId="3" fillId="25" borderId="13" xfId="0" applyNumberFormat="1" applyFont="1" applyFill="1" applyBorder="1" applyAlignment="1" applyProtection="1">
      <alignment horizontal="center" vertical="center" wrapText="1"/>
    </xf>
    <xf numFmtId="1" fontId="7" fillId="25" borderId="13" xfId="0" applyNumberFormat="1" applyFont="1" applyFill="1" applyBorder="1" applyAlignment="1" applyProtection="1">
      <alignment horizontal="center" vertical="center" wrapText="1"/>
    </xf>
    <xf numFmtId="1" fontId="3" fillId="25" borderId="45" xfId="0" applyNumberFormat="1" applyFont="1" applyFill="1" applyBorder="1" applyAlignment="1" applyProtection="1">
      <alignment horizontal="center" vertical="center" wrapText="1"/>
    </xf>
    <xf numFmtId="1" fontId="7" fillId="25" borderId="45" xfId="0" applyNumberFormat="1" applyFont="1" applyFill="1" applyBorder="1" applyAlignment="1" applyProtection="1">
      <alignment horizontal="center" vertical="center" wrapText="1"/>
    </xf>
    <xf numFmtId="3" fontId="8" fillId="25" borderId="43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49" fontId="0" fillId="46" borderId="13" xfId="0" applyNumberForma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ill="1" applyBorder="1" applyAlignment="1" applyProtection="1">
      <alignment horizontal="center" vertical="center" wrapText="1"/>
    </xf>
    <xf numFmtId="0" fontId="0" fillId="46" borderId="13" xfId="0" applyNumberFormat="1" applyFill="1" applyBorder="1" applyAlignment="1" applyProtection="1">
      <alignment horizontal="center" vertical="center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0" borderId="13" xfId="0" applyNumberFormat="1" applyFont="1" applyFill="1" applyBorder="1" applyAlignment="1" applyProtection="1">
      <alignment horizontal="center" vertical="center" wrapText="1"/>
    </xf>
    <xf numFmtId="1" fontId="2" fillId="32" borderId="13" xfId="0" applyNumberFormat="1" applyFont="1" applyFill="1" applyBorder="1" applyAlignment="1" applyProtection="1">
      <alignment horizontal="center" vertical="center" wrapText="1"/>
    </xf>
    <xf numFmtId="1" fontId="3" fillId="33" borderId="48" xfId="0" applyNumberFormat="1" applyFont="1" applyFill="1" applyBorder="1" applyAlignment="1" applyProtection="1">
      <alignment horizontal="left" vertical="top" wrapText="1"/>
    </xf>
    <xf numFmtId="1" fontId="3" fillId="33" borderId="44" xfId="0" applyNumberFormat="1" applyFont="1" applyFill="1" applyBorder="1" applyAlignment="1" applyProtection="1">
      <alignment horizontal="center" vertical="top" wrapText="1"/>
    </xf>
    <xf numFmtId="1" fontId="7" fillId="33" borderId="44" xfId="0" applyNumberFormat="1" applyFont="1" applyFill="1" applyBorder="1" applyAlignment="1" applyProtection="1">
      <alignment horizontal="center" vertical="top" wrapText="1"/>
    </xf>
    <xf numFmtId="3" fontId="7" fillId="33" borderId="44" xfId="0" applyNumberFormat="1" applyFont="1" applyFill="1" applyBorder="1" applyAlignment="1" applyProtection="1">
      <alignment horizontal="center" vertical="top" wrapText="1"/>
    </xf>
    <xf numFmtId="1" fontId="3" fillId="33" borderId="44" xfId="0" applyNumberFormat="1" applyFont="1" applyFill="1" applyBorder="1" applyAlignment="1" applyProtection="1">
      <alignment horizontal="left" vertical="top" wrapText="1"/>
    </xf>
    <xf numFmtId="0" fontId="0" fillId="37" borderId="13" xfId="0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ill="1" applyBorder="1" applyAlignment="1" applyProtection="1">
      <alignment horizontal="center" vertical="center" wrapText="1"/>
      <protection locked="0"/>
    </xf>
    <xf numFmtId="1" fontId="0" fillId="5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4" fillId="24" borderId="21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7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9" fillId="24" borderId="5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6" xfId="0" applyFont="1" applyFill="1" applyBorder="1" applyAlignment="1">
      <alignment horizontal="center" textRotation="90" wrapText="1"/>
    </xf>
    <xf numFmtId="0" fontId="14" fillId="24" borderId="50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26" borderId="13" xfId="0" applyFont="1" applyFill="1" applyBorder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43" xfId="0" applyFont="1" applyFill="1" applyBorder="1" applyAlignment="1">
      <alignment horizontal="center" vertical="top" wrapText="1"/>
    </xf>
    <xf numFmtId="0" fontId="4" fillId="24" borderId="45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7" fillId="32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24" borderId="26" xfId="0" applyFont="1" applyFill="1" applyBorder="1" applyAlignment="1">
      <alignment vertical="center" textRotation="90" wrapText="1"/>
    </xf>
    <xf numFmtId="0" fontId="6" fillId="0" borderId="5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2" borderId="0" xfId="0" applyFont="1" applyFill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>
      <alignment vertical="top"/>
    </xf>
    <xf numFmtId="0" fontId="0" fillId="0" borderId="11" xfId="0" applyBorder="1">
      <alignment vertical="top"/>
    </xf>
    <xf numFmtId="0" fontId="4" fillId="32" borderId="0" xfId="0" applyFont="1" applyFill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0" fontId="3" fillId="28" borderId="55" xfId="0" applyFont="1" applyFill="1" applyBorder="1" applyAlignment="1" applyProtection="1">
      <alignment horizontal="center" vertical="top" wrapText="1"/>
    </xf>
    <xf numFmtId="0" fontId="3" fillId="28" borderId="50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49" fontId="8" fillId="51" borderId="26" xfId="0" applyNumberFormat="1" applyFont="1" applyFill="1" applyBorder="1" applyAlignment="1" applyProtection="1">
      <alignment horizontal="center" textRotation="90" wrapText="1"/>
    </xf>
    <xf numFmtId="49" fontId="8" fillId="51" borderId="50" xfId="0" applyNumberFormat="1" applyFont="1" applyFill="1" applyBorder="1" applyAlignment="1" applyProtection="1">
      <alignment horizontal="center" textRotation="90" wrapText="1"/>
    </xf>
    <xf numFmtId="49" fontId="3" fillId="28" borderId="62" xfId="0" applyNumberFormat="1" applyFont="1" applyFill="1" applyBorder="1" applyAlignment="1" applyProtection="1">
      <alignment horizontal="center" vertical="top" wrapText="1"/>
    </xf>
    <xf numFmtId="49" fontId="3" fillId="28" borderId="63" xfId="0" applyNumberFormat="1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8" fillId="28" borderId="26" xfId="0" applyNumberFormat="1" applyFont="1" applyFill="1" applyBorder="1" applyAlignment="1" applyProtection="1">
      <alignment horizontal="center" textRotation="90" wrapText="1"/>
    </xf>
    <xf numFmtId="49" fontId="8" fillId="28" borderId="50" xfId="0" applyNumberFormat="1" applyFont="1" applyFill="1" applyBorder="1" applyAlignment="1" applyProtection="1">
      <alignment horizontal="center" textRotation="90" wrapText="1"/>
    </xf>
    <xf numFmtId="0" fontId="3" fillId="28" borderId="43" xfId="0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0" fillId="28" borderId="21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28" borderId="22" xfId="0" applyNumberFormat="1" applyFont="1" applyFill="1" applyBorder="1" applyAlignment="1" applyProtection="1">
      <alignment horizontal="left" vertical="top" wrapText="1"/>
    </xf>
    <xf numFmtId="0" fontId="0" fillId="43" borderId="13" xfId="0" applyFont="1" applyFill="1" applyBorder="1" applyAlignment="1" applyProtection="1">
      <alignment horizontal="left" vertical="center" wrapText="1"/>
      <protection locked="0"/>
    </xf>
    <xf numFmtId="0" fontId="3" fillId="28" borderId="54" xfId="0" applyFont="1" applyFill="1" applyBorder="1" applyAlignment="1" applyProtection="1">
      <alignment horizontal="center" vertical="top" wrapText="1"/>
    </xf>
    <xf numFmtId="0" fontId="8" fillId="28" borderId="26" xfId="0" applyFont="1" applyFill="1" applyBorder="1" applyAlignment="1" applyProtection="1">
      <alignment horizontal="center" textRotation="90" wrapText="1"/>
    </xf>
    <xf numFmtId="0" fontId="8" fillId="28" borderId="50" xfId="0" applyFont="1" applyFill="1" applyBorder="1" applyAlignment="1" applyProtection="1">
      <alignment horizontal="center" textRotation="90" wrapText="1"/>
    </xf>
    <xf numFmtId="0" fontId="3" fillId="28" borderId="45" xfId="0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49" fontId="3" fillId="28" borderId="21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2" xfId="0" applyNumberFormat="1" applyFont="1" applyFill="1" applyBorder="1" applyAlignment="1" applyProtection="1">
      <alignment horizontal="center" vertical="top" wrapText="1"/>
    </xf>
    <xf numFmtId="49" fontId="3" fillId="28" borderId="39" xfId="0" applyNumberFormat="1" applyFont="1" applyFill="1" applyBorder="1" applyAlignment="1" applyProtection="1">
      <alignment horizontal="center" vertical="top" wrapText="1"/>
    </xf>
    <xf numFmtId="49" fontId="3" fillId="28" borderId="52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0" fontId="0" fillId="40" borderId="17" xfId="0" applyFont="1" applyFill="1" applyBorder="1" applyAlignment="1" applyProtection="1">
      <alignment horizontal="left" vertical="center"/>
    </xf>
    <xf numFmtId="0" fontId="0" fillId="40" borderId="43" xfId="0" applyFont="1" applyFill="1" applyBorder="1" applyAlignment="1" applyProtection="1">
      <alignment horizontal="left" vertical="center"/>
    </xf>
    <xf numFmtId="0" fontId="0" fillId="40" borderId="45" xfId="0" applyFont="1" applyFill="1" applyBorder="1" applyAlignment="1" applyProtection="1">
      <alignment horizontal="left" vertical="center"/>
    </xf>
    <xf numFmtId="0" fontId="0" fillId="47" borderId="17" xfId="0" applyFont="1" applyFill="1" applyBorder="1" applyAlignment="1" applyProtection="1">
      <alignment horizontal="left" vertical="center" wrapText="1"/>
      <protection locked="0"/>
    </xf>
    <xf numFmtId="0" fontId="0" fillId="47" borderId="43" xfId="0" applyFont="1" applyFill="1" applyBorder="1" applyAlignment="1" applyProtection="1">
      <alignment horizontal="left" vertical="center" wrapText="1"/>
      <protection locked="0"/>
    </xf>
    <xf numFmtId="0" fontId="0" fillId="47" borderId="45" xfId="0" applyFont="1" applyFill="1" applyBorder="1" applyAlignment="1" applyProtection="1">
      <alignment horizontal="left" vertical="center" wrapText="1"/>
      <protection locked="0"/>
    </xf>
    <xf numFmtId="0" fontId="0" fillId="43" borderId="17" xfId="0" applyFont="1" applyFill="1" applyBorder="1" applyAlignment="1" applyProtection="1">
      <alignment horizontal="left" vertical="center" wrapText="1"/>
      <protection locked="0"/>
    </xf>
    <xf numFmtId="0" fontId="0" fillId="43" borderId="43" xfId="0" applyFont="1" applyFill="1" applyBorder="1" applyAlignment="1" applyProtection="1">
      <alignment horizontal="left" vertical="center" wrapText="1"/>
      <protection locked="0"/>
    </xf>
    <xf numFmtId="0" fontId="0" fillId="43" borderId="45" xfId="0" applyFont="1" applyFill="1" applyBorder="1" applyAlignment="1" applyProtection="1">
      <alignment horizontal="left" vertical="center" wrapText="1"/>
      <protection locked="0"/>
    </xf>
    <xf numFmtId="0" fontId="0" fillId="44" borderId="17" xfId="0" applyFont="1" applyFill="1" applyBorder="1" applyAlignment="1" applyProtection="1">
      <alignment horizontal="left" vertical="center" wrapText="1"/>
      <protection locked="0"/>
    </xf>
    <xf numFmtId="0" fontId="0" fillId="44" borderId="43" xfId="0" applyFont="1" applyFill="1" applyBorder="1" applyAlignment="1" applyProtection="1">
      <alignment horizontal="left" vertical="center" wrapText="1"/>
      <protection locked="0"/>
    </xf>
    <xf numFmtId="0" fontId="0" fillId="44" borderId="45" xfId="0" applyFont="1" applyFill="1" applyBorder="1" applyAlignment="1" applyProtection="1">
      <alignment horizontal="left" vertical="center" wrapText="1"/>
      <protection locked="0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47" borderId="13" xfId="0" applyFont="1" applyFill="1" applyBorder="1" applyAlignment="1" applyProtection="1">
      <alignment horizontal="left" vertical="center" wrapText="1"/>
      <protection locked="0"/>
    </xf>
    <xf numFmtId="1" fontId="2" fillId="25" borderId="43" xfId="0" applyNumberFormat="1" applyFont="1" applyFill="1" applyBorder="1" applyAlignment="1" applyProtection="1">
      <alignment horizontal="center" vertical="center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45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4" xfId="0" applyNumberFormat="1" applyFont="1" applyFill="1" applyBorder="1" applyAlignment="1" applyProtection="1">
      <alignment horizontal="center" vertical="center" wrapText="1"/>
    </xf>
    <xf numFmtId="164" fontId="8" fillId="25" borderId="48" xfId="0" applyNumberFormat="1" applyFont="1" applyFill="1" applyBorder="1" applyAlignment="1" applyProtection="1">
      <alignment horizontal="center" vertical="center" wrapText="1"/>
    </xf>
    <xf numFmtId="2" fontId="2" fillId="25" borderId="18" xfId="0" applyNumberFormat="1" applyFont="1" applyFill="1" applyBorder="1" applyAlignment="1" applyProtection="1">
      <alignment horizontal="center" vertical="center" wrapText="1"/>
    </xf>
    <xf numFmtId="2" fontId="2" fillId="25" borderId="34" xfId="0" applyNumberFormat="1" applyFont="1" applyFill="1" applyBorder="1" applyAlignment="1" applyProtection="1">
      <alignment horizontal="center" vertical="center" wrapText="1"/>
    </xf>
    <xf numFmtId="2" fontId="2" fillId="25" borderId="19" xfId="0" applyNumberFormat="1" applyFont="1" applyFill="1" applyBorder="1" applyAlignment="1" applyProtection="1">
      <alignment horizontal="center" vertical="center" wrapText="1"/>
    </xf>
    <xf numFmtId="2" fontId="2" fillId="25" borderId="49" xfId="0" applyNumberFormat="1" applyFont="1" applyFill="1" applyBorder="1" applyAlignment="1" applyProtection="1">
      <alignment horizontal="center" vertical="center" wrapText="1"/>
    </xf>
    <xf numFmtId="2" fontId="2" fillId="25" borderId="48" xfId="0" applyNumberFormat="1" applyFont="1" applyFill="1" applyBorder="1" applyAlignment="1" applyProtection="1">
      <alignment horizontal="center" vertical="center" wrapText="1"/>
    </xf>
    <xf numFmtId="1" fontId="2" fillId="25" borderId="18" xfId="0" applyNumberFormat="1" applyFont="1" applyFill="1" applyBorder="1" applyAlignment="1" applyProtection="1">
      <alignment horizontal="center" vertical="center" wrapText="1"/>
    </xf>
    <xf numFmtId="1" fontId="2" fillId="25" borderId="34" xfId="0" applyNumberFormat="1" applyFont="1" applyFill="1" applyBorder="1" applyAlignment="1" applyProtection="1">
      <alignment horizontal="center" vertical="center" wrapText="1"/>
    </xf>
    <xf numFmtId="1" fontId="2" fillId="25" borderId="19" xfId="0" applyNumberFormat="1" applyFont="1" applyFill="1" applyBorder="1" applyAlignment="1" applyProtection="1">
      <alignment horizontal="center" vertical="center" wrapText="1"/>
    </xf>
    <xf numFmtId="1" fontId="2" fillId="25" borderId="49" xfId="0" applyNumberFormat="1" applyFont="1" applyFill="1" applyBorder="1" applyAlignment="1" applyProtection="1">
      <alignment horizontal="center" vertical="center" wrapText="1"/>
    </xf>
    <xf numFmtId="1" fontId="2" fillId="25" borderId="48" xfId="0" applyNumberFormat="1" applyFont="1" applyFill="1" applyBorder="1" applyAlignment="1" applyProtection="1">
      <alignment horizontal="center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4" xfId="0" applyNumberFormat="1" applyFont="1" applyFill="1" applyBorder="1" applyAlignment="1" applyProtection="1">
      <alignment horizontal="center" vertical="center" wrapText="1"/>
    </xf>
    <xf numFmtId="1" fontId="8" fillId="25" borderId="48" xfId="0" applyNumberFormat="1" applyFont="1" applyFill="1" applyBorder="1" applyAlignment="1" applyProtection="1">
      <alignment horizontal="center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3" xfId="0" applyNumberFormat="1" applyFont="1" applyFill="1" applyBorder="1" applyAlignment="1" applyProtection="1">
      <alignment horizontal="center" vertical="center" wrapText="1"/>
    </xf>
    <xf numFmtId="0" fontId="3" fillId="34" borderId="21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2" fillId="0" borderId="54" xfId="0" applyFont="1" applyFill="1" applyBorder="1" applyAlignment="1" applyProtection="1">
      <alignment horizontal="justify" vertical="center"/>
    </xf>
    <xf numFmtId="0" fontId="0" fillId="0" borderId="54" xfId="0" applyBorder="1" applyAlignment="1">
      <alignment vertical="center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3" xfId="0" applyFont="1" applyFill="1" applyBorder="1" applyAlignment="1" applyProtection="1">
      <alignment horizontal="left" vertical="center" wrapText="1"/>
    </xf>
    <xf numFmtId="0" fontId="8" fillId="34" borderId="45" xfId="0" applyFont="1" applyFill="1" applyBorder="1" applyAlignment="1" applyProtection="1">
      <alignment horizontal="left" vertical="center" wrapText="1"/>
    </xf>
    <xf numFmtId="0" fontId="7" fillId="34" borderId="17" xfId="0" applyFont="1" applyFill="1" applyBorder="1" applyAlignment="1" applyProtection="1">
      <alignment horizontal="left" vertical="center" wrapText="1"/>
    </xf>
    <xf numFmtId="0" fontId="7" fillId="34" borderId="43" xfId="0" applyFont="1" applyFill="1" applyBorder="1" applyAlignment="1" applyProtection="1">
      <alignment horizontal="left" vertical="center" wrapText="1"/>
    </xf>
    <xf numFmtId="0" fontId="7" fillId="34" borderId="45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34" borderId="17" xfId="0" applyFill="1" applyBorder="1" applyAlignment="1" applyProtection="1">
      <alignment horizontal="left" vertical="center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71" xfId="0" applyNumberFormat="1" applyFont="1" applyFill="1" applyBorder="1" applyAlignment="1" applyProtection="1">
      <alignment horizontal="center" vertical="top" wrapText="1"/>
    </xf>
    <xf numFmtId="49" fontId="3" fillId="28" borderId="11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65" xfId="0" applyFont="1" applyFill="1" applyBorder="1" applyAlignment="1" applyProtection="1">
      <alignment horizontal="center" vertical="top" wrapText="1"/>
    </xf>
    <xf numFmtId="0" fontId="3" fillId="28" borderId="58" xfId="0" applyFont="1" applyFill="1" applyBorder="1" applyAlignment="1" applyProtection="1">
      <alignment horizontal="center" vertical="top" wrapText="1"/>
    </xf>
    <xf numFmtId="0" fontId="3" fillId="28" borderId="4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49" fontId="3" fillId="28" borderId="66" xfId="0" applyNumberFormat="1" applyFont="1" applyFill="1" applyBorder="1" applyAlignment="1" applyProtection="1">
      <alignment horizontal="center" vertical="top" wrapText="1"/>
    </xf>
    <xf numFmtId="49" fontId="3" fillId="28" borderId="59" xfId="0" applyNumberFormat="1" applyFont="1" applyFill="1" applyBorder="1" applyAlignment="1" applyProtection="1">
      <alignment horizontal="center" vertical="top" wrapText="1"/>
    </xf>
    <xf numFmtId="49" fontId="3" fillId="28" borderId="40" xfId="0" applyNumberFormat="1" applyFont="1" applyFill="1" applyBorder="1" applyAlignment="1" applyProtection="1">
      <alignment horizontal="center" vertical="top" wrapText="1"/>
    </xf>
    <xf numFmtId="49" fontId="3" fillId="28" borderId="37" xfId="0" applyNumberFormat="1" applyFont="1" applyFill="1" applyBorder="1" applyAlignment="1" applyProtection="1">
      <alignment horizontal="center" vertical="top" wrapText="1"/>
    </xf>
    <xf numFmtId="49" fontId="8" fillId="51" borderId="21" xfId="0" applyNumberFormat="1" applyFont="1" applyFill="1" applyBorder="1" applyAlignment="1" applyProtection="1">
      <alignment horizontal="center" textRotation="90" wrapText="1"/>
    </xf>
    <xf numFmtId="49" fontId="8" fillId="51" borderId="47" xfId="0" applyNumberFormat="1" applyFont="1" applyFill="1" applyBorder="1" applyAlignment="1" applyProtection="1">
      <alignment horizontal="center" textRotation="90" wrapText="1"/>
    </xf>
    <xf numFmtId="0" fontId="0" fillId="0" borderId="50" xfId="0" applyFont="1" applyBorder="1" applyAlignment="1" applyProtection="1"/>
    <xf numFmtId="49" fontId="3" fillId="28" borderId="74" xfId="0" applyNumberFormat="1" applyFont="1" applyFill="1" applyBorder="1" applyAlignment="1" applyProtection="1">
      <alignment horizontal="center" vertical="top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1" fontId="3" fillId="28" borderId="21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7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8" fillId="28" borderId="15" xfId="0" applyFont="1" applyFill="1" applyBorder="1" applyAlignment="1" applyProtection="1">
      <alignment horizontal="center" vertical="center" wrapText="1"/>
    </xf>
    <xf numFmtId="0" fontId="8" fillId="28" borderId="11" xfId="0" applyFont="1" applyFill="1" applyBorder="1" applyAlignment="1" applyProtection="1">
      <alignment horizontal="center" vertical="center" wrapText="1"/>
    </xf>
    <xf numFmtId="0" fontId="8" fillId="28" borderId="10" xfId="0" applyFont="1" applyFill="1" applyBorder="1" applyAlignment="1" applyProtection="1">
      <alignment horizontal="center" vertical="center" wrapText="1"/>
    </xf>
    <xf numFmtId="0" fontId="2" fillId="31" borderId="0" xfId="0" applyFont="1" applyFill="1" applyBorder="1" applyAlignment="1" applyProtection="1">
      <alignment horizontal="left" vertical="top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0" fillId="43" borderId="13" xfId="0" applyFill="1" applyBorder="1" applyAlignment="1" applyProtection="1">
      <alignment horizontal="left" vertical="center" wrapText="1"/>
      <protection locked="0"/>
    </xf>
    <xf numFmtId="0" fontId="0" fillId="29" borderId="13" xfId="0" applyFill="1" applyBorder="1" applyAlignment="1" applyProtection="1">
      <alignment horizontal="left" vertical="center" wrapText="1"/>
    </xf>
    <xf numFmtId="0" fontId="39" fillId="42" borderId="13" xfId="0" applyFont="1" applyFill="1" applyBorder="1" applyAlignment="1" applyProtection="1">
      <alignment horizontal="left" vertical="center" wrapText="1"/>
    </xf>
    <xf numFmtId="0" fontId="8" fillId="28" borderId="43" xfId="0" applyFont="1" applyFill="1" applyBorder="1" applyAlignment="1" applyProtection="1">
      <alignment horizontal="center" vertical="top" wrapText="1"/>
    </xf>
    <xf numFmtId="0" fontId="8" fillId="28" borderId="45" xfId="0" applyFont="1" applyFill="1" applyBorder="1" applyAlignment="1" applyProtection="1">
      <alignment horizontal="center" vertical="top" wrapText="1"/>
    </xf>
    <xf numFmtId="0" fontId="4" fillId="26" borderId="12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Alignment="1">
      <alignment vertical="top" wrapText="1"/>
    </xf>
    <xf numFmtId="49" fontId="7" fillId="28" borderId="21" xfId="0" applyNumberFormat="1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7" fillId="28" borderId="22" xfId="0" applyNumberFormat="1" applyFont="1" applyFill="1" applyBorder="1" applyAlignment="1" applyProtection="1">
      <alignment horizontal="left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44" fillId="46" borderId="17" xfId="0" applyNumberFormat="1" applyFont="1" applyFill="1" applyBorder="1" applyAlignment="1" applyProtection="1">
      <alignment horizontal="left" vertical="center" wrapText="1"/>
    </xf>
    <xf numFmtId="49" fontId="44" fillId="46" borderId="45" xfId="0" applyNumberFormat="1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 wrapText="1"/>
    </xf>
    <xf numFmtId="0" fontId="0" fillId="30" borderId="43" xfId="0" applyFont="1" applyFill="1" applyBorder="1" applyAlignment="1" applyProtection="1">
      <alignment horizontal="left" vertical="center" wrapText="1"/>
    </xf>
    <xf numFmtId="0" fontId="0" fillId="30" borderId="45" xfId="0" applyFont="1" applyFill="1" applyBorder="1" applyAlignment="1" applyProtection="1">
      <alignment horizontal="left" vertical="center" wrapText="1"/>
    </xf>
    <xf numFmtId="0" fontId="0" fillId="29" borderId="17" xfId="0" applyFont="1" applyFill="1" applyBorder="1" applyAlignment="1" applyProtection="1">
      <alignment horizontal="left" vertical="center" wrapText="1"/>
    </xf>
    <xf numFmtId="0" fontId="0" fillId="29" borderId="43" xfId="0" applyFont="1" applyFill="1" applyBorder="1" applyAlignment="1" applyProtection="1">
      <alignment horizontal="left" vertical="center" wrapText="1"/>
    </xf>
    <xf numFmtId="0" fontId="0" fillId="29" borderId="45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0" fontId="39" fillId="29" borderId="43" xfId="0" applyFont="1" applyFill="1" applyBorder="1" applyAlignment="1" applyProtection="1">
      <alignment horizontal="left" vertical="center" wrapText="1"/>
    </xf>
    <xf numFmtId="0" fontId="39" fillId="29" borderId="45" xfId="0" applyFont="1" applyFill="1" applyBorder="1" applyAlignment="1" applyProtection="1">
      <alignment horizontal="left" vertical="center" wrapText="1"/>
    </xf>
    <xf numFmtId="0" fontId="39" fillId="38" borderId="17" xfId="0" applyFont="1" applyFill="1" applyBorder="1" applyAlignment="1" applyProtection="1">
      <alignment horizontal="left" vertical="center" wrapText="1"/>
    </xf>
    <xf numFmtId="0" fontId="39" fillId="38" borderId="43" xfId="0" applyFont="1" applyFill="1" applyBorder="1" applyAlignment="1" applyProtection="1">
      <alignment horizontal="left" vertical="center" wrapText="1"/>
    </xf>
    <xf numFmtId="0" fontId="39" fillId="38" borderId="45" xfId="0" applyFont="1" applyFill="1" applyBorder="1" applyAlignment="1" applyProtection="1">
      <alignment horizontal="left" vertical="center" wrapText="1"/>
    </xf>
    <xf numFmtId="49" fontId="0" fillId="40" borderId="17" xfId="0" applyNumberFormat="1" applyFont="1" applyFill="1" applyBorder="1" applyAlignment="1" applyProtection="1">
      <alignment horizontal="left" vertical="center" wrapText="1"/>
    </xf>
    <xf numFmtId="49" fontId="0" fillId="40" borderId="43" xfId="0" applyNumberFormat="1" applyFont="1" applyFill="1" applyBorder="1" applyAlignment="1" applyProtection="1">
      <alignment horizontal="left" vertical="center" wrapText="1"/>
    </xf>
    <xf numFmtId="49" fontId="0" fillId="40" borderId="45" xfId="0" applyNumberFormat="1" applyFont="1" applyFill="1" applyBorder="1" applyAlignment="1" applyProtection="1">
      <alignment horizontal="left" vertical="center" wrapText="1"/>
    </xf>
    <xf numFmtId="49" fontId="0" fillId="52" borderId="17" xfId="0" applyNumberFormat="1" applyFont="1" applyFill="1" applyBorder="1" applyAlignment="1" applyProtection="1">
      <alignment horizontal="left" vertical="center" wrapText="1"/>
    </xf>
    <xf numFmtId="49" fontId="0" fillId="52" borderId="43" xfId="0" applyNumberFormat="1" applyFont="1" applyFill="1" applyBorder="1" applyAlignment="1" applyProtection="1">
      <alignment horizontal="left" vertical="center" wrapText="1"/>
    </xf>
    <xf numFmtId="49" fontId="0" fillId="52" borderId="45" xfId="0" applyNumberFormat="1" applyFont="1" applyFill="1" applyBorder="1" applyAlignment="1" applyProtection="1">
      <alignment horizontal="left" vertical="center" wrapText="1"/>
    </xf>
    <xf numFmtId="0" fontId="0" fillId="40" borderId="17" xfId="0" applyFont="1" applyFill="1" applyBorder="1" applyAlignment="1" applyProtection="1">
      <alignment horizontal="left" vertical="center" wrapText="1"/>
    </xf>
    <xf numFmtId="0" fontId="0" fillId="40" borderId="43" xfId="0" applyFont="1" applyFill="1" applyBorder="1" applyAlignment="1" applyProtection="1">
      <alignment horizontal="left" vertical="center" wrapText="1"/>
    </xf>
    <xf numFmtId="0" fontId="0" fillId="40" borderId="45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3" xfId="0" applyNumberFormat="1" applyFont="1" applyFill="1" applyBorder="1" applyAlignment="1" applyProtection="1">
      <alignment horizontal="center" vertical="top" wrapText="1"/>
    </xf>
    <xf numFmtId="1" fontId="8" fillId="25" borderId="45" xfId="0" applyNumberFormat="1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3" xfId="0" applyFont="1" applyFill="1" applyBorder="1" applyAlignment="1" applyProtection="1">
      <alignment horizontal="left" vertical="top" wrapText="1"/>
    </xf>
    <xf numFmtId="0" fontId="8" fillId="34" borderId="45" xfId="0" applyFont="1" applyFill="1" applyBorder="1" applyAlignment="1" applyProtection="1">
      <alignment horizontal="left"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7" fillId="34" borderId="43" xfId="0" applyFont="1" applyFill="1" applyBorder="1" applyAlignment="1" applyProtection="1">
      <alignment horizontal="left" vertical="top" wrapText="1"/>
    </xf>
    <xf numFmtId="0" fontId="7" fillId="34" borderId="45" xfId="0" applyFont="1" applyFill="1" applyBorder="1" applyAlignment="1" applyProtection="1">
      <alignment horizontal="left" vertical="top" wrapText="1"/>
    </xf>
    <xf numFmtId="0" fontId="0" fillId="41" borderId="17" xfId="0" applyFont="1" applyFill="1" applyBorder="1" applyAlignment="1" applyProtection="1">
      <alignment horizontal="left" vertical="center" wrapText="1"/>
    </xf>
    <xf numFmtId="0" fontId="0" fillId="41" borderId="43" xfId="0" applyFont="1" applyFill="1" applyBorder="1" applyAlignment="1" applyProtection="1">
      <alignment horizontal="left" vertical="center" wrapText="1"/>
    </xf>
    <xf numFmtId="0" fontId="0" fillId="41" borderId="45" xfId="0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/>
    </xf>
    <xf numFmtId="0" fontId="0" fillId="30" borderId="43" xfId="0" applyFont="1" applyFill="1" applyBorder="1" applyAlignment="1" applyProtection="1">
      <alignment horizontal="left" vertical="center"/>
    </xf>
    <xf numFmtId="0" fontId="0" fillId="30" borderId="45" xfId="0" applyFont="1" applyFill="1" applyBorder="1" applyAlignment="1" applyProtection="1">
      <alignment horizontal="left" vertical="center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center" wrapText="1"/>
    </xf>
    <xf numFmtId="1" fontId="2" fillId="25" borderId="48" xfId="0" applyNumberFormat="1" applyFont="1" applyFill="1" applyBorder="1" applyAlignment="1" applyProtection="1">
      <alignment horizontal="center" vertical="top" wrapText="1"/>
    </xf>
    <xf numFmtId="1" fontId="2" fillId="25" borderId="43" xfId="0" applyNumberFormat="1" applyFont="1" applyFill="1" applyBorder="1" applyAlignment="1" applyProtection="1">
      <alignment horizontal="center" vertical="top" wrapText="1"/>
    </xf>
    <xf numFmtId="1" fontId="2" fillId="25" borderId="49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5" xfId="0" applyNumberFormat="1" applyFont="1" applyFill="1" applyBorder="1" applyAlignment="1" applyProtection="1">
      <alignment horizontal="center" vertical="top" wrapText="1"/>
    </xf>
    <xf numFmtId="164" fontId="2" fillId="25" borderId="48" xfId="0" applyNumberFormat="1" applyFont="1" applyFill="1" applyBorder="1" applyAlignment="1" applyProtection="1">
      <alignment horizontal="center" vertical="top" wrapText="1"/>
    </xf>
    <xf numFmtId="164" fontId="2" fillId="25" borderId="43" xfId="0" applyNumberFormat="1" applyFont="1" applyFill="1" applyBorder="1" applyAlignment="1" applyProtection="1">
      <alignment horizontal="center" vertical="top" wrapText="1"/>
    </xf>
    <xf numFmtId="164" fontId="2" fillId="25" borderId="49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4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5" xfId="0" applyNumberFormat="1" applyFont="1" applyFill="1" applyBorder="1" applyAlignment="1" applyProtection="1">
      <alignment horizontal="center" vertical="top" wrapText="1"/>
    </xf>
    <xf numFmtId="0" fontId="0" fillId="34" borderId="17" xfId="0" applyFill="1" applyBorder="1" applyAlignment="1" applyProtection="1">
      <alignment horizontal="left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4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4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4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49" fontId="3" fillId="28" borderId="26" xfId="0" applyNumberFormat="1" applyFont="1" applyFill="1" applyBorder="1" applyAlignment="1" applyProtection="1">
      <alignment horizontal="center" vertical="top" wrapText="1"/>
    </xf>
    <xf numFmtId="49" fontId="3" fillId="28" borderId="50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3" fillId="28" borderId="56" xfId="0" applyNumberFormat="1" applyFon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67" xfId="0" applyNumberFormat="1" applyFont="1" applyFill="1" applyBorder="1" applyAlignment="1" applyProtection="1">
      <alignment horizontal="center" vertical="top" wrapText="1"/>
    </xf>
    <xf numFmtId="1" fontId="3" fillId="28" borderId="64" xfId="0" applyNumberFormat="1" applyFont="1" applyFill="1" applyBorder="1" applyAlignment="1" applyProtection="1">
      <alignment horizontal="center" vertical="top" wrapText="1"/>
    </xf>
    <xf numFmtId="1" fontId="3" fillId="28" borderId="56" xfId="0" applyNumberFormat="1" applyFont="1" applyFill="1" applyBorder="1" applyAlignment="1" applyProtection="1">
      <alignment horizontal="center" vertical="top" wrapText="1"/>
    </xf>
    <xf numFmtId="1" fontId="3" fillId="28" borderId="57" xfId="0" applyNumberFormat="1" applyFont="1" applyFill="1" applyBorder="1" applyAlignment="1" applyProtection="1">
      <alignment horizontal="center" vertical="top" wrapText="1"/>
    </xf>
    <xf numFmtId="1" fontId="3" fillId="28" borderId="39" xfId="0" applyNumberFormat="1" applyFont="1" applyFill="1" applyBorder="1" applyAlignment="1" applyProtection="1">
      <alignment horizontal="center" vertical="top" wrapText="1"/>
    </xf>
    <xf numFmtId="1" fontId="3" fillId="28" borderId="3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28" borderId="31" xfId="0" applyFont="1" applyFill="1" applyBorder="1" applyAlignment="1" applyProtection="1">
      <alignment horizontal="center" vertical="top" wrapText="1"/>
    </xf>
    <xf numFmtId="49" fontId="45" fillId="38" borderId="36" xfId="0" applyNumberFormat="1" applyFont="1" applyFill="1" applyBorder="1" applyAlignment="1" applyProtection="1">
      <alignment horizontal="center" vertical="center" textRotation="90" wrapText="1"/>
    </xf>
    <xf numFmtId="49" fontId="45" fillId="38" borderId="56" xfId="0" applyNumberFormat="1" applyFont="1" applyFill="1" applyBorder="1" applyAlignment="1" applyProtection="1">
      <alignment horizontal="center" vertical="center" textRotation="90" wrapText="1"/>
    </xf>
    <xf numFmtId="49" fontId="45" fillId="38" borderId="39" xfId="0" applyNumberFormat="1" applyFont="1" applyFill="1" applyBorder="1" applyAlignment="1" applyProtection="1">
      <alignment horizontal="center" vertical="center" textRotation="90" wrapText="1"/>
    </xf>
    <xf numFmtId="49" fontId="3" fillId="28" borderId="60" xfId="0" applyNumberFormat="1" applyFont="1" applyFill="1" applyBorder="1" applyAlignment="1" applyProtection="1">
      <alignment horizontal="center" textRotation="90" wrapText="1"/>
    </xf>
    <xf numFmtId="49" fontId="3" fillId="28" borderId="60" xfId="0" applyNumberFormat="1" applyFont="1" applyFill="1" applyBorder="1" applyAlignment="1" applyProtection="1">
      <alignment horizontal="center" vertical="top" wrapText="1"/>
    </xf>
    <xf numFmtId="0" fontId="3" fillId="28" borderId="60" xfId="0" applyFont="1" applyFill="1" applyBorder="1" applyAlignment="1" applyProtection="1">
      <alignment horizontal="center" vertical="top" wrapText="1"/>
    </xf>
    <xf numFmtId="0" fontId="0" fillId="27" borderId="17" xfId="37" applyFont="1" applyFill="1" applyBorder="1" applyAlignment="1" applyProtection="1">
      <alignment vertical="center" wrapText="1"/>
    </xf>
    <xf numFmtId="0" fontId="7" fillId="27" borderId="43" xfId="37" applyFont="1" applyFill="1" applyBorder="1" applyAlignment="1" applyProtection="1">
      <alignment vertical="center" wrapText="1"/>
    </xf>
    <xf numFmtId="0" fontId="7" fillId="27" borderId="45" xfId="37" applyFont="1" applyFill="1" applyBorder="1" applyAlignment="1" applyProtection="1">
      <alignment vertical="center" wrapText="1"/>
    </xf>
    <xf numFmtId="0" fontId="7" fillId="27" borderId="17" xfId="37" applyFont="1" applyFill="1" applyBorder="1" applyAlignment="1" applyProtection="1">
      <alignment vertical="center" wrapText="1"/>
    </xf>
    <xf numFmtId="49" fontId="34" fillId="24" borderId="17" xfId="37" applyNumberFormat="1" applyFont="1" applyFill="1" applyBorder="1" applyAlignment="1" applyProtection="1">
      <alignment horizontal="center" vertical="center" wrapText="1" shrinkToFit="1"/>
    </xf>
    <xf numFmtId="49" fontId="34" fillId="24" borderId="45" xfId="37" applyNumberFormat="1" applyFont="1" applyFill="1" applyBorder="1" applyAlignment="1" applyProtection="1">
      <alignment horizontal="center" vertical="center" wrapText="1" shrinkToFit="1"/>
    </xf>
    <xf numFmtId="0" fontId="34" fillId="24" borderId="21" xfId="37" applyFont="1" applyFill="1" applyBorder="1" applyAlignment="1" applyProtection="1">
      <alignment horizontal="center" vertical="center" wrapText="1"/>
    </xf>
    <xf numFmtId="0" fontId="34" fillId="24" borderId="14" xfId="37" applyFont="1" applyFill="1" applyBorder="1" applyAlignment="1" applyProtection="1">
      <alignment horizontal="center" vertical="center" wrapText="1"/>
    </xf>
    <xf numFmtId="0" fontId="34" fillId="24" borderId="15" xfId="37" applyFont="1" applyFill="1" applyBorder="1" applyAlignment="1" applyProtection="1">
      <alignment horizontal="center" vertical="center" wrapText="1"/>
    </xf>
    <xf numFmtId="0" fontId="34" fillId="24" borderId="22" xfId="37" applyFont="1" applyFill="1" applyBorder="1" applyAlignment="1" applyProtection="1">
      <alignment horizontal="center" vertical="center" wrapText="1"/>
    </xf>
    <xf numFmtId="0" fontId="34" fillId="24" borderId="16" xfId="37" applyFont="1" applyFill="1" applyBorder="1" applyAlignment="1" applyProtection="1">
      <alignment horizontal="center" vertical="center" wrapText="1"/>
    </xf>
    <xf numFmtId="0" fontId="34" fillId="24" borderId="10" xfId="37" applyFont="1" applyFill="1" applyBorder="1" applyAlignment="1" applyProtection="1">
      <alignment horizontal="center" vertical="center" wrapText="1"/>
    </xf>
    <xf numFmtId="49" fontId="0" fillId="27" borderId="17" xfId="37" applyNumberFormat="1" applyFont="1" applyFill="1" applyBorder="1" applyAlignment="1" applyProtection="1">
      <alignment horizontal="left" vertical="center" wrapText="1"/>
    </xf>
    <xf numFmtId="49" fontId="7" fillId="27" borderId="43" xfId="37" applyNumberFormat="1" applyFont="1" applyFill="1" applyBorder="1" applyAlignment="1" applyProtection="1">
      <alignment horizontal="left" vertical="center" wrapText="1"/>
    </xf>
    <xf numFmtId="49" fontId="7" fillId="27" borderId="45" xfId="37" applyNumberFormat="1" applyFont="1" applyFill="1" applyBorder="1" applyAlignment="1" applyProtection="1">
      <alignment horizontal="left" vertical="center" wrapText="1"/>
    </xf>
    <xf numFmtId="49" fontId="7" fillId="27" borderId="17" xfId="37" applyNumberFormat="1" applyFont="1" applyFill="1" applyBorder="1" applyAlignment="1" applyProtection="1">
      <alignment horizontal="left" vertical="center" wrapText="1"/>
    </xf>
    <xf numFmtId="0" fontId="8" fillId="0" borderId="16" xfId="37" applyFont="1" applyFill="1" applyBorder="1" applyAlignment="1" applyProtection="1">
      <alignment horizontal="center" vertical="center" wrapText="1"/>
    </xf>
    <xf numFmtId="0" fontId="34" fillId="24" borderId="17" xfId="37" applyFont="1" applyFill="1" applyBorder="1" applyAlignment="1" applyProtection="1">
      <alignment horizontal="center" vertical="center" wrapText="1"/>
    </xf>
    <xf numFmtId="0" fontId="34" fillId="24" borderId="43" xfId="37" applyFont="1" applyFill="1" applyBorder="1" applyAlignment="1" applyProtection="1">
      <alignment horizontal="center" vertical="center" wrapText="1"/>
    </xf>
    <xf numFmtId="0" fontId="34" fillId="24" borderId="45" xfId="37" applyFont="1" applyFill="1" applyBorder="1" applyAlignment="1" applyProtection="1">
      <alignment horizontal="center" vertical="center" wrapText="1"/>
    </xf>
    <xf numFmtId="0" fontId="7" fillId="29" borderId="17" xfId="37" applyFont="1" applyFill="1" applyBorder="1" applyAlignment="1" applyProtection="1">
      <alignment vertical="center" wrapText="1"/>
    </xf>
    <xf numFmtId="0" fontId="7" fillId="29" borderId="43" xfId="37" applyFont="1" applyFill="1" applyBorder="1" applyAlignment="1" applyProtection="1">
      <alignment vertical="center" wrapText="1"/>
    </xf>
    <xf numFmtId="0" fontId="7" fillId="29" borderId="45" xfId="37" applyFont="1" applyFill="1" applyBorder="1" applyAlignment="1" applyProtection="1">
      <alignment vertical="center" wrapText="1"/>
    </xf>
    <xf numFmtId="49" fontId="7" fillId="26" borderId="17" xfId="37" applyNumberFormat="1" applyFont="1" applyFill="1" applyBorder="1" applyAlignment="1" applyProtection="1">
      <alignment horizontal="left" vertical="center" wrapText="1"/>
    </xf>
    <xf numFmtId="49" fontId="7" fillId="26" borderId="43" xfId="37" applyNumberFormat="1" applyFont="1" applyFill="1" applyBorder="1" applyAlignment="1" applyProtection="1">
      <alignment horizontal="left" vertical="center" wrapText="1"/>
    </xf>
    <xf numFmtId="49" fontId="7" fillId="26" borderId="45" xfId="37" applyNumberFormat="1" applyFont="1" applyFill="1" applyBorder="1" applyAlignment="1" applyProtection="1">
      <alignment horizontal="left" vertical="center" wrapText="1"/>
    </xf>
    <xf numFmtId="0" fontId="40" fillId="31" borderId="17" xfId="0" applyFont="1" applyFill="1" applyBorder="1" applyAlignment="1" applyProtection="1">
      <alignment horizontal="center" vertical="center" wrapText="1"/>
    </xf>
    <xf numFmtId="0" fontId="40" fillId="31" borderId="45" xfId="0" applyFont="1" applyFill="1" applyBorder="1" applyAlignment="1" applyProtection="1">
      <alignment horizontal="center" vertical="center" wrapText="1"/>
    </xf>
    <xf numFmtId="0" fontId="34" fillId="0" borderId="17" xfId="37" applyFont="1" applyFill="1" applyBorder="1" applyAlignment="1" applyProtection="1">
      <alignment horizontal="center" vertical="center" wrapText="1" shrinkToFit="1"/>
    </xf>
    <xf numFmtId="0" fontId="34" fillId="0" borderId="43" xfId="37" applyFont="1" applyFill="1" applyBorder="1" applyAlignment="1" applyProtection="1">
      <alignment horizontal="center" vertical="center" wrapText="1" shrinkToFit="1"/>
    </xf>
    <xf numFmtId="0" fontId="34" fillId="0" borderId="45" xfId="37" applyFont="1" applyFill="1" applyBorder="1" applyAlignment="1" applyProtection="1">
      <alignment horizontal="center" vertical="center" wrapText="1" shrinkToFit="1"/>
    </xf>
    <xf numFmtId="49" fontId="34" fillId="27" borderId="21" xfId="37" applyNumberFormat="1" applyFont="1" applyFill="1" applyBorder="1" applyAlignment="1" applyProtection="1">
      <alignment horizontal="left" vertical="center" wrapText="1" shrinkToFit="1"/>
    </xf>
    <xf numFmtId="49" fontId="34" fillId="27" borderId="14" xfId="37" applyNumberFormat="1" applyFont="1" applyFill="1" applyBorder="1" applyAlignment="1" applyProtection="1">
      <alignment horizontal="left" vertical="center" wrapText="1" shrinkToFit="1"/>
    </xf>
    <xf numFmtId="49" fontId="34" fillId="27" borderId="13" xfId="37" applyNumberFormat="1" applyFont="1" applyFill="1" applyBorder="1" applyAlignment="1" applyProtection="1">
      <alignment horizontal="center" vertical="center" wrapText="1" shrinkToFit="1"/>
    </xf>
    <xf numFmtId="0" fontId="34" fillId="27" borderId="17" xfId="37" applyFont="1" applyFill="1" applyBorder="1" applyAlignment="1" applyProtection="1">
      <alignment horizontal="left" vertical="center" wrapText="1" shrinkToFit="1"/>
    </xf>
    <xf numFmtId="0" fontId="34" fillId="27" borderId="43" xfId="37" applyFont="1" applyFill="1" applyBorder="1" applyAlignment="1" applyProtection="1">
      <alignment horizontal="left" vertical="center" wrapText="1" shrinkToFit="1"/>
    </xf>
    <xf numFmtId="14" fontId="34" fillId="32" borderId="17" xfId="37" applyNumberFormat="1" applyFont="1" applyFill="1" applyBorder="1" applyAlignment="1" applyProtection="1">
      <alignment horizontal="center" vertical="center" wrapText="1"/>
    </xf>
    <xf numFmtId="14" fontId="34" fillId="32" borderId="43" xfId="37" applyNumberFormat="1" applyFont="1" applyFill="1" applyBorder="1" applyAlignment="1" applyProtection="1">
      <alignment horizontal="center" vertical="center" wrapText="1"/>
    </xf>
    <xf numFmtId="14" fontId="34" fillId="32" borderId="45" xfId="37" applyNumberFormat="1" applyFont="1" applyFill="1" applyBorder="1" applyAlignment="1" applyProtection="1">
      <alignment horizontal="center" vertical="center" wrapText="1"/>
    </xf>
    <xf numFmtId="0" fontId="0" fillId="27" borderId="17" xfId="37" applyFont="1" applyFill="1" applyBorder="1" applyAlignment="1" applyProtection="1">
      <alignment horizontal="left" vertical="center" wrapText="1" shrinkToFit="1"/>
    </xf>
    <xf numFmtId="0" fontId="34" fillId="27" borderId="45" xfId="37" applyFont="1" applyFill="1" applyBorder="1" applyAlignment="1" applyProtection="1">
      <alignment horizontal="left" vertical="center" wrapText="1" shrinkToFit="1"/>
    </xf>
    <xf numFmtId="49" fontId="34" fillId="27" borderId="22" xfId="37" applyNumberFormat="1" applyFont="1" applyFill="1" applyBorder="1" applyAlignment="1" applyProtection="1">
      <alignment horizontal="left" vertical="center" wrapText="1" shrinkToFit="1"/>
    </xf>
    <xf numFmtId="49" fontId="34" fillId="27" borderId="16" xfId="37" applyNumberFormat="1" applyFont="1" applyFill="1" applyBorder="1" applyAlignment="1" applyProtection="1">
      <alignment horizontal="left" vertical="center" wrapText="1" shrinkToFit="1"/>
    </xf>
    <xf numFmtId="0" fontId="34" fillId="32" borderId="17" xfId="37" applyNumberFormat="1" applyFont="1" applyFill="1" applyBorder="1" applyAlignment="1" applyProtection="1">
      <alignment horizontal="center" vertical="center" wrapText="1"/>
    </xf>
    <xf numFmtId="0" fontId="34" fillId="32" borderId="43" xfId="37" applyNumberFormat="1" applyFont="1" applyFill="1" applyBorder="1" applyAlignment="1" applyProtection="1">
      <alignment horizontal="center" vertical="center" wrapText="1"/>
    </xf>
    <xf numFmtId="0" fontId="34" fillId="32" borderId="45" xfId="37" applyNumberFormat="1" applyFont="1" applyFill="1" applyBorder="1" applyAlignment="1" applyProtection="1">
      <alignment horizontal="center" vertical="center" wrapText="1"/>
    </xf>
    <xf numFmtId="0" fontId="9" fillId="31" borderId="17" xfId="0" applyFont="1" applyFill="1" applyBorder="1" applyAlignment="1" applyProtection="1">
      <alignment horizontal="center" vertical="center" wrapText="1"/>
    </xf>
    <xf numFmtId="0" fontId="9" fillId="31" borderId="45" xfId="0" applyFont="1" applyFill="1" applyBorder="1" applyAlignment="1" applyProtection="1">
      <alignment horizontal="center" vertical="center" wrapText="1"/>
    </xf>
    <xf numFmtId="164" fontId="9" fillId="31" borderId="17" xfId="0" applyNumberFormat="1" applyFont="1" applyFill="1" applyBorder="1" applyAlignment="1" applyProtection="1">
      <alignment horizontal="center" vertical="center" wrapText="1"/>
    </xf>
    <xf numFmtId="164" fontId="9" fillId="31" borderId="45" xfId="0" applyNumberFormat="1" applyFont="1" applyFill="1" applyBorder="1" applyAlignment="1" applyProtection="1">
      <alignment horizontal="center" vertical="center" wrapText="1"/>
    </xf>
    <xf numFmtId="0" fontId="8" fillId="0" borderId="0" xfId="37" applyFont="1" applyBorder="1" applyAlignment="1" applyProtection="1">
      <alignment horizontal="center"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4" borderId="13" xfId="37" applyFont="1" applyFill="1" applyBorder="1" applyAlignment="1" applyProtection="1">
      <alignment horizontal="center" vertical="center" wrapText="1"/>
    </xf>
    <xf numFmtId="0" fontId="34" fillId="0" borderId="13" xfId="37" applyFont="1" applyFill="1" applyBorder="1" applyAlignment="1" applyProtection="1">
      <alignment horizontal="left" vertical="center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4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1" builtinId="5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13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FF"/>
      <color rgb="FFDDDDDD"/>
      <color rgb="FF00FF00"/>
      <color rgb="FFCCFFFF"/>
      <color rgb="FFFF99CC"/>
      <color rgb="FFEEECE1"/>
      <color rgb="FFB2A1C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509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510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1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2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513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514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515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516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518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9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520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521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5321011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16" name="Rectangle 115"/>
        <xdr:cNvSpPr>
          <a:spLocks noChangeArrowheads="1"/>
        </xdr:cNvSpPr>
      </xdr:nvSpPr>
      <xdr:spPr bwMode="auto">
        <a:xfrm>
          <a:off x="5468216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7" name="Rectangle 116"/>
        <xdr:cNvSpPr>
          <a:spLocks noChangeArrowheads="1"/>
        </xdr:cNvSpPr>
      </xdr:nvSpPr>
      <xdr:spPr bwMode="auto">
        <a:xfrm>
          <a:off x="5615420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26</xdr:row>
      <xdr:rowOff>47625</xdr:rowOff>
    </xdr:from>
    <xdr:to>
      <xdr:col>40</xdr:col>
      <xdr:colOff>142875</xdr:colOff>
      <xdr:row>26</xdr:row>
      <xdr:rowOff>142875</xdr:rowOff>
    </xdr:to>
    <xdr:sp macro="" textlink="">
      <xdr:nvSpPr>
        <xdr:cNvPr id="20" name="Rectangle 116"/>
        <xdr:cNvSpPr>
          <a:spLocks noChangeArrowheads="1"/>
        </xdr:cNvSpPr>
      </xdr:nvSpPr>
      <xdr:spPr bwMode="auto">
        <a:xfrm>
          <a:off x="5615420" y="525173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4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25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6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7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8" name="Rectangle 117"/>
        <xdr:cNvSpPr>
          <a:spLocks noChangeArrowheads="1"/>
        </xdr:cNvSpPr>
      </xdr:nvSpPr>
      <xdr:spPr bwMode="auto">
        <a:xfrm>
          <a:off x="560387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9" name="Rectangle 118"/>
        <xdr:cNvSpPr>
          <a:spLocks noChangeArrowheads="1"/>
        </xdr:cNvSpPr>
      </xdr:nvSpPr>
      <xdr:spPr bwMode="auto">
        <a:xfrm>
          <a:off x="57467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1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2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26</xdr:row>
      <xdr:rowOff>47625</xdr:rowOff>
    </xdr:from>
    <xdr:to>
      <xdr:col>51</xdr:col>
      <xdr:colOff>142875</xdr:colOff>
      <xdr:row>26</xdr:row>
      <xdr:rowOff>142875</xdr:rowOff>
    </xdr:to>
    <xdr:sp macro="" textlink="">
      <xdr:nvSpPr>
        <xdr:cNvPr id="33" name="Rectangle 116"/>
        <xdr:cNvSpPr>
          <a:spLocks noChangeArrowheads="1"/>
        </xdr:cNvSpPr>
      </xdr:nvSpPr>
      <xdr:spPr bwMode="auto">
        <a:xfrm>
          <a:off x="560387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5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6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37" name="Rectangle 2"/>
        <xdr:cNvSpPr>
          <a:spLocks noChangeArrowheads="1"/>
        </xdr:cNvSpPr>
      </xdr:nvSpPr>
      <xdr:spPr bwMode="auto">
        <a:xfrm>
          <a:off x="52863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38" name="Rectangle 115"/>
        <xdr:cNvSpPr>
          <a:spLocks noChangeArrowheads="1"/>
        </xdr:cNvSpPr>
      </xdr:nvSpPr>
      <xdr:spPr bwMode="auto">
        <a:xfrm>
          <a:off x="54292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39" name="Rectangle 116"/>
        <xdr:cNvSpPr>
          <a:spLocks noChangeArrowheads="1"/>
        </xdr:cNvSpPr>
      </xdr:nvSpPr>
      <xdr:spPr bwMode="auto">
        <a:xfrm>
          <a:off x="55721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64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Documents\2018-2019%20&#1075;&#1086;&#1076;\&#1059;&#1055;%202018-2019%20&#1091;&#1095;.%20&#1075;&#1086;&#1076;\-1,2&#1082;&#1091;&#1088;&#1089;%20&#1086;&#1095;&#1085;&#1086;&#1077;%20&#1080;%201&#1079;&#1072;&#1086;&#1095;&#1085;&#1086;&#1077;%202017\&#1059;&#1055;-26.02.03%20(&#1057;&#1042;)%201,2%20&#1082;&#1091;&#1088;&#1089;%202017-18%20&#1091;&#1075;&#1083;&#1091;&#1073;&#1083;&#1077;&#1085;&#1085;&#1072;&#1103;%20&#1087;&#1086;&#1076;&#1075;&#1086;&#1090;&#1086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AppData\Local\Microsoft\Windows\Temporary%20Internet%20Files\Content.Outlook\90OQ1TMS\&#1059;&#1055;-23%2002%2001%20(&#1054;&#1055;)%201,2%20&#1082;&#1091;&#1088;&#1089;%202017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Титул заочное обучение"/>
      <sheetName val="УП заочное обучение"/>
      <sheetName val="ПРОВЕРКА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2106</v>
          </cell>
          <cell r="E6">
            <v>1404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(очная)"/>
      <sheetName val="Учебный план (очная)"/>
      <sheetName val="Титульный лист З_О"/>
      <sheetName val="Учебный план З_О"/>
      <sheetName val="Нормы"/>
      <sheetName val="Компетенции"/>
      <sheetName val="Материально-техническая база"/>
      <sheetName val="Примеч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D7" t="str">
            <v>-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57</v>
          </cell>
        </row>
      </sheetData>
      <sheetData sheetId="3"/>
      <sheetData sheetId="4">
        <row r="20">
          <cell r="D20">
            <v>216</v>
          </cell>
        </row>
        <row r="21">
          <cell r="E21" t="str">
            <v>-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N49"/>
  <sheetViews>
    <sheetView showZeros="0" topLeftCell="A16" workbookViewId="0">
      <selection activeCell="BU27" sqref="BU27"/>
    </sheetView>
  </sheetViews>
  <sheetFormatPr defaultColWidth="2.83203125" defaultRowHeight="12.75" x14ac:dyDescent="0.2"/>
  <cols>
    <col min="1" max="1" width="3.6640625" style="6" customWidth="1"/>
    <col min="2" max="10" width="2.5" style="6" customWidth="1"/>
    <col min="11" max="11" width="3" style="6" customWidth="1"/>
    <col min="12" max="12" width="2.5" style="6" customWidth="1"/>
    <col min="13" max="13" width="2.6640625" style="6" customWidth="1"/>
    <col min="14" max="14" width="3.1640625" style="6" customWidth="1"/>
    <col min="15" max="53" width="2.5" style="6" customWidth="1"/>
    <col min="54" max="54" width="3.5" style="6" customWidth="1"/>
    <col min="55" max="55" width="3.1640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6640625" style="6" customWidth="1"/>
    <col min="65" max="65" width="3.33203125" style="6" customWidth="1"/>
    <col min="66" max="66" width="4.1640625" style="6" customWidth="1"/>
    <col min="67" max="16384" width="2.83203125" style="6"/>
  </cols>
  <sheetData>
    <row r="1" spans="1:66" ht="15.7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622" t="s">
        <v>34</v>
      </c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ht="15.75" customHeight="1" x14ac:dyDescent="0.2">
      <c r="A2" s="631" t="s">
        <v>453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23" t="s">
        <v>360</v>
      </c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623"/>
      <c r="BC2" s="634" t="s">
        <v>47</v>
      </c>
      <c r="BD2" s="634"/>
      <c r="BE2" s="634"/>
      <c r="BF2" s="634"/>
      <c r="BG2" s="634"/>
      <c r="BH2" s="634"/>
      <c r="BI2" s="634"/>
      <c r="BJ2" s="634"/>
      <c r="BK2" s="634"/>
      <c r="BL2" s="634"/>
      <c r="BM2" s="634"/>
      <c r="BN2" s="634"/>
    </row>
    <row r="3" spans="1:66" ht="15.75" customHeight="1" x14ac:dyDescent="0.2">
      <c r="A3" s="637">
        <v>42817</v>
      </c>
      <c r="B3" s="637"/>
      <c r="C3" s="637"/>
      <c r="D3" s="637"/>
      <c r="E3" s="637"/>
      <c r="F3" s="637"/>
      <c r="G3" s="637"/>
      <c r="H3" s="637" t="s">
        <v>425</v>
      </c>
      <c r="I3" s="637"/>
      <c r="J3" s="637"/>
      <c r="K3" s="637"/>
      <c r="L3" s="637"/>
      <c r="M3" s="637"/>
      <c r="N3" s="637"/>
      <c r="O3" s="623" t="s">
        <v>361</v>
      </c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36" t="s">
        <v>367</v>
      </c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</row>
    <row r="4" spans="1:66" ht="15.75" customHeight="1" x14ac:dyDescent="0.2">
      <c r="A4" s="632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630" t="s">
        <v>350</v>
      </c>
      <c r="BD4" s="630"/>
      <c r="BE4" s="630"/>
      <c r="BF4" s="630"/>
      <c r="BG4" s="630"/>
      <c r="BH4" s="630"/>
      <c r="BI4" s="630"/>
      <c r="BJ4" s="630"/>
      <c r="BK4" s="630"/>
      <c r="BL4" s="630"/>
      <c r="BM4" s="630"/>
      <c r="BN4" s="630"/>
    </row>
    <row r="5" spans="1:66" ht="15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0"/>
      <c r="BD5" s="24"/>
      <c r="BE5" s="24"/>
      <c r="BF5" s="31"/>
      <c r="BG5" s="32"/>
      <c r="BH5" s="32"/>
      <c r="BI5" s="32"/>
      <c r="BJ5" s="32"/>
      <c r="BK5" s="32"/>
      <c r="BL5" s="32"/>
      <c r="BM5" s="32"/>
      <c r="BN5" s="24"/>
    </row>
    <row r="6" spans="1:66" ht="15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  <c r="Q6" s="2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635">
        <v>42818</v>
      </c>
      <c r="BD6" s="635"/>
      <c r="BE6" s="635"/>
      <c r="BF6" s="635"/>
      <c r="BG6" s="635"/>
      <c r="BH6" s="635"/>
      <c r="BI6" s="635"/>
      <c r="BJ6" s="635"/>
      <c r="BK6" s="635"/>
      <c r="BL6" s="635"/>
      <c r="BM6" s="635"/>
      <c r="BN6" s="635"/>
    </row>
    <row r="7" spans="1:66" ht="25.5" x14ac:dyDescent="0.2">
      <c r="A7" s="633" t="s">
        <v>380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</row>
    <row r="8" spans="1:66" s="3" customFormat="1" ht="15.7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96" t="s">
        <v>381</v>
      </c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29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3" customFormat="1" ht="15.75" customHeight="1" x14ac:dyDescent="0.2">
      <c r="A9" s="638" t="s">
        <v>166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9" t="s">
        <v>362</v>
      </c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40" t="s">
        <v>51</v>
      </c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</row>
    <row r="10" spans="1:66" s="3" customFormat="1" ht="15.75" customHeight="1" x14ac:dyDescent="0.2">
      <c r="A10" s="638" t="s">
        <v>163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41" t="s">
        <v>409</v>
      </c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40"/>
      <c r="BD10" s="640"/>
      <c r="BE10" s="640"/>
      <c r="BF10" s="640"/>
      <c r="BG10" s="640"/>
      <c r="BH10" s="640"/>
      <c r="BI10" s="640"/>
      <c r="BJ10" s="640"/>
      <c r="BK10" s="640"/>
      <c r="BL10" s="640"/>
      <c r="BM10" s="640"/>
      <c r="BN10" s="640"/>
    </row>
    <row r="11" spans="1:66" s="3" customFormat="1" ht="15.75" customHeight="1" x14ac:dyDescent="0.2">
      <c r="A11" s="638" t="s">
        <v>213</v>
      </c>
      <c r="B11" s="638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42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7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</row>
    <row r="12" spans="1:66" s="3" customFormat="1" ht="15.7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7"/>
      <c r="AS12" s="617"/>
      <c r="AT12" s="617"/>
      <c r="AU12" s="617"/>
      <c r="AV12" s="617"/>
      <c r="AW12" s="617"/>
      <c r="AX12" s="617"/>
      <c r="AY12" s="617"/>
      <c r="AZ12" s="617"/>
      <c r="BA12" s="617"/>
      <c r="BB12" s="617"/>
      <c r="BC12" s="640"/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  <c r="BN12" s="640"/>
    </row>
    <row r="13" spans="1:66" s="3" customFormat="1" ht="15.75" customHeight="1" x14ac:dyDescent="0.2">
      <c r="A13" s="638" t="s">
        <v>48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17" t="s">
        <v>165</v>
      </c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/>
      <c r="AS13" s="617"/>
      <c r="AT13" s="617"/>
      <c r="AU13" s="617"/>
      <c r="AV13" s="617"/>
      <c r="AW13" s="617"/>
      <c r="AX13" s="617"/>
      <c r="AY13" s="617"/>
      <c r="AZ13" s="617"/>
      <c r="BA13" s="617"/>
      <c r="BB13" s="617"/>
      <c r="BC13" s="643" t="s">
        <v>368</v>
      </c>
      <c r="BD13" s="644"/>
      <c r="BE13" s="644"/>
      <c r="BF13" s="644"/>
      <c r="BG13" s="644"/>
      <c r="BH13" s="644"/>
      <c r="BI13" s="644"/>
      <c r="BJ13" s="644"/>
      <c r="BK13" s="644"/>
      <c r="BL13" s="644"/>
      <c r="BM13" s="644"/>
      <c r="BN13" s="644"/>
    </row>
    <row r="14" spans="1:66" s="3" customFormat="1" ht="15.75" customHeight="1" x14ac:dyDescent="0.2">
      <c r="A14" s="638" t="s">
        <v>167</v>
      </c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17" t="s">
        <v>169</v>
      </c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7"/>
      <c r="BA14" s="617"/>
      <c r="BB14" s="617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6" s="3" customFormat="1" ht="15.75" customHeight="1" x14ac:dyDescent="0.2">
      <c r="A15" s="638" t="s">
        <v>49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17" t="s">
        <v>116</v>
      </c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17"/>
      <c r="AQ15" s="617"/>
      <c r="AR15" s="617"/>
      <c r="AS15" s="617"/>
      <c r="AT15" s="617"/>
      <c r="AU15" s="617"/>
      <c r="AV15" s="617"/>
      <c r="AW15" s="617"/>
      <c r="AX15" s="617"/>
      <c r="AY15" s="617"/>
      <c r="AZ15" s="617"/>
      <c r="BA15" s="617"/>
      <c r="BB15" s="617"/>
      <c r="BC15" s="29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ht="15.75" customHeight="1" x14ac:dyDescent="0.2">
      <c r="A16" s="638" t="s">
        <v>293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24">
        <v>4</v>
      </c>
      <c r="P16" s="624"/>
      <c r="Q16" s="625" t="s">
        <v>294</v>
      </c>
      <c r="R16" s="625"/>
      <c r="S16" s="625"/>
      <c r="T16" s="624">
        <v>10</v>
      </c>
      <c r="U16" s="624"/>
      <c r="V16" s="626" t="s">
        <v>295</v>
      </c>
      <c r="W16" s="626"/>
      <c r="X16" s="626"/>
      <c r="Y16" s="626"/>
      <c r="Z16" s="626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27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97" t="s">
        <v>50</v>
      </c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34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ht="9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ht="12.75" customHeight="1" x14ac:dyDescent="0.2">
      <c r="A19" s="648" t="s">
        <v>10</v>
      </c>
      <c r="B19" s="607" t="s">
        <v>11</v>
      </c>
      <c r="C19" s="608"/>
      <c r="D19" s="608"/>
      <c r="E19" s="609"/>
      <c r="F19" s="615" t="s">
        <v>64</v>
      </c>
      <c r="G19" s="607" t="s">
        <v>25</v>
      </c>
      <c r="H19" s="608"/>
      <c r="I19" s="609"/>
      <c r="J19" s="615" t="s">
        <v>138</v>
      </c>
      <c r="K19" s="607" t="s">
        <v>12</v>
      </c>
      <c r="L19" s="608"/>
      <c r="M19" s="608"/>
      <c r="N19" s="609"/>
      <c r="O19" s="607" t="s">
        <v>13</v>
      </c>
      <c r="P19" s="608"/>
      <c r="Q19" s="608"/>
      <c r="R19" s="609"/>
      <c r="S19" s="615" t="s">
        <v>137</v>
      </c>
      <c r="T19" s="607" t="s">
        <v>14</v>
      </c>
      <c r="U19" s="608"/>
      <c r="V19" s="609"/>
      <c r="W19" s="615" t="s">
        <v>63</v>
      </c>
      <c r="X19" s="607" t="s">
        <v>15</v>
      </c>
      <c r="Y19" s="608"/>
      <c r="Z19" s="609"/>
      <c r="AA19" s="615" t="s">
        <v>133</v>
      </c>
      <c r="AB19" s="607" t="s">
        <v>16</v>
      </c>
      <c r="AC19" s="608"/>
      <c r="AD19" s="608"/>
      <c r="AE19" s="609"/>
      <c r="AF19" s="615" t="s">
        <v>62</v>
      </c>
      <c r="AG19" s="607" t="s">
        <v>17</v>
      </c>
      <c r="AH19" s="608"/>
      <c r="AI19" s="609"/>
      <c r="AJ19" s="615" t="s">
        <v>61</v>
      </c>
      <c r="AK19" s="607" t="s">
        <v>18</v>
      </c>
      <c r="AL19" s="608"/>
      <c r="AM19" s="608"/>
      <c r="AN19" s="609"/>
      <c r="AO19" s="607" t="s">
        <v>19</v>
      </c>
      <c r="AP19" s="608"/>
      <c r="AQ19" s="608"/>
      <c r="AR19" s="609"/>
      <c r="AS19" s="615" t="s">
        <v>136</v>
      </c>
      <c r="AT19" s="607" t="s">
        <v>20</v>
      </c>
      <c r="AU19" s="608"/>
      <c r="AV19" s="609"/>
      <c r="AW19" s="615" t="s">
        <v>132</v>
      </c>
      <c r="AX19" s="607" t="s">
        <v>21</v>
      </c>
      <c r="AY19" s="608"/>
      <c r="AZ19" s="608"/>
      <c r="BA19" s="609"/>
      <c r="BB19" s="627" t="s">
        <v>57</v>
      </c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9"/>
    </row>
    <row r="20" spans="1:66" ht="15.75" customHeight="1" x14ac:dyDescent="0.2">
      <c r="A20" s="649"/>
      <c r="B20" s="610"/>
      <c r="C20" s="611"/>
      <c r="D20" s="611"/>
      <c r="E20" s="612"/>
      <c r="F20" s="616"/>
      <c r="G20" s="610"/>
      <c r="H20" s="611"/>
      <c r="I20" s="612"/>
      <c r="J20" s="616"/>
      <c r="K20" s="610"/>
      <c r="L20" s="611"/>
      <c r="M20" s="611"/>
      <c r="N20" s="612"/>
      <c r="O20" s="610"/>
      <c r="P20" s="611"/>
      <c r="Q20" s="611"/>
      <c r="R20" s="612"/>
      <c r="S20" s="616"/>
      <c r="T20" s="610"/>
      <c r="U20" s="611"/>
      <c r="V20" s="612"/>
      <c r="W20" s="616"/>
      <c r="X20" s="610"/>
      <c r="Y20" s="611"/>
      <c r="Z20" s="612"/>
      <c r="AA20" s="616"/>
      <c r="AB20" s="610"/>
      <c r="AC20" s="611"/>
      <c r="AD20" s="611"/>
      <c r="AE20" s="612"/>
      <c r="AF20" s="616"/>
      <c r="AG20" s="610"/>
      <c r="AH20" s="611"/>
      <c r="AI20" s="612"/>
      <c r="AJ20" s="616"/>
      <c r="AK20" s="610"/>
      <c r="AL20" s="611"/>
      <c r="AM20" s="611"/>
      <c r="AN20" s="612"/>
      <c r="AO20" s="610"/>
      <c r="AP20" s="611"/>
      <c r="AQ20" s="611"/>
      <c r="AR20" s="612"/>
      <c r="AS20" s="616"/>
      <c r="AT20" s="610"/>
      <c r="AU20" s="611"/>
      <c r="AV20" s="612"/>
      <c r="AW20" s="616"/>
      <c r="AX20" s="610"/>
      <c r="AY20" s="611"/>
      <c r="AZ20" s="611"/>
      <c r="BA20" s="612"/>
      <c r="BB20" s="598" t="s">
        <v>8</v>
      </c>
      <c r="BC20" s="599"/>
      <c r="BD20" s="600"/>
      <c r="BE20" s="598" t="s">
        <v>317</v>
      </c>
      <c r="BF20" s="599"/>
      <c r="BG20" s="600"/>
      <c r="BH20" s="618" t="s">
        <v>6</v>
      </c>
      <c r="BI20" s="618" t="s">
        <v>146</v>
      </c>
      <c r="BJ20" s="618" t="s">
        <v>45</v>
      </c>
      <c r="BK20" s="618" t="s">
        <v>58</v>
      </c>
      <c r="BL20" s="618" t="s">
        <v>378</v>
      </c>
      <c r="BM20" s="618" t="s">
        <v>46</v>
      </c>
      <c r="BN20" s="618" t="s">
        <v>1</v>
      </c>
    </row>
    <row r="21" spans="1:66" ht="15.75" customHeight="1" x14ac:dyDescent="0.2">
      <c r="A21" s="649"/>
      <c r="B21" s="7">
        <v>1</v>
      </c>
      <c r="C21" s="7">
        <v>8</v>
      </c>
      <c r="D21" s="7">
        <v>15</v>
      </c>
      <c r="E21" s="7">
        <v>22</v>
      </c>
      <c r="F21" s="613" t="s">
        <v>125</v>
      </c>
      <c r="G21" s="7">
        <v>6</v>
      </c>
      <c r="H21" s="7">
        <v>13</v>
      </c>
      <c r="I21" s="7">
        <v>20</v>
      </c>
      <c r="J21" s="613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3" t="s">
        <v>127</v>
      </c>
      <c r="T21" s="7">
        <v>5</v>
      </c>
      <c r="U21" s="7">
        <v>12</v>
      </c>
      <c r="V21" s="7">
        <v>19</v>
      </c>
      <c r="W21" s="613" t="s">
        <v>128</v>
      </c>
      <c r="X21" s="7">
        <v>2</v>
      </c>
      <c r="Y21" s="7">
        <v>9</v>
      </c>
      <c r="Z21" s="7">
        <v>16</v>
      </c>
      <c r="AA21" s="613" t="s">
        <v>134</v>
      </c>
      <c r="AB21" s="7">
        <v>2</v>
      </c>
      <c r="AC21" s="7">
        <v>9</v>
      </c>
      <c r="AD21" s="7">
        <v>16</v>
      </c>
      <c r="AE21" s="7">
        <v>23</v>
      </c>
      <c r="AF21" s="613" t="s">
        <v>130</v>
      </c>
      <c r="AG21" s="7">
        <v>6</v>
      </c>
      <c r="AH21" s="7">
        <v>13</v>
      </c>
      <c r="AI21" s="7">
        <v>20</v>
      </c>
      <c r="AJ21" s="613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3" t="s">
        <v>135</v>
      </c>
      <c r="AT21" s="7">
        <v>6</v>
      </c>
      <c r="AU21" s="7">
        <v>13</v>
      </c>
      <c r="AV21" s="7">
        <v>20</v>
      </c>
      <c r="AW21" s="613" t="s">
        <v>129</v>
      </c>
      <c r="AX21" s="7">
        <v>2</v>
      </c>
      <c r="AY21" s="7">
        <v>9</v>
      </c>
      <c r="AZ21" s="7">
        <v>16</v>
      </c>
      <c r="BA21" s="7">
        <v>23</v>
      </c>
      <c r="BB21" s="601"/>
      <c r="BC21" s="602"/>
      <c r="BD21" s="603"/>
      <c r="BE21" s="601"/>
      <c r="BF21" s="602"/>
      <c r="BG21" s="603"/>
      <c r="BH21" s="619"/>
      <c r="BI21" s="619"/>
      <c r="BJ21" s="619"/>
      <c r="BK21" s="619"/>
      <c r="BL21" s="619"/>
      <c r="BM21" s="619"/>
      <c r="BN21" s="619"/>
    </row>
    <row r="22" spans="1:66" ht="18" customHeight="1" x14ac:dyDescent="0.2">
      <c r="A22" s="649"/>
      <c r="B22" s="4">
        <v>7</v>
      </c>
      <c r="C22" s="4">
        <v>14</v>
      </c>
      <c r="D22" s="4">
        <v>21</v>
      </c>
      <c r="E22" s="4">
        <v>28</v>
      </c>
      <c r="F22" s="614"/>
      <c r="G22" s="4">
        <v>12</v>
      </c>
      <c r="H22" s="4">
        <v>19</v>
      </c>
      <c r="I22" s="4">
        <v>26</v>
      </c>
      <c r="J22" s="614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14"/>
      <c r="T22" s="4">
        <v>11</v>
      </c>
      <c r="U22" s="4">
        <v>18</v>
      </c>
      <c r="V22" s="4">
        <v>25</v>
      </c>
      <c r="W22" s="614"/>
      <c r="X22" s="4">
        <v>8</v>
      </c>
      <c r="Y22" s="4">
        <v>15</v>
      </c>
      <c r="Z22" s="4">
        <v>22</v>
      </c>
      <c r="AA22" s="614"/>
      <c r="AB22" s="4">
        <v>8</v>
      </c>
      <c r="AC22" s="4">
        <v>15</v>
      </c>
      <c r="AD22" s="4">
        <v>22</v>
      </c>
      <c r="AE22" s="4">
        <v>29</v>
      </c>
      <c r="AF22" s="614"/>
      <c r="AG22" s="4">
        <v>12</v>
      </c>
      <c r="AH22" s="4">
        <v>19</v>
      </c>
      <c r="AI22" s="4">
        <v>26</v>
      </c>
      <c r="AJ22" s="614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14"/>
      <c r="AT22" s="4">
        <v>12</v>
      </c>
      <c r="AU22" s="4">
        <v>19</v>
      </c>
      <c r="AV22" s="4">
        <v>26</v>
      </c>
      <c r="AW22" s="614"/>
      <c r="AX22" s="4">
        <v>8</v>
      </c>
      <c r="AY22" s="4">
        <v>15</v>
      </c>
      <c r="AZ22" s="4">
        <v>22</v>
      </c>
      <c r="BA22" s="4">
        <v>31</v>
      </c>
      <c r="BB22" s="604"/>
      <c r="BC22" s="605"/>
      <c r="BD22" s="606"/>
      <c r="BE22" s="604"/>
      <c r="BF22" s="605"/>
      <c r="BG22" s="606"/>
      <c r="BH22" s="619"/>
      <c r="BI22" s="619"/>
      <c r="BJ22" s="619"/>
      <c r="BK22" s="619"/>
      <c r="BL22" s="619"/>
      <c r="BM22" s="619"/>
      <c r="BN22" s="619"/>
    </row>
    <row r="23" spans="1:66" ht="15.75" customHeight="1" x14ac:dyDescent="0.2">
      <c r="A23" s="650"/>
      <c r="B23" s="91">
        <v>1</v>
      </c>
      <c r="C23" s="91">
        <v>2</v>
      </c>
      <c r="D23" s="91">
        <v>3</v>
      </c>
      <c r="E23" s="91">
        <v>4</v>
      </c>
      <c r="F23" s="91">
        <v>5</v>
      </c>
      <c r="G23" s="91">
        <v>6</v>
      </c>
      <c r="H23" s="91">
        <v>7</v>
      </c>
      <c r="I23" s="91">
        <v>8</v>
      </c>
      <c r="J23" s="91">
        <v>9</v>
      </c>
      <c r="K23" s="91">
        <v>10</v>
      </c>
      <c r="L23" s="91">
        <v>11</v>
      </c>
      <c r="M23" s="91">
        <v>12</v>
      </c>
      <c r="N23" s="91">
        <v>13</v>
      </c>
      <c r="O23" s="91">
        <v>14</v>
      </c>
      <c r="P23" s="91">
        <v>15</v>
      </c>
      <c r="Q23" s="91">
        <v>16</v>
      </c>
      <c r="R23" s="91">
        <v>17</v>
      </c>
      <c r="S23" s="91">
        <v>18</v>
      </c>
      <c r="T23" s="91">
        <v>19</v>
      </c>
      <c r="U23" s="91">
        <v>20</v>
      </c>
      <c r="V23" s="91">
        <v>21</v>
      </c>
      <c r="W23" s="91">
        <v>22</v>
      </c>
      <c r="X23" s="91">
        <v>23</v>
      </c>
      <c r="Y23" s="91">
        <v>24</v>
      </c>
      <c r="Z23" s="91">
        <v>25</v>
      </c>
      <c r="AA23" s="91">
        <v>26</v>
      </c>
      <c r="AB23" s="91">
        <v>27</v>
      </c>
      <c r="AC23" s="91">
        <v>28</v>
      </c>
      <c r="AD23" s="91">
        <v>29</v>
      </c>
      <c r="AE23" s="91">
        <v>30</v>
      </c>
      <c r="AF23" s="91">
        <v>31</v>
      </c>
      <c r="AG23" s="91">
        <v>32</v>
      </c>
      <c r="AH23" s="91">
        <v>33</v>
      </c>
      <c r="AI23" s="91">
        <v>34</v>
      </c>
      <c r="AJ23" s="91">
        <v>35</v>
      </c>
      <c r="AK23" s="91">
        <v>36</v>
      </c>
      <c r="AL23" s="91">
        <v>37</v>
      </c>
      <c r="AM23" s="91">
        <v>38</v>
      </c>
      <c r="AN23" s="91">
        <v>39</v>
      </c>
      <c r="AO23" s="91">
        <v>40</v>
      </c>
      <c r="AP23" s="91">
        <v>41</v>
      </c>
      <c r="AQ23" s="91">
        <v>42</v>
      </c>
      <c r="AR23" s="91">
        <v>43</v>
      </c>
      <c r="AS23" s="91">
        <v>44</v>
      </c>
      <c r="AT23" s="91">
        <v>45</v>
      </c>
      <c r="AU23" s="91">
        <v>46</v>
      </c>
      <c r="AV23" s="91">
        <v>47</v>
      </c>
      <c r="AW23" s="91">
        <v>48</v>
      </c>
      <c r="AX23" s="91">
        <v>49</v>
      </c>
      <c r="AY23" s="91">
        <v>50</v>
      </c>
      <c r="AZ23" s="91">
        <v>51</v>
      </c>
      <c r="BA23" s="91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620"/>
      <c r="BI23" s="620"/>
      <c r="BJ23" s="620"/>
      <c r="BK23" s="620"/>
      <c r="BL23" s="620"/>
      <c r="BM23" s="620"/>
      <c r="BN23" s="620"/>
    </row>
    <row r="24" spans="1:66" ht="15.75" customHeight="1" x14ac:dyDescent="0.2">
      <c r="A24" s="8">
        <v>1</v>
      </c>
      <c r="B24" s="35" t="s">
        <v>77</v>
      </c>
      <c r="C24" s="35" t="s">
        <v>77</v>
      </c>
      <c r="D24" s="35" t="s">
        <v>77</v>
      </c>
      <c r="E24" s="35" t="s">
        <v>77</v>
      </c>
      <c r="F24" s="35" t="s">
        <v>77</v>
      </c>
      <c r="G24" s="35" t="s">
        <v>77</v>
      </c>
      <c r="H24" s="35" t="s">
        <v>77</v>
      </c>
      <c r="I24" s="35" t="s">
        <v>77</v>
      </c>
      <c r="J24" s="35" t="s">
        <v>77</v>
      </c>
      <c r="K24" s="35" t="s">
        <v>77</v>
      </c>
      <c r="L24" s="35" t="s">
        <v>77</v>
      </c>
      <c r="M24" s="35" t="s">
        <v>77</v>
      </c>
      <c r="N24" s="35" t="s">
        <v>77</v>
      </c>
      <c r="O24" s="35" t="s">
        <v>77</v>
      </c>
      <c r="P24" s="35" t="s">
        <v>77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33</v>
      </c>
      <c r="Y24" s="35" t="s">
        <v>33</v>
      </c>
      <c r="Z24" s="35" t="s">
        <v>33</v>
      </c>
      <c r="AA24" s="35" t="s">
        <v>33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228</v>
      </c>
      <c r="AR24" s="35" t="s">
        <v>228</v>
      </c>
      <c r="AS24" s="35" t="s">
        <v>28</v>
      </c>
      <c r="AT24" s="35" t="s">
        <v>28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>COUNTIF(B24:BA24,"о")</f>
        <v>17</v>
      </c>
      <c r="BC24" s="22">
        <f>COUNTIF(B24:BA24,"в")</f>
        <v>22</v>
      </c>
      <c r="BD24" s="23">
        <f>SUM(BB24:BC24)</f>
        <v>39</v>
      </c>
      <c r="BE24" s="22">
        <f>COUNTIF(B24:BA24,$R$31)</f>
        <v>0</v>
      </c>
      <c r="BF24" s="22">
        <f>COUNTIF(B24:BA24,$R$33)</f>
        <v>2</v>
      </c>
      <c r="BG24" s="23">
        <f>SUM(BE24:BF24)</f>
        <v>2</v>
      </c>
      <c r="BH24" s="23">
        <f>COUNTIF(B24:BA24,$AF$31)</f>
        <v>0</v>
      </c>
      <c r="BI24" s="23">
        <f>COUNTIF(B24:BA24,$AF$33)</f>
        <v>0</v>
      </c>
      <c r="BJ24" s="23">
        <f>COUNTIF(B24:BA24,$AQ$31)</f>
        <v>0</v>
      </c>
      <c r="BK24" s="23">
        <f>COUNTIF(B24:BA24,$AZ$31)</f>
        <v>0</v>
      </c>
      <c r="BL24" s="23">
        <f>COUNTIF(B24:BA24,$AQ$33)</f>
        <v>0</v>
      </c>
      <c r="BM24" s="23">
        <f>COUNTIF(B24:BA24,$AZ$33)</f>
        <v>11</v>
      </c>
      <c r="BN24" s="23">
        <f>SUM(BG24:BM24)+BD24</f>
        <v>52</v>
      </c>
    </row>
    <row r="25" spans="1:66" ht="15.75" customHeight="1" x14ac:dyDescent="0.2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15" t="s">
        <v>227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33</v>
      </c>
      <c r="Y25" s="35" t="s">
        <v>33</v>
      </c>
      <c r="Z25" s="35" t="s">
        <v>33</v>
      </c>
      <c r="AA25" s="35" t="s">
        <v>33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228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52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>COUNTIF(B25:BA25,"о")</f>
        <v>16</v>
      </c>
      <c r="BC25" s="22">
        <f>COUNTIF(B25:BA25,"в")</f>
        <v>17</v>
      </c>
      <c r="BD25" s="23">
        <f>SUM(BB25:BC25)</f>
        <v>33</v>
      </c>
      <c r="BE25" s="22">
        <f>COUNTIF(B25:BA25,$R$31)</f>
        <v>1</v>
      </c>
      <c r="BF25" s="22">
        <f>COUNTIF(B25:BA25,$R$33)</f>
        <v>1</v>
      </c>
      <c r="BG25" s="23">
        <f>SUM(BE25:BF25)</f>
        <v>2</v>
      </c>
      <c r="BH25" s="23">
        <f>COUNTIF(B25:BA25,$AF$31)</f>
        <v>9</v>
      </c>
      <c r="BI25" s="23">
        <f>COUNTIF(B25:BA25,$AF$33)</f>
        <v>0</v>
      </c>
      <c r="BJ25" s="23">
        <f>COUNTIF(B25:BA25,$AQ$31)</f>
        <v>0</v>
      </c>
      <c r="BK25" s="23">
        <f>COUNTIF(B25:BA25,$AZ$31)</f>
        <v>0</v>
      </c>
      <c r="BL25" s="23">
        <f>COUNTIF(B25:BA25,$AQ$33)</f>
        <v>0</v>
      </c>
      <c r="BM25" s="23">
        <f>COUNTIF(B25:BA25,$AZ$33)</f>
        <v>8</v>
      </c>
      <c r="BN25" s="23">
        <f>SUM(BG25:BM25)+BD25</f>
        <v>52</v>
      </c>
    </row>
    <row r="26" spans="1:66" ht="15.75" customHeight="1" x14ac:dyDescent="0.2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15" t="s">
        <v>227</v>
      </c>
      <c r="S26" s="35" t="s">
        <v>28</v>
      </c>
      <c r="T26" s="35" t="s">
        <v>28</v>
      </c>
      <c r="U26" s="35" t="s">
        <v>33</v>
      </c>
      <c r="V26" s="35" t="s">
        <v>33</v>
      </c>
      <c r="W26" s="35" t="s">
        <v>33</v>
      </c>
      <c r="X26" s="35" t="s">
        <v>33</v>
      </c>
      <c r="Y26" s="35" t="s">
        <v>33</v>
      </c>
      <c r="Z26" s="35" t="s">
        <v>33</v>
      </c>
      <c r="AA26" s="35" t="s">
        <v>33</v>
      </c>
      <c r="AB26" s="35" t="s">
        <v>33</v>
      </c>
      <c r="AC26" s="35" t="s">
        <v>33</v>
      </c>
      <c r="AD26" s="35" t="s">
        <v>33</v>
      </c>
      <c r="AE26" s="35" t="s">
        <v>33</v>
      </c>
      <c r="AF26" s="35" t="s">
        <v>228</v>
      </c>
      <c r="AG26" s="35" t="s">
        <v>28</v>
      </c>
      <c r="AH26" s="35" t="s">
        <v>28</v>
      </c>
      <c r="AI26" s="35" t="s">
        <v>28</v>
      </c>
      <c r="AJ26" s="35" t="s">
        <v>28</v>
      </c>
      <c r="AK26" s="35" t="s">
        <v>28</v>
      </c>
      <c r="AL26" s="35" t="s">
        <v>28</v>
      </c>
      <c r="AM26" s="35" t="s">
        <v>53</v>
      </c>
      <c r="AN26" s="35" t="s">
        <v>53</v>
      </c>
      <c r="AO26" s="35" t="s">
        <v>53</v>
      </c>
      <c r="AP26" s="35" t="s">
        <v>53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>COUNTIF(B26:BA26,"о")</f>
        <v>16</v>
      </c>
      <c r="BC26" s="22">
        <f>COUNTIF(B26:BA26,"в")</f>
        <v>11</v>
      </c>
      <c r="BD26" s="23">
        <f>SUM(BB26:BC26)</f>
        <v>27</v>
      </c>
      <c r="BE26" s="22">
        <f>COUNTIF(B26:BA26,$R$31)</f>
        <v>1</v>
      </c>
      <c r="BF26" s="22">
        <f>COUNTIF(B26:BA26,$R$33)</f>
        <v>1</v>
      </c>
      <c r="BG26" s="23">
        <f>SUM(BE26:BF26)</f>
        <v>2</v>
      </c>
      <c r="BH26" s="23">
        <f>COUNTIF(B26:BA26,$AF$31)</f>
        <v>0</v>
      </c>
      <c r="BI26" s="23">
        <f>COUNTIF(B26:BA26,$AF$33)</f>
        <v>15</v>
      </c>
      <c r="BJ26" s="23">
        <f>COUNTIF(B26:BA26,$AQ$31)</f>
        <v>0</v>
      </c>
      <c r="BK26" s="23">
        <f>COUNTIF(B26:BA26,$AZ$31)</f>
        <v>0</v>
      </c>
      <c r="BL26" s="23">
        <f>COUNTIF(B26:BA26,$AQ$33)</f>
        <v>0</v>
      </c>
      <c r="BM26" s="23">
        <f>COUNTIF(B26:BA26,$AZ$33)</f>
        <v>8</v>
      </c>
      <c r="BN26" s="23">
        <f>SUM(BG26:BM26)+BD26</f>
        <v>52</v>
      </c>
    </row>
    <row r="27" spans="1:66" ht="15.75" customHeight="1" x14ac:dyDescent="0.2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77</v>
      </c>
      <c r="I27" s="35" t="s">
        <v>77</v>
      </c>
      <c r="J27" s="35" t="s">
        <v>77</v>
      </c>
      <c r="K27" s="35" t="s">
        <v>77</v>
      </c>
      <c r="L27" s="35" t="s">
        <v>77</v>
      </c>
      <c r="M27" s="35" t="s">
        <v>77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35" t="s">
        <v>33</v>
      </c>
      <c r="X27" s="35" t="s">
        <v>33</v>
      </c>
      <c r="Y27" s="35" t="s">
        <v>33</v>
      </c>
      <c r="Z27" s="35" t="s">
        <v>33</v>
      </c>
      <c r="AA27" s="35" t="s">
        <v>33</v>
      </c>
      <c r="AB27" s="35" t="s">
        <v>33</v>
      </c>
      <c r="AC27" s="35" t="s">
        <v>33</v>
      </c>
      <c r="AD27" s="35" t="s">
        <v>33</v>
      </c>
      <c r="AE27" s="35" t="s">
        <v>33</v>
      </c>
      <c r="AF27" s="35" t="s">
        <v>228</v>
      </c>
      <c r="AG27" s="35" t="s">
        <v>28</v>
      </c>
      <c r="AH27" s="35" t="s">
        <v>28</v>
      </c>
      <c r="AI27" s="35" t="s">
        <v>28</v>
      </c>
      <c r="AJ27" s="35" t="s">
        <v>28</v>
      </c>
      <c r="AK27" s="35" t="s">
        <v>28</v>
      </c>
      <c r="AL27" s="35" t="s">
        <v>28</v>
      </c>
      <c r="AM27" s="35" t="s">
        <v>53</v>
      </c>
      <c r="AN27" s="35" t="s">
        <v>53</v>
      </c>
      <c r="AO27" s="35" t="s">
        <v>53</v>
      </c>
      <c r="AP27" s="35" t="s">
        <v>53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>COUNTIF(B27:BA27,"о")</f>
        <v>11</v>
      </c>
      <c r="BC27" s="22">
        <f>COUNTIF(B27:BA27,"в")</f>
        <v>11</v>
      </c>
      <c r="BD27" s="23">
        <f>SUM(BB27:BC27)</f>
        <v>22</v>
      </c>
      <c r="BE27" s="22">
        <f>COUNTIF(B27:BA27,$R$31)</f>
        <v>0</v>
      </c>
      <c r="BF27" s="22">
        <f>COUNTIF(B27:BA27,$R$33)</f>
        <v>1</v>
      </c>
      <c r="BG27" s="23">
        <f>SUM(BE27:BF27)</f>
        <v>1</v>
      </c>
      <c r="BH27" s="23">
        <f>COUNTIF(B27:BA27,$AF$31)</f>
        <v>0</v>
      </c>
      <c r="BI27" s="23">
        <f>COUNTIF(B27:BA27,$AF$33)</f>
        <v>21</v>
      </c>
      <c r="BJ27" s="23">
        <f>COUNTIF(B27:BA27,$AQ$31)</f>
        <v>0</v>
      </c>
      <c r="BK27" s="23">
        <f>COUNTIF(A27:AZ27,$AQ$33)</f>
        <v>0</v>
      </c>
      <c r="BL27" s="23"/>
      <c r="BM27" s="23">
        <f>COUNTIF(B27:BA27,$AZ$33)</f>
        <v>8</v>
      </c>
      <c r="BN27" s="23">
        <f>SUM(BG27:BM27)+BD27</f>
        <v>52</v>
      </c>
    </row>
    <row r="28" spans="1:66" ht="15.75" customHeight="1" x14ac:dyDescent="0.2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53</v>
      </c>
      <c r="K28" s="35" t="s">
        <v>53</v>
      </c>
      <c r="L28" s="35" t="s">
        <v>28</v>
      </c>
      <c r="M28" s="35" t="s">
        <v>28</v>
      </c>
      <c r="N28" s="35" t="s">
        <v>28</v>
      </c>
      <c r="O28" s="35" t="s">
        <v>77</v>
      </c>
      <c r="P28" s="35" t="s">
        <v>77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33</v>
      </c>
      <c r="Z28" s="35" t="s">
        <v>33</v>
      </c>
      <c r="AA28" s="35" t="s">
        <v>33</v>
      </c>
      <c r="AB28" s="35" t="s">
        <v>33</v>
      </c>
      <c r="AC28" s="35" t="s">
        <v>33</v>
      </c>
      <c r="AD28" s="35" t="s">
        <v>33</v>
      </c>
      <c r="AE28" s="35" t="s">
        <v>33</v>
      </c>
      <c r="AF28" s="35" t="s">
        <v>33</v>
      </c>
      <c r="AG28" s="35" t="s">
        <v>33</v>
      </c>
      <c r="AH28" s="35" t="s">
        <v>33</v>
      </c>
      <c r="AI28" s="35" t="s">
        <v>33</v>
      </c>
      <c r="AJ28" s="35" t="s">
        <v>33</v>
      </c>
      <c r="AK28" s="35" t="s">
        <v>33</v>
      </c>
      <c r="AL28" s="35" t="s">
        <v>33</v>
      </c>
      <c r="AM28" s="35" t="s">
        <v>228</v>
      </c>
      <c r="AN28" s="35" t="s">
        <v>228</v>
      </c>
      <c r="AO28" s="35" t="s">
        <v>32</v>
      </c>
      <c r="AP28" s="35" t="s">
        <v>32</v>
      </c>
      <c r="AQ28" s="35" t="s">
        <v>32</v>
      </c>
      <c r="AR28" s="35" t="s">
        <v>32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>COUNTIF(B28:BA28,"о")</f>
        <v>4</v>
      </c>
      <c r="BC28" s="22">
        <f>COUNTIF(B28:BA28,"в")</f>
        <v>18</v>
      </c>
      <c r="BD28" s="23">
        <f>SUM(BB28:BC28)</f>
        <v>22</v>
      </c>
      <c r="BE28" s="22">
        <f>COUNTIF(B28:BA28,$R$31)</f>
        <v>0</v>
      </c>
      <c r="BF28" s="22">
        <f>COUNTIF(B28:BA28,$R$33)</f>
        <v>2</v>
      </c>
      <c r="BG28" s="23">
        <f>SUM(BE28:BF28)</f>
        <v>2</v>
      </c>
      <c r="BH28" s="23">
        <f>COUNTIF(B28:BA28,$AF$31)</f>
        <v>0</v>
      </c>
      <c r="BI28" s="23">
        <f>COUNTIF(B28:BA28,$AF$33)</f>
        <v>10</v>
      </c>
      <c r="BJ28" s="23">
        <f>COUNTIF(B28:BA28,$AQ$31)</f>
        <v>0</v>
      </c>
      <c r="BK28" s="23">
        <f>COUNTIF(B28:BA28,$AZ$31)</f>
        <v>0</v>
      </c>
      <c r="BL28" s="23">
        <f>COUNTIF(B28:BA28,$AQ$33)</f>
        <v>4</v>
      </c>
      <c r="BM28" s="23">
        <f>COUNTIF(B28:BA28,$AZ$33)</f>
        <v>5</v>
      </c>
      <c r="BN28" s="23">
        <f>SUM(BG28:BM28)+BD28</f>
        <v>43</v>
      </c>
    </row>
    <row r="29" spans="1:66" ht="15.7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621" t="s">
        <v>56</v>
      </c>
      <c r="AZ29" s="621"/>
      <c r="BA29" s="621"/>
      <c r="BB29" s="12">
        <f t="shared" ref="BB29:BN29" si="0">SUM(BB24:BB28)</f>
        <v>64</v>
      </c>
      <c r="BC29" s="12">
        <f t="shared" si="0"/>
        <v>79</v>
      </c>
      <c r="BD29" s="12">
        <f>SUM(BD24:BD28)</f>
        <v>143</v>
      </c>
      <c r="BE29" s="12">
        <f t="shared" si="0"/>
        <v>2</v>
      </c>
      <c r="BF29" s="12">
        <f t="shared" si="0"/>
        <v>7</v>
      </c>
      <c r="BG29" s="12">
        <f t="shared" si="0"/>
        <v>9</v>
      </c>
      <c r="BH29" s="12">
        <f t="shared" si="0"/>
        <v>9</v>
      </c>
      <c r="BI29" s="12">
        <f t="shared" si="0"/>
        <v>46</v>
      </c>
      <c r="BJ29" s="12">
        <f t="shared" si="0"/>
        <v>0</v>
      </c>
      <c r="BK29" s="12">
        <f t="shared" si="0"/>
        <v>0</v>
      </c>
      <c r="BL29" s="12">
        <f t="shared" si="0"/>
        <v>4</v>
      </c>
      <c r="BM29" s="12">
        <f t="shared" si="0"/>
        <v>40</v>
      </c>
      <c r="BN29" s="12">
        <f t="shared" si="0"/>
        <v>251</v>
      </c>
    </row>
    <row r="30" spans="1:66" ht="10.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s="5" customFormat="1" ht="11.25" customHeight="1" x14ac:dyDescent="0.2">
      <c r="A31" s="36"/>
      <c r="B31" s="21" t="s">
        <v>77</v>
      </c>
      <c r="C31" s="37" t="s">
        <v>22</v>
      </c>
      <c r="D31" s="651" t="s">
        <v>78</v>
      </c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2"/>
      <c r="R31" s="15" t="s">
        <v>227</v>
      </c>
      <c r="S31" s="37" t="s">
        <v>22</v>
      </c>
      <c r="T31" s="651" t="s">
        <v>225</v>
      </c>
      <c r="U31" s="651"/>
      <c r="V31" s="651"/>
      <c r="W31" s="651"/>
      <c r="X31" s="651"/>
      <c r="Y31" s="651"/>
      <c r="Z31" s="651"/>
      <c r="AA31" s="651"/>
      <c r="AB31" s="651"/>
      <c r="AC31" s="651"/>
      <c r="AD31" s="651"/>
      <c r="AE31" s="651"/>
      <c r="AF31" s="17" t="s">
        <v>52</v>
      </c>
      <c r="AG31" s="37" t="s">
        <v>22</v>
      </c>
      <c r="AH31" s="646" t="s">
        <v>23</v>
      </c>
      <c r="AI31" s="646"/>
      <c r="AJ31" s="646"/>
      <c r="AK31" s="646"/>
      <c r="AL31" s="646"/>
      <c r="AM31" s="646"/>
      <c r="AN31" s="646"/>
      <c r="AO31" s="646"/>
      <c r="AP31" s="646"/>
      <c r="AQ31" s="383"/>
      <c r="AR31" s="37"/>
      <c r="AS31" s="651"/>
      <c r="AT31" s="651"/>
      <c r="AU31" s="651"/>
      <c r="AV31" s="651"/>
      <c r="AW31" s="651"/>
      <c r="AX31" s="651"/>
      <c r="AY31" s="651"/>
      <c r="AZ31" s="340"/>
      <c r="BA31" s="340"/>
      <c r="BB31" s="340"/>
      <c r="BC31" s="340"/>
      <c r="BD31" s="340"/>
      <c r="BE31" s="340"/>
      <c r="BF31" s="340"/>
      <c r="BG31" s="340"/>
      <c r="BH31" s="340"/>
      <c r="BI31" s="36"/>
      <c r="BJ31" s="36"/>
      <c r="BK31" s="36"/>
      <c r="BL31" s="36"/>
      <c r="BM31" s="36"/>
      <c r="BN31" s="36"/>
    </row>
    <row r="32" spans="1:66" s="5" customFormat="1" ht="11.25" x14ac:dyDescent="0.2">
      <c r="A32" s="36"/>
      <c r="B32" s="36"/>
      <c r="C32" s="36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7"/>
      <c r="W32" s="38"/>
      <c r="X32" s="38"/>
      <c r="Y32" s="37"/>
      <c r="Z32" s="38"/>
      <c r="AA32" s="38"/>
      <c r="AB32" s="37"/>
      <c r="AC32" s="38"/>
      <c r="AD32" s="38"/>
      <c r="AE32" s="37"/>
      <c r="AF32" s="38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5" customFormat="1" ht="12.75" customHeight="1" x14ac:dyDescent="0.2">
      <c r="A33" s="36"/>
      <c r="B33" s="21" t="s">
        <v>33</v>
      </c>
      <c r="C33" s="37" t="s">
        <v>22</v>
      </c>
      <c r="D33" s="651" t="s">
        <v>79</v>
      </c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5"/>
      <c r="R33" s="15" t="s">
        <v>228</v>
      </c>
      <c r="S33" s="37" t="s">
        <v>22</v>
      </c>
      <c r="T33" s="656" t="s">
        <v>226</v>
      </c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7"/>
      <c r="AF33" s="17" t="s">
        <v>53</v>
      </c>
      <c r="AG33" s="37" t="s">
        <v>22</v>
      </c>
      <c r="AH33" s="341" t="s">
        <v>224</v>
      </c>
      <c r="AI33" s="341"/>
      <c r="AJ33" s="341"/>
      <c r="AK33" s="341"/>
      <c r="AL33" s="341"/>
      <c r="AM33" s="341"/>
      <c r="AN33" s="341"/>
      <c r="AO33" s="341"/>
      <c r="AP33" s="342"/>
      <c r="AQ33" s="15" t="s">
        <v>32</v>
      </c>
      <c r="AR33" s="37" t="s">
        <v>22</v>
      </c>
      <c r="AS33" s="645" t="s">
        <v>378</v>
      </c>
      <c r="AT33" s="645"/>
      <c r="AU33" s="645"/>
      <c r="AV33" s="645"/>
      <c r="AW33" s="645"/>
      <c r="AX33" s="645"/>
      <c r="AY33" s="645"/>
      <c r="AZ33" s="18" t="s">
        <v>28</v>
      </c>
      <c r="BA33" s="37" t="s">
        <v>22</v>
      </c>
      <c r="BB33" s="646" t="s">
        <v>223</v>
      </c>
      <c r="BC33" s="646"/>
      <c r="BD33" s="646"/>
      <c r="BE33" s="646"/>
      <c r="BF33" s="646"/>
      <c r="BG33" s="647"/>
      <c r="BH33" s="11" t="s">
        <v>26</v>
      </c>
      <c r="BI33" s="37" t="s">
        <v>22</v>
      </c>
      <c r="BJ33" s="595" t="s">
        <v>44</v>
      </c>
      <c r="BK33" s="595"/>
      <c r="BL33" s="595"/>
      <c r="BM33" s="595"/>
      <c r="BN33" s="595"/>
    </row>
    <row r="34" spans="1:66" x14ac:dyDescent="0.2">
      <c r="A34" s="28"/>
      <c r="B34" s="28"/>
      <c r="C34" s="28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8"/>
      <c r="S34" s="28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645"/>
      <c r="AT34" s="645"/>
      <c r="AU34" s="645"/>
      <c r="AV34" s="645"/>
      <c r="AW34" s="645"/>
      <c r="AX34" s="645"/>
      <c r="AY34" s="645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595"/>
      <c r="BK34" s="595"/>
      <c r="BL34" s="595"/>
      <c r="BM34" s="595"/>
      <c r="BN34" s="595"/>
    </row>
    <row r="35" spans="1:66" ht="12.75" hidden="1" customHeight="1" x14ac:dyDescent="0.2">
      <c r="A35" s="14"/>
      <c r="B35" s="16" t="str">
        <f>B31</f>
        <v>о</v>
      </c>
      <c r="D35" s="13" t="s">
        <v>116</v>
      </c>
      <c r="L35" s="653" t="s">
        <v>164</v>
      </c>
      <c r="M35" s="653"/>
      <c r="N35" s="653"/>
      <c r="O35" s="653"/>
      <c r="P35" s="653"/>
      <c r="Q35" s="653"/>
      <c r="R35" s="653"/>
      <c r="S35" s="653"/>
      <c r="T35" s="653"/>
      <c r="U35" s="653"/>
    </row>
    <row r="36" spans="1:66" ht="21" hidden="1" customHeight="1" x14ac:dyDescent="0.2">
      <c r="A36" s="14"/>
      <c r="B36" s="16" t="str">
        <f>R31</f>
        <v>оа</v>
      </c>
      <c r="D36" s="13" t="s">
        <v>117</v>
      </c>
      <c r="L36" s="653" t="s">
        <v>165</v>
      </c>
      <c r="M36" s="653"/>
      <c r="N36" s="653"/>
      <c r="O36" s="653"/>
      <c r="P36" s="653"/>
      <c r="Q36" s="653"/>
      <c r="R36" s="653"/>
      <c r="S36" s="653"/>
      <c r="T36" s="653"/>
      <c r="U36" s="653"/>
      <c r="BA36" s="5"/>
      <c r="BK36" s="1"/>
      <c r="BL36" s="1"/>
    </row>
    <row r="37" spans="1:66" ht="12.75" hidden="1" customHeight="1" x14ac:dyDescent="0.2">
      <c r="A37" s="14"/>
      <c r="B37" s="15" t="str">
        <f>B33</f>
        <v>в</v>
      </c>
      <c r="D37" s="13" t="s">
        <v>118</v>
      </c>
      <c r="L37" s="653" t="s">
        <v>168</v>
      </c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3"/>
      <c r="AC37" s="653"/>
      <c r="AD37" s="653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t="12.75" hidden="1" customHeight="1" x14ac:dyDescent="0.2">
      <c r="A38" s="14"/>
      <c r="B38" s="15" t="str">
        <f>R33</f>
        <v>ва</v>
      </c>
      <c r="D38" s="13"/>
      <c r="L38" s="653" t="s">
        <v>169</v>
      </c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14"/>
      <c r="B39" s="17" t="str">
        <f>AF31</f>
        <v>у</v>
      </c>
      <c r="D39" s="13" t="s">
        <v>119</v>
      </c>
      <c r="AQ39" s="5"/>
      <c r="BA39" s="5"/>
    </row>
    <row r="40" spans="1:66" hidden="1" x14ac:dyDescent="0.2">
      <c r="A40" s="14"/>
      <c r="B40" s="17" t="str">
        <f>AF33</f>
        <v>п</v>
      </c>
    </row>
    <row r="41" spans="1:66" hidden="1" x14ac:dyDescent="0.2">
      <c r="A41" s="14"/>
      <c r="B41" s="18" t="str">
        <f>AZ33</f>
        <v>к</v>
      </c>
    </row>
    <row r="42" spans="1:66" hidden="1" x14ac:dyDescent="0.2">
      <c r="A42" s="14"/>
      <c r="B42" s="19">
        <f>AQ31</f>
        <v>0</v>
      </c>
    </row>
    <row r="43" spans="1:66" hidden="1" x14ac:dyDescent="0.2">
      <c r="A43" s="14"/>
      <c r="B43" s="19" t="str">
        <f>AQ33</f>
        <v>А</v>
      </c>
    </row>
    <row r="44" spans="1:66" hidden="1" x14ac:dyDescent="0.2">
      <c r="A44" s="14"/>
      <c r="B44" s="20" t="str">
        <f>BH33</f>
        <v xml:space="preserve"> </v>
      </c>
    </row>
    <row r="45" spans="1:66" hidden="1" x14ac:dyDescent="0.2">
      <c r="K45" s="13" t="s">
        <v>351</v>
      </c>
    </row>
    <row r="46" spans="1:66" hidden="1" x14ac:dyDescent="0.2">
      <c r="K46" s="87" t="s">
        <v>80</v>
      </c>
      <c r="L46" s="88"/>
      <c r="N46" s="89" t="s">
        <v>363</v>
      </c>
      <c r="O46" s="90"/>
      <c r="P46" s="90"/>
      <c r="Q46" s="90"/>
      <c r="R46" s="90"/>
    </row>
    <row r="47" spans="1:66" hidden="1" x14ac:dyDescent="0.2">
      <c r="K47" s="87" t="s">
        <v>81</v>
      </c>
      <c r="L47" s="88"/>
      <c r="N47" s="89" t="s">
        <v>364</v>
      </c>
      <c r="O47" s="90"/>
      <c r="P47" s="90"/>
      <c r="Q47" s="90"/>
      <c r="R47" s="90"/>
    </row>
    <row r="48" spans="1:66" hidden="1" x14ac:dyDescent="0.2">
      <c r="K48" s="87" t="s">
        <v>82</v>
      </c>
      <c r="L48" s="88"/>
      <c r="N48" s="89" t="s">
        <v>365</v>
      </c>
      <c r="O48" s="90"/>
      <c r="P48" s="90"/>
      <c r="Q48" s="90"/>
      <c r="R48" s="90"/>
    </row>
    <row r="49" spans="11:18" hidden="1" x14ac:dyDescent="0.2">
      <c r="K49" s="87" t="s">
        <v>83</v>
      </c>
      <c r="L49" s="88"/>
      <c r="N49" s="89" t="s">
        <v>366</v>
      </c>
      <c r="O49" s="90"/>
      <c r="P49" s="90"/>
      <c r="Q49" s="90"/>
      <c r="R49" s="90"/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J19:J20"/>
    <mergeCell ref="G19:I20"/>
    <mergeCell ref="K19:N20"/>
    <mergeCell ref="L38:AD38"/>
    <mergeCell ref="L37:AD37"/>
    <mergeCell ref="L36:U36"/>
    <mergeCell ref="L35:U35"/>
    <mergeCell ref="D33:Q33"/>
    <mergeCell ref="T33:AE33"/>
    <mergeCell ref="AS33:AY34"/>
    <mergeCell ref="A14:N14"/>
    <mergeCell ref="O14:BB14"/>
    <mergeCell ref="A16:N16"/>
    <mergeCell ref="A15:N15"/>
    <mergeCell ref="BB33:BG33"/>
    <mergeCell ref="A19:A23"/>
    <mergeCell ref="F19:F20"/>
    <mergeCell ref="AH31:AP31"/>
    <mergeCell ref="AS31:AY31"/>
    <mergeCell ref="T31:AE31"/>
    <mergeCell ref="D31:Q31"/>
    <mergeCell ref="B19:E20"/>
    <mergeCell ref="S19:S20"/>
    <mergeCell ref="F21:F22"/>
    <mergeCell ref="J21:J22"/>
    <mergeCell ref="O13:BB13"/>
    <mergeCell ref="A9:N9"/>
    <mergeCell ref="O9:BB9"/>
    <mergeCell ref="BC9:BN12"/>
    <mergeCell ref="A13:N13"/>
    <mergeCell ref="A10:N10"/>
    <mergeCell ref="A11:N11"/>
    <mergeCell ref="O10:BB10"/>
    <mergeCell ref="O11:BB11"/>
    <mergeCell ref="O12:BB12"/>
    <mergeCell ref="BC13:BN13"/>
    <mergeCell ref="BC4:BN4"/>
    <mergeCell ref="A2:N2"/>
    <mergeCell ref="A4:N4"/>
    <mergeCell ref="A7:BN7"/>
    <mergeCell ref="BC2:BN2"/>
    <mergeCell ref="BC6:BN6"/>
    <mergeCell ref="BC3:BN3"/>
    <mergeCell ref="H3:N3"/>
    <mergeCell ref="A3:G3"/>
    <mergeCell ref="O1:BB1"/>
    <mergeCell ref="O2:BB2"/>
    <mergeCell ref="O3:BB3"/>
    <mergeCell ref="O19:R20"/>
    <mergeCell ref="O16:P16"/>
    <mergeCell ref="Q16:S16"/>
    <mergeCell ref="T16:U16"/>
    <mergeCell ref="AF19:AF20"/>
    <mergeCell ref="T19:V20"/>
    <mergeCell ref="V16:Z16"/>
    <mergeCell ref="BB19:BN19"/>
    <mergeCell ref="BH20:BH23"/>
    <mergeCell ref="BI20:BI23"/>
    <mergeCell ref="BJ20:BJ23"/>
    <mergeCell ref="BK20:BK23"/>
    <mergeCell ref="BL20:BL23"/>
    <mergeCell ref="BN20:BN23"/>
    <mergeCell ref="AY29:BA29"/>
    <mergeCell ref="O17:BB17"/>
    <mergeCell ref="AB19:AE20"/>
    <mergeCell ref="AG19:AI20"/>
    <mergeCell ref="AK19:AN20"/>
    <mergeCell ref="W19:W20"/>
    <mergeCell ref="S21:S22"/>
    <mergeCell ref="AJ19:AJ20"/>
    <mergeCell ref="AW21:AW22"/>
    <mergeCell ref="AO19:AR20"/>
    <mergeCell ref="AT19:AV20"/>
    <mergeCell ref="BJ33:BN34"/>
    <mergeCell ref="O8:BB8"/>
    <mergeCell ref="BE20:BG22"/>
    <mergeCell ref="AX19:BA20"/>
    <mergeCell ref="AA21:AA22"/>
    <mergeCell ref="AJ21:AJ22"/>
    <mergeCell ref="AA19:AA20"/>
    <mergeCell ref="BB20:BD22"/>
    <mergeCell ref="AS19:AS20"/>
    <mergeCell ref="AS21:AS22"/>
    <mergeCell ref="AW19:AW20"/>
    <mergeCell ref="W21:W22"/>
    <mergeCell ref="AF21:AF22"/>
    <mergeCell ref="X19:Z20"/>
    <mergeCell ref="O15:BB15"/>
    <mergeCell ref="BM20:BM23"/>
  </mergeCells>
  <phoneticPr fontId="0" type="noConversion"/>
  <conditionalFormatting sqref="A35:A36">
    <cfRule type="cellIs" priority="8" stopIfTrue="1" operator="equal">
      <formula>#REF!</formula>
    </cfRule>
  </conditionalFormatting>
  <conditionalFormatting sqref="A37:A38">
    <cfRule type="expression" dxfId="138" priority="9" stopIfTrue="1">
      <formula>$R$31</formula>
    </cfRule>
  </conditionalFormatting>
  <conditionalFormatting sqref="B35">
    <cfRule type="cellIs" priority="10" stopIfTrue="1" operator="equal">
      <formula>$B$31</formula>
    </cfRule>
  </conditionalFormatting>
  <conditionalFormatting sqref="B36">
    <cfRule type="cellIs" dxfId="137" priority="11" stopIfTrue="1" operator="equal">
      <formula>$R$31</formula>
    </cfRule>
  </conditionalFormatting>
  <conditionalFormatting sqref="B37">
    <cfRule type="cellIs" dxfId="136" priority="12" stopIfTrue="1" operator="equal">
      <formula>$B$33</formula>
    </cfRule>
  </conditionalFormatting>
  <conditionalFormatting sqref="B38">
    <cfRule type="cellIs" dxfId="135" priority="13" stopIfTrue="1" operator="equal">
      <formula>$R$33</formula>
    </cfRule>
  </conditionalFormatting>
  <conditionalFormatting sqref="B39">
    <cfRule type="cellIs" priority="14" stopIfTrue="1" operator="equal">
      <formula>$AF$31</formula>
    </cfRule>
  </conditionalFormatting>
  <conditionalFormatting sqref="B40">
    <cfRule type="cellIs" dxfId="134" priority="15" stopIfTrue="1" operator="equal">
      <formula>$AF$33</formula>
    </cfRule>
  </conditionalFormatting>
  <conditionalFormatting sqref="B41">
    <cfRule type="cellIs" dxfId="133" priority="16" stopIfTrue="1" operator="equal">
      <formula>$AZ$33</formula>
    </cfRule>
  </conditionalFormatting>
  <conditionalFormatting sqref="B42">
    <cfRule type="cellIs" dxfId="132" priority="17" stopIfTrue="1" operator="equal">
      <formula>$AQ$31</formula>
    </cfRule>
  </conditionalFormatting>
  <conditionalFormatting sqref="B43">
    <cfRule type="cellIs" dxfId="131" priority="19" stopIfTrue="1" operator="equal">
      <formula>$AQ$33</formula>
    </cfRule>
  </conditionalFormatting>
  <conditionalFormatting sqref="B44">
    <cfRule type="cellIs" priority="20" stopIfTrue="1" operator="equal">
      <formula>$BH$33</formula>
    </cfRule>
  </conditionalFormatting>
  <conditionalFormatting sqref="R27:R28 R24 L28:AL28 B24:Q28 S24:BA28">
    <cfRule type="expression" dxfId="130" priority="21" stopIfTrue="1">
      <formula>OR(B24=$R$31,B24=$R$33,B24=$AQ$31,B24=$AZ$31,B24=$AQ$33)</formula>
    </cfRule>
    <cfRule type="expression" dxfId="129" priority="22" stopIfTrue="1">
      <formula>OR(B24=$AF$31,B24=$AF$33)</formula>
    </cfRule>
    <cfRule type="cellIs" dxfId="128" priority="23" stopIfTrue="1" operator="equal">
      <formula>$AZ$33</formula>
    </cfRule>
  </conditionalFormatting>
  <conditionalFormatting sqref="B28:AR28">
    <cfRule type="expression" dxfId="127" priority="4" stopIfTrue="1">
      <formula>OR(B28=$R$31,B28=$R$33,B28=$AQ$31,B28=$AZ$31,B28=$AQ$33)</formula>
    </cfRule>
    <cfRule type="expression" dxfId="126" priority="5" stopIfTrue="1">
      <formula>OR(B28=$AF$31,B28=$AF$33)</formula>
    </cfRule>
    <cfRule type="cellIs" dxfId="125" priority="6" stopIfTrue="1" operator="equal">
      <formula>$AZ$33</formula>
    </cfRule>
  </conditionalFormatting>
  <conditionalFormatting sqref="B28:AR28">
    <cfRule type="expression" dxfId="124" priority="1" stopIfTrue="1">
      <formula>OR(B28=$R$31,B28=$R$33,B28=$AQ$31,B28=$AZ$31,B28=$AQ$33)</formula>
    </cfRule>
    <cfRule type="expression" dxfId="123" priority="2" stopIfTrue="1">
      <formula>OR(B28=$AF$31,B28=$AF$33)</formula>
    </cfRule>
    <cfRule type="cellIs" dxfId="122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Q28 R27:R28 R24 S24:BA28">
      <formula1>$B$35:$B$44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TK179"/>
  <sheetViews>
    <sheetView showZeros="0" topLeftCell="A3" zoomScaleNormal="100" workbookViewId="0">
      <pane xSplit="17" ySplit="7" topLeftCell="S72" activePane="bottomRight" state="frozen"/>
      <selection activeCell="A3" sqref="A3"/>
      <selection pane="topRight" activeCell="U3" sqref="U3"/>
      <selection pane="bottomLeft" activeCell="A10" sqref="A10"/>
      <selection pane="bottomRight" activeCell="B91" sqref="B91"/>
    </sheetView>
  </sheetViews>
  <sheetFormatPr defaultRowHeight="12.75" x14ac:dyDescent="0.2"/>
  <cols>
    <col min="1" max="1" width="16" style="40" customWidth="1"/>
    <col min="2" max="2" width="43" style="40" customWidth="1"/>
    <col min="3" max="3" width="17.5" style="40" customWidth="1"/>
    <col min="4" max="4" width="8" style="71" customWidth="1"/>
    <col min="5" max="7" width="7.6640625" style="71" customWidth="1"/>
    <col min="8" max="8" width="9.33203125" style="71" customWidth="1"/>
    <col min="9" max="9" width="8.6640625" style="72" customWidth="1"/>
    <col min="10" max="10" width="9" style="72" customWidth="1"/>
    <col min="11" max="11" width="8.33203125" style="40" customWidth="1"/>
    <col min="12" max="12" width="6.83203125" style="40" customWidth="1"/>
    <col min="13" max="13" width="7.83203125" style="40" customWidth="1"/>
    <col min="14" max="14" width="7.33203125" style="40" customWidth="1"/>
    <col min="15" max="15" width="6.5" style="40" customWidth="1"/>
    <col min="16" max="16" width="8.1640625" style="40" customWidth="1"/>
    <col min="17" max="17" width="10.1640625" style="40" customWidth="1"/>
    <col min="18" max="19" width="6.83203125" style="40" customWidth="1"/>
    <col min="20" max="20" width="7.6640625" style="40" customWidth="1"/>
    <col min="21" max="22" width="6.83203125" style="40" customWidth="1"/>
    <col min="23" max="23" width="7.83203125" style="40" customWidth="1"/>
    <col min="24" max="30" width="6.83203125" style="40" customWidth="1"/>
    <col min="31" max="31" width="7.33203125" style="40" customWidth="1"/>
    <col min="32" max="34" width="6.83203125" style="40" customWidth="1"/>
    <col min="35" max="35" width="7.1640625" style="40" customWidth="1"/>
    <col min="36" max="53" width="6.83203125" style="40" customWidth="1"/>
    <col min="54" max="54" width="6" style="40" customWidth="1"/>
    <col min="55" max="55" width="7" style="40" customWidth="1"/>
    <col min="56" max="56" width="6.6640625" style="40" customWidth="1"/>
    <col min="57" max="57" width="6.83203125" style="40" customWidth="1"/>
    <col min="58" max="58" width="6.6640625" style="40" customWidth="1"/>
    <col min="59" max="59" width="7.5" style="40" customWidth="1"/>
    <col min="60" max="60" width="7" style="40" customWidth="1"/>
    <col min="61" max="67" width="6.83203125" style="40" customWidth="1"/>
    <col min="68" max="68" width="6.5" style="40" customWidth="1"/>
    <col min="69" max="74" width="6.83203125" style="40" customWidth="1"/>
    <col min="75" max="75" width="7" style="40" customWidth="1"/>
    <col min="76" max="76" width="0.1640625" style="40" customWidth="1"/>
    <col min="77" max="77" width="6.83203125" style="40" customWidth="1"/>
    <col min="78" max="78" width="13" style="44" customWidth="1"/>
    <col min="79" max="79" width="26.1640625" style="44" customWidth="1"/>
    <col min="80" max="84" width="0" style="41" hidden="1" customWidth="1"/>
    <col min="85" max="16384" width="9.33203125" style="41"/>
  </cols>
  <sheetData>
    <row r="1" spans="1:79" ht="15.75" x14ac:dyDescent="0.2">
      <c r="A1" s="738" t="s">
        <v>37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8"/>
      <c r="AL1" s="738"/>
      <c r="AM1" s="738"/>
      <c r="AN1" s="738"/>
      <c r="AO1" s="738"/>
      <c r="AP1" s="738"/>
      <c r="AQ1" s="738"/>
      <c r="AR1" s="738"/>
      <c r="AS1" s="738"/>
      <c r="AT1" s="738"/>
      <c r="AU1" s="738"/>
      <c r="AV1" s="738"/>
      <c r="AW1" s="738"/>
      <c r="AX1" s="738"/>
      <c r="AY1" s="738"/>
      <c r="AZ1" s="738"/>
      <c r="BA1" s="738"/>
      <c r="BB1" s="738"/>
      <c r="BC1" s="738"/>
      <c r="BD1" s="738"/>
      <c r="BE1" s="738"/>
      <c r="BF1" s="738"/>
      <c r="BG1" s="738"/>
      <c r="BH1" s="738"/>
      <c r="BI1" s="738"/>
      <c r="BJ1" s="738"/>
      <c r="BK1" s="738"/>
      <c r="BL1" s="738"/>
      <c r="BM1" s="738"/>
      <c r="BN1" s="738"/>
      <c r="BO1" s="738"/>
      <c r="BP1" s="738"/>
      <c r="BQ1" s="738"/>
      <c r="BR1" s="738"/>
      <c r="BS1" s="738"/>
      <c r="BT1" s="738"/>
      <c r="BU1" s="738"/>
      <c r="BV1" s="738"/>
      <c r="BW1" s="738"/>
      <c r="BX1" s="738"/>
      <c r="BY1" s="738"/>
      <c r="BZ1" s="739"/>
      <c r="CA1" s="738"/>
    </row>
    <row r="2" spans="1:79" ht="13.5" thickBot="1" x14ac:dyDescent="0.25">
      <c r="B2" s="42"/>
      <c r="C2" s="42"/>
      <c r="D2" s="42"/>
      <c r="E2" s="42"/>
      <c r="F2" s="42"/>
      <c r="G2" s="42"/>
      <c r="H2" s="42"/>
      <c r="I2" s="43"/>
      <c r="J2" s="43"/>
      <c r="K2" s="42"/>
      <c r="L2" s="42"/>
      <c r="M2" s="42"/>
      <c r="N2" s="42"/>
      <c r="O2" s="42"/>
      <c r="P2" s="42"/>
    </row>
    <row r="3" spans="1:79" s="45" customFormat="1" ht="12.75" customHeight="1" x14ac:dyDescent="0.2">
      <c r="A3" s="743" t="s">
        <v>170</v>
      </c>
      <c r="B3" s="658" t="s">
        <v>595</v>
      </c>
      <c r="C3" s="658" t="s">
        <v>75</v>
      </c>
      <c r="D3" s="663" t="s">
        <v>596</v>
      </c>
      <c r="E3" s="664"/>
      <c r="F3" s="664"/>
      <c r="G3" s="664"/>
      <c r="H3" s="664"/>
      <c r="I3" s="758" t="s">
        <v>229</v>
      </c>
      <c r="J3" s="759"/>
      <c r="K3" s="675" t="s">
        <v>2</v>
      </c>
      <c r="L3" s="675"/>
      <c r="M3" s="675"/>
      <c r="N3" s="675"/>
      <c r="O3" s="675"/>
      <c r="P3" s="675"/>
      <c r="Q3" s="675"/>
      <c r="R3" s="394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  <c r="BG3" s="669"/>
      <c r="BH3" s="669"/>
      <c r="BI3" s="669"/>
      <c r="BJ3" s="669"/>
      <c r="BK3" s="669"/>
      <c r="BL3" s="669"/>
      <c r="BM3" s="669"/>
      <c r="BN3" s="669"/>
      <c r="BO3" s="669"/>
      <c r="BP3" s="669"/>
      <c r="BQ3" s="669"/>
      <c r="BR3" s="669"/>
      <c r="BS3" s="669"/>
      <c r="BT3" s="669"/>
      <c r="BU3" s="669"/>
      <c r="BV3" s="669"/>
      <c r="BW3" s="669"/>
      <c r="BX3" s="669"/>
      <c r="BY3" s="678"/>
      <c r="BZ3" s="740" t="s">
        <v>171</v>
      </c>
      <c r="CA3" s="749" t="s">
        <v>73</v>
      </c>
    </row>
    <row r="4" spans="1:79" s="45" customFormat="1" ht="12.75" customHeight="1" x14ac:dyDescent="0.2">
      <c r="A4" s="744"/>
      <c r="B4" s="659"/>
      <c r="C4" s="659"/>
      <c r="D4" s="665"/>
      <c r="E4" s="666"/>
      <c r="F4" s="666"/>
      <c r="G4" s="666"/>
      <c r="H4" s="666"/>
      <c r="I4" s="760"/>
      <c r="J4" s="761"/>
      <c r="K4" s="764" t="s">
        <v>1</v>
      </c>
      <c r="L4" s="746" t="s">
        <v>3</v>
      </c>
      <c r="M4" s="746"/>
      <c r="N4" s="746"/>
      <c r="O4" s="746"/>
      <c r="P4" s="746"/>
      <c r="Q4" s="747"/>
      <c r="R4" s="67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78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7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78"/>
      <c r="BB4" s="679"/>
      <c r="BC4" s="669"/>
      <c r="BD4" s="669"/>
      <c r="BE4" s="669"/>
      <c r="BF4" s="669"/>
      <c r="BG4" s="669"/>
      <c r="BH4" s="669"/>
      <c r="BI4" s="669"/>
      <c r="BJ4" s="669"/>
      <c r="BK4" s="669"/>
      <c r="BL4" s="669"/>
      <c r="BM4" s="678"/>
      <c r="BN4" s="669"/>
      <c r="BO4" s="669"/>
      <c r="BP4" s="669"/>
      <c r="BQ4" s="669"/>
      <c r="BR4" s="669"/>
      <c r="BS4" s="669"/>
      <c r="BT4" s="669"/>
      <c r="BU4" s="669"/>
      <c r="BV4" s="669"/>
      <c r="BW4" s="669"/>
      <c r="BX4" s="669"/>
      <c r="BY4" s="678"/>
      <c r="BZ4" s="741"/>
      <c r="CA4" s="750"/>
    </row>
    <row r="5" spans="1:79" s="45" customFormat="1" ht="12.75" customHeight="1" x14ac:dyDescent="0.2">
      <c r="A5" s="744"/>
      <c r="B5" s="659"/>
      <c r="C5" s="659"/>
      <c r="D5" s="667" t="s">
        <v>65</v>
      </c>
      <c r="E5" s="667" t="s">
        <v>590</v>
      </c>
      <c r="F5" s="384"/>
      <c r="G5" s="661" t="s">
        <v>597</v>
      </c>
      <c r="H5" s="753" t="s">
        <v>598</v>
      </c>
      <c r="I5" s="760"/>
      <c r="J5" s="761"/>
      <c r="K5" s="765"/>
      <c r="L5" s="676" t="s">
        <v>86</v>
      </c>
      <c r="M5" s="772"/>
      <c r="N5" s="772"/>
      <c r="O5" s="772"/>
      <c r="P5" s="773"/>
      <c r="Q5" s="748" t="s">
        <v>87</v>
      </c>
      <c r="R5" s="680" t="s">
        <v>27</v>
      </c>
      <c r="S5" s="681"/>
      <c r="T5" s="390"/>
      <c r="U5" s="390"/>
      <c r="V5" s="390">
        <f>'Титульный лист'!BB24</f>
        <v>17</v>
      </c>
      <c r="W5" s="403">
        <f>'Титульный лист'!BE24</f>
        <v>0</v>
      </c>
      <c r="X5" s="681" t="s">
        <v>31</v>
      </c>
      <c r="Y5" s="681"/>
      <c r="Z5" s="93"/>
      <c r="AA5" s="93"/>
      <c r="AB5" s="390">
        <f>'Титульный лист'!BC24</f>
        <v>22</v>
      </c>
      <c r="AC5" s="390">
        <f>'Титульный лист'!BF24</f>
        <v>2</v>
      </c>
      <c r="AD5" s="680" t="s">
        <v>30</v>
      </c>
      <c r="AE5" s="681"/>
      <c r="AF5" s="391"/>
      <c r="AG5" s="391"/>
      <c r="AH5" s="390">
        <f>'Титульный лист'!BB25</f>
        <v>16</v>
      </c>
      <c r="AI5" s="403">
        <f>'Титульный лист'!BE25</f>
        <v>1</v>
      </c>
      <c r="AJ5" s="681" t="s">
        <v>40</v>
      </c>
      <c r="AK5" s="681"/>
      <c r="AL5" s="93"/>
      <c r="AM5" s="93"/>
      <c r="AN5" s="390">
        <f>'Титульный лист'!BC25</f>
        <v>17</v>
      </c>
      <c r="AO5" s="390">
        <f>'Титульный лист'!BF25</f>
        <v>1</v>
      </c>
      <c r="AP5" s="756" t="s">
        <v>41</v>
      </c>
      <c r="AQ5" s="737"/>
      <c r="AR5" s="391"/>
      <c r="AS5" s="391"/>
      <c r="AT5" s="390">
        <f>'Титульный лист'!BB26</f>
        <v>16</v>
      </c>
      <c r="AU5" s="390">
        <f>'Титульный лист'!BE26</f>
        <v>1</v>
      </c>
      <c r="AV5" s="684" t="s">
        <v>42</v>
      </c>
      <c r="AW5" s="685"/>
      <c r="AX5" s="391"/>
      <c r="AY5" s="391"/>
      <c r="AZ5" s="390">
        <f>'Титульный лист'!BC26</f>
        <v>11</v>
      </c>
      <c r="BA5" s="403">
        <f>'Титульный лист'!BF26</f>
        <v>1</v>
      </c>
      <c r="BB5" s="736" t="s">
        <v>43</v>
      </c>
      <c r="BC5" s="737"/>
      <c r="BD5" s="93"/>
      <c r="BE5" s="93"/>
      <c r="BF5" s="390">
        <f>'Титульный лист'!BB27</f>
        <v>11</v>
      </c>
      <c r="BG5" s="390">
        <f>'Титульный лист'!BE27</f>
        <v>0</v>
      </c>
      <c r="BH5" s="684" t="s">
        <v>38</v>
      </c>
      <c r="BI5" s="685"/>
      <c r="BJ5" s="391"/>
      <c r="BK5" s="391"/>
      <c r="BL5" s="390">
        <f>'Титульный лист'!BC27</f>
        <v>11</v>
      </c>
      <c r="BM5" s="403">
        <f>'Титульный лист'!BF27</f>
        <v>1</v>
      </c>
      <c r="BN5" s="736" t="s">
        <v>39</v>
      </c>
      <c r="BO5" s="737"/>
      <c r="BP5" s="93"/>
      <c r="BQ5" s="93"/>
      <c r="BR5" s="390">
        <f>'Титульный лист'!BB28</f>
        <v>4</v>
      </c>
      <c r="BS5" s="390">
        <f>'Титульный лист'!BE28</f>
        <v>0</v>
      </c>
      <c r="BT5" s="684" t="s">
        <v>85</v>
      </c>
      <c r="BU5" s="685"/>
      <c r="BV5" s="391"/>
      <c r="BW5" s="391"/>
      <c r="BX5" s="390">
        <f>'Титульный лист'!BC28</f>
        <v>18</v>
      </c>
      <c r="BY5" s="403">
        <f>'Титульный лист'!BF28</f>
        <v>2</v>
      </c>
      <c r="BZ5" s="741"/>
      <c r="CA5" s="750"/>
    </row>
    <row r="6" spans="1:79" s="45" customFormat="1" ht="12.75" customHeight="1" x14ac:dyDescent="0.2">
      <c r="A6" s="744"/>
      <c r="B6" s="659"/>
      <c r="C6" s="659"/>
      <c r="D6" s="668"/>
      <c r="E6" s="668"/>
      <c r="F6" s="385"/>
      <c r="G6" s="662"/>
      <c r="H6" s="754"/>
      <c r="I6" s="760"/>
      <c r="J6" s="761"/>
      <c r="K6" s="765"/>
      <c r="L6" s="755"/>
      <c r="M6" s="676" t="s">
        <v>599</v>
      </c>
      <c r="N6" s="676" t="s">
        <v>600</v>
      </c>
      <c r="O6" s="676" t="s">
        <v>232</v>
      </c>
      <c r="P6" s="676" t="s">
        <v>315</v>
      </c>
      <c r="Q6" s="748"/>
      <c r="R6" s="665" t="s">
        <v>72</v>
      </c>
      <c r="S6" s="666"/>
      <c r="T6" s="666" t="s">
        <v>57</v>
      </c>
      <c r="U6" s="666"/>
      <c r="V6" s="666"/>
      <c r="W6" s="404" t="s">
        <v>230</v>
      </c>
      <c r="X6" s="666" t="s">
        <v>72</v>
      </c>
      <c r="Y6" s="666"/>
      <c r="Z6" s="92"/>
      <c r="AA6" s="92"/>
      <c r="AB6" s="389" t="s">
        <v>57</v>
      </c>
      <c r="AC6" s="389" t="s">
        <v>230</v>
      </c>
      <c r="AD6" s="665" t="s">
        <v>72</v>
      </c>
      <c r="AE6" s="666"/>
      <c r="AF6" s="389"/>
      <c r="AG6" s="389"/>
      <c r="AH6" s="389" t="s">
        <v>57</v>
      </c>
      <c r="AI6" s="404" t="s">
        <v>230</v>
      </c>
      <c r="AJ6" s="666" t="s">
        <v>72</v>
      </c>
      <c r="AK6" s="666"/>
      <c r="AL6" s="92"/>
      <c r="AM6" s="92"/>
      <c r="AN6" s="389" t="s">
        <v>57</v>
      </c>
      <c r="AO6" s="389" t="s">
        <v>230</v>
      </c>
      <c r="AP6" s="757" t="s">
        <v>72</v>
      </c>
      <c r="AQ6" s="752"/>
      <c r="AR6" s="389"/>
      <c r="AS6" s="389"/>
      <c r="AT6" s="389" t="s">
        <v>57</v>
      </c>
      <c r="AU6" s="389" t="s">
        <v>230</v>
      </c>
      <c r="AV6" s="682" t="s">
        <v>72</v>
      </c>
      <c r="AW6" s="683"/>
      <c r="AX6" s="389"/>
      <c r="AY6" s="389"/>
      <c r="AZ6" s="389" t="s">
        <v>57</v>
      </c>
      <c r="BA6" s="404" t="s">
        <v>230</v>
      </c>
      <c r="BB6" s="751" t="s">
        <v>72</v>
      </c>
      <c r="BC6" s="752"/>
      <c r="BD6" s="92"/>
      <c r="BE6" s="92"/>
      <c r="BF6" s="389" t="s">
        <v>57</v>
      </c>
      <c r="BG6" s="389" t="s">
        <v>230</v>
      </c>
      <c r="BH6" s="682" t="s">
        <v>72</v>
      </c>
      <c r="BI6" s="683"/>
      <c r="BJ6" s="389"/>
      <c r="BK6" s="389"/>
      <c r="BL6" s="389" t="s">
        <v>57</v>
      </c>
      <c r="BM6" s="404" t="s">
        <v>230</v>
      </c>
      <c r="BN6" s="751" t="s">
        <v>72</v>
      </c>
      <c r="BO6" s="752"/>
      <c r="BP6" s="92"/>
      <c r="BQ6" s="92"/>
      <c r="BR6" s="389" t="s">
        <v>57</v>
      </c>
      <c r="BS6" s="389" t="s">
        <v>230</v>
      </c>
      <c r="BT6" s="682" t="s">
        <v>72</v>
      </c>
      <c r="BU6" s="683"/>
      <c r="BV6" s="389"/>
      <c r="BW6" s="389"/>
      <c r="BX6" s="389" t="s">
        <v>57</v>
      </c>
      <c r="BY6" s="404" t="s">
        <v>230</v>
      </c>
      <c r="BZ6" s="741"/>
      <c r="CA6" s="750"/>
    </row>
    <row r="7" spans="1:79" s="45" customFormat="1" ht="12.75" customHeight="1" x14ac:dyDescent="0.2">
      <c r="A7" s="744"/>
      <c r="B7" s="659"/>
      <c r="C7" s="659"/>
      <c r="D7" s="668"/>
      <c r="E7" s="668"/>
      <c r="F7" s="385"/>
      <c r="G7" s="662"/>
      <c r="H7" s="754"/>
      <c r="I7" s="760"/>
      <c r="J7" s="761"/>
      <c r="K7" s="765"/>
      <c r="L7" s="755"/>
      <c r="M7" s="677"/>
      <c r="N7" s="677"/>
      <c r="O7" s="677"/>
      <c r="P7" s="677"/>
      <c r="Q7" s="748"/>
      <c r="R7" s="671" t="s">
        <v>148</v>
      </c>
      <c r="S7" s="672"/>
      <c r="T7" s="401"/>
      <c r="U7" s="395"/>
      <c r="V7" s="51">
        <f>IF((SUM(S96:W96)+SUM(S101:W101))=0,0,(SUM(S96:W96)+SUM(S101:W101))/Нормы!$G$38)</f>
        <v>0</v>
      </c>
      <c r="W7" s="405" t="s">
        <v>149</v>
      </c>
      <c r="X7" s="672" t="s">
        <v>148</v>
      </c>
      <c r="Y7" s="672"/>
      <c r="Z7" s="401"/>
      <c r="AA7" s="395"/>
      <c r="AB7" s="51">
        <f>IF((SUM(Y96:AC96)+SUM(Y101:AC101))=0,0,(SUM(Y96:AC96)+SUM(Y101:AC101))/Нормы!$G$38)</f>
        <v>0</v>
      </c>
      <c r="AC7" s="399" t="s">
        <v>149</v>
      </c>
      <c r="AD7" s="671" t="s">
        <v>148</v>
      </c>
      <c r="AE7" s="672"/>
      <c r="AF7" s="401"/>
      <c r="AG7" s="395"/>
      <c r="AH7" s="51">
        <f>IF((SUM(AE96:AI96)+SUM(AE101:AI101))=0,0,(SUM(AE96:AI96)+SUM(AE101:AI101))/Нормы!$G$38)</f>
        <v>0</v>
      </c>
      <c r="AI7" s="405" t="s">
        <v>149</v>
      </c>
      <c r="AJ7" s="672" t="s">
        <v>148</v>
      </c>
      <c r="AK7" s="672"/>
      <c r="AL7" s="401"/>
      <c r="AM7" s="395"/>
      <c r="AN7" s="51">
        <f>IF((SUM(AK96:AO96)+SUM(AK101:AO101))=0,0,(SUM(AK96:AO96)+SUM(AK101:AO101))/Нормы!$G$38)</f>
        <v>9</v>
      </c>
      <c r="AO7" s="399" t="s">
        <v>149</v>
      </c>
      <c r="AP7" s="671" t="s">
        <v>148</v>
      </c>
      <c r="AQ7" s="672"/>
      <c r="AR7" s="401"/>
      <c r="AS7" s="395"/>
      <c r="AT7" s="51">
        <f>IF((SUM(AQ96:AU96)+SUM(AQ101:AU101))=0,0,(SUM(AQ96:AU96)+SUM(AQ101:AU101))/Нормы!$G$38)</f>
        <v>0</v>
      </c>
      <c r="AU7" s="399" t="s">
        <v>149</v>
      </c>
      <c r="AV7" s="671" t="s">
        <v>148</v>
      </c>
      <c r="AW7" s="672"/>
      <c r="AX7" s="401"/>
      <c r="AY7" s="395"/>
      <c r="AZ7" s="51">
        <f>IF((SUM(AW96:BA96)+SUM(AW101:BA101))=0,0,(SUM(AW96:BA96)+SUM(AW101:BA101))/Нормы!$G$38)</f>
        <v>15</v>
      </c>
      <c r="BA7" s="405" t="s">
        <v>149</v>
      </c>
      <c r="BB7" s="672" t="s">
        <v>148</v>
      </c>
      <c r="BC7" s="672"/>
      <c r="BD7" s="401"/>
      <c r="BE7" s="395"/>
      <c r="BF7" s="51">
        <f>IF((SUM(BC96:BG96)+SUM(BC101:BG101))=0,0,(SUM(BC96:BG96)+SUM(BC101:BG101))/Нормы!$G$38)</f>
        <v>6</v>
      </c>
      <c r="BG7" s="399" t="s">
        <v>149</v>
      </c>
      <c r="BH7" s="671" t="s">
        <v>148</v>
      </c>
      <c r="BI7" s="672"/>
      <c r="BJ7" s="401"/>
      <c r="BK7" s="395"/>
      <c r="BL7" s="51">
        <f>IF((SUM(BI96:BM96)+SUM(BI101:BM101))=0,0,(SUM(BI96:BM96)+SUM(BI101:BM101))/Нормы!$G$38)</f>
        <v>15</v>
      </c>
      <c r="BM7" s="405" t="s">
        <v>149</v>
      </c>
      <c r="BN7" s="672" t="s">
        <v>148</v>
      </c>
      <c r="BO7" s="672"/>
      <c r="BP7" s="401"/>
      <c r="BQ7" s="395"/>
      <c r="BR7" s="51">
        <f>IF((SUM(BO96:BS96)+SUM(BO101:BS101))=0,0,(SUM(BO96:BS96)+SUM(BO101:BS101))/Нормы!$G$38)</f>
        <v>10</v>
      </c>
      <c r="BS7" s="405" t="s">
        <v>149</v>
      </c>
      <c r="BT7" s="671" t="s">
        <v>148</v>
      </c>
      <c r="BU7" s="672"/>
      <c r="BV7" s="401"/>
      <c r="BW7" s="395"/>
      <c r="BX7" s="51">
        <f>IF((SUM(BU96:BY96)+SUM(BU101:BY101))=0,0,(SUM(BU96:BY96)+SUM(BU101:BY101))/Нормы!$G$38)</f>
        <v>0</v>
      </c>
      <c r="BY7" s="405" t="s">
        <v>149</v>
      </c>
      <c r="BZ7" s="741"/>
      <c r="CA7" s="750"/>
    </row>
    <row r="8" spans="1:79" s="45" customFormat="1" ht="12.75" customHeight="1" x14ac:dyDescent="0.2">
      <c r="A8" s="744"/>
      <c r="B8" s="659"/>
      <c r="C8" s="659"/>
      <c r="D8" s="668"/>
      <c r="E8" s="668"/>
      <c r="F8" s="385"/>
      <c r="G8" s="662"/>
      <c r="H8" s="754"/>
      <c r="I8" s="762"/>
      <c r="J8" s="763"/>
      <c r="K8" s="765"/>
      <c r="L8" s="755"/>
      <c r="M8" s="677"/>
      <c r="N8" s="677"/>
      <c r="O8" s="677"/>
      <c r="P8" s="677"/>
      <c r="Q8" s="748"/>
      <c r="R8" s="673" t="s">
        <v>150</v>
      </c>
      <c r="S8" s="670"/>
      <c r="T8" s="670"/>
      <c r="U8" s="400"/>
      <c r="V8" s="55">
        <f>IF(SUM(S104:W104)=0,0,SUM(S104:W104)/Нормы!$G$37)</f>
        <v>0</v>
      </c>
      <c r="W8" s="406" t="s">
        <v>149</v>
      </c>
      <c r="X8" s="670" t="s">
        <v>150</v>
      </c>
      <c r="Y8" s="670"/>
      <c r="Z8" s="670"/>
      <c r="AA8" s="400"/>
      <c r="AB8" s="55">
        <f>IF(SUM(Y104:AC104)=0,0,SUM(Y104:AC104)/Нормы!$G$37)</f>
        <v>0</v>
      </c>
      <c r="AC8" s="59" t="s">
        <v>149</v>
      </c>
      <c r="AD8" s="673" t="s">
        <v>150</v>
      </c>
      <c r="AE8" s="670"/>
      <c r="AF8" s="670"/>
      <c r="AG8" s="400"/>
      <c r="AH8" s="55">
        <f>IF(SUM(AE104:AI104)=0,0,SUM(AE104:AI104)/Нормы!$G$37)</f>
        <v>0</v>
      </c>
      <c r="AI8" s="406" t="s">
        <v>149</v>
      </c>
      <c r="AJ8" s="670" t="s">
        <v>150</v>
      </c>
      <c r="AK8" s="670"/>
      <c r="AL8" s="670"/>
      <c r="AM8" s="400"/>
      <c r="AN8" s="55">
        <f>IF(SUM(AK104:AO104)=0,0,SUM(AK104:AO104)/Нормы!$G$37)</f>
        <v>0</v>
      </c>
      <c r="AO8" s="59" t="s">
        <v>149</v>
      </c>
      <c r="AP8" s="673" t="s">
        <v>150</v>
      </c>
      <c r="AQ8" s="670"/>
      <c r="AR8" s="670"/>
      <c r="AS8" s="400"/>
      <c r="AT8" s="55">
        <f>IF(SUM(AQ104:AU104)=0,0,SUM(AQ104:AU104)/Нормы!$G$37)</f>
        <v>0</v>
      </c>
      <c r="AU8" s="59" t="s">
        <v>149</v>
      </c>
      <c r="AV8" s="673" t="s">
        <v>150</v>
      </c>
      <c r="AW8" s="670"/>
      <c r="AX8" s="670"/>
      <c r="AY8" s="400"/>
      <c r="AZ8" s="55">
        <f>IF(SUM(AW104:BA104)=0,0,SUM(AW104:BA104)/Нормы!$G$37)</f>
        <v>0</v>
      </c>
      <c r="BA8" s="406" t="s">
        <v>149</v>
      </c>
      <c r="BB8" s="670" t="s">
        <v>150</v>
      </c>
      <c r="BC8" s="670"/>
      <c r="BD8" s="670"/>
      <c r="BE8" s="400"/>
      <c r="BF8" s="55">
        <f>IF(SUM(BC104:BG104)=0,0,SUM(BC104:BG104)/Нормы!$G$37)</f>
        <v>0</v>
      </c>
      <c r="BG8" s="59" t="s">
        <v>149</v>
      </c>
      <c r="BH8" s="673" t="s">
        <v>150</v>
      </c>
      <c r="BI8" s="670"/>
      <c r="BJ8" s="670"/>
      <c r="BK8" s="400"/>
      <c r="BL8" s="55">
        <f>IF(SUM(BI104:BM104)=0,0,SUM(BI104:BM104)/Нормы!$G$37)</f>
        <v>0</v>
      </c>
      <c r="BM8" s="406" t="s">
        <v>149</v>
      </c>
      <c r="BN8" s="670" t="s">
        <v>150</v>
      </c>
      <c r="BO8" s="670"/>
      <c r="BP8" s="670"/>
      <c r="BQ8" s="400"/>
      <c r="BR8" s="55">
        <f>IF(SUM(BO104:BS104)=0,0,SUM(BO104:BS104)/Нормы!$G$37)</f>
        <v>0</v>
      </c>
      <c r="BS8" s="406" t="s">
        <v>149</v>
      </c>
      <c r="BT8" s="673" t="s">
        <v>150</v>
      </c>
      <c r="BU8" s="670"/>
      <c r="BV8" s="670"/>
      <c r="BW8" s="400"/>
      <c r="BX8" s="55">
        <f>IF(SUM(BU104:BY104)=0,0,SUM(BU104:BY104)/Нормы!$G$37)</f>
        <v>4</v>
      </c>
      <c r="BY8" s="406" t="s">
        <v>149</v>
      </c>
      <c r="BZ8" s="741"/>
      <c r="CA8" s="750"/>
    </row>
    <row r="9" spans="1:79" s="45" customFormat="1" ht="126" customHeight="1" x14ac:dyDescent="0.2">
      <c r="A9" s="745"/>
      <c r="B9" s="660"/>
      <c r="C9" s="660"/>
      <c r="D9" s="668"/>
      <c r="E9" s="668"/>
      <c r="F9" s="385" t="s">
        <v>66</v>
      </c>
      <c r="G9" s="662"/>
      <c r="H9" s="754"/>
      <c r="I9" s="410" t="s">
        <v>179</v>
      </c>
      <c r="J9" s="410" t="s">
        <v>276</v>
      </c>
      <c r="K9" s="766"/>
      <c r="L9" s="755"/>
      <c r="M9" s="677"/>
      <c r="N9" s="677"/>
      <c r="O9" s="677"/>
      <c r="P9" s="677"/>
      <c r="Q9" s="748"/>
      <c r="R9" s="407" t="s">
        <v>139</v>
      </c>
      <c r="S9" s="408" t="s">
        <v>601</v>
      </c>
      <c r="T9" s="409" t="s">
        <v>602</v>
      </c>
      <c r="U9" s="408" t="s">
        <v>232</v>
      </c>
      <c r="V9" s="409" t="s">
        <v>315</v>
      </c>
      <c r="W9" s="409" t="s">
        <v>71</v>
      </c>
      <c r="X9" s="411" t="s">
        <v>139</v>
      </c>
      <c r="Y9" s="386" t="s">
        <v>601</v>
      </c>
      <c r="Z9" s="387" t="s">
        <v>602</v>
      </c>
      <c r="AA9" s="386" t="s">
        <v>232</v>
      </c>
      <c r="AB9" s="387" t="s">
        <v>315</v>
      </c>
      <c r="AC9" s="402" t="s">
        <v>71</v>
      </c>
      <c r="AD9" s="407" t="s">
        <v>139</v>
      </c>
      <c r="AE9" s="408" t="s">
        <v>601</v>
      </c>
      <c r="AF9" s="409" t="s">
        <v>602</v>
      </c>
      <c r="AG9" s="408" t="s">
        <v>232</v>
      </c>
      <c r="AH9" s="409" t="s">
        <v>315</v>
      </c>
      <c r="AI9" s="409" t="s">
        <v>71</v>
      </c>
      <c r="AJ9" s="411" t="s">
        <v>139</v>
      </c>
      <c r="AK9" s="386" t="s">
        <v>601</v>
      </c>
      <c r="AL9" s="387" t="s">
        <v>602</v>
      </c>
      <c r="AM9" s="386" t="s">
        <v>232</v>
      </c>
      <c r="AN9" s="387" t="s">
        <v>315</v>
      </c>
      <c r="AO9" s="402" t="s">
        <v>71</v>
      </c>
      <c r="AP9" s="407" t="s">
        <v>139</v>
      </c>
      <c r="AQ9" s="408" t="s">
        <v>601</v>
      </c>
      <c r="AR9" s="409" t="s">
        <v>602</v>
      </c>
      <c r="AS9" s="408" t="s">
        <v>232</v>
      </c>
      <c r="AT9" s="409" t="s">
        <v>315</v>
      </c>
      <c r="AU9" s="412" t="s">
        <v>71</v>
      </c>
      <c r="AV9" s="407" t="s">
        <v>139</v>
      </c>
      <c r="AW9" s="408" t="s">
        <v>601</v>
      </c>
      <c r="AX9" s="409" t="s">
        <v>602</v>
      </c>
      <c r="AY9" s="408" t="s">
        <v>232</v>
      </c>
      <c r="AZ9" s="409" t="s">
        <v>315</v>
      </c>
      <c r="BA9" s="409" t="s">
        <v>71</v>
      </c>
      <c r="BB9" s="411" t="s">
        <v>139</v>
      </c>
      <c r="BC9" s="386" t="s">
        <v>601</v>
      </c>
      <c r="BD9" s="387" t="s">
        <v>602</v>
      </c>
      <c r="BE9" s="386" t="s">
        <v>232</v>
      </c>
      <c r="BF9" s="387" t="s">
        <v>315</v>
      </c>
      <c r="BG9" s="402" t="s">
        <v>71</v>
      </c>
      <c r="BH9" s="407" t="s">
        <v>139</v>
      </c>
      <c r="BI9" s="408" t="s">
        <v>601</v>
      </c>
      <c r="BJ9" s="409" t="s">
        <v>602</v>
      </c>
      <c r="BK9" s="408" t="s">
        <v>232</v>
      </c>
      <c r="BL9" s="409" t="s">
        <v>315</v>
      </c>
      <c r="BM9" s="409" t="s">
        <v>71</v>
      </c>
      <c r="BN9" s="411" t="s">
        <v>139</v>
      </c>
      <c r="BO9" s="386" t="s">
        <v>601</v>
      </c>
      <c r="BP9" s="387" t="s">
        <v>602</v>
      </c>
      <c r="BQ9" s="386" t="s">
        <v>232</v>
      </c>
      <c r="BR9" s="387" t="s">
        <v>315</v>
      </c>
      <c r="BS9" s="402" t="s">
        <v>71</v>
      </c>
      <c r="BT9" s="407" t="s">
        <v>139</v>
      </c>
      <c r="BU9" s="408" t="s">
        <v>601</v>
      </c>
      <c r="BV9" s="409" t="s">
        <v>602</v>
      </c>
      <c r="BW9" s="408" t="s">
        <v>232</v>
      </c>
      <c r="BX9" s="409" t="s">
        <v>315</v>
      </c>
      <c r="BY9" s="409" t="s">
        <v>71</v>
      </c>
      <c r="BZ9" s="742"/>
      <c r="CA9" s="682"/>
    </row>
    <row r="10" spans="1:79" s="45" customFormat="1" x14ac:dyDescent="0.2">
      <c r="A10" s="348">
        <v>1</v>
      </c>
      <c r="B10" s="343">
        <v>2</v>
      </c>
      <c r="C10" s="343">
        <v>3</v>
      </c>
      <c r="D10" s="343">
        <v>4</v>
      </c>
      <c r="E10" s="343">
        <v>5</v>
      </c>
      <c r="F10" s="382">
        <v>6</v>
      </c>
      <c r="G10" s="382">
        <v>7</v>
      </c>
      <c r="H10" s="398">
        <v>9</v>
      </c>
      <c r="I10" s="397">
        <v>10</v>
      </c>
      <c r="J10" s="397">
        <v>11</v>
      </c>
      <c r="K10" s="396">
        <v>12</v>
      </c>
      <c r="L10" s="382">
        <v>13</v>
      </c>
      <c r="M10" s="382">
        <v>15</v>
      </c>
      <c r="N10" s="382">
        <v>16</v>
      </c>
      <c r="O10" s="382">
        <v>17</v>
      </c>
      <c r="P10" s="382">
        <v>18</v>
      </c>
      <c r="Q10" s="382">
        <v>20</v>
      </c>
      <c r="R10" s="382">
        <v>22</v>
      </c>
      <c r="S10" s="382">
        <v>24</v>
      </c>
      <c r="T10" s="382">
        <v>25</v>
      </c>
      <c r="U10" s="382">
        <v>26</v>
      </c>
      <c r="V10" s="382">
        <v>27</v>
      </c>
      <c r="W10" s="382">
        <v>29</v>
      </c>
      <c r="X10" s="382">
        <v>31</v>
      </c>
      <c r="Y10" s="382">
        <v>33</v>
      </c>
      <c r="Z10" s="382">
        <v>34</v>
      </c>
      <c r="AA10" s="382">
        <v>35</v>
      </c>
      <c r="AB10" s="382">
        <v>36</v>
      </c>
      <c r="AC10" s="382">
        <v>38</v>
      </c>
      <c r="AD10" s="382">
        <v>40</v>
      </c>
      <c r="AE10" s="382">
        <v>42</v>
      </c>
      <c r="AF10" s="382">
        <v>43</v>
      </c>
      <c r="AG10" s="382">
        <v>44</v>
      </c>
      <c r="AH10" s="382">
        <v>45</v>
      </c>
      <c r="AI10" s="382">
        <v>47</v>
      </c>
      <c r="AJ10" s="382">
        <v>49</v>
      </c>
      <c r="AK10" s="382">
        <v>51</v>
      </c>
      <c r="AL10" s="382">
        <v>52</v>
      </c>
      <c r="AM10" s="382">
        <v>53</v>
      </c>
      <c r="AN10" s="382">
        <v>54</v>
      </c>
      <c r="AO10" s="382">
        <v>56</v>
      </c>
      <c r="AP10" s="382">
        <v>58</v>
      </c>
      <c r="AQ10" s="382">
        <v>60</v>
      </c>
      <c r="AR10" s="382">
        <v>61</v>
      </c>
      <c r="AS10" s="382">
        <v>62</v>
      </c>
      <c r="AT10" s="382">
        <v>63</v>
      </c>
      <c r="AU10" s="382">
        <v>65</v>
      </c>
      <c r="AV10" s="382">
        <v>67</v>
      </c>
      <c r="AW10" s="382">
        <v>69</v>
      </c>
      <c r="AX10" s="382">
        <v>70</v>
      </c>
      <c r="AY10" s="382">
        <v>71</v>
      </c>
      <c r="AZ10" s="382">
        <v>72</v>
      </c>
      <c r="BA10" s="382">
        <v>74</v>
      </c>
      <c r="BB10" s="382">
        <v>76</v>
      </c>
      <c r="BC10" s="382">
        <v>78</v>
      </c>
      <c r="BD10" s="382">
        <v>79</v>
      </c>
      <c r="BE10" s="382">
        <v>80</v>
      </c>
      <c r="BF10" s="382">
        <v>81</v>
      </c>
      <c r="BG10" s="382">
        <v>83</v>
      </c>
      <c r="BH10" s="382">
        <v>85</v>
      </c>
      <c r="BI10" s="382">
        <v>87</v>
      </c>
      <c r="BJ10" s="382">
        <v>88</v>
      </c>
      <c r="BK10" s="382">
        <v>89</v>
      </c>
      <c r="BL10" s="382">
        <v>90</v>
      </c>
      <c r="BM10" s="382">
        <v>92</v>
      </c>
      <c r="BN10" s="382">
        <v>94</v>
      </c>
      <c r="BO10" s="382">
        <v>96</v>
      </c>
      <c r="BP10" s="382">
        <v>97</v>
      </c>
      <c r="BQ10" s="382">
        <v>98</v>
      </c>
      <c r="BR10" s="382">
        <v>99</v>
      </c>
      <c r="BS10" s="382">
        <v>101</v>
      </c>
      <c r="BT10" s="382">
        <v>103</v>
      </c>
      <c r="BU10" s="382">
        <v>105</v>
      </c>
      <c r="BV10" s="382">
        <v>106</v>
      </c>
      <c r="BW10" s="382">
        <v>107</v>
      </c>
      <c r="BX10" s="382">
        <v>108</v>
      </c>
      <c r="BY10" s="382">
        <v>110</v>
      </c>
      <c r="BZ10" s="382">
        <v>111</v>
      </c>
      <c r="CA10" s="382">
        <v>112</v>
      </c>
    </row>
    <row r="11" spans="1:79" s="95" customFormat="1" ht="30" customHeight="1" x14ac:dyDescent="0.2">
      <c r="A11" s="430"/>
      <c r="B11" s="734" t="s">
        <v>552</v>
      </c>
      <c r="C11" s="734"/>
      <c r="D11" s="734"/>
      <c r="E11" s="734"/>
      <c r="F11" s="734"/>
      <c r="G11" s="734"/>
      <c r="H11" s="431"/>
      <c r="I11" s="432">
        <f>[1]Нормы!D6</f>
        <v>2106</v>
      </c>
      <c r="J11" s="432">
        <f>[1]Нормы!E6</f>
        <v>1404</v>
      </c>
      <c r="K11" s="432">
        <f t="shared" ref="K11:BM11" si="0">K12+K19</f>
        <v>2106</v>
      </c>
      <c r="L11" s="432">
        <f t="shared" si="0"/>
        <v>1404</v>
      </c>
      <c r="M11" s="432">
        <f t="shared" si="0"/>
        <v>1189</v>
      </c>
      <c r="N11" s="432">
        <f t="shared" si="0"/>
        <v>215</v>
      </c>
      <c r="O11" s="432">
        <f t="shared" si="0"/>
        <v>0</v>
      </c>
      <c r="P11" s="432">
        <f t="shared" si="0"/>
        <v>0</v>
      </c>
      <c r="Q11" s="432">
        <f t="shared" si="0"/>
        <v>702</v>
      </c>
      <c r="R11" s="432">
        <f t="shared" si="0"/>
        <v>918</v>
      </c>
      <c r="S11" s="432">
        <f t="shared" si="0"/>
        <v>525</v>
      </c>
      <c r="T11" s="432">
        <f t="shared" si="0"/>
        <v>87</v>
      </c>
      <c r="U11" s="432">
        <f t="shared" si="0"/>
        <v>0</v>
      </c>
      <c r="V11" s="432">
        <f t="shared" si="0"/>
        <v>0</v>
      </c>
      <c r="W11" s="432">
        <f t="shared" si="0"/>
        <v>306</v>
      </c>
      <c r="X11" s="432">
        <f t="shared" si="0"/>
        <v>1188</v>
      </c>
      <c r="Y11" s="432">
        <f t="shared" si="0"/>
        <v>664</v>
      </c>
      <c r="Z11" s="432">
        <f t="shared" si="0"/>
        <v>128</v>
      </c>
      <c r="AA11" s="432">
        <f t="shared" si="0"/>
        <v>0</v>
      </c>
      <c r="AB11" s="432">
        <f t="shared" si="0"/>
        <v>0</v>
      </c>
      <c r="AC11" s="432">
        <f t="shared" si="0"/>
        <v>396</v>
      </c>
      <c r="AD11" s="432">
        <f t="shared" si="0"/>
        <v>0</v>
      </c>
      <c r="AE11" s="432">
        <f t="shared" si="0"/>
        <v>0</v>
      </c>
      <c r="AF11" s="432">
        <f t="shared" si="0"/>
        <v>0</v>
      </c>
      <c r="AG11" s="432">
        <f t="shared" si="0"/>
        <v>0</v>
      </c>
      <c r="AH11" s="432">
        <f t="shared" si="0"/>
        <v>0</v>
      </c>
      <c r="AI11" s="432">
        <f t="shared" si="0"/>
        <v>0</v>
      </c>
      <c r="AJ11" s="432">
        <f t="shared" si="0"/>
        <v>0</v>
      </c>
      <c r="AK11" s="432">
        <f t="shared" si="0"/>
        <v>0</v>
      </c>
      <c r="AL11" s="432">
        <f t="shared" si="0"/>
        <v>0</v>
      </c>
      <c r="AM11" s="432">
        <f t="shared" si="0"/>
        <v>0</v>
      </c>
      <c r="AN11" s="432">
        <f t="shared" si="0"/>
        <v>0</v>
      </c>
      <c r="AO11" s="432">
        <f t="shared" si="0"/>
        <v>0</v>
      </c>
      <c r="AP11" s="432">
        <f t="shared" si="0"/>
        <v>0</v>
      </c>
      <c r="AQ11" s="432">
        <f t="shared" si="0"/>
        <v>0</v>
      </c>
      <c r="AR11" s="432">
        <f t="shared" si="0"/>
        <v>0</v>
      </c>
      <c r="AS11" s="432">
        <f t="shared" si="0"/>
        <v>0</v>
      </c>
      <c r="AT11" s="432">
        <f t="shared" si="0"/>
        <v>0</v>
      </c>
      <c r="AU11" s="432">
        <f t="shared" si="0"/>
        <v>0</v>
      </c>
      <c r="AV11" s="432">
        <f t="shared" si="0"/>
        <v>0</v>
      </c>
      <c r="AW11" s="432">
        <f t="shared" si="0"/>
        <v>0</v>
      </c>
      <c r="AX11" s="432">
        <f t="shared" si="0"/>
        <v>0</v>
      </c>
      <c r="AY11" s="432">
        <f t="shared" si="0"/>
        <v>0</v>
      </c>
      <c r="AZ11" s="432">
        <f t="shared" si="0"/>
        <v>0</v>
      </c>
      <c r="BA11" s="432">
        <f t="shared" si="0"/>
        <v>0</v>
      </c>
      <c r="BB11" s="432">
        <f t="shared" si="0"/>
        <v>0</v>
      </c>
      <c r="BC11" s="432">
        <f t="shared" si="0"/>
        <v>0</v>
      </c>
      <c r="BD11" s="432">
        <f t="shared" si="0"/>
        <v>0</v>
      </c>
      <c r="BE11" s="432">
        <f t="shared" si="0"/>
        <v>0</v>
      </c>
      <c r="BF11" s="432">
        <f t="shared" si="0"/>
        <v>0</v>
      </c>
      <c r="BG11" s="432">
        <f t="shared" si="0"/>
        <v>0</v>
      </c>
      <c r="BH11" s="432">
        <f t="shared" si="0"/>
        <v>0</v>
      </c>
      <c r="BI11" s="432">
        <f t="shared" si="0"/>
        <v>0</v>
      </c>
      <c r="BJ11" s="432">
        <f t="shared" si="0"/>
        <v>0</v>
      </c>
      <c r="BK11" s="432">
        <f t="shared" si="0"/>
        <v>0</v>
      </c>
      <c r="BL11" s="432">
        <f t="shared" si="0"/>
        <v>0</v>
      </c>
      <c r="BM11" s="432">
        <f t="shared" si="0"/>
        <v>0</v>
      </c>
      <c r="BN11" s="432">
        <f t="shared" ref="BN11:BY11" si="1">BN12+BN19</f>
        <v>0</v>
      </c>
      <c r="BO11" s="432">
        <f t="shared" si="1"/>
        <v>0</v>
      </c>
      <c r="BP11" s="432">
        <f t="shared" si="1"/>
        <v>0</v>
      </c>
      <c r="BQ11" s="432">
        <f t="shared" si="1"/>
        <v>0</v>
      </c>
      <c r="BR11" s="432">
        <f t="shared" si="1"/>
        <v>0</v>
      </c>
      <c r="BS11" s="432">
        <f t="shared" si="1"/>
        <v>0</v>
      </c>
      <c r="BT11" s="432">
        <f t="shared" si="1"/>
        <v>0</v>
      </c>
      <c r="BU11" s="432">
        <f t="shared" si="1"/>
        <v>0</v>
      </c>
      <c r="BV11" s="432">
        <f t="shared" si="1"/>
        <v>0</v>
      </c>
      <c r="BW11" s="432">
        <f t="shared" si="1"/>
        <v>0</v>
      </c>
      <c r="BX11" s="432">
        <f t="shared" si="1"/>
        <v>0</v>
      </c>
      <c r="BY11" s="432">
        <f t="shared" si="1"/>
        <v>0</v>
      </c>
      <c r="BZ11" s="433"/>
      <c r="CA11" s="433"/>
    </row>
    <row r="12" spans="1:79" s="127" customFormat="1" ht="13.5" customHeight="1" x14ac:dyDescent="0.2">
      <c r="A12" s="434"/>
      <c r="B12" s="770" t="s">
        <v>641</v>
      </c>
      <c r="C12" s="699"/>
      <c r="D12" s="435"/>
      <c r="E12" s="435"/>
      <c r="F12" s="435"/>
      <c r="G12" s="435"/>
      <c r="H12" s="435"/>
      <c r="I12" s="436" t="str">
        <f>[2]Нормы!D7</f>
        <v>-</v>
      </c>
      <c r="J12" s="436">
        <f>SUM(J13:J18)</f>
        <v>850</v>
      </c>
      <c r="K12" s="436">
        <f t="shared" ref="K12:BM12" si="2">SUM(K13:K18)</f>
        <v>1314</v>
      </c>
      <c r="L12" s="436">
        <f t="shared" si="2"/>
        <v>876</v>
      </c>
      <c r="M12" s="436">
        <f t="shared" si="2"/>
        <v>759</v>
      </c>
      <c r="N12" s="436">
        <f t="shared" si="2"/>
        <v>117</v>
      </c>
      <c r="O12" s="436">
        <f t="shared" si="2"/>
        <v>0</v>
      </c>
      <c r="P12" s="436">
        <f t="shared" si="2"/>
        <v>0</v>
      </c>
      <c r="Q12" s="436">
        <f t="shared" si="2"/>
        <v>438</v>
      </c>
      <c r="R12" s="436">
        <f t="shared" si="2"/>
        <v>529</v>
      </c>
      <c r="S12" s="436">
        <f t="shared" si="2"/>
        <v>302</v>
      </c>
      <c r="T12" s="436">
        <f t="shared" si="2"/>
        <v>51</v>
      </c>
      <c r="U12" s="436">
        <f t="shared" si="2"/>
        <v>0</v>
      </c>
      <c r="V12" s="436">
        <f t="shared" si="2"/>
        <v>0</v>
      </c>
      <c r="W12" s="436">
        <f t="shared" si="2"/>
        <v>176</v>
      </c>
      <c r="X12" s="436">
        <f t="shared" si="2"/>
        <v>785</v>
      </c>
      <c r="Y12" s="436">
        <f t="shared" si="2"/>
        <v>457</v>
      </c>
      <c r="Z12" s="436">
        <f t="shared" si="2"/>
        <v>66</v>
      </c>
      <c r="AA12" s="436">
        <f t="shared" si="2"/>
        <v>0</v>
      </c>
      <c r="AB12" s="436">
        <f t="shared" si="2"/>
        <v>0</v>
      </c>
      <c r="AC12" s="436">
        <f t="shared" si="2"/>
        <v>262</v>
      </c>
      <c r="AD12" s="436">
        <f t="shared" si="2"/>
        <v>0</v>
      </c>
      <c r="AE12" s="436">
        <f t="shared" si="2"/>
        <v>0</v>
      </c>
      <c r="AF12" s="436">
        <f t="shared" si="2"/>
        <v>0</v>
      </c>
      <c r="AG12" s="436">
        <f t="shared" si="2"/>
        <v>0</v>
      </c>
      <c r="AH12" s="436">
        <f t="shared" si="2"/>
        <v>0</v>
      </c>
      <c r="AI12" s="436">
        <f t="shared" si="2"/>
        <v>0</v>
      </c>
      <c r="AJ12" s="436">
        <f t="shared" si="2"/>
        <v>0</v>
      </c>
      <c r="AK12" s="436">
        <f t="shared" si="2"/>
        <v>0</v>
      </c>
      <c r="AL12" s="436">
        <f t="shared" si="2"/>
        <v>0</v>
      </c>
      <c r="AM12" s="436">
        <f t="shared" si="2"/>
        <v>0</v>
      </c>
      <c r="AN12" s="436">
        <f t="shared" si="2"/>
        <v>0</v>
      </c>
      <c r="AO12" s="436">
        <f t="shared" si="2"/>
        <v>0</v>
      </c>
      <c r="AP12" s="436">
        <f t="shared" si="2"/>
        <v>0</v>
      </c>
      <c r="AQ12" s="436">
        <f t="shared" si="2"/>
        <v>0</v>
      </c>
      <c r="AR12" s="436">
        <f t="shared" si="2"/>
        <v>0</v>
      </c>
      <c r="AS12" s="436">
        <f t="shared" si="2"/>
        <v>0</v>
      </c>
      <c r="AT12" s="436">
        <f t="shared" si="2"/>
        <v>0</v>
      </c>
      <c r="AU12" s="436">
        <f t="shared" si="2"/>
        <v>0</v>
      </c>
      <c r="AV12" s="436">
        <f t="shared" si="2"/>
        <v>0</v>
      </c>
      <c r="AW12" s="436">
        <f t="shared" si="2"/>
        <v>0</v>
      </c>
      <c r="AX12" s="436">
        <f t="shared" si="2"/>
        <v>0</v>
      </c>
      <c r="AY12" s="436">
        <f t="shared" si="2"/>
        <v>0</v>
      </c>
      <c r="AZ12" s="436">
        <f t="shared" si="2"/>
        <v>0</v>
      </c>
      <c r="BA12" s="436">
        <f t="shared" si="2"/>
        <v>0</v>
      </c>
      <c r="BB12" s="436">
        <f t="shared" si="2"/>
        <v>0</v>
      </c>
      <c r="BC12" s="436">
        <f t="shared" si="2"/>
        <v>0</v>
      </c>
      <c r="BD12" s="436">
        <f t="shared" si="2"/>
        <v>0</v>
      </c>
      <c r="BE12" s="436">
        <f t="shared" si="2"/>
        <v>0</v>
      </c>
      <c r="BF12" s="436">
        <f t="shared" si="2"/>
        <v>0</v>
      </c>
      <c r="BG12" s="436">
        <f t="shared" si="2"/>
        <v>0</v>
      </c>
      <c r="BH12" s="436">
        <f t="shared" si="2"/>
        <v>0</v>
      </c>
      <c r="BI12" s="436">
        <f t="shared" si="2"/>
        <v>0</v>
      </c>
      <c r="BJ12" s="436">
        <f t="shared" si="2"/>
        <v>0</v>
      </c>
      <c r="BK12" s="436">
        <f t="shared" si="2"/>
        <v>0</v>
      </c>
      <c r="BL12" s="436">
        <f t="shared" si="2"/>
        <v>0</v>
      </c>
      <c r="BM12" s="436">
        <f t="shared" si="2"/>
        <v>0</v>
      </c>
      <c r="BN12" s="436">
        <f t="shared" ref="BN12:BY12" si="3">SUM(BN13:BN18)</f>
        <v>0</v>
      </c>
      <c r="BO12" s="436">
        <f t="shared" si="3"/>
        <v>0</v>
      </c>
      <c r="BP12" s="436">
        <f t="shared" si="3"/>
        <v>0</v>
      </c>
      <c r="BQ12" s="436">
        <f t="shared" si="3"/>
        <v>0</v>
      </c>
      <c r="BR12" s="436">
        <f t="shared" si="3"/>
        <v>0</v>
      </c>
      <c r="BS12" s="436">
        <f t="shared" si="3"/>
        <v>0</v>
      </c>
      <c r="BT12" s="436">
        <f t="shared" si="3"/>
        <v>0</v>
      </c>
      <c r="BU12" s="436">
        <f t="shared" si="3"/>
        <v>0</v>
      </c>
      <c r="BV12" s="436">
        <f t="shared" si="3"/>
        <v>0</v>
      </c>
      <c r="BW12" s="436">
        <f t="shared" si="3"/>
        <v>0</v>
      </c>
      <c r="BX12" s="436">
        <f t="shared" si="3"/>
        <v>0</v>
      </c>
      <c r="BY12" s="436">
        <f t="shared" si="3"/>
        <v>0</v>
      </c>
      <c r="BZ12" s="435"/>
      <c r="CA12" s="435"/>
    </row>
    <row r="13" spans="1:79" s="97" customFormat="1" ht="14.25" customHeight="1" x14ac:dyDescent="0.2">
      <c r="A13" s="591" t="s">
        <v>628</v>
      </c>
      <c r="B13" s="438" t="s">
        <v>607</v>
      </c>
      <c r="C13" s="223"/>
      <c r="D13" s="425" t="s">
        <v>31</v>
      </c>
      <c r="E13" s="425" t="s">
        <v>27</v>
      </c>
      <c r="F13" s="425"/>
      <c r="G13" s="425"/>
      <c r="H13" s="425"/>
      <c r="I13" s="200"/>
      <c r="J13" s="439">
        <v>195</v>
      </c>
      <c r="K13" s="419">
        <f t="shared" ref="K13:K18" si="4">L13+SUM(Q13:Q13)</f>
        <v>280</v>
      </c>
      <c r="L13" s="419">
        <f t="shared" ref="L13:L18" si="5">SUM(M13:P13)</f>
        <v>200</v>
      </c>
      <c r="M13" s="419">
        <f t="shared" ref="M13:Q18" si="6">S13+Y13+AE13+AK13+AQ13+AW13+BC13+BI13+BO13+BU13</f>
        <v>200</v>
      </c>
      <c r="N13" s="419">
        <f t="shared" si="6"/>
        <v>0</v>
      </c>
      <c r="O13" s="419">
        <f t="shared" si="6"/>
        <v>0</v>
      </c>
      <c r="P13" s="419">
        <f t="shared" si="6"/>
        <v>0</v>
      </c>
      <c r="Q13" s="419">
        <f t="shared" si="6"/>
        <v>80</v>
      </c>
      <c r="R13" s="418">
        <f t="shared" ref="R13:R18" si="7">SUM(S13:W13)</f>
        <v>94</v>
      </c>
      <c r="S13" s="200">
        <v>68</v>
      </c>
      <c r="T13" s="200"/>
      <c r="U13" s="200"/>
      <c r="V13" s="200"/>
      <c r="W13" s="200">
        <v>26</v>
      </c>
      <c r="X13" s="418">
        <f t="shared" ref="X13:X18" si="8">SUM(Y13:AC13)</f>
        <v>186</v>
      </c>
      <c r="Y13" s="200">
        <v>132</v>
      </c>
      <c r="Z13" s="200"/>
      <c r="AA13" s="200"/>
      <c r="AB13" s="200"/>
      <c r="AC13" s="200">
        <v>54</v>
      </c>
      <c r="AD13" s="418">
        <f t="shared" ref="AD13:AD18" si="9">SUM(AE13:AI13)</f>
        <v>0</v>
      </c>
      <c r="AE13" s="200"/>
      <c r="AF13" s="200"/>
      <c r="AG13" s="200"/>
      <c r="AH13" s="200"/>
      <c r="AI13" s="200"/>
      <c r="AJ13" s="418">
        <f t="shared" ref="AJ13:AJ18" si="10">SUM(AK13:AO13)</f>
        <v>0</v>
      </c>
      <c r="AK13" s="200"/>
      <c r="AL13" s="200"/>
      <c r="AM13" s="200"/>
      <c r="AN13" s="200"/>
      <c r="AO13" s="200"/>
      <c r="AP13" s="418">
        <f t="shared" ref="AP13:AP18" si="11">SUM(AQ13:AU13)</f>
        <v>0</v>
      </c>
      <c r="AQ13" s="200"/>
      <c r="AR13" s="200"/>
      <c r="AS13" s="200"/>
      <c r="AT13" s="200"/>
      <c r="AU13" s="200"/>
      <c r="AV13" s="418">
        <f t="shared" ref="AV13:AV18" si="12">SUM(AW13:BA13)</f>
        <v>0</v>
      </c>
      <c r="AW13" s="200"/>
      <c r="AX13" s="200"/>
      <c r="AY13" s="200"/>
      <c r="AZ13" s="200"/>
      <c r="BA13" s="200"/>
      <c r="BB13" s="418">
        <f t="shared" ref="BB13:BB18" si="13">SUM(BC13:BG13)</f>
        <v>0</v>
      </c>
      <c r="BC13" s="200"/>
      <c r="BD13" s="200"/>
      <c r="BE13" s="200"/>
      <c r="BF13" s="200"/>
      <c r="BG13" s="200"/>
      <c r="BH13" s="418">
        <f t="shared" ref="BH13:BH18" si="14">SUM(BI13:BM13)</f>
        <v>0</v>
      </c>
      <c r="BI13" s="200"/>
      <c r="BJ13" s="200"/>
      <c r="BK13" s="200"/>
      <c r="BL13" s="200"/>
      <c r="BM13" s="200"/>
      <c r="BN13" s="418">
        <f t="shared" ref="BN13:BN18" si="15">SUM(BO13:BS13)</f>
        <v>0</v>
      </c>
      <c r="BO13" s="200"/>
      <c r="BP13" s="200"/>
      <c r="BQ13" s="200"/>
      <c r="BR13" s="200"/>
      <c r="BS13" s="200"/>
      <c r="BT13" s="418">
        <f t="shared" ref="BT13:BT18" si="16">SUM(BU13:BY13)</f>
        <v>0</v>
      </c>
      <c r="BU13" s="200"/>
      <c r="BV13" s="200"/>
      <c r="BW13" s="200"/>
      <c r="BX13" s="200"/>
      <c r="BY13" s="200"/>
      <c r="BZ13" s="545" t="s">
        <v>504</v>
      </c>
      <c r="CA13" s="545"/>
    </row>
    <row r="14" spans="1:79" s="97" customFormat="1" ht="14.25" customHeight="1" x14ac:dyDescent="0.2">
      <c r="A14" s="591" t="s">
        <v>629</v>
      </c>
      <c r="B14" s="438" t="s">
        <v>142</v>
      </c>
      <c r="C14" s="223"/>
      <c r="D14" s="425"/>
      <c r="E14" s="425" t="s">
        <v>31</v>
      </c>
      <c r="F14" s="425"/>
      <c r="G14" s="425"/>
      <c r="H14" s="425"/>
      <c r="I14" s="200"/>
      <c r="J14" s="439">
        <v>117</v>
      </c>
      <c r="K14" s="419">
        <f t="shared" si="4"/>
        <v>167</v>
      </c>
      <c r="L14" s="419">
        <f t="shared" si="5"/>
        <v>117</v>
      </c>
      <c r="M14" s="419">
        <f t="shared" si="6"/>
        <v>0</v>
      </c>
      <c r="N14" s="419">
        <f t="shared" si="6"/>
        <v>117</v>
      </c>
      <c r="O14" s="419">
        <f t="shared" si="6"/>
        <v>0</v>
      </c>
      <c r="P14" s="419">
        <f t="shared" si="6"/>
        <v>0</v>
      </c>
      <c r="Q14" s="419">
        <f t="shared" si="6"/>
        <v>50</v>
      </c>
      <c r="R14" s="418">
        <f t="shared" si="7"/>
        <v>69</v>
      </c>
      <c r="S14" s="200"/>
      <c r="T14" s="200">
        <v>51</v>
      </c>
      <c r="U14" s="200"/>
      <c r="V14" s="200"/>
      <c r="W14" s="200">
        <v>18</v>
      </c>
      <c r="X14" s="418">
        <f t="shared" si="8"/>
        <v>98</v>
      </c>
      <c r="Y14" s="200"/>
      <c r="Z14" s="200">
        <v>66</v>
      </c>
      <c r="AA14" s="200"/>
      <c r="AB14" s="200"/>
      <c r="AC14" s="200">
        <v>32</v>
      </c>
      <c r="AD14" s="418">
        <f t="shared" si="9"/>
        <v>0</v>
      </c>
      <c r="AE14" s="200"/>
      <c r="AF14" s="200"/>
      <c r="AG14" s="200"/>
      <c r="AH14" s="200"/>
      <c r="AI14" s="200"/>
      <c r="AJ14" s="418">
        <f t="shared" si="10"/>
        <v>0</v>
      </c>
      <c r="AK14" s="200"/>
      <c r="AL14" s="200"/>
      <c r="AM14" s="200"/>
      <c r="AN14" s="200"/>
      <c r="AO14" s="200"/>
      <c r="AP14" s="418">
        <f t="shared" si="11"/>
        <v>0</v>
      </c>
      <c r="AQ14" s="200"/>
      <c r="AR14" s="200"/>
      <c r="AS14" s="200"/>
      <c r="AT14" s="200"/>
      <c r="AU14" s="200"/>
      <c r="AV14" s="418">
        <f t="shared" si="12"/>
        <v>0</v>
      </c>
      <c r="AW14" s="200"/>
      <c r="AX14" s="200"/>
      <c r="AY14" s="200"/>
      <c r="AZ14" s="200"/>
      <c r="BA14" s="200"/>
      <c r="BB14" s="418">
        <f t="shared" si="13"/>
        <v>0</v>
      </c>
      <c r="BC14" s="200"/>
      <c r="BD14" s="200"/>
      <c r="BE14" s="200"/>
      <c r="BF14" s="200"/>
      <c r="BG14" s="200"/>
      <c r="BH14" s="418">
        <f t="shared" si="14"/>
        <v>0</v>
      </c>
      <c r="BI14" s="200"/>
      <c r="BJ14" s="200"/>
      <c r="BK14" s="200"/>
      <c r="BL14" s="200"/>
      <c r="BM14" s="200"/>
      <c r="BN14" s="418">
        <f t="shared" si="15"/>
        <v>0</v>
      </c>
      <c r="BO14" s="200"/>
      <c r="BP14" s="200"/>
      <c r="BQ14" s="200"/>
      <c r="BR14" s="200"/>
      <c r="BS14" s="200"/>
      <c r="BT14" s="418">
        <f t="shared" si="16"/>
        <v>0</v>
      </c>
      <c r="BU14" s="200"/>
      <c r="BV14" s="200"/>
      <c r="BW14" s="200"/>
      <c r="BX14" s="200"/>
      <c r="BY14" s="200"/>
      <c r="BZ14" s="545" t="s">
        <v>504</v>
      </c>
      <c r="CA14" s="545"/>
    </row>
    <row r="15" spans="1:79" s="97" customFormat="1" ht="38.25" customHeight="1" x14ac:dyDescent="0.2">
      <c r="A15" s="591" t="s">
        <v>630</v>
      </c>
      <c r="B15" s="223" t="s">
        <v>608</v>
      </c>
      <c r="C15" s="223"/>
      <c r="D15" s="425" t="s">
        <v>31</v>
      </c>
      <c r="E15" s="425" t="s">
        <v>27</v>
      </c>
      <c r="F15" s="425"/>
      <c r="G15" s="425"/>
      <c r="H15" s="425"/>
      <c r="I15" s="200"/>
      <c r="J15" s="439">
        <v>234</v>
      </c>
      <c r="K15" s="419">
        <f t="shared" si="4"/>
        <v>368</v>
      </c>
      <c r="L15" s="419">
        <f t="shared" si="5"/>
        <v>255</v>
      </c>
      <c r="M15" s="419">
        <f t="shared" si="6"/>
        <v>255</v>
      </c>
      <c r="N15" s="419">
        <f t="shared" si="6"/>
        <v>0</v>
      </c>
      <c r="O15" s="419">
        <f t="shared" si="6"/>
        <v>0</v>
      </c>
      <c r="P15" s="419">
        <f t="shared" si="6"/>
        <v>0</v>
      </c>
      <c r="Q15" s="419">
        <f t="shared" si="6"/>
        <v>113</v>
      </c>
      <c r="R15" s="418">
        <f t="shared" si="7"/>
        <v>153</v>
      </c>
      <c r="S15" s="200">
        <v>102</v>
      </c>
      <c r="T15" s="200"/>
      <c r="U15" s="200"/>
      <c r="V15" s="200"/>
      <c r="W15" s="200">
        <v>51</v>
      </c>
      <c r="X15" s="418">
        <f t="shared" si="8"/>
        <v>215</v>
      </c>
      <c r="Y15" s="200">
        <v>153</v>
      </c>
      <c r="Z15" s="200"/>
      <c r="AA15" s="200"/>
      <c r="AB15" s="200"/>
      <c r="AC15" s="200">
        <v>62</v>
      </c>
      <c r="AD15" s="418">
        <f t="shared" si="9"/>
        <v>0</v>
      </c>
      <c r="AE15" s="200"/>
      <c r="AF15" s="200"/>
      <c r="AG15" s="200"/>
      <c r="AH15" s="200"/>
      <c r="AI15" s="200"/>
      <c r="AJ15" s="418">
        <f t="shared" si="10"/>
        <v>0</v>
      </c>
      <c r="AK15" s="200"/>
      <c r="AL15" s="200"/>
      <c r="AM15" s="200"/>
      <c r="AN15" s="200"/>
      <c r="AO15" s="200"/>
      <c r="AP15" s="418">
        <f t="shared" si="11"/>
        <v>0</v>
      </c>
      <c r="AQ15" s="200"/>
      <c r="AR15" s="200"/>
      <c r="AS15" s="200"/>
      <c r="AT15" s="200"/>
      <c r="AU15" s="200"/>
      <c r="AV15" s="418">
        <f t="shared" si="12"/>
        <v>0</v>
      </c>
      <c r="AW15" s="200"/>
      <c r="AX15" s="200"/>
      <c r="AY15" s="200"/>
      <c r="AZ15" s="200"/>
      <c r="BA15" s="200"/>
      <c r="BB15" s="418">
        <f t="shared" si="13"/>
        <v>0</v>
      </c>
      <c r="BC15" s="200"/>
      <c r="BD15" s="200"/>
      <c r="BE15" s="200"/>
      <c r="BF15" s="200"/>
      <c r="BG15" s="200"/>
      <c r="BH15" s="418">
        <f t="shared" si="14"/>
        <v>0</v>
      </c>
      <c r="BI15" s="200"/>
      <c r="BJ15" s="200"/>
      <c r="BK15" s="200"/>
      <c r="BL15" s="200"/>
      <c r="BM15" s="200"/>
      <c r="BN15" s="418">
        <f t="shared" si="15"/>
        <v>0</v>
      </c>
      <c r="BO15" s="200"/>
      <c r="BP15" s="200"/>
      <c r="BQ15" s="200"/>
      <c r="BR15" s="200"/>
      <c r="BS15" s="200"/>
      <c r="BT15" s="418">
        <f t="shared" si="16"/>
        <v>0</v>
      </c>
      <c r="BU15" s="200"/>
      <c r="BV15" s="200"/>
      <c r="BW15" s="200"/>
      <c r="BX15" s="200"/>
      <c r="BY15" s="200"/>
      <c r="BZ15" s="545" t="s">
        <v>505</v>
      </c>
      <c r="CA15" s="545"/>
    </row>
    <row r="16" spans="1:79" s="97" customFormat="1" ht="15.75" customHeight="1" x14ac:dyDescent="0.2">
      <c r="A16" s="591" t="s">
        <v>631</v>
      </c>
      <c r="B16" s="438" t="s">
        <v>141</v>
      </c>
      <c r="C16" s="223"/>
      <c r="D16" s="425" t="s">
        <v>31</v>
      </c>
      <c r="E16" s="425"/>
      <c r="F16" s="425"/>
      <c r="G16" s="425"/>
      <c r="H16" s="425"/>
      <c r="I16" s="200"/>
      <c r="J16" s="439">
        <v>117</v>
      </c>
      <c r="K16" s="419">
        <f t="shared" si="4"/>
        <v>167</v>
      </c>
      <c r="L16" s="419">
        <f t="shared" si="5"/>
        <v>117</v>
      </c>
      <c r="M16" s="419">
        <f t="shared" si="6"/>
        <v>117</v>
      </c>
      <c r="N16" s="419">
        <f t="shared" si="6"/>
        <v>0</v>
      </c>
      <c r="O16" s="419">
        <f t="shared" si="6"/>
        <v>0</v>
      </c>
      <c r="P16" s="419">
        <f t="shared" si="6"/>
        <v>0</v>
      </c>
      <c r="Q16" s="419">
        <f t="shared" si="6"/>
        <v>50</v>
      </c>
      <c r="R16" s="418">
        <f t="shared" si="7"/>
        <v>69</v>
      </c>
      <c r="S16" s="200">
        <v>51</v>
      </c>
      <c r="T16" s="200"/>
      <c r="U16" s="200"/>
      <c r="V16" s="200"/>
      <c r="W16" s="200">
        <v>18</v>
      </c>
      <c r="X16" s="418">
        <f t="shared" si="8"/>
        <v>98</v>
      </c>
      <c r="Y16" s="200">
        <v>66</v>
      </c>
      <c r="Z16" s="200"/>
      <c r="AA16" s="200"/>
      <c r="AB16" s="200"/>
      <c r="AC16" s="200">
        <v>32</v>
      </c>
      <c r="AD16" s="418">
        <f t="shared" si="9"/>
        <v>0</v>
      </c>
      <c r="AE16" s="200"/>
      <c r="AF16" s="200"/>
      <c r="AG16" s="200"/>
      <c r="AH16" s="200"/>
      <c r="AI16" s="200"/>
      <c r="AJ16" s="418">
        <f t="shared" si="10"/>
        <v>0</v>
      </c>
      <c r="AK16" s="200"/>
      <c r="AL16" s="200"/>
      <c r="AM16" s="200"/>
      <c r="AN16" s="200"/>
      <c r="AO16" s="200"/>
      <c r="AP16" s="418">
        <f t="shared" si="11"/>
        <v>0</v>
      </c>
      <c r="AQ16" s="200"/>
      <c r="AR16" s="200"/>
      <c r="AS16" s="200"/>
      <c r="AT16" s="200"/>
      <c r="AU16" s="200"/>
      <c r="AV16" s="418">
        <f t="shared" si="12"/>
        <v>0</v>
      </c>
      <c r="AW16" s="200"/>
      <c r="AX16" s="200"/>
      <c r="AY16" s="200"/>
      <c r="AZ16" s="200"/>
      <c r="BA16" s="200"/>
      <c r="BB16" s="418">
        <f t="shared" si="13"/>
        <v>0</v>
      </c>
      <c r="BC16" s="200"/>
      <c r="BD16" s="200"/>
      <c r="BE16" s="200"/>
      <c r="BF16" s="200"/>
      <c r="BG16" s="200"/>
      <c r="BH16" s="418">
        <f t="shared" si="14"/>
        <v>0</v>
      </c>
      <c r="BI16" s="200"/>
      <c r="BJ16" s="200"/>
      <c r="BK16" s="200"/>
      <c r="BL16" s="200"/>
      <c r="BM16" s="200"/>
      <c r="BN16" s="418">
        <f t="shared" si="15"/>
        <v>0</v>
      </c>
      <c r="BO16" s="200"/>
      <c r="BP16" s="200"/>
      <c r="BQ16" s="200"/>
      <c r="BR16" s="200"/>
      <c r="BS16" s="200"/>
      <c r="BT16" s="418">
        <f t="shared" si="16"/>
        <v>0</v>
      </c>
      <c r="BU16" s="200"/>
      <c r="BV16" s="200"/>
      <c r="BW16" s="200"/>
      <c r="BX16" s="200"/>
      <c r="BY16" s="200"/>
      <c r="BZ16" s="545" t="s">
        <v>504</v>
      </c>
      <c r="CA16" s="545"/>
    </row>
    <row r="17" spans="1:79" s="97" customFormat="1" ht="14.25" customHeight="1" x14ac:dyDescent="0.2">
      <c r="A17" s="591" t="s">
        <v>632</v>
      </c>
      <c r="B17" s="438" t="s">
        <v>7</v>
      </c>
      <c r="C17" s="223"/>
      <c r="D17" s="425"/>
      <c r="E17" s="425" t="s">
        <v>297</v>
      </c>
      <c r="F17" s="425"/>
      <c r="G17" s="425"/>
      <c r="H17" s="425"/>
      <c r="I17" s="200"/>
      <c r="J17" s="439">
        <v>117</v>
      </c>
      <c r="K17" s="419">
        <f t="shared" si="4"/>
        <v>234</v>
      </c>
      <c r="L17" s="419">
        <f t="shared" si="5"/>
        <v>117</v>
      </c>
      <c r="M17" s="419">
        <f t="shared" si="6"/>
        <v>117</v>
      </c>
      <c r="N17" s="419">
        <f t="shared" si="6"/>
        <v>0</v>
      </c>
      <c r="O17" s="419">
        <f t="shared" si="6"/>
        <v>0</v>
      </c>
      <c r="P17" s="419">
        <f t="shared" si="6"/>
        <v>0</v>
      </c>
      <c r="Q17" s="419">
        <f t="shared" si="6"/>
        <v>117</v>
      </c>
      <c r="R17" s="418">
        <f t="shared" si="7"/>
        <v>102</v>
      </c>
      <c r="S17" s="200">
        <v>51</v>
      </c>
      <c r="T17" s="200"/>
      <c r="U17" s="200"/>
      <c r="V17" s="200"/>
      <c r="W17" s="200">
        <v>51</v>
      </c>
      <c r="X17" s="418">
        <f t="shared" si="8"/>
        <v>132</v>
      </c>
      <c r="Y17" s="200">
        <v>66</v>
      </c>
      <c r="Z17" s="200"/>
      <c r="AA17" s="200"/>
      <c r="AB17" s="200"/>
      <c r="AC17" s="200">
        <v>66</v>
      </c>
      <c r="AD17" s="418">
        <f t="shared" si="9"/>
        <v>0</v>
      </c>
      <c r="AE17" s="200"/>
      <c r="AF17" s="200"/>
      <c r="AG17" s="200"/>
      <c r="AH17" s="200"/>
      <c r="AI17" s="200"/>
      <c r="AJ17" s="418">
        <f t="shared" si="10"/>
        <v>0</v>
      </c>
      <c r="AK17" s="200"/>
      <c r="AL17" s="200"/>
      <c r="AM17" s="200"/>
      <c r="AN17" s="200"/>
      <c r="AO17" s="200"/>
      <c r="AP17" s="418">
        <f t="shared" si="11"/>
        <v>0</v>
      </c>
      <c r="AQ17" s="200"/>
      <c r="AR17" s="200"/>
      <c r="AS17" s="200"/>
      <c r="AT17" s="200"/>
      <c r="AU17" s="200"/>
      <c r="AV17" s="418">
        <f t="shared" si="12"/>
        <v>0</v>
      </c>
      <c r="AW17" s="200"/>
      <c r="AX17" s="200"/>
      <c r="AY17" s="200"/>
      <c r="AZ17" s="200"/>
      <c r="BA17" s="200"/>
      <c r="BB17" s="418">
        <f t="shared" si="13"/>
        <v>0</v>
      </c>
      <c r="BC17" s="200"/>
      <c r="BD17" s="200"/>
      <c r="BE17" s="200"/>
      <c r="BF17" s="200"/>
      <c r="BG17" s="200"/>
      <c r="BH17" s="418">
        <f t="shared" si="14"/>
        <v>0</v>
      </c>
      <c r="BI17" s="200"/>
      <c r="BJ17" s="200"/>
      <c r="BK17" s="200"/>
      <c r="BL17" s="200"/>
      <c r="BM17" s="200"/>
      <c r="BN17" s="418">
        <f t="shared" si="15"/>
        <v>0</v>
      </c>
      <c r="BO17" s="200"/>
      <c r="BP17" s="200"/>
      <c r="BQ17" s="200"/>
      <c r="BR17" s="200"/>
      <c r="BS17" s="200"/>
      <c r="BT17" s="418">
        <f t="shared" si="16"/>
        <v>0</v>
      </c>
      <c r="BU17" s="200"/>
      <c r="BV17" s="200"/>
      <c r="BW17" s="200"/>
      <c r="BX17" s="200"/>
      <c r="BY17" s="200"/>
      <c r="BZ17" s="545" t="s">
        <v>506</v>
      </c>
      <c r="CA17" s="545"/>
    </row>
    <row r="18" spans="1:79" s="97" customFormat="1" ht="25.5" customHeight="1" x14ac:dyDescent="0.2">
      <c r="A18" s="591" t="s">
        <v>633</v>
      </c>
      <c r="B18" s="438" t="s">
        <v>501</v>
      </c>
      <c r="C18" s="223"/>
      <c r="D18" s="425"/>
      <c r="E18" s="425" t="s">
        <v>31</v>
      </c>
      <c r="F18" s="425"/>
      <c r="G18" s="425"/>
      <c r="H18" s="425"/>
      <c r="I18" s="200"/>
      <c r="J18" s="439">
        <v>70</v>
      </c>
      <c r="K18" s="419">
        <f t="shared" si="4"/>
        <v>98</v>
      </c>
      <c r="L18" s="419">
        <f t="shared" si="5"/>
        <v>70</v>
      </c>
      <c r="M18" s="419">
        <f t="shared" si="6"/>
        <v>70</v>
      </c>
      <c r="N18" s="419">
        <f t="shared" si="6"/>
        <v>0</v>
      </c>
      <c r="O18" s="419">
        <f t="shared" si="6"/>
        <v>0</v>
      </c>
      <c r="P18" s="419">
        <f t="shared" si="6"/>
        <v>0</v>
      </c>
      <c r="Q18" s="419">
        <f t="shared" si="6"/>
        <v>28</v>
      </c>
      <c r="R18" s="418">
        <f t="shared" si="7"/>
        <v>42</v>
      </c>
      <c r="S18" s="200">
        <v>30</v>
      </c>
      <c r="T18" s="200"/>
      <c r="U18" s="200"/>
      <c r="V18" s="200"/>
      <c r="W18" s="200">
        <v>12</v>
      </c>
      <c r="X18" s="418">
        <f t="shared" si="8"/>
        <v>56</v>
      </c>
      <c r="Y18" s="200">
        <v>40</v>
      </c>
      <c r="Z18" s="200"/>
      <c r="AA18" s="200"/>
      <c r="AB18" s="200"/>
      <c r="AC18" s="200">
        <v>16</v>
      </c>
      <c r="AD18" s="418">
        <f t="shared" si="9"/>
        <v>0</v>
      </c>
      <c r="AE18" s="200"/>
      <c r="AF18" s="200"/>
      <c r="AG18" s="200"/>
      <c r="AH18" s="200"/>
      <c r="AI18" s="200"/>
      <c r="AJ18" s="418">
        <f t="shared" si="10"/>
        <v>0</v>
      </c>
      <c r="AK18" s="200"/>
      <c r="AL18" s="200"/>
      <c r="AM18" s="200"/>
      <c r="AN18" s="200"/>
      <c r="AO18" s="200"/>
      <c r="AP18" s="418">
        <f t="shared" si="11"/>
        <v>0</v>
      </c>
      <c r="AQ18" s="200"/>
      <c r="AR18" s="200"/>
      <c r="AS18" s="200"/>
      <c r="AT18" s="200"/>
      <c r="AU18" s="200"/>
      <c r="AV18" s="418">
        <f t="shared" si="12"/>
        <v>0</v>
      </c>
      <c r="AW18" s="200"/>
      <c r="AX18" s="200"/>
      <c r="AY18" s="200"/>
      <c r="AZ18" s="200"/>
      <c r="BA18" s="200"/>
      <c r="BB18" s="418">
        <f t="shared" si="13"/>
        <v>0</v>
      </c>
      <c r="BC18" s="200"/>
      <c r="BD18" s="200"/>
      <c r="BE18" s="200"/>
      <c r="BF18" s="200"/>
      <c r="BG18" s="200"/>
      <c r="BH18" s="418">
        <f t="shared" si="14"/>
        <v>0</v>
      </c>
      <c r="BI18" s="200"/>
      <c r="BJ18" s="200"/>
      <c r="BK18" s="200"/>
      <c r="BL18" s="200"/>
      <c r="BM18" s="200"/>
      <c r="BN18" s="418">
        <f t="shared" si="15"/>
        <v>0</v>
      </c>
      <c r="BO18" s="200"/>
      <c r="BP18" s="200"/>
      <c r="BQ18" s="200"/>
      <c r="BR18" s="200"/>
      <c r="BS18" s="200"/>
      <c r="BT18" s="418">
        <f t="shared" si="16"/>
        <v>0</v>
      </c>
      <c r="BU18" s="200"/>
      <c r="BV18" s="200"/>
      <c r="BW18" s="200"/>
      <c r="BX18" s="200"/>
      <c r="BY18" s="200"/>
      <c r="BZ18" s="545" t="s">
        <v>505</v>
      </c>
      <c r="CA18" s="545"/>
    </row>
    <row r="19" spans="1:79" s="127" customFormat="1" ht="13.5" customHeight="1" x14ac:dyDescent="0.2">
      <c r="A19" s="434"/>
      <c r="B19" s="770" t="s">
        <v>642</v>
      </c>
      <c r="C19" s="699"/>
      <c r="D19" s="699"/>
      <c r="E19" s="699"/>
      <c r="F19" s="699"/>
      <c r="G19" s="699"/>
      <c r="H19" s="699"/>
      <c r="I19" s="436" t="s">
        <v>22</v>
      </c>
      <c r="J19" s="436">
        <f>SUM(J20:J26)</f>
        <v>515</v>
      </c>
      <c r="K19" s="436">
        <f t="shared" ref="K19:O19" si="17">SUM(K20:K26)</f>
        <v>792</v>
      </c>
      <c r="L19" s="436">
        <f t="shared" si="17"/>
        <v>528</v>
      </c>
      <c r="M19" s="436">
        <f t="shared" si="17"/>
        <v>430</v>
      </c>
      <c r="N19" s="436">
        <f t="shared" si="17"/>
        <v>98</v>
      </c>
      <c r="O19" s="436">
        <f t="shared" si="17"/>
        <v>0</v>
      </c>
      <c r="P19" s="436"/>
      <c r="Q19" s="436">
        <f t="shared" ref="Q19:BR19" si="18">SUM(Q20:Q26)</f>
        <v>264</v>
      </c>
      <c r="R19" s="436">
        <f t="shared" si="18"/>
        <v>389</v>
      </c>
      <c r="S19" s="436">
        <f t="shared" si="18"/>
        <v>223</v>
      </c>
      <c r="T19" s="436">
        <f t="shared" si="18"/>
        <v>36</v>
      </c>
      <c r="U19" s="436">
        <f t="shared" si="18"/>
        <v>0</v>
      </c>
      <c r="V19" s="436">
        <f t="shared" si="18"/>
        <v>0</v>
      </c>
      <c r="W19" s="436">
        <f t="shared" si="18"/>
        <v>130</v>
      </c>
      <c r="X19" s="436">
        <f t="shared" si="18"/>
        <v>403</v>
      </c>
      <c r="Y19" s="436">
        <f t="shared" si="18"/>
        <v>207</v>
      </c>
      <c r="Z19" s="436">
        <f t="shared" si="18"/>
        <v>62</v>
      </c>
      <c r="AA19" s="436">
        <f t="shared" si="18"/>
        <v>0</v>
      </c>
      <c r="AB19" s="436">
        <f t="shared" si="18"/>
        <v>0</v>
      </c>
      <c r="AC19" s="436">
        <f t="shared" si="18"/>
        <v>134</v>
      </c>
      <c r="AD19" s="436">
        <f t="shared" si="18"/>
        <v>0</v>
      </c>
      <c r="AE19" s="436">
        <f t="shared" si="18"/>
        <v>0</v>
      </c>
      <c r="AF19" s="436">
        <f t="shared" si="18"/>
        <v>0</v>
      </c>
      <c r="AG19" s="436">
        <f t="shared" si="18"/>
        <v>0</v>
      </c>
      <c r="AH19" s="436">
        <f t="shared" si="18"/>
        <v>0</v>
      </c>
      <c r="AI19" s="436">
        <f t="shared" si="18"/>
        <v>0</v>
      </c>
      <c r="AJ19" s="436">
        <f t="shared" si="18"/>
        <v>0</v>
      </c>
      <c r="AK19" s="436">
        <f t="shared" si="18"/>
        <v>0</v>
      </c>
      <c r="AL19" s="436">
        <f t="shared" si="18"/>
        <v>0</v>
      </c>
      <c r="AM19" s="436">
        <f t="shared" si="18"/>
        <v>0</v>
      </c>
      <c r="AN19" s="436">
        <f t="shared" si="18"/>
        <v>0</v>
      </c>
      <c r="AO19" s="436">
        <f t="shared" si="18"/>
        <v>0</v>
      </c>
      <c r="AP19" s="436">
        <f t="shared" si="18"/>
        <v>0</v>
      </c>
      <c r="AQ19" s="436">
        <f t="shared" si="18"/>
        <v>0</v>
      </c>
      <c r="AR19" s="436">
        <f t="shared" si="18"/>
        <v>0</v>
      </c>
      <c r="AS19" s="436">
        <f t="shared" si="18"/>
        <v>0</v>
      </c>
      <c r="AT19" s="436">
        <f t="shared" si="18"/>
        <v>0</v>
      </c>
      <c r="AU19" s="436">
        <f t="shared" si="18"/>
        <v>0</v>
      </c>
      <c r="AV19" s="436">
        <f t="shared" si="18"/>
        <v>0</v>
      </c>
      <c r="AW19" s="436">
        <f t="shared" si="18"/>
        <v>0</v>
      </c>
      <c r="AX19" s="436">
        <f t="shared" si="18"/>
        <v>0</v>
      </c>
      <c r="AY19" s="436">
        <f t="shared" si="18"/>
        <v>0</v>
      </c>
      <c r="AZ19" s="436">
        <f t="shared" si="18"/>
        <v>0</v>
      </c>
      <c r="BA19" s="436">
        <f t="shared" si="18"/>
        <v>0</v>
      </c>
      <c r="BB19" s="436">
        <f t="shared" si="18"/>
        <v>0</v>
      </c>
      <c r="BC19" s="436">
        <f t="shared" si="18"/>
        <v>0</v>
      </c>
      <c r="BD19" s="436">
        <f t="shared" si="18"/>
        <v>0</v>
      </c>
      <c r="BE19" s="436">
        <f t="shared" si="18"/>
        <v>0</v>
      </c>
      <c r="BF19" s="436">
        <f t="shared" si="18"/>
        <v>0</v>
      </c>
      <c r="BG19" s="436">
        <f t="shared" si="18"/>
        <v>0</v>
      </c>
      <c r="BH19" s="436">
        <f t="shared" si="18"/>
        <v>0</v>
      </c>
      <c r="BI19" s="436">
        <f t="shared" si="18"/>
        <v>0</v>
      </c>
      <c r="BJ19" s="436">
        <f t="shared" si="18"/>
        <v>0</v>
      </c>
      <c r="BK19" s="436">
        <f t="shared" si="18"/>
        <v>0</v>
      </c>
      <c r="BL19" s="436">
        <f t="shared" si="18"/>
        <v>0</v>
      </c>
      <c r="BM19" s="436">
        <f t="shared" si="18"/>
        <v>0</v>
      </c>
      <c r="BN19" s="436">
        <f t="shared" si="18"/>
        <v>0</v>
      </c>
      <c r="BO19" s="436">
        <f t="shared" si="18"/>
        <v>0</v>
      </c>
      <c r="BP19" s="436">
        <f t="shared" si="18"/>
        <v>0</v>
      </c>
      <c r="BQ19" s="436">
        <f t="shared" si="18"/>
        <v>0</v>
      </c>
      <c r="BR19" s="436">
        <f t="shared" si="18"/>
        <v>0</v>
      </c>
      <c r="BS19" s="436">
        <f t="shared" ref="BS19:CA19" si="19">SUM(BS20:BS26)</f>
        <v>0</v>
      </c>
      <c r="BT19" s="436">
        <f t="shared" si="19"/>
        <v>0</v>
      </c>
      <c r="BU19" s="436">
        <f t="shared" si="19"/>
        <v>0</v>
      </c>
      <c r="BV19" s="436">
        <f t="shared" si="19"/>
        <v>0</v>
      </c>
      <c r="BW19" s="436">
        <f t="shared" si="19"/>
        <v>0</v>
      </c>
      <c r="BX19" s="436">
        <f t="shared" si="19"/>
        <v>0</v>
      </c>
      <c r="BY19" s="436">
        <f t="shared" si="19"/>
        <v>0</v>
      </c>
      <c r="BZ19" s="436">
        <f t="shared" si="19"/>
        <v>0</v>
      </c>
      <c r="CA19" s="436">
        <f t="shared" si="19"/>
        <v>0</v>
      </c>
    </row>
    <row r="20" spans="1:79" s="97" customFormat="1" ht="16.5" customHeight="1" x14ac:dyDescent="0.2">
      <c r="A20" s="591" t="s">
        <v>634</v>
      </c>
      <c r="B20" s="223" t="s">
        <v>144</v>
      </c>
      <c r="C20" s="223"/>
      <c r="D20" s="425"/>
      <c r="E20" s="425" t="s">
        <v>31</v>
      </c>
      <c r="F20" s="425"/>
      <c r="G20" s="425"/>
      <c r="H20" s="425"/>
      <c r="I20" s="200"/>
      <c r="J20" s="439">
        <v>100</v>
      </c>
      <c r="K20" s="419">
        <f t="shared" ref="K20:K26" si="20">L20+SUM(Q20:Q20)</f>
        <v>150</v>
      </c>
      <c r="L20" s="419">
        <f t="shared" ref="L20:L26" si="21">SUM(M20:P20)</f>
        <v>100</v>
      </c>
      <c r="M20" s="419">
        <f t="shared" ref="M20:Q26" si="22">S20+Y20+AE20+AK20+AQ20+AW20+BC20+BI20+BO20+BU20</f>
        <v>60</v>
      </c>
      <c r="N20" s="419">
        <f t="shared" si="22"/>
        <v>40</v>
      </c>
      <c r="O20" s="419">
        <f t="shared" si="22"/>
        <v>0</v>
      </c>
      <c r="P20" s="419">
        <f t="shared" si="22"/>
        <v>0</v>
      </c>
      <c r="Q20" s="419">
        <f t="shared" si="22"/>
        <v>50</v>
      </c>
      <c r="R20" s="418">
        <f t="shared" ref="R20:R26" si="23">SUM(S20:W20)</f>
        <v>51</v>
      </c>
      <c r="S20" s="200">
        <v>22</v>
      </c>
      <c r="T20" s="200">
        <v>12</v>
      </c>
      <c r="U20" s="200"/>
      <c r="V20" s="200"/>
      <c r="W20" s="200">
        <v>17</v>
      </c>
      <c r="X20" s="418">
        <f t="shared" ref="X20:X26" si="24">SUM(Y20:AC20)</f>
        <v>99</v>
      </c>
      <c r="Y20" s="200">
        <v>38</v>
      </c>
      <c r="Z20" s="200">
        <v>28</v>
      </c>
      <c r="AA20" s="200"/>
      <c r="AB20" s="200"/>
      <c r="AC20" s="200">
        <v>33</v>
      </c>
      <c r="AD20" s="418">
        <f>SUM(AE20:AI20)</f>
        <v>0</v>
      </c>
      <c r="AE20" s="200"/>
      <c r="AF20" s="200"/>
      <c r="AG20" s="200"/>
      <c r="AH20" s="200"/>
      <c r="AI20" s="200"/>
      <c r="AJ20" s="418">
        <f>SUM(AK20:AO20)</f>
        <v>0</v>
      </c>
      <c r="AK20" s="200"/>
      <c r="AL20" s="200"/>
      <c r="AM20" s="200"/>
      <c r="AN20" s="200"/>
      <c r="AO20" s="200"/>
      <c r="AP20" s="418">
        <f>SUM(AQ20:AU20)</f>
        <v>0</v>
      </c>
      <c r="AQ20" s="200"/>
      <c r="AR20" s="200"/>
      <c r="AS20" s="200"/>
      <c r="AT20" s="200"/>
      <c r="AU20" s="200"/>
      <c r="AV20" s="418">
        <f>SUM(AW20:BA20)</f>
        <v>0</v>
      </c>
      <c r="AW20" s="200"/>
      <c r="AX20" s="200"/>
      <c r="AY20" s="200"/>
      <c r="AZ20" s="200"/>
      <c r="BA20" s="200"/>
      <c r="BB20" s="418">
        <f>SUM(BC20:BG20)</f>
        <v>0</v>
      </c>
      <c r="BC20" s="200"/>
      <c r="BD20" s="200"/>
      <c r="BE20" s="200"/>
      <c r="BF20" s="200"/>
      <c r="BG20" s="200"/>
      <c r="BH20" s="418">
        <f>SUM(BI20:BM20)</f>
        <v>0</v>
      </c>
      <c r="BI20" s="200"/>
      <c r="BJ20" s="200"/>
      <c r="BK20" s="200"/>
      <c r="BL20" s="200"/>
      <c r="BM20" s="200"/>
      <c r="BN20" s="418">
        <f>SUM(BO20:BS20)</f>
        <v>0</v>
      </c>
      <c r="BO20" s="200"/>
      <c r="BP20" s="200"/>
      <c r="BQ20" s="200"/>
      <c r="BR20" s="200"/>
      <c r="BS20" s="200"/>
      <c r="BT20" s="418">
        <f>SUM(BU20:BY20)</f>
        <v>0</v>
      </c>
      <c r="BU20" s="200"/>
      <c r="BV20" s="200"/>
      <c r="BW20" s="200"/>
      <c r="BX20" s="200"/>
      <c r="BY20" s="200"/>
      <c r="BZ20" s="590" t="s">
        <v>505</v>
      </c>
      <c r="CA20" s="590"/>
    </row>
    <row r="21" spans="1:79" s="97" customFormat="1" ht="15.75" customHeight="1" x14ac:dyDescent="0.2">
      <c r="A21" s="591" t="s">
        <v>635</v>
      </c>
      <c r="B21" s="223" t="s">
        <v>188</v>
      </c>
      <c r="C21" s="223"/>
      <c r="D21" s="425" t="s">
        <v>31</v>
      </c>
      <c r="E21" s="425"/>
      <c r="F21" s="425"/>
      <c r="G21" s="425"/>
      <c r="H21" s="425"/>
      <c r="I21" s="200"/>
      <c r="J21" s="439">
        <v>121</v>
      </c>
      <c r="K21" s="419">
        <f t="shared" si="20"/>
        <v>201</v>
      </c>
      <c r="L21" s="419">
        <f t="shared" si="21"/>
        <v>134</v>
      </c>
      <c r="M21" s="419">
        <f t="shared" si="22"/>
        <v>96</v>
      </c>
      <c r="N21" s="419">
        <f t="shared" si="22"/>
        <v>38</v>
      </c>
      <c r="O21" s="419">
        <f t="shared" si="22"/>
        <v>0</v>
      </c>
      <c r="P21" s="419">
        <f t="shared" si="22"/>
        <v>0</v>
      </c>
      <c r="Q21" s="419">
        <f t="shared" si="22"/>
        <v>67</v>
      </c>
      <c r="R21" s="418">
        <f t="shared" si="23"/>
        <v>102</v>
      </c>
      <c r="S21" s="200">
        <v>52</v>
      </c>
      <c r="T21" s="200">
        <v>16</v>
      </c>
      <c r="U21" s="200"/>
      <c r="V21" s="200"/>
      <c r="W21" s="200">
        <v>34</v>
      </c>
      <c r="X21" s="418">
        <f t="shared" si="24"/>
        <v>99</v>
      </c>
      <c r="Y21" s="200">
        <v>44</v>
      </c>
      <c r="Z21" s="200">
        <v>22</v>
      </c>
      <c r="AA21" s="200"/>
      <c r="AB21" s="200"/>
      <c r="AC21" s="200">
        <v>33</v>
      </c>
      <c r="AD21" s="418">
        <f>SUM(AE21:AI21)</f>
        <v>0</v>
      </c>
      <c r="AE21" s="200"/>
      <c r="AF21" s="200"/>
      <c r="AG21" s="200"/>
      <c r="AH21" s="200"/>
      <c r="AI21" s="200"/>
      <c r="AJ21" s="418">
        <f>SUM(AK21:AO21)</f>
        <v>0</v>
      </c>
      <c r="AK21" s="200"/>
      <c r="AL21" s="200"/>
      <c r="AM21" s="200"/>
      <c r="AN21" s="200"/>
      <c r="AO21" s="200"/>
      <c r="AP21" s="418">
        <f>SUM(AQ21:AU21)</f>
        <v>0</v>
      </c>
      <c r="AQ21" s="200"/>
      <c r="AR21" s="200"/>
      <c r="AS21" s="200"/>
      <c r="AT21" s="200"/>
      <c r="AU21" s="200"/>
      <c r="AV21" s="418">
        <f>SUM(AW21:BA21)</f>
        <v>0</v>
      </c>
      <c r="AW21" s="200"/>
      <c r="AX21" s="200"/>
      <c r="AY21" s="200"/>
      <c r="AZ21" s="200"/>
      <c r="BA21" s="200"/>
      <c r="BB21" s="418">
        <f>SUM(BC21:BG21)</f>
        <v>0</v>
      </c>
      <c r="BC21" s="200"/>
      <c r="BD21" s="200"/>
      <c r="BE21" s="200"/>
      <c r="BF21" s="200"/>
      <c r="BG21" s="200"/>
      <c r="BH21" s="418">
        <f>SUM(BI21:BM21)</f>
        <v>0</v>
      </c>
      <c r="BI21" s="200"/>
      <c r="BJ21" s="200"/>
      <c r="BK21" s="200"/>
      <c r="BL21" s="200"/>
      <c r="BM21" s="200"/>
      <c r="BN21" s="418">
        <f>SUM(BO21:BS21)</f>
        <v>0</v>
      </c>
      <c r="BO21" s="200"/>
      <c r="BP21" s="200"/>
      <c r="BQ21" s="200"/>
      <c r="BR21" s="200"/>
      <c r="BS21" s="200"/>
      <c r="BT21" s="418">
        <f>SUM(BU21:BY21)</f>
        <v>0</v>
      </c>
      <c r="BU21" s="200"/>
      <c r="BV21" s="200"/>
      <c r="BW21" s="200"/>
      <c r="BX21" s="200"/>
      <c r="BY21" s="200"/>
      <c r="BZ21" s="590" t="s">
        <v>505</v>
      </c>
      <c r="CA21" s="590"/>
    </row>
    <row r="22" spans="1:79" s="97" customFormat="1" ht="18.75" customHeight="1" x14ac:dyDescent="0.2">
      <c r="A22" s="591" t="s">
        <v>636</v>
      </c>
      <c r="B22" s="438" t="s">
        <v>186</v>
      </c>
      <c r="C22" s="223"/>
      <c r="D22" s="425"/>
      <c r="E22" s="425" t="s">
        <v>31</v>
      </c>
      <c r="F22" s="425"/>
      <c r="G22" s="425"/>
      <c r="H22" s="425"/>
      <c r="I22" s="200"/>
      <c r="J22" s="439">
        <v>78</v>
      </c>
      <c r="K22" s="419">
        <f t="shared" si="20"/>
        <v>117</v>
      </c>
      <c r="L22" s="419">
        <f t="shared" si="21"/>
        <v>78</v>
      </c>
      <c r="M22" s="419">
        <f t="shared" si="22"/>
        <v>58</v>
      </c>
      <c r="N22" s="419">
        <f t="shared" si="22"/>
        <v>20</v>
      </c>
      <c r="O22" s="419">
        <f t="shared" si="22"/>
        <v>0</v>
      </c>
      <c r="P22" s="419">
        <f t="shared" si="22"/>
        <v>0</v>
      </c>
      <c r="Q22" s="419">
        <f t="shared" si="22"/>
        <v>39</v>
      </c>
      <c r="R22" s="418">
        <f t="shared" si="23"/>
        <v>51</v>
      </c>
      <c r="S22" s="200">
        <v>26</v>
      </c>
      <c r="T22" s="200">
        <v>8</v>
      </c>
      <c r="U22" s="200"/>
      <c r="V22" s="200"/>
      <c r="W22" s="200">
        <v>17</v>
      </c>
      <c r="X22" s="418">
        <f t="shared" si="24"/>
        <v>66</v>
      </c>
      <c r="Y22" s="200">
        <v>32</v>
      </c>
      <c r="Z22" s="200">
        <v>12</v>
      </c>
      <c r="AA22" s="200"/>
      <c r="AB22" s="200"/>
      <c r="AC22" s="200">
        <v>22</v>
      </c>
      <c r="AD22" s="418">
        <f>SUM(AE22:AI22)</f>
        <v>0</v>
      </c>
      <c r="AE22" s="200"/>
      <c r="AF22" s="200"/>
      <c r="AG22" s="200"/>
      <c r="AH22" s="200"/>
      <c r="AI22" s="200"/>
      <c r="AJ22" s="418">
        <f>SUM(AK22:AO22)</f>
        <v>0</v>
      </c>
      <c r="AK22" s="200"/>
      <c r="AL22" s="200"/>
      <c r="AM22" s="200"/>
      <c r="AN22" s="200"/>
      <c r="AO22" s="200"/>
      <c r="AP22" s="418">
        <f>SUM(AQ22:AU22)</f>
        <v>0</v>
      </c>
      <c r="AQ22" s="200"/>
      <c r="AR22" s="200"/>
      <c r="AS22" s="200"/>
      <c r="AT22" s="200"/>
      <c r="AU22" s="200"/>
      <c r="AV22" s="418">
        <f>SUM(AW22:BA22)</f>
        <v>0</v>
      </c>
      <c r="AW22" s="200"/>
      <c r="AX22" s="200"/>
      <c r="AY22" s="200"/>
      <c r="AZ22" s="200"/>
      <c r="BA22" s="200"/>
      <c r="BB22" s="418">
        <f>SUM(BC22:BG22)</f>
        <v>0</v>
      </c>
      <c r="BC22" s="200"/>
      <c r="BD22" s="200"/>
      <c r="BE22" s="200"/>
      <c r="BF22" s="200"/>
      <c r="BG22" s="200"/>
      <c r="BH22" s="418">
        <f>SUM(BI22:BM22)</f>
        <v>0</v>
      </c>
      <c r="BI22" s="200"/>
      <c r="BJ22" s="200"/>
      <c r="BK22" s="200"/>
      <c r="BL22" s="200"/>
      <c r="BM22" s="200"/>
      <c r="BN22" s="418">
        <f>SUM(BO22:BS22)</f>
        <v>0</v>
      </c>
      <c r="BO22" s="200"/>
      <c r="BP22" s="200"/>
      <c r="BQ22" s="200"/>
      <c r="BR22" s="200"/>
      <c r="BS22" s="200"/>
      <c r="BT22" s="418">
        <f>SUM(BU22:BY22)</f>
        <v>0</v>
      </c>
      <c r="BU22" s="200"/>
      <c r="BV22" s="200"/>
      <c r="BW22" s="200"/>
      <c r="BX22" s="200"/>
      <c r="BY22" s="200"/>
      <c r="BZ22" s="590" t="s">
        <v>505</v>
      </c>
      <c r="CA22" s="590"/>
    </row>
    <row r="23" spans="1:79" s="97" customFormat="1" ht="28.5" customHeight="1" x14ac:dyDescent="0.2">
      <c r="A23" s="591" t="s">
        <v>637</v>
      </c>
      <c r="B23" s="438" t="s">
        <v>185</v>
      </c>
      <c r="C23" s="223"/>
      <c r="D23" s="425"/>
      <c r="E23" s="425" t="s">
        <v>31</v>
      </c>
      <c r="F23" s="425"/>
      <c r="G23" s="425"/>
      <c r="H23" s="425"/>
      <c r="I23" s="200"/>
      <c r="J23" s="439">
        <v>108</v>
      </c>
      <c r="K23" s="419">
        <f t="shared" si="20"/>
        <v>162</v>
      </c>
      <c r="L23" s="419">
        <f t="shared" si="21"/>
        <v>108</v>
      </c>
      <c r="M23" s="419">
        <f t="shared" si="22"/>
        <v>108</v>
      </c>
      <c r="N23" s="419">
        <f t="shared" si="22"/>
        <v>0</v>
      </c>
      <c r="O23" s="419">
        <f t="shared" si="22"/>
        <v>0</v>
      </c>
      <c r="P23" s="419">
        <f t="shared" si="22"/>
        <v>0</v>
      </c>
      <c r="Q23" s="419">
        <f t="shared" si="22"/>
        <v>54</v>
      </c>
      <c r="R23" s="418">
        <f t="shared" si="23"/>
        <v>77</v>
      </c>
      <c r="S23" s="200">
        <v>51</v>
      </c>
      <c r="T23" s="200"/>
      <c r="U23" s="200"/>
      <c r="V23" s="200"/>
      <c r="W23" s="200">
        <v>26</v>
      </c>
      <c r="X23" s="418">
        <f t="shared" si="24"/>
        <v>85</v>
      </c>
      <c r="Y23" s="200">
        <v>57</v>
      </c>
      <c r="Z23" s="200"/>
      <c r="AA23" s="200"/>
      <c r="AB23" s="200"/>
      <c r="AC23" s="200">
        <v>28</v>
      </c>
      <c r="AD23" s="418">
        <f>SUM(AE23:AI23)</f>
        <v>0</v>
      </c>
      <c r="AE23" s="200"/>
      <c r="AF23" s="200"/>
      <c r="AG23" s="200"/>
      <c r="AH23" s="200"/>
      <c r="AI23" s="200"/>
      <c r="AJ23" s="418">
        <f>SUM(AK23:AO23)</f>
        <v>0</v>
      </c>
      <c r="AK23" s="200"/>
      <c r="AL23" s="200"/>
      <c r="AM23" s="200"/>
      <c r="AN23" s="200"/>
      <c r="AO23" s="200"/>
      <c r="AP23" s="418">
        <f>SUM(AQ23:AU23)</f>
        <v>0</v>
      </c>
      <c r="AQ23" s="200"/>
      <c r="AR23" s="200"/>
      <c r="AS23" s="200"/>
      <c r="AT23" s="200"/>
      <c r="AU23" s="200"/>
      <c r="AV23" s="418">
        <f>SUM(AW23:BA23)</f>
        <v>0</v>
      </c>
      <c r="AW23" s="200"/>
      <c r="AX23" s="200"/>
      <c r="AY23" s="200"/>
      <c r="AZ23" s="200"/>
      <c r="BA23" s="200"/>
      <c r="BB23" s="418">
        <f>SUM(BC23:BG23)</f>
        <v>0</v>
      </c>
      <c r="BC23" s="200"/>
      <c r="BD23" s="200"/>
      <c r="BE23" s="200"/>
      <c r="BF23" s="200"/>
      <c r="BG23" s="200"/>
      <c r="BH23" s="418">
        <f>SUM(BI23:BM23)</f>
        <v>0</v>
      </c>
      <c r="BI23" s="200"/>
      <c r="BJ23" s="200"/>
      <c r="BK23" s="200"/>
      <c r="BL23" s="200"/>
      <c r="BM23" s="200"/>
      <c r="BN23" s="418">
        <f>SUM(BO23:BS23)</f>
        <v>0</v>
      </c>
      <c r="BO23" s="200"/>
      <c r="BP23" s="200"/>
      <c r="BQ23" s="200"/>
      <c r="BR23" s="200"/>
      <c r="BS23" s="200"/>
      <c r="BT23" s="418">
        <f>SUM(BU23:BY23)</f>
        <v>0</v>
      </c>
      <c r="BU23" s="200"/>
      <c r="BV23" s="200"/>
      <c r="BW23" s="200"/>
      <c r="BX23" s="200"/>
      <c r="BY23" s="200"/>
      <c r="BZ23" s="590" t="s">
        <v>504</v>
      </c>
      <c r="CA23" s="590"/>
    </row>
    <row r="24" spans="1:79" s="97" customFormat="1" ht="17.25" customHeight="1" x14ac:dyDescent="0.2">
      <c r="A24" s="591" t="s">
        <v>638</v>
      </c>
      <c r="B24" s="438" t="s">
        <v>187</v>
      </c>
      <c r="C24" s="223"/>
      <c r="D24" s="425"/>
      <c r="E24" s="425" t="s">
        <v>27</v>
      </c>
      <c r="F24" s="425"/>
      <c r="G24" s="425"/>
      <c r="H24" s="425"/>
      <c r="I24" s="200"/>
      <c r="J24" s="439">
        <v>36</v>
      </c>
      <c r="K24" s="419">
        <f t="shared" si="20"/>
        <v>54</v>
      </c>
      <c r="L24" s="419">
        <f t="shared" si="21"/>
        <v>36</v>
      </c>
      <c r="M24" s="419">
        <f t="shared" si="22"/>
        <v>36</v>
      </c>
      <c r="N24" s="419">
        <f t="shared" si="22"/>
        <v>0</v>
      </c>
      <c r="O24" s="419">
        <f t="shared" si="22"/>
        <v>0</v>
      </c>
      <c r="P24" s="419">
        <f t="shared" si="22"/>
        <v>0</v>
      </c>
      <c r="Q24" s="419">
        <f t="shared" si="22"/>
        <v>18</v>
      </c>
      <c r="R24" s="418">
        <f t="shared" si="23"/>
        <v>54</v>
      </c>
      <c r="S24" s="200">
        <v>36</v>
      </c>
      <c r="T24" s="200"/>
      <c r="U24" s="200"/>
      <c r="V24" s="200"/>
      <c r="W24" s="200">
        <v>18</v>
      </c>
      <c r="X24" s="418">
        <f t="shared" si="24"/>
        <v>0</v>
      </c>
      <c r="Y24" s="200"/>
      <c r="Z24" s="200"/>
      <c r="AA24" s="200"/>
      <c r="AB24" s="200"/>
      <c r="AC24" s="200"/>
      <c r="AD24" s="418">
        <f>SUM(AE24:AI24)</f>
        <v>0</v>
      </c>
      <c r="AE24" s="200"/>
      <c r="AF24" s="200"/>
      <c r="AG24" s="200"/>
      <c r="AH24" s="200"/>
      <c r="AI24" s="200"/>
      <c r="AJ24" s="418">
        <f>SUM(AK24:AO24)</f>
        <v>0</v>
      </c>
      <c r="AK24" s="200"/>
      <c r="AL24" s="200"/>
      <c r="AM24" s="200"/>
      <c r="AN24" s="200"/>
      <c r="AO24" s="200"/>
      <c r="AP24" s="418">
        <f>SUM(AQ24:AU24)</f>
        <v>0</v>
      </c>
      <c r="AQ24" s="200"/>
      <c r="AR24" s="200"/>
      <c r="AS24" s="200"/>
      <c r="AT24" s="200"/>
      <c r="AU24" s="200"/>
      <c r="AV24" s="418">
        <f>SUM(AW24:BA24)</f>
        <v>0</v>
      </c>
      <c r="AW24" s="200"/>
      <c r="AX24" s="200"/>
      <c r="AY24" s="200"/>
      <c r="AZ24" s="200"/>
      <c r="BA24" s="200"/>
      <c r="BB24" s="418">
        <f>SUM(BC24:BG24)</f>
        <v>0</v>
      </c>
      <c r="BC24" s="200"/>
      <c r="BD24" s="200"/>
      <c r="BE24" s="200"/>
      <c r="BF24" s="200"/>
      <c r="BG24" s="200"/>
      <c r="BH24" s="418">
        <f>SUM(BI24:BM24)</f>
        <v>0</v>
      </c>
      <c r="BI24" s="200"/>
      <c r="BJ24" s="200"/>
      <c r="BK24" s="200"/>
      <c r="BL24" s="200"/>
      <c r="BM24" s="200"/>
      <c r="BN24" s="418">
        <f>SUM(BO24:BS24)</f>
        <v>0</v>
      </c>
      <c r="BO24" s="200"/>
      <c r="BP24" s="200"/>
      <c r="BQ24" s="200"/>
      <c r="BR24" s="200"/>
      <c r="BS24" s="200"/>
      <c r="BT24" s="418">
        <f>SUM(BU24:BY24)</f>
        <v>0</v>
      </c>
      <c r="BU24" s="200"/>
      <c r="BV24" s="200"/>
      <c r="BW24" s="200"/>
      <c r="BX24" s="200"/>
      <c r="BY24" s="200"/>
      <c r="BZ24" s="590" t="s">
        <v>505</v>
      </c>
      <c r="CA24" s="590"/>
    </row>
    <row r="25" spans="1:79" s="97" customFormat="1" ht="18.75" customHeight="1" x14ac:dyDescent="0.2">
      <c r="A25" s="591" t="s">
        <v>639</v>
      </c>
      <c r="B25" s="438" t="s">
        <v>369</v>
      </c>
      <c r="C25" s="223"/>
      <c r="D25" s="425"/>
      <c r="E25" s="425" t="s">
        <v>31</v>
      </c>
      <c r="F25" s="425"/>
      <c r="G25" s="425"/>
      <c r="H25" s="425"/>
      <c r="I25" s="200"/>
      <c r="J25" s="439">
        <v>36</v>
      </c>
      <c r="K25" s="419">
        <f t="shared" si="20"/>
        <v>54</v>
      </c>
      <c r="L25" s="419">
        <f t="shared" si="21"/>
        <v>36</v>
      </c>
      <c r="M25" s="419">
        <f t="shared" si="22"/>
        <v>36</v>
      </c>
      <c r="N25" s="419">
        <f t="shared" si="22"/>
        <v>0</v>
      </c>
      <c r="O25" s="419">
        <f t="shared" si="22"/>
        <v>0</v>
      </c>
      <c r="P25" s="419">
        <f t="shared" si="22"/>
        <v>0</v>
      </c>
      <c r="Q25" s="419">
        <f t="shared" si="22"/>
        <v>18</v>
      </c>
      <c r="R25" s="418">
        <f t="shared" si="23"/>
        <v>0</v>
      </c>
      <c r="S25" s="200"/>
      <c r="T25" s="200"/>
      <c r="U25" s="200"/>
      <c r="V25" s="200"/>
      <c r="W25" s="200"/>
      <c r="X25" s="418">
        <f t="shared" si="24"/>
        <v>54</v>
      </c>
      <c r="Y25" s="200">
        <v>36</v>
      </c>
      <c r="Z25" s="200"/>
      <c r="AA25" s="200"/>
      <c r="AB25" s="200"/>
      <c r="AC25" s="200">
        <v>18</v>
      </c>
      <c r="AD25" s="418"/>
      <c r="AE25" s="200"/>
      <c r="AF25" s="200"/>
      <c r="AG25" s="200"/>
      <c r="AH25" s="200"/>
      <c r="AI25" s="200"/>
      <c r="AJ25" s="418"/>
      <c r="AK25" s="200"/>
      <c r="AL25" s="200"/>
      <c r="AM25" s="200"/>
      <c r="AN25" s="200"/>
      <c r="AO25" s="200"/>
      <c r="AP25" s="418"/>
      <c r="AQ25" s="200"/>
      <c r="AR25" s="200"/>
      <c r="AS25" s="200"/>
      <c r="AT25" s="200"/>
      <c r="AU25" s="200"/>
      <c r="AV25" s="418"/>
      <c r="AW25" s="200"/>
      <c r="AX25" s="200"/>
      <c r="AY25" s="200"/>
      <c r="AZ25" s="200"/>
      <c r="BA25" s="200"/>
      <c r="BB25" s="418"/>
      <c r="BC25" s="200"/>
      <c r="BD25" s="200"/>
      <c r="BE25" s="200"/>
      <c r="BF25" s="200"/>
      <c r="BG25" s="200"/>
      <c r="BH25" s="418"/>
      <c r="BI25" s="200"/>
      <c r="BJ25" s="200"/>
      <c r="BK25" s="200"/>
      <c r="BL25" s="200"/>
      <c r="BM25" s="200"/>
      <c r="BN25" s="418"/>
      <c r="BO25" s="200"/>
      <c r="BP25" s="200"/>
      <c r="BQ25" s="200"/>
      <c r="BR25" s="200"/>
      <c r="BS25" s="200"/>
      <c r="BT25" s="418"/>
      <c r="BU25" s="200"/>
      <c r="BV25" s="200"/>
      <c r="BW25" s="200"/>
      <c r="BX25" s="200"/>
      <c r="BY25" s="200"/>
      <c r="BZ25" s="590" t="s">
        <v>505</v>
      </c>
      <c r="CA25" s="590"/>
    </row>
    <row r="26" spans="1:79" s="97" customFormat="1" ht="17.25" customHeight="1" x14ac:dyDescent="0.2">
      <c r="A26" s="591" t="s">
        <v>640</v>
      </c>
      <c r="B26" s="438" t="s">
        <v>370</v>
      </c>
      <c r="C26" s="223"/>
      <c r="D26" s="425"/>
      <c r="E26" s="425" t="s">
        <v>27</v>
      </c>
      <c r="F26" s="425"/>
      <c r="G26" s="425"/>
      <c r="H26" s="425"/>
      <c r="I26" s="200"/>
      <c r="J26" s="439">
        <v>36</v>
      </c>
      <c r="K26" s="419">
        <f t="shared" si="20"/>
        <v>54</v>
      </c>
      <c r="L26" s="419">
        <f t="shared" si="21"/>
        <v>36</v>
      </c>
      <c r="M26" s="419">
        <f t="shared" si="22"/>
        <v>36</v>
      </c>
      <c r="N26" s="419">
        <f t="shared" si="22"/>
        <v>0</v>
      </c>
      <c r="O26" s="419">
        <f t="shared" si="22"/>
        <v>0</v>
      </c>
      <c r="P26" s="419">
        <f t="shared" si="22"/>
        <v>0</v>
      </c>
      <c r="Q26" s="419">
        <f t="shared" si="22"/>
        <v>18</v>
      </c>
      <c r="R26" s="418">
        <f t="shared" si="23"/>
        <v>54</v>
      </c>
      <c r="S26" s="200">
        <v>36</v>
      </c>
      <c r="T26" s="200"/>
      <c r="U26" s="200"/>
      <c r="V26" s="200"/>
      <c r="W26" s="200">
        <v>18</v>
      </c>
      <c r="X26" s="418">
        <f t="shared" si="24"/>
        <v>0</v>
      </c>
      <c r="Y26" s="200"/>
      <c r="Z26" s="200"/>
      <c r="AA26" s="200"/>
      <c r="AB26" s="200"/>
      <c r="AC26" s="200"/>
      <c r="AD26" s="418"/>
      <c r="AE26" s="200"/>
      <c r="AF26" s="200"/>
      <c r="AG26" s="200"/>
      <c r="AH26" s="200"/>
      <c r="AI26" s="200"/>
      <c r="AJ26" s="418"/>
      <c r="AK26" s="200"/>
      <c r="AL26" s="200"/>
      <c r="AM26" s="200"/>
      <c r="AN26" s="200"/>
      <c r="AO26" s="200"/>
      <c r="AP26" s="418"/>
      <c r="AQ26" s="200"/>
      <c r="AR26" s="200"/>
      <c r="AS26" s="200"/>
      <c r="AT26" s="200"/>
      <c r="AU26" s="200"/>
      <c r="AV26" s="418"/>
      <c r="AW26" s="200"/>
      <c r="AX26" s="200"/>
      <c r="AY26" s="200"/>
      <c r="AZ26" s="200"/>
      <c r="BA26" s="200"/>
      <c r="BB26" s="418"/>
      <c r="BC26" s="200"/>
      <c r="BD26" s="200"/>
      <c r="BE26" s="200"/>
      <c r="BF26" s="200"/>
      <c r="BG26" s="200"/>
      <c r="BH26" s="418"/>
      <c r="BI26" s="200"/>
      <c r="BJ26" s="200"/>
      <c r="BK26" s="200"/>
      <c r="BL26" s="200"/>
      <c r="BM26" s="200"/>
      <c r="BN26" s="418"/>
      <c r="BO26" s="200"/>
      <c r="BP26" s="200"/>
      <c r="BQ26" s="200"/>
      <c r="BR26" s="200"/>
      <c r="BS26" s="200"/>
      <c r="BT26" s="418"/>
      <c r="BU26" s="200"/>
      <c r="BV26" s="200"/>
      <c r="BW26" s="200"/>
      <c r="BX26" s="200"/>
      <c r="BY26" s="200"/>
      <c r="BZ26" s="590" t="s">
        <v>505</v>
      </c>
      <c r="CA26" s="590"/>
    </row>
    <row r="27" spans="1:79" s="95" customFormat="1" ht="30" customHeight="1" x14ac:dyDescent="0.2">
      <c r="A27" s="430"/>
      <c r="B27" s="442" t="s">
        <v>382</v>
      </c>
      <c r="C27" s="442"/>
      <c r="D27" s="442"/>
      <c r="E27" s="442"/>
      <c r="F27" s="442"/>
      <c r="G27" s="442"/>
      <c r="H27" s="433"/>
      <c r="I27" s="432">
        <f>Нормы!D9</f>
        <v>3942</v>
      </c>
      <c r="J27" s="432">
        <f>Нормы!E9</f>
        <v>2628</v>
      </c>
      <c r="K27" s="432">
        <f t="shared" ref="K27:AC27" si="25">K28+K34+K38</f>
        <v>5391</v>
      </c>
      <c r="L27" s="432">
        <f t="shared" si="25"/>
        <v>3594</v>
      </c>
      <c r="M27" s="432">
        <f t="shared" si="25"/>
        <v>2512</v>
      </c>
      <c r="N27" s="432">
        <f t="shared" si="25"/>
        <v>992</v>
      </c>
      <c r="O27" s="432">
        <f t="shared" si="25"/>
        <v>90</v>
      </c>
      <c r="P27" s="432">
        <f t="shared" si="25"/>
        <v>0</v>
      </c>
      <c r="Q27" s="432">
        <f t="shared" si="25"/>
        <v>1797</v>
      </c>
      <c r="R27" s="432">
        <f t="shared" si="25"/>
        <v>0</v>
      </c>
      <c r="S27" s="432">
        <f t="shared" si="25"/>
        <v>0</v>
      </c>
      <c r="T27" s="432">
        <f t="shared" si="25"/>
        <v>0</v>
      </c>
      <c r="U27" s="432">
        <f t="shared" si="25"/>
        <v>0</v>
      </c>
      <c r="V27" s="432">
        <f t="shared" si="25"/>
        <v>0</v>
      </c>
      <c r="W27" s="432">
        <f t="shared" si="25"/>
        <v>0</v>
      </c>
      <c r="X27" s="432">
        <f t="shared" si="25"/>
        <v>0</v>
      </c>
      <c r="Y27" s="432">
        <f t="shared" si="25"/>
        <v>0</v>
      </c>
      <c r="Z27" s="432">
        <f t="shared" si="25"/>
        <v>0</v>
      </c>
      <c r="AA27" s="432">
        <f t="shared" si="25"/>
        <v>0</v>
      </c>
      <c r="AB27" s="432">
        <f t="shared" si="25"/>
        <v>0</v>
      </c>
      <c r="AC27" s="443">
        <f t="shared" si="25"/>
        <v>0</v>
      </c>
      <c r="AD27" s="432">
        <f t="shared" ref="AD27:AI27" si="26">AD28+AD34+AD38</f>
        <v>820</v>
      </c>
      <c r="AE27" s="432">
        <f t="shared" si="26"/>
        <v>424</v>
      </c>
      <c r="AF27" s="432">
        <f t="shared" si="26"/>
        <v>120</v>
      </c>
      <c r="AG27" s="432">
        <f t="shared" si="26"/>
        <v>0</v>
      </c>
      <c r="AH27" s="432">
        <f t="shared" si="26"/>
        <v>0</v>
      </c>
      <c r="AI27" s="443">
        <f t="shared" si="26"/>
        <v>276</v>
      </c>
      <c r="AJ27" s="432">
        <f t="shared" ref="AJ27:AO27" si="27">AJ28+AJ34+AJ38</f>
        <v>812</v>
      </c>
      <c r="AK27" s="432">
        <f t="shared" si="27"/>
        <v>454</v>
      </c>
      <c r="AL27" s="432">
        <f t="shared" si="27"/>
        <v>90</v>
      </c>
      <c r="AM27" s="432">
        <f t="shared" si="27"/>
        <v>0</v>
      </c>
      <c r="AN27" s="432">
        <f t="shared" si="27"/>
        <v>0</v>
      </c>
      <c r="AO27" s="432">
        <f t="shared" si="27"/>
        <v>268</v>
      </c>
      <c r="AP27" s="432">
        <f t="shared" ref="AP27:AU27" si="28">AP28+AP34+AP38</f>
        <v>864</v>
      </c>
      <c r="AQ27" s="432">
        <f t="shared" si="28"/>
        <v>454</v>
      </c>
      <c r="AR27" s="432">
        <f t="shared" si="28"/>
        <v>122</v>
      </c>
      <c r="AS27" s="432">
        <f t="shared" si="28"/>
        <v>0</v>
      </c>
      <c r="AT27" s="432">
        <f t="shared" si="28"/>
        <v>0</v>
      </c>
      <c r="AU27" s="432">
        <f t="shared" si="28"/>
        <v>288</v>
      </c>
      <c r="AV27" s="432">
        <f t="shared" ref="AV27:BA27" si="29">AV28+AV34+AV38</f>
        <v>594</v>
      </c>
      <c r="AW27" s="432">
        <f t="shared" si="29"/>
        <v>255</v>
      </c>
      <c r="AX27" s="432">
        <f t="shared" si="29"/>
        <v>141</v>
      </c>
      <c r="AY27" s="432">
        <f t="shared" si="29"/>
        <v>0</v>
      </c>
      <c r="AZ27" s="432">
        <f t="shared" si="29"/>
        <v>0</v>
      </c>
      <c r="BA27" s="432">
        <f t="shared" si="29"/>
        <v>198</v>
      </c>
      <c r="BB27" s="432">
        <f t="shared" ref="BB27:BG27" si="30">BB28+BB34+BB38</f>
        <v>594</v>
      </c>
      <c r="BC27" s="432">
        <f t="shared" si="30"/>
        <v>290</v>
      </c>
      <c r="BD27" s="432">
        <f t="shared" si="30"/>
        <v>106</v>
      </c>
      <c r="BE27" s="432">
        <f t="shared" si="30"/>
        <v>0</v>
      </c>
      <c r="BF27" s="432">
        <f t="shared" si="30"/>
        <v>0</v>
      </c>
      <c r="BG27" s="432">
        <f t="shared" si="30"/>
        <v>198</v>
      </c>
      <c r="BH27" s="432">
        <f t="shared" ref="BH27:BY27" si="31">BH28+BH34+BH38</f>
        <v>594</v>
      </c>
      <c r="BI27" s="432">
        <f t="shared" si="31"/>
        <v>308</v>
      </c>
      <c r="BJ27" s="432">
        <f t="shared" si="31"/>
        <v>33</v>
      </c>
      <c r="BK27" s="432">
        <f t="shared" si="31"/>
        <v>55</v>
      </c>
      <c r="BL27" s="432">
        <f t="shared" si="31"/>
        <v>0</v>
      </c>
      <c r="BM27" s="432">
        <f t="shared" si="31"/>
        <v>198</v>
      </c>
      <c r="BN27" s="432">
        <f t="shared" si="31"/>
        <v>192</v>
      </c>
      <c r="BO27" s="432">
        <f t="shared" si="31"/>
        <v>80</v>
      </c>
      <c r="BP27" s="432">
        <f t="shared" si="31"/>
        <v>48</v>
      </c>
      <c r="BQ27" s="432">
        <f t="shared" si="31"/>
        <v>0</v>
      </c>
      <c r="BR27" s="432">
        <f t="shared" si="31"/>
        <v>0</v>
      </c>
      <c r="BS27" s="432">
        <f t="shared" si="31"/>
        <v>64</v>
      </c>
      <c r="BT27" s="432">
        <f t="shared" si="31"/>
        <v>921</v>
      </c>
      <c r="BU27" s="432">
        <f t="shared" si="31"/>
        <v>247</v>
      </c>
      <c r="BV27" s="432">
        <f t="shared" si="31"/>
        <v>332</v>
      </c>
      <c r="BW27" s="432">
        <f t="shared" si="31"/>
        <v>35</v>
      </c>
      <c r="BX27" s="432">
        <f t="shared" si="31"/>
        <v>0</v>
      </c>
      <c r="BY27" s="432">
        <f t="shared" si="31"/>
        <v>307</v>
      </c>
      <c r="BZ27" s="433"/>
      <c r="CA27" s="444"/>
    </row>
    <row r="28" spans="1:79" s="96" customFormat="1" ht="30" customHeight="1" x14ac:dyDescent="0.2">
      <c r="A28" s="434" t="s">
        <v>172</v>
      </c>
      <c r="B28" s="445" t="s">
        <v>173</v>
      </c>
      <c r="C28" s="445"/>
      <c r="D28" s="445"/>
      <c r="E28" s="445"/>
      <c r="F28" s="445"/>
      <c r="G28" s="445"/>
      <c r="H28" s="435"/>
      <c r="I28" s="436">
        <f>Нормы!D10</f>
        <v>944</v>
      </c>
      <c r="J28" s="436">
        <f>Нормы!E10</f>
        <v>560</v>
      </c>
      <c r="K28" s="446">
        <f t="shared" ref="K28:AC28" si="32">SUM(K29:K33)</f>
        <v>943</v>
      </c>
      <c r="L28" s="446">
        <f t="shared" si="32"/>
        <v>560</v>
      </c>
      <c r="M28" s="436">
        <f t="shared" si="32"/>
        <v>352</v>
      </c>
      <c r="N28" s="436">
        <f t="shared" si="32"/>
        <v>208</v>
      </c>
      <c r="O28" s="436">
        <f t="shared" si="32"/>
        <v>0</v>
      </c>
      <c r="P28" s="436">
        <f t="shared" si="32"/>
        <v>0</v>
      </c>
      <c r="Q28" s="436">
        <f t="shared" si="32"/>
        <v>383</v>
      </c>
      <c r="R28" s="436">
        <f t="shared" si="32"/>
        <v>0</v>
      </c>
      <c r="S28" s="436">
        <f t="shared" si="32"/>
        <v>0</v>
      </c>
      <c r="T28" s="436">
        <f t="shared" si="32"/>
        <v>0</v>
      </c>
      <c r="U28" s="436">
        <f t="shared" si="32"/>
        <v>0</v>
      </c>
      <c r="V28" s="436">
        <f t="shared" si="32"/>
        <v>0</v>
      </c>
      <c r="W28" s="447">
        <f t="shared" si="32"/>
        <v>0</v>
      </c>
      <c r="X28" s="436">
        <f t="shared" si="32"/>
        <v>0</v>
      </c>
      <c r="Y28" s="436">
        <f t="shared" si="32"/>
        <v>0</v>
      </c>
      <c r="Z28" s="436">
        <f t="shared" si="32"/>
        <v>0</v>
      </c>
      <c r="AA28" s="436">
        <f t="shared" si="32"/>
        <v>0</v>
      </c>
      <c r="AB28" s="436">
        <f t="shared" si="32"/>
        <v>0</v>
      </c>
      <c r="AC28" s="447">
        <f t="shared" si="32"/>
        <v>0</v>
      </c>
      <c r="AD28" s="436">
        <f t="shared" ref="AD28:AY28" si="33">SUM(AD29:AD33)</f>
        <v>256</v>
      </c>
      <c r="AE28" s="436">
        <f t="shared" si="33"/>
        <v>128</v>
      </c>
      <c r="AF28" s="436">
        <f t="shared" si="33"/>
        <v>32</v>
      </c>
      <c r="AG28" s="436">
        <f t="shared" si="33"/>
        <v>0</v>
      </c>
      <c r="AH28" s="436">
        <f t="shared" si="33"/>
        <v>0</v>
      </c>
      <c r="AI28" s="436">
        <f t="shared" si="33"/>
        <v>96</v>
      </c>
      <c r="AJ28" s="436">
        <f t="shared" si="33"/>
        <v>119</v>
      </c>
      <c r="AK28" s="436">
        <f t="shared" si="33"/>
        <v>34</v>
      </c>
      <c r="AL28" s="436">
        <f t="shared" si="33"/>
        <v>34</v>
      </c>
      <c r="AM28" s="436">
        <f t="shared" si="33"/>
        <v>0</v>
      </c>
      <c r="AN28" s="436">
        <f t="shared" si="33"/>
        <v>0</v>
      </c>
      <c r="AO28" s="436">
        <f t="shared" si="33"/>
        <v>51</v>
      </c>
      <c r="AP28" s="436">
        <f t="shared" si="33"/>
        <v>184</v>
      </c>
      <c r="AQ28" s="436">
        <f t="shared" si="33"/>
        <v>80</v>
      </c>
      <c r="AR28" s="436">
        <f t="shared" si="33"/>
        <v>32</v>
      </c>
      <c r="AS28" s="436">
        <f t="shared" si="33"/>
        <v>0</v>
      </c>
      <c r="AT28" s="436">
        <f t="shared" si="33"/>
        <v>0</v>
      </c>
      <c r="AU28" s="436">
        <f t="shared" si="33"/>
        <v>72</v>
      </c>
      <c r="AV28" s="436">
        <f t="shared" si="33"/>
        <v>77</v>
      </c>
      <c r="AW28" s="436">
        <f t="shared" si="33"/>
        <v>22</v>
      </c>
      <c r="AX28" s="436">
        <f t="shared" si="33"/>
        <v>22</v>
      </c>
      <c r="AY28" s="436">
        <f t="shared" si="33"/>
        <v>0</v>
      </c>
      <c r="AZ28" s="436">
        <f t="shared" ref="AZ28:BT28" si="34">SUM(AZ29:AZ33)</f>
        <v>0</v>
      </c>
      <c r="BA28" s="436">
        <f t="shared" si="34"/>
        <v>33</v>
      </c>
      <c r="BB28" s="436">
        <f t="shared" si="34"/>
        <v>76</v>
      </c>
      <c r="BC28" s="436">
        <f t="shared" si="34"/>
        <v>22</v>
      </c>
      <c r="BD28" s="436">
        <f t="shared" si="34"/>
        <v>22</v>
      </c>
      <c r="BE28" s="436">
        <f t="shared" si="34"/>
        <v>0</v>
      </c>
      <c r="BF28" s="436">
        <f t="shared" si="34"/>
        <v>0</v>
      </c>
      <c r="BG28" s="436">
        <f t="shared" si="34"/>
        <v>32</v>
      </c>
      <c r="BH28" s="436">
        <f t="shared" si="34"/>
        <v>77</v>
      </c>
      <c r="BI28" s="436">
        <f t="shared" si="34"/>
        <v>22</v>
      </c>
      <c r="BJ28" s="436">
        <f t="shared" si="34"/>
        <v>22</v>
      </c>
      <c r="BK28" s="436">
        <f t="shared" si="34"/>
        <v>0</v>
      </c>
      <c r="BL28" s="436">
        <f t="shared" si="34"/>
        <v>0</v>
      </c>
      <c r="BM28" s="436">
        <f t="shared" si="34"/>
        <v>33</v>
      </c>
      <c r="BN28" s="436">
        <f t="shared" si="34"/>
        <v>28</v>
      </c>
      <c r="BO28" s="436">
        <f t="shared" si="34"/>
        <v>8</v>
      </c>
      <c r="BP28" s="436">
        <f t="shared" si="34"/>
        <v>8</v>
      </c>
      <c r="BQ28" s="436">
        <f t="shared" si="34"/>
        <v>0</v>
      </c>
      <c r="BR28" s="436">
        <f t="shared" si="34"/>
        <v>0</v>
      </c>
      <c r="BS28" s="436">
        <f t="shared" si="34"/>
        <v>12</v>
      </c>
      <c r="BT28" s="436">
        <f t="shared" si="34"/>
        <v>126</v>
      </c>
      <c r="BU28" s="436">
        <f t="shared" ref="BU28:BY28" si="35">SUM(BU29:BU33)</f>
        <v>36</v>
      </c>
      <c r="BV28" s="436">
        <f t="shared" si="35"/>
        <v>36</v>
      </c>
      <c r="BW28" s="436">
        <f t="shared" si="35"/>
        <v>0</v>
      </c>
      <c r="BX28" s="436">
        <f t="shared" si="35"/>
        <v>0</v>
      </c>
      <c r="BY28" s="436">
        <f t="shared" si="35"/>
        <v>54</v>
      </c>
      <c r="BZ28" s="435"/>
      <c r="CA28" s="441"/>
    </row>
    <row r="29" spans="1:79" s="97" customFormat="1" ht="16.5" customHeight="1" x14ac:dyDescent="0.2">
      <c r="A29" s="437" t="s">
        <v>174</v>
      </c>
      <c r="B29" s="223" t="s">
        <v>178</v>
      </c>
      <c r="C29" s="223"/>
      <c r="D29" s="448"/>
      <c r="E29" s="448" t="s">
        <v>30</v>
      </c>
      <c r="F29" s="448"/>
      <c r="G29" s="425"/>
      <c r="H29" s="425"/>
      <c r="I29" s="202"/>
      <c r="J29" s="200">
        <v>48</v>
      </c>
      <c r="K29" s="419">
        <f>L29+SUM(Q29:Q29)</f>
        <v>72</v>
      </c>
      <c r="L29" s="419">
        <f>SUM(M29:P29)</f>
        <v>48</v>
      </c>
      <c r="M29" s="419">
        <f t="shared" ref="M29:Q33" si="36">S29+Y29+AE29+AK29+AQ29+AW29+BC29+BI29+BO29+BU29</f>
        <v>48</v>
      </c>
      <c r="N29" s="419">
        <f t="shared" si="36"/>
        <v>0</v>
      </c>
      <c r="O29" s="419">
        <f t="shared" si="36"/>
        <v>0</v>
      </c>
      <c r="P29" s="419">
        <f t="shared" si="36"/>
        <v>0</v>
      </c>
      <c r="Q29" s="419">
        <f t="shared" si="36"/>
        <v>24</v>
      </c>
      <c r="R29" s="418">
        <f>SUM(S29:W29)</f>
        <v>0</v>
      </c>
      <c r="S29" s="200"/>
      <c r="T29" s="200"/>
      <c r="U29" s="200"/>
      <c r="V29" s="200"/>
      <c r="W29" s="200"/>
      <c r="X29" s="418">
        <f>SUM(Y29:AC29)</f>
        <v>0</v>
      </c>
      <c r="Y29" s="200"/>
      <c r="Z29" s="200"/>
      <c r="AA29" s="200"/>
      <c r="AB29" s="200"/>
      <c r="AC29" s="200"/>
      <c r="AD29" s="418">
        <f>SUM(AE29:AI29)</f>
        <v>72</v>
      </c>
      <c r="AE29" s="200">
        <v>48</v>
      </c>
      <c r="AF29" s="200"/>
      <c r="AG29" s="200"/>
      <c r="AH29" s="200"/>
      <c r="AI29" s="202">
        <v>24</v>
      </c>
      <c r="AJ29" s="418">
        <f>SUM(AK29:AO29)</f>
        <v>0</v>
      </c>
      <c r="AK29" s="200"/>
      <c r="AL29" s="200"/>
      <c r="AM29" s="200"/>
      <c r="AN29" s="200"/>
      <c r="AO29" s="200"/>
      <c r="AP29" s="418">
        <f>SUM(AQ29:AU29)</f>
        <v>0</v>
      </c>
      <c r="AQ29" s="200"/>
      <c r="AR29" s="200"/>
      <c r="AS29" s="200"/>
      <c r="AT29" s="200"/>
      <c r="AU29" s="200"/>
      <c r="AV29" s="418">
        <f>SUM(AW29:BA29)</f>
        <v>0</v>
      </c>
      <c r="AW29" s="200"/>
      <c r="AX29" s="200"/>
      <c r="AY29" s="200"/>
      <c r="AZ29" s="200"/>
      <c r="BA29" s="200"/>
      <c r="BB29" s="418">
        <f>SUM(BC29:BG29)</f>
        <v>0</v>
      </c>
      <c r="BC29" s="200"/>
      <c r="BD29" s="200"/>
      <c r="BE29" s="200"/>
      <c r="BF29" s="200"/>
      <c r="BG29" s="200"/>
      <c r="BH29" s="418">
        <f>SUM(BI29:BM29)</f>
        <v>0</v>
      </c>
      <c r="BI29" s="200"/>
      <c r="BJ29" s="200"/>
      <c r="BK29" s="200"/>
      <c r="BL29" s="200"/>
      <c r="BM29" s="200"/>
      <c r="BN29" s="418">
        <f>SUM(BO29:BS29)</f>
        <v>0</v>
      </c>
      <c r="BO29" s="200"/>
      <c r="BP29" s="200"/>
      <c r="BQ29" s="200"/>
      <c r="BR29" s="200"/>
      <c r="BS29" s="200"/>
      <c r="BT29" s="418">
        <f>SUM(BU29:BY29)</f>
        <v>0</v>
      </c>
      <c r="BU29" s="200"/>
      <c r="BV29" s="200"/>
      <c r="BW29" s="200"/>
      <c r="BX29" s="200"/>
      <c r="BY29" s="200"/>
      <c r="BZ29" s="425" t="s">
        <v>504</v>
      </c>
      <c r="CA29" s="440" t="s">
        <v>507</v>
      </c>
    </row>
    <row r="30" spans="1:79" s="97" customFormat="1" ht="16.5" customHeight="1" x14ac:dyDescent="0.2">
      <c r="A30" s="437" t="s">
        <v>175</v>
      </c>
      <c r="B30" s="223" t="s">
        <v>141</v>
      </c>
      <c r="C30" s="223"/>
      <c r="D30" s="448"/>
      <c r="E30" s="448" t="s">
        <v>30</v>
      </c>
      <c r="F30" s="448"/>
      <c r="G30" s="425"/>
      <c r="H30" s="425"/>
      <c r="I30" s="200"/>
      <c r="J30" s="200">
        <v>48</v>
      </c>
      <c r="K30" s="419">
        <f>L30+SUM(Q30:Q30)</f>
        <v>72</v>
      </c>
      <c r="L30" s="419">
        <f>SUM(M30:P30)</f>
        <v>48</v>
      </c>
      <c r="M30" s="419">
        <f t="shared" si="36"/>
        <v>48</v>
      </c>
      <c r="N30" s="419">
        <f t="shared" si="36"/>
        <v>0</v>
      </c>
      <c r="O30" s="419">
        <f t="shared" si="36"/>
        <v>0</v>
      </c>
      <c r="P30" s="419">
        <f t="shared" si="36"/>
        <v>0</v>
      </c>
      <c r="Q30" s="419">
        <f t="shared" si="36"/>
        <v>24</v>
      </c>
      <c r="R30" s="418">
        <f>SUM(S30:W30)</f>
        <v>0</v>
      </c>
      <c r="S30" s="200"/>
      <c r="T30" s="200"/>
      <c r="U30" s="200"/>
      <c r="V30" s="200"/>
      <c r="W30" s="200"/>
      <c r="X30" s="418">
        <f>SUM(Y30:AC30)</f>
        <v>0</v>
      </c>
      <c r="Y30" s="200"/>
      <c r="Z30" s="200"/>
      <c r="AA30" s="200"/>
      <c r="AB30" s="200"/>
      <c r="AC30" s="200"/>
      <c r="AD30" s="418">
        <f>SUM(AE30:AI30)</f>
        <v>72</v>
      </c>
      <c r="AE30" s="200">
        <v>48</v>
      </c>
      <c r="AF30" s="200"/>
      <c r="AG30" s="200"/>
      <c r="AH30" s="200"/>
      <c r="AI30" s="202">
        <v>24</v>
      </c>
      <c r="AJ30" s="418">
        <f>SUM(AK30:AO30)</f>
        <v>0</v>
      </c>
      <c r="AK30" s="200"/>
      <c r="AL30" s="200"/>
      <c r="AM30" s="200"/>
      <c r="AN30" s="200"/>
      <c r="AO30" s="200"/>
      <c r="AP30" s="418">
        <f>SUM(AQ30:AU30)</f>
        <v>0</v>
      </c>
      <c r="AQ30" s="200"/>
      <c r="AR30" s="200"/>
      <c r="AS30" s="200"/>
      <c r="AT30" s="200"/>
      <c r="AU30" s="200"/>
      <c r="AV30" s="418">
        <f>SUM(AW30:BA30)</f>
        <v>0</v>
      </c>
      <c r="AW30" s="200"/>
      <c r="AX30" s="200"/>
      <c r="AY30" s="200"/>
      <c r="AZ30" s="200"/>
      <c r="BA30" s="200"/>
      <c r="BB30" s="418">
        <f>SUM(BC30:BG30)</f>
        <v>0</v>
      </c>
      <c r="BC30" s="200"/>
      <c r="BD30" s="200"/>
      <c r="BE30" s="200"/>
      <c r="BF30" s="200"/>
      <c r="BG30" s="200"/>
      <c r="BH30" s="418">
        <f>SUM(BI30:BM30)</f>
        <v>0</v>
      </c>
      <c r="BI30" s="200"/>
      <c r="BJ30" s="200"/>
      <c r="BK30" s="200"/>
      <c r="BL30" s="200"/>
      <c r="BM30" s="200"/>
      <c r="BN30" s="418">
        <f>SUM(BO30:BS30)</f>
        <v>0</v>
      </c>
      <c r="BO30" s="200"/>
      <c r="BP30" s="200"/>
      <c r="BQ30" s="200"/>
      <c r="BR30" s="200"/>
      <c r="BS30" s="200"/>
      <c r="BT30" s="418">
        <f>SUM(BU30:BY30)</f>
        <v>0</v>
      </c>
      <c r="BU30" s="200"/>
      <c r="BV30" s="200"/>
      <c r="BW30" s="200"/>
      <c r="BX30" s="200"/>
      <c r="BY30" s="200"/>
      <c r="BZ30" s="425" t="s">
        <v>504</v>
      </c>
      <c r="CA30" s="440" t="s">
        <v>508</v>
      </c>
    </row>
    <row r="31" spans="1:79" s="97" customFormat="1" ht="16.5" customHeight="1" x14ac:dyDescent="0.2">
      <c r="A31" s="437" t="s">
        <v>176</v>
      </c>
      <c r="B31" s="223" t="s">
        <v>410</v>
      </c>
      <c r="C31" s="223"/>
      <c r="D31" s="448"/>
      <c r="E31" s="448" t="s">
        <v>41</v>
      </c>
      <c r="F31" s="448"/>
      <c r="G31" s="425"/>
      <c r="H31" s="425"/>
      <c r="I31" s="200"/>
      <c r="J31" s="200">
        <v>48</v>
      </c>
      <c r="K31" s="419">
        <f>L31+SUM(Q31:Q31)</f>
        <v>72</v>
      </c>
      <c r="L31" s="419">
        <f>SUM(M31:P31)</f>
        <v>48</v>
      </c>
      <c r="M31" s="419">
        <f t="shared" si="36"/>
        <v>48</v>
      </c>
      <c r="N31" s="419">
        <f t="shared" si="36"/>
        <v>0</v>
      </c>
      <c r="O31" s="419">
        <f t="shared" si="36"/>
        <v>0</v>
      </c>
      <c r="P31" s="419">
        <f t="shared" si="36"/>
        <v>0</v>
      </c>
      <c r="Q31" s="419">
        <f t="shared" si="36"/>
        <v>24</v>
      </c>
      <c r="R31" s="418"/>
      <c r="S31" s="200"/>
      <c r="T31" s="200"/>
      <c r="U31" s="200"/>
      <c r="V31" s="200"/>
      <c r="W31" s="200"/>
      <c r="X31" s="418"/>
      <c r="Y31" s="200"/>
      <c r="Z31" s="200"/>
      <c r="AA31" s="200"/>
      <c r="AB31" s="200"/>
      <c r="AC31" s="200"/>
      <c r="AD31" s="418"/>
      <c r="AE31" s="200"/>
      <c r="AF31" s="200"/>
      <c r="AG31" s="200"/>
      <c r="AH31" s="200"/>
      <c r="AI31" s="202"/>
      <c r="AJ31" s="418"/>
      <c r="AK31" s="200"/>
      <c r="AL31" s="200"/>
      <c r="AM31" s="200"/>
      <c r="AN31" s="200"/>
      <c r="AO31" s="200"/>
      <c r="AP31" s="418">
        <f>SUM(AQ31:AU31)</f>
        <v>72</v>
      </c>
      <c r="AQ31" s="200">
        <v>48</v>
      </c>
      <c r="AR31" s="200"/>
      <c r="AS31" s="200"/>
      <c r="AT31" s="200"/>
      <c r="AU31" s="200">
        <v>24</v>
      </c>
      <c r="AV31" s="418"/>
      <c r="AW31" s="200"/>
      <c r="AX31" s="200"/>
      <c r="AY31" s="200"/>
      <c r="AZ31" s="200"/>
      <c r="BA31" s="200"/>
      <c r="BB31" s="418"/>
      <c r="BC31" s="200"/>
      <c r="BD31" s="200"/>
      <c r="BE31" s="200"/>
      <c r="BF31" s="200"/>
      <c r="BG31" s="200"/>
      <c r="BH31" s="418"/>
      <c r="BI31" s="200"/>
      <c r="BJ31" s="200"/>
      <c r="BK31" s="200"/>
      <c r="BL31" s="200"/>
      <c r="BM31" s="200"/>
      <c r="BN31" s="418"/>
      <c r="BO31" s="200"/>
      <c r="BP31" s="200"/>
      <c r="BQ31" s="200"/>
      <c r="BR31" s="200"/>
      <c r="BS31" s="200"/>
      <c r="BT31" s="418"/>
      <c r="BU31" s="200"/>
      <c r="BV31" s="200"/>
      <c r="BW31" s="200"/>
      <c r="BX31" s="200"/>
      <c r="BY31" s="200"/>
      <c r="BZ31" s="425" t="s">
        <v>504</v>
      </c>
      <c r="CA31" s="440" t="s">
        <v>593</v>
      </c>
    </row>
    <row r="32" spans="1:79" s="97" customFormat="1" ht="23.25" customHeight="1" x14ac:dyDescent="0.2">
      <c r="A32" s="437" t="s">
        <v>177</v>
      </c>
      <c r="B32" s="223" t="s">
        <v>142</v>
      </c>
      <c r="C32" s="223"/>
      <c r="D32" s="425" t="s">
        <v>41</v>
      </c>
      <c r="E32" s="425" t="s">
        <v>479</v>
      </c>
      <c r="F32" s="425"/>
      <c r="G32" s="425"/>
      <c r="H32" s="103" t="s">
        <v>617</v>
      </c>
      <c r="I32" s="200"/>
      <c r="J32" s="200">
        <v>208</v>
      </c>
      <c r="K32" s="419">
        <f>L32+SUM(Q32:Q32)</f>
        <v>311</v>
      </c>
      <c r="L32" s="419">
        <f>SUM(M32:P32)</f>
        <v>208</v>
      </c>
      <c r="M32" s="419">
        <f t="shared" si="36"/>
        <v>0</v>
      </c>
      <c r="N32" s="419">
        <f t="shared" si="36"/>
        <v>208</v>
      </c>
      <c r="O32" s="419">
        <f t="shared" si="36"/>
        <v>0</v>
      </c>
      <c r="P32" s="419">
        <f t="shared" si="36"/>
        <v>0</v>
      </c>
      <c r="Q32" s="419">
        <f t="shared" si="36"/>
        <v>103</v>
      </c>
      <c r="R32" s="418">
        <f>SUM(S32:W32)</f>
        <v>0</v>
      </c>
      <c r="S32" s="200"/>
      <c r="T32" s="200"/>
      <c r="U32" s="200"/>
      <c r="V32" s="200"/>
      <c r="W32" s="200"/>
      <c r="X32" s="418">
        <f>SUM(Y32:AC32)</f>
        <v>0</v>
      </c>
      <c r="Y32" s="200"/>
      <c r="Z32" s="200"/>
      <c r="AA32" s="200"/>
      <c r="AB32" s="200"/>
      <c r="AC32" s="200"/>
      <c r="AD32" s="418">
        <f>SUM(AE32:AI32)</f>
        <v>48</v>
      </c>
      <c r="AE32" s="200"/>
      <c r="AF32" s="200">
        <v>32</v>
      </c>
      <c r="AG32" s="200"/>
      <c r="AH32" s="200"/>
      <c r="AI32" s="200">
        <v>16</v>
      </c>
      <c r="AJ32" s="418">
        <f>SUM(AK32:AO32)</f>
        <v>51</v>
      </c>
      <c r="AK32" s="200"/>
      <c r="AL32" s="200">
        <v>34</v>
      </c>
      <c r="AM32" s="200"/>
      <c r="AN32" s="200"/>
      <c r="AO32" s="200">
        <v>17</v>
      </c>
      <c r="AP32" s="418">
        <f>SUM(AQ32:AU32)</f>
        <v>48</v>
      </c>
      <c r="AQ32" s="200"/>
      <c r="AR32" s="200">
        <v>32</v>
      </c>
      <c r="AS32" s="200"/>
      <c r="AT32" s="200"/>
      <c r="AU32" s="200">
        <v>16</v>
      </c>
      <c r="AV32" s="418">
        <f>SUM(AW32:BA32)</f>
        <v>33</v>
      </c>
      <c r="AW32" s="200"/>
      <c r="AX32" s="200">
        <v>22</v>
      </c>
      <c r="AY32" s="200"/>
      <c r="AZ32" s="200"/>
      <c r="BA32" s="200">
        <v>11</v>
      </c>
      <c r="BB32" s="418">
        <f>SUM(BC32:BG32)</f>
        <v>32</v>
      </c>
      <c r="BC32" s="200"/>
      <c r="BD32" s="200">
        <v>22</v>
      </c>
      <c r="BE32" s="200"/>
      <c r="BF32" s="200"/>
      <c r="BG32" s="200">
        <v>10</v>
      </c>
      <c r="BH32" s="418">
        <f>SUM(BI32:BM32)</f>
        <v>33</v>
      </c>
      <c r="BI32" s="200"/>
      <c r="BJ32" s="200">
        <v>22</v>
      </c>
      <c r="BK32" s="200"/>
      <c r="BL32" s="200"/>
      <c r="BM32" s="200">
        <v>11</v>
      </c>
      <c r="BN32" s="418">
        <f>SUM(BO32:BS32)</f>
        <v>12</v>
      </c>
      <c r="BO32" s="200"/>
      <c r="BP32" s="200">
        <v>8</v>
      </c>
      <c r="BQ32" s="200"/>
      <c r="BR32" s="200"/>
      <c r="BS32" s="200">
        <v>4</v>
      </c>
      <c r="BT32" s="418">
        <f>SUM(BU32:BY32)</f>
        <v>54</v>
      </c>
      <c r="BU32" s="200"/>
      <c r="BV32" s="200">
        <v>36</v>
      </c>
      <c r="BW32" s="200"/>
      <c r="BX32" s="200"/>
      <c r="BY32" s="200">
        <v>18</v>
      </c>
      <c r="BZ32" s="425" t="s">
        <v>504</v>
      </c>
      <c r="CA32" s="440" t="s">
        <v>509</v>
      </c>
    </row>
    <row r="33" spans="1:79" s="97" customFormat="1" ht="43.5" customHeight="1" x14ac:dyDescent="0.2">
      <c r="A33" s="437" t="s">
        <v>556</v>
      </c>
      <c r="B33" s="223" t="s">
        <v>7</v>
      </c>
      <c r="C33" s="223"/>
      <c r="D33" s="425"/>
      <c r="E33" s="425"/>
      <c r="F33" s="425" t="s">
        <v>613</v>
      </c>
      <c r="G33" s="425"/>
      <c r="H33" s="425"/>
      <c r="I33" s="200">
        <v>416</v>
      </c>
      <c r="J33" s="200">
        <v>208</v>
      </c>
      <c r="K33" s="419">
        <f>L33+SUM(Q33:Q33)</f>
        <v>416</v>
      </c>
      <c r="L33" s="419">
        <f>SUM(M33:P33)</f>
        <v>208</v>
      </c>
      <c r="M33" s="419">
        <f t="shared" si="36"/>
        <v>208</v>
      </c>
      <c r="N33" s="419">
        <f t="shared" si="36"/>
        <v>0</v>
      </c>
      <c r="O33" s="419">
        <f t="shared" si="36"/>
        <v>0</v>
      </c>
      <c r="P33" s="419">
        <f t="shared" si="36"/>
        <v>0</v>
      </c>
      <c r="Q33" s="419">
        <f t="shared" si="36"/>
        <v>208</v>
      </c>
      <c r="R33" s="418">
        <f>SUM(S33:W33)</f>
        <v>0</v>
      </c>
      <c r="S33" s="200"/>
      <c r="T33" s="200"/>
      <c r="U33" s="200"/>
      <c r="V33" s="200"/>
      <c r="W33" s="200"/>
      <c r="X33" s="418">
        <f>SUM(Y33:AC33)</f>
        <v>0</v>
      </c>
      <c r="Y33" s="200"/>
      <c r="Z33" s="200"/>
      <c r="AA33" s="200"/>
      <c r="AB33" s="200"/>
      <c r="AC33" s="200"/>
      <c r="AD33" s="418">
        <f>SUM(AE33:AI33)</f>
        <v>64</v>
      </c>
      <c r="AE33" s="200">
        <v>32</v>
      </c>
      <c r="AF33" s="200"/>
      <c r="AG33" s="200"/>
      <c r="AH33" s="200"/>
      <c r="AI33" s="200">
        <v>32</v>
      </c>
      <c r="AJ33" s="418">
        <f>SUM(AK33:AO33)</f>
        <v>68</v>
      </c>
      <c r="AK33" s="200">
        <v>34</v>
      </c>
      <c r="AL33" s="200"/>
      <c r="AM33" s="200"/>
      <c r="AN33" s="200"/>
      <c r="AO33" s="200">
        <v>34</v>
      </c>
      <c r="AP33" s="418">
        <f>SUM(AQ33:AU33)</f>
        <v>64</v>
      </c>
      <c r="AQ33" s="200">
        <v>32</v>
      </c>
      <c r="AR33" s="200"/>
      <c r="AS33" s="200"/>
      <c r="AT33" s="200"/>
      <c r="AU33" s="200">
        <v>32</v>
      </c>
      <c r="AV33" s="418">
        <f>SUM(AW33:BA33)</f>
        <v>44</v>
      </c>
      <c r="AW33" s="200">
        <v>22</v>
      </c>
      <c r="AX33" s="200"/>
      <c r="AY33" s="200"/>
      <c r="AZ33" s="200"/>
      <c r="BA33" s="200">
        <v>22</v>
      </c>
      <c r="BB33" s="418">
        <f>SUM(BC33:BG33)</f>
        <v>44</v>
      </c>
      <c r="BC33" s="200">
        <v>22</v>
      </c>
      <c r="BD33" s="200"/>
      <c r="BE33" s="200"/>
      <c r="BF33" s="200"/>
      <c r="BG33" s="200">
        <v>22</v>
      </c>
      <c r="BH33" s="418">
        <f>SUM(BI33:BM33)</f>
        <v>44</v>
      </c>
      <c r="BI33" s="200">
        <v>22</v>
      </c>
      <c r="BJ33" s="200"/>
      <c r="BK33" s="200"/>
      <c r="BL33" s="200"/>
      <c r="BM33" s="200">
        <v>22</v>
      </c>
      <c r="BN33" s="418">
        <f>SUM(BO33:BS33)</f>
        <v>16</v>
      </c>
      <c r="BO33" s="200">
        <v>8</v>
      </c>
      <c r="BP33" s="200"/>
      <c r="BQ33" s="200"/>
      <c r="BR33" s="200"/>
      <c r="BS33" s="200">
        <v>8</v>
      </c>
      <c r="BT33" s="418">
        <f>SUM(BU33:BY33)</f>
        <v>72</v>
      </c>
      <c r="BU33" s="200">
        <v>36</v>
      </c>
      <c r="BV33" s="200"/>
      <c r="BW33" s="200"/>
      <c r="BX33" s="200"/>
      <c r="BY33" s="200">
        <v>36</v>
      </c>
      <c r="BZ33" s="425" t="s">
        <v>506</v>
      </c>
      <c r="CA33" s="440" t="s">
        <v>454</v>
      </c>
    </row>
    <row r="34" spans="1:79" s="96" customFormat="1" ht="30" customHeight="1" x14ac:dyDescent="0.2">
      <c r="A34" s="434" t="s">
        <v>180</v>
      </c>
      <c r="B34" s="770" t="s">
        <v>292</v>
      </c>
      <c r="C34" s="699"/>
      <c r="D34" s="699"/>
      <c r="E34" s="699"/>
      <c r="F34" s="699"/>
      <c r="G34" s="699"/>
      <c r="H34" s="435"/>
      <c r="I34" s="436">
        <v>198</v>
      </c>
      <c r="J34" s="436">
        <v>132</v>
      </c>
      <c r="K34" s="446">
        <f t="shared" ref="K34:AF34" si="37">SUM(K35:K37)</f>
        <v>216</v>
      </c>
      <c r="L34" s="446">
        <f t="shared" si="37"/>
        <v>144</v>
      </c>
      <c r="M34" s="436">
        <f t="shared" si="37"/>
        <v>104</v>
      </c>
      <c r="N34" s="436">
        <f t="shared" si="37"/>
        <v>40</v>
      </c>
      <c r="O34" s="436">
        <f t="shared" si="37"/>
        <v>0</v>
      </c>
      <c r="P34" s="436">
        <f t="shared" si="37"/>
        <v>0</v>
      </c>
      <c r="Q34" s="449">
        <f t="shared" si="37"/>
        <v>72</v>
      </c>
      <c r="R34" s="436">
        <f t="shared" si="37"/>
        <v>0</v>
      </c>
      <c r="S34" s="436">
        <f t="shared" si="37"/>
        <v>0</v>
      </c>
      <c r="T34" s="436">
        <f t="shared" si="37"/>
        <v>0</v>
      </c>
      <c r="U34" s="436">
        <f t="shared" si="37"/>
        <v>0</v>
      </c>
      <c r="V34" s="436">
        <f t="shared" si="37"/>
        <v>0</v>
      </c>
      <c r="W34" s="449">
        <f t="shared" si="37"/>
        <v>0</v>
      </c>
      <c r="X34" s="436">
        <f t="shared" si="37"/>
        <v>0</v>
      </c>
      <c r="Y34" s="436">
        <f t="shared" si="37"/>
        <v>0</v>
      </c>
      <c r="Z34" s="436">
        <f t="shared" si="37"/>
        <v>0</v>
      </c>
      <c r="AA34" s="436">
        <f t="shared" si="37"/>
        <v>0</v>
      </c>
      <c r="AB34" s="436">
        <f t="shared" si="37"/>
        <v>0</v>
      </c>
      <c r="AC34" s="449">
        <f t="shared" si="37"/>
        <v>0</v>
      </c>
      <c r="AD34" s="436">
        <f t="shared" si="37"/>
        <v>216</v>
      </c>
      <c r="AE34" s="436">
        <f t="shared" si="37"/>
        <v>104</v>
      </c>
      <c r="AF34" s="436">
        <f t="shared" si="37"/>
        <v>40</v>
      </c>
      <c r="AG34" s="436">
        <f t="shared" ref="AG34:BM34" si="38">SUM(AG35:AG37)</f>
        <v>0</v>
      </c>
      <c r="AH34" s="436">
        <f t="shared" si="38"/>
        <v>0</v>
      </c>
      <c r="AI34" s="436">
        <f t="shared" si="38"/>
        <v>72</v>
      </c>
      <c r="AJ34" s="436">
        <f t="shared" si="38"/>
        <v>0</v>
      </c>
      <c r="AK34" s="436">
        <f t="shared" si="38"/>
        <v>0</v>
      </c>
      <c r="AL34" s="436">
        <f t="shared" si="38"/>
        <v>0</v>
      </c>
      <c r="AM34" s="436">
        <f t="shared" si="38"/>
        <v>0</v>
      </c>
      <c r="AN34" s="436">
        <f t="shared" si="38"/>
        <v>0</v>
      </c>
      <c r="AO34" s="436">
        <f t="shared" si="38"/>
        <v>0</v>
      </c>
      <c r="AP34" s="436">
        <f t="shared" si="38"/>
        <v>0</v>
      </c>
      <c r="AQ34" s="436">
        <f t="shared" si="38"/>
        <v>0</v>
      </c>
      <c r="AR34" s="436">
        <f t="shared" si="38"/>
        <v>0</v>
      </c>
      <c r="AS34" s="436">
        <f t="shared" si="38"/>
        <v>0</v>
      </c>
      <c r="AT34" s="436">
        <f t="shared" si="38"/>
        <v>0</v>
      </c>
      <c r="AU34" s="436">
        <f t="shared" si="38"/>
        <v>0</v>
      </c>
      <c r="AV34" s="436">
        <f t="shared" si="38"/>
        <v>0</v>
      </c>
      <c r="AW34" s="436">
        <f t="shared" si="38"/>
        <v>0</v>
      </c>
      <c r="AX34" s="436">
        <f t="shared" si="38"/>
        <v>0</v>
      </c>
      <c r="AY34" s="436">
        <f t="shared" si="38"/>
        <v>0</v>
      </c>
      <c r="AZ34" s="436">
        <f t="shared" si="38"/>
        <v>0</v>
      </c>
      <c r="BA34" s="436">
        <f t="shared" si="38"/>
        <v>0</v>
      </c>
      <c r="BB34" s="436">
        <f t="shared" si="38"/>
        <v>0</v>
      </c>
      <c r="BC34" s="436">
        <f t="shared" si="38"/>
        <v>0</v>
      </c>
      <c r="BD34" s="436">
        <f t="shared" si="38"/>
        <v>0</v>
      </c>
      <c r="BE34" s="436">
        <f t="shared" si="38"/>
        <v>0</v>
      </c>
      <c r="BF34" s="436">
        <f t="shared" si="38"/>
        <v>0</v>
      </c>
      <c r="BG34" s="436">
        <f t="shared" si="38"/>
        <v>0</v>
      </c>
      <c r="BH34" s="436">
        <f t="shared" si="38"/>
        <v>0</v>
      </c>
      <c r="BI34" s="436">
        <f t="shared" si="38"/>
        <v>0</v>
      </c>
      <c r="BJ34" s="436">
        <f t="shared" si="38"/>
        <v>0</v>
      </c>
      <c r="BK34" s="436">
        <f t="shared" si="38"/>
        <v>0</v>
      </c>
      <c r="BL34" s="436">
        <f t="shared" si="38"/>
        <v>0</v>
      </c>
      <c r="BM34" s="436">
        <f t="shared" si="38"/>
        <v>0</v>
      </c>
      <c r="BN34" s="436">
        <f t="shared" ref="BN34:BY34" si="39">SUM(BN35:BN37)</f>
        <v>0</v>
      </c>
      <c r="BO34" s="436">
        <f t="shared" si="39"/>
        <v>0</v>
      </c>
      <c r="BP34" s="436">
        <f t="shared" si="39"/>
        <v>0</v>
      </c>
      <c r="BQ34" s="436">
        <f t="shared" si="39"/>
        <v>0</v>
      </c>
      <c r="BR34" s="436">
        <f t="shared" si="39"/>
        <v>0</v>
      </c>
      <c r="BS34" s="436">
        <f t="shared" si="39"/>
        <v>0</v>
      </c>
      <c r="BT34" s="436">
        <f t="shared" si="39"/>
        <v>0</v>
      </c>
      <c r="BU34" s="436">
        <f t="shared" si="39"/>
        <v>0</v>
      </c>
      <c r="BV34" s="436">
        <f t="shared" si="39"/>
        <v>0</v>
      </c>
      <c r="BW34" s="436">
        <f t="shared" si="39"/>
        <v>0</v>
      </c>
      <c r="BX34" s="436">
        <f t="shared" si="39"/>
        <v>0</v>
      </c>
      <c r="BY34" s="436">
        <f t="shared" si="39"/>
        <v>0</v>
      </c>
      <c r="BZ34" s="435"/>
      <c r="CA34" s="441"/>
    </row>
    <row r="35" spans="1:79" s="97" customFormat="1" ht="25.5" customHeight="1" x14ac:dyDescent="0.2">
      <c r="A35" s="437" t="s">
        <v>181</v>
      </c>
      <c r="B35" s="223" t="s">
        <v>143</v>
      </c>
      <c r="C35" s="223"/>
      <c r="D35" s="425" t="s">
        <v>30</v>
      </c>
      <c r="E35" s="425"/>
      <c r="F35" s="425"/>
      <c r="G35" s="425"/>
      <c r="H35" s="425"/>
      <c r="I35" s="202"/>
      <c r="J35" s="200"/>
      <c r="K35" s="419">
        <f>L35+SUM(Q35:Q35)</f>
        <v>96</v>
      </c>
      <c r="L35" s="419">
        <f>SUM(M35:P35)</f>
        <v>64</v>
      </c>
      <c r="M35" s="419">
        <f t="shared" ref="M35:Q37" si="40">S35+Y35+AE35+AK35+AQ35+AW35+BC35+BI35+BO35+BU35</f>
        <v>64</v>
      </c>
      <c r="N35" s="419">
        <f t="shared" si="40"/>
        <v>0</v>
      </c>
      <c r="O35" s="419">
        <f t="shared" si="40"/>
        <v>0</v>
      </c>
      <c r="P35" s="419">
        <f t="shared" si="40"/>
        <v>0</v>
      </c>
      <c r="Q35" s="419">
        <f t="shared" si="40"/>
        <v>32</v>
      </c>
      <c r="R35" s="418">
        <f>SUM(S35:W35)</f>
        <v>0</v>
      </c>
      <c r="S35" s="200"/>
      <c r="T35" s="200"/>
      <c r="U35" s="200"/>
      <c r="V35" s="200"/>
      <c r="W35" s="200"/>
      <c r="X35" s="418">
        <f>SUM(Y35:AC35)</f>
        <v>0</v>
      </c>
      <c r="Y35" s="200"/>
      <c r="Z35" s="200"/>
      <c r="AA35" s="200"/>
      <c r="AB35" s="200"/>
      <c r="AC35" s="200"/>
      <c r="AD35" s="418">
        <f>SUM(AE35:AI35)</f>
        <v>96</v>
      </c>
      <c r="AE35" s="200">
        <v>64</v>
      </c>
      <c r="AF35" s="200"/>
      <c r="AG35" s="200"/>
      <c r="AH35" s="200"/>
      <c r="AI35" s="200">
        <v>32</v>
      </c>
      <c r="AJ35" s="418">
        <f>SUM(AK35:AO35)</f>
        <v>0</v>
      </c>
      <c r="AK35" s="200"/>
      <c r="AL35" s="200"/>
      <c r="AM35" s="200"/>
      <c r="AN35" s="200"/>
      <c r="AO35" s="200"/>
      <c r="AP35" s="418">
        <f>SUM(AQ35:AU35)</f>
        <v>0</v>
      </c>
      <c r="AQ35" s="200"/>
      <c r="AR35" s="200"/>
      <c r="AS35" s="200"/>
      <c r="AT35" s="200"/>
      <c r="AU35" s="200"/>
      <c r="AV35" s="418">
        <f>SUM(AW35:BA35)</f>
        <v>0</v>
      </c>
      <c r="AW35" s="200"/>
      <c r="AX35" s="200"/>
      <c r="AY35" s="200"/>
      <c r="AZ35" s="200"/>
      <c r="BA35" s="200"/>
      <c r="BB35" s="418">
        <f>SUM(BC35:BG35)</f>
        <v>0</v>
      </c>
      <c r="BC35" s="200"/>
      <c r="BD35" s="200"/>
      <c r="BE35" s="200"/>
      <c r="BF35" s="200"/>
      <c r="BG35" s="200"/>
      <c r="BH35" s="418">
        <f>SUM(BI35:BM35)</f>
        <v>0</v>
      </c>
      <c r="BI35" s="200"/>
      <c r="BJ35" s="200"/>
      <c r="BK35" s="200"/>
      <c r="BL35" s="200"/>
      <c r="BM35" s="200"/>
      <c r="BN35" s="418">
        <f>SUM(BO35:BS35)</f>
        <v>0</v>
      </c>
      <c r="BO35" s="200"/>
      <c r="BP35" s="200"/>
      <c r="BQ35" s="200"/>
      <c r="BR35" s="200"/>
      <c r="BS35" s="200"/>
      <c r="BT35" s="418">
        <f>SUM(BU35:BY35)</f>
        <v>0</v>
      </c>
      <c r="BU35" s="200"/>
      <c r="BV35" s="200"/>
      <c r="BW35" s="200"/>
      <c r="BX35" s="200"/>
      <c r="BY35" s="200"/>
      <c r="BZ35" s="425" t="s">
        <v>505</v>
      </c>
      <c r="CA35" s="440" t="s">
        <v>510</v>
      </c>
    </row>
    <row r="36" spans="1:79" s="97" customFormat="1" ht="25.5" customHeight="1" x14ac:dyDescent="0.2">
      <c r="A36" s="437" t="s">
        <v>182</v>
      </c>
      <c r="B36" s="223" t="s">
        <v>144</v>
      </c>
      <c r="C36" s="223"/>
      <c r="D36" s="425"/>
      <c r="E36" s="448" t="s">
        <v>30</v>
      </c>
      <c r="F36" s="448"/>
      <c r="G36" s="425"/>
      <c r="H36" s="425"/>
      <c r="I36" s="202"/>
      <c r="J36" s="200"/>
      <c r="K36" s="419">
        <f>L36+SUM(Q36:Q36)</f>
        <v>72</v>
      </c>
      <c r="L36" s="419">
        <f>SUM(M36:P36)</f>
        <v>48</v>
      </c>
      <c r="M36" s="419">
        <f t="shared" si="40"/>
        <v>8</v>
      </c>
      <c r="N36" s="419">
        <f t="shared" si="40"/>
        <v>40</v>
      </c>
      <c r="O36" s="419">
        <f t="shared" si="40"/>
        <v>0</v>
      </c>
      <c r="P36" s="419">
        <f t="shared" si="40"/>
        <v>0</v>
      </c>
      <c r="Q36" s="419">
        <f t="shared" si="40"/>
        <v>24</v>
      </c>
      <c r="R36" s="418">
        <f>SUM(S36:W36)</f>
        <v>0</v>
      </c>
      <c r="S36" s="200"/>
      <c r="T36" s="200"/>
      <c r="U36" s="200"/>
      <c r="V36" s="200"/>
      <c r="W36" s="200"/>
      <c r="X36" s="418">
        <f>SUM(Y36:AC36)</f>
        <v>0</v>
      </c>
      <c r="Y36" s="200"/>
      <c r="Z36" s="200"/>
      <c r="AA36" s="200"/>
      <c r="AB36" s="200"/>
      <c r="AC36" s="200"/>
      <c r="AD36" s="418">
        <f>SUM(AE36:AI36)</f>
        <v>72</v>
      </c>
      <c r="AE36" s="202">
        <v>8</v>
      </c>
      <c r="AF36" s="202">
        <v>40</v>
      </c>
      <c r="AG36" s="202"/>
      <c r="AH36" s="200"/>
      <c r="AI36" s="200">
        <v>24</v>
      </c>
      <c r="AJ36" s="418">
        <f>SUM(AK36:AO36)</f>
        <v>0</v>
      </c>
      <c r="AK36" s="200"/>
      <c r="AL36" s="200"/>
      <c r="AM36" s="200"/>
      <c r="AN36" s="200"/>
      <c r="AO36" s="200"/>
      <c r="AP36" s="418">
        <f>SUM(AQ36:AU36)</f>
        <v>0</v>
      </c>
      <c r="AQ36" s="200"/>
      <c r="AR36" s="200"/>
      <c r="AS36" s="200"/>
      <c r="AT36" s="200"/>
      <c r="AU36" s="200"/>
      <c r="AV36" s="418">
        <f>SUM(AW36:BA36)</f>
        <v>0</v>
      </c>
      <c r="AW36" s="200"/>
      <c r="AX36" s="200"/>
      <c r="AY36" s="200"/>
      <c r="AZ36" s="200"/>
      <c r="BA36" s="200"/>
      <c r="BB36" s="418">
        <f>SUM(BC36:BG36)</f>
        <v>0</v>
      </c>
      <c r="BC36" s="200"/>
      <c r="BD36" s="200"/>
      <c r="BE36" s="200"/>
      <c r="BF36" s="200"/>
      <c r="BG36" s="200"/>
      <c r="BH36" s="418">
        <f>SUM(BI36:BM36)</f>
        <v>0</v>
      </c>
      <c r="BI36" s="200"/>
      <c r="BJ36" s="200"/>
      <c r="BK36" s="200"/>
      <c r="BL36" s="200"/>
      <c r="BM36" s="200"/>
      <c r="BN36" s="418">
        <f>SUM(BO36:BS36)</f>
        <v>0</v>
      </c>
      <c r="BO36" s="200"/>
      <c r="BP36" s="200"/>
      <c r="BQ36" s="200"/>
      <c r="BR36" s="200"/>
      <c r="BS36" s="200"/>
      <c r="BT36" s="418">
        <f>SUM(BU36:BY36)</f>
        <v>0</v>
      </c>
      <c r="BU36" s="200"/>
      <c r="BV36" s="200"/>
      <c r="BW36" s="200"/>
      <c r="BX36" s="200"/>
      <c r="BY36" s="200"/>
      <c r="BZ36" s="425" t="s">
        <v>505</v>
      </c>
      <c r="CA36" s="440" t="s">
        <v>511</v>
      </c>
    </row>
    <row r="37" spans="1:79" s="97" customFormat="1" ht="25.5" x14ac:dyDescent="0.2">
      <c r="A37" s="437" t="s">
        <v>183</v>
      </c>
      <c r="B37" s="223" t="s">
        <v>379</v>
      </c>
      <c r="C37" s="223"/>
      <c r="D37" s="450"/>
      <c r="E37" s="448" t="s">
        <v>30</v>
      </c>
      <c r="F37" s="448"/>
      <c r="G37" s="425"/>
      <c r="H37" s="425"/>
      <c r="I37" s="202"/>
      <c r="J37" s="200"/>
      <c r="K37" s="419">
        <f>L37+SUM(Q37:Q37)</f>
        <v>48</v>
      </c>
      <c r="L37" s="419">
        <f>SUM(M37:P37)</f>
        <v>32</v>
      </c>
      <c r="M37" s="419">
        <f t="shared" si="40"/>
        <v>32</v>
      </c>
      <c r="N37" s="419">
        <f t="shared" si="40"/>
        <v>0</v>
      </c>
      <c r="O37" s="419">
        <f t="shared" si="40"/>
        <v>0</v>
      </c>
      <c r="P37" s="419">
        <f t="shared" si="40"/>
        <v>0</v>
      </c>
      <c r="Q37" s="419">
        <f t="shared" si="40"/>
        <v>16</v>
      </c>
      <c r="R37" s="418">
        <f>SUM(S37:W37)</f>
        <v>0</v>
      </c>
      <c r="S37" s="200"/>
      <c r="T37" s="200"/>
      <c r="U37" s="200"/>
      <c r="V37" s="200"/>
      <c r="W37" s="200"/>
      <c r="X37" s="418">
        <f>SUM(Y37:AC37)</f>
        <v>0</v>
      </c>
      <c r="Y37" s="200"/>
      <c r="Z37" s="200"/>
      <c r="AA37" s="200"/>
      <c r="AB37" s="200"/>
      <c r="AC37" s="200"/>
      <c r="AD37" s="418">
        <f>SUM(AE37:AI37)</f>
        <v>48</v>
      </c>
      <c r="AE37" s="200">
        <v>32</v>
      </c>
      <c r="AF37" s="200"/>
      <c r="AG37" s="200"/>
      <c r="AH37" s="200"/>
      <c r="AI37" s="200">
        <v>16</v>
      </c>
      <c r="AJ37" s="418">
        <f>SUM(AK37:AO37)</f>
        <v>0</v>
      </c>
      <c r="AK37" s="200"/>
      <c r="AL37" s="200"/>
      <c r="AM37" s="200"/>
      <c r="AN37" s="200"/>
      <c r="AO37" s="200"/>
      <c r="AP37" s="418">
        <f>SUM(AQ37:AU37)</f>
        <v>0</v>
      </c>
      <c r="AQ37" s="200"/>
      <c r="AR37" s="200"/>
      <c r="AS37" s="200"/>
      <c r="AT37" s="200"/>
      <c r="AU37" s="200"/>
      <c r="AV37" s="418">
        <f>SUM(AW37:BA37)</f>
        <v>0</v>
      </c>
      <c r="AW37" s="200"/>
      <c r="AX37" s="200"/>
      <c r="AY37" s="200"/>
      <c r="AZ37" s="200"/>
      <c r="BA37" s="200"/>
      <c r="BB37" s="418">
        <f>SUM(BC37:BG37)</f>
        <v>0</v>
      </c>
      <c r="BC37" s="200"/>
      <c r="BD37" s="200"/>
      <c r="BE37" s="200"/>
      <c r="BF37" s="200"/>
      <c r="BG37" s="200"/>
      <c r="BH37" s="418">
        <f>SUM(BI37:BM37)</f>
        <v>0</v>
      </c>
      <c r="BI37" s="200"/>
      <c r="BJ37" s="200"/>
      <c r="BK37" s="200"/>
      <c r="BL37" s="200"/>
      <c r="BM37" s="200"/>
      <c r="BN37" s="418">
        <f>SUM(BO37:BS37)</f>
        <v>0</v>
      </c>
      <c r="BO37" s="200"/>
      <c r="BP37" s="200"/>
      <c r="BQ37" s="200"/>
      <c r="BR37" s="200"/>
      <c r="BS37" s="200"/>
      <c r="BT37" s="418">
        <f>SUM(BU37:BY37)</f>
        <v>0</v>
      </c>
      <c r="BU37" s="200"/>
      <c r="BV37" s="200"/>
      <c r="BW37" s="200"/>
      <c r="BX37" s="200"/>
      <c r="BY37" s="200"/>
      <c r="BZ37" s="425" t="s">
        <v>505</v>
      </c>
      <c r="CA37" s="440" t="s">
        <v>512</v>
      </c>
    </row>
    <row r="38" spans="1:79" s="95" customFormat="1" ht="27" customHeight="1" x14ac:dyDescent="0.2">
      <c r="A38" s="434"/>
      <c r="B38" s="699" t="s">
        <v>76</v>
      </c>
      <c r="C38" s="699"/>
      <c r="D38" s="435" t="s">
        <v>26</v>
      </c>
      <c r="E38" s="435"/>
      <c r="F38" s="435"/>
      <c r="G38" s="435"/>
      <c r="H38" s="435"/>
      <c r="I38" s="436">
        <f>Нормы!D12</f>
        <v>2800</v>
      </c>
      <c r="J38" s="436">
        <f>Нормы!E12</f>
        <v>1936</v>
      </c>
      <c r="K38" s="446">
        <f>K39+K47</f>
        <v>4232</v>
      </c>
      <c r="L38" s="446">
        <f>L39+L47</f>
        <v>2890</v>
      </c>
      <c r="M38" s="436">
        <f t="shared" ref="M38:AF38" si="41">M39+M47</f>
        <v>2056</v>
      </c>
      <c r="N38" s="436">
        <f t="shared" si="41"/>
        <v>744</v>
      </c>
      <c r="O38" s="436">
        <f t="shared" si="41"/>
        <v>90</v>
      </c>
      <c r="P38" s="436">
        <f t="shared" si="41"/>
        <v>0</v>
      </c>
      <c r="Q38" s="436">
        <f t="shared" si="41"/>
        <v>1342</v>
      </c>
      <c r="R38" s="436">
        <f t="shared" si="41"/>
        <v>0</v>
      </c>
      <c r="S38" s="436">
        <f t="shared" si="41"/>
        <v>0</v>
      </c>
      <c r="T38" s="436">
        <f t="shared" si="41"/>
        <v>0</v>
      </c>
      <c r="U38" s="436">
        <f t="shared" si="41"/>
        <v>0</v>
      </c>
      <c r="V38" s="436">
        <f t="shared" si="41"/>
        <v>0</v>
      </c>
      <c r="W38" s="449">
        <f t="shared" si="41"/>
        <v>0</v>
      </c>
      <c r="X38" s="436">
        <f t="shared" si="41"/>
        <v>0</v>
      </c>
      <c r="Y38" s="436">
        <f t="shared" si="41"/>
        <v>0</v>
      </c>
      <c r="Z38" s="436">
        <f t="shared" si="41"/>
        <v>0</v>
      </c>
      <c r="AA38" s="436">
        <f t="shared" si="41"/>
        <v>0</v>
      </c>
      <c r="AB38" s="436">
        <f t="shared" si="41"/>
        <v>0</v>
      </c>
      <c r="AC38" s="449">
        <f t="shared" si="41"/>
        <v>0</v>
      </c>
      <c r="AD38" s="436">
        <f t="shared" si="41"/>
        <v>348</v>
      </c>
      <c r="AE38" s="436">
        <f t="shared" si="41"/>
        <v>192</v>
      </c>
      <c r="AF38" s="436">
        <f t="shared" si="41"/>
        <v>48</v>
      </c>
      <c r="AG38" s="436">
        <f t="shared" ref="AG38:AO38" si="42">AG39+AG47</f>
        <v>0</v>
      </c>
      <c r="AH38" s="436">
        <f t="shared" si="42"/>
        <v>0</v>
      </c>
      <c r="AI38" s="436">
        <f t="shared" si="42"/>
        <v>108</v>
      </c>
      <c r="AJ38" s="436">
        <f t="shared" si="42"/>
        <v>693</v>
      </c>
      <c r="AK38" s="436">
        <f t="shared" si="42"/>
        <v>420</v>
      </c>
      <c r="AL38" s="436">
        <f t="shared" si="42"/>
        <v>56</v>
      </c>
      <c r="AM38" s="436">
        <f t="shared" si="42"/>
        <v>0</v>
      </c>
      <c r="AN38" s="436">
        <f t="shared" si="42"/>
        <v>0</v>
      </c>
      <c r="AO38" s="436">
        <f t="shared" si="42"/>
        <v>217</v>
      </c>
      <c r="AP38" s="436">
        <f t="shared" ref="AP38:AU38" si="43">AP39+AP47</f>
        <v>680</v>
      </c>
      <c r="AQ38" s="436">
        <f>AQ39+AQ47</f>
        <v>374</v>
      </c>
      <c r="AR38" s="436">
        <f t="shared" si="43"/>
        <v>90</v>
      </c>
      <c r="AS38" s="436">
        <f t="shared" si="43"/>
        <v>0</v>
      </c>
      <c r="AT38" s="436">
        <f t="shared" si="43"/>
        <v>0</v>
      </c>
      <c r="AU38" s="436">
        <f t="shared" si="43"/>
        <v>216</v>
      </c>
      <c r="AV38" s="436">
        <f t="shared" ref="AV38:BA38" si="44">AV39+AV47</f>
        <v>517</v>
      </c>
      <c r="AW38" s="436">
        <f t="shared" si="44"/>
        <v>233</v>
      </c>
      <c r="AX38" s="436">
        <f t="shared" si="44"/>
        <v>119</v>
      </c>
      <c r="AY38" s="436">
        <f t="shared" si="44"/>
        <v>0</v>
      </c>
      <c r="AZ38" s="436">
        <f t="shared" si="44"/>
        <v>0</v>
      </c>
      <c r="BA38" s="436">
        <f t="shared" si="44"/>
        <v>165</v>
      </c>
      <c r="BB38" s="436">
        <f t="shared" ref="BB38:BG38" si="45">BB39+BB47</f>
        <v>518</v>
      </c>
      <c r="BC38" s="436">
        <f t="shared" si="45"/>
        <v>268</v>
      </c>
      <c r="BD38" s="436">
        <f t="shared" si="45"/>
        <v>84</v>
      </c>
      <c r="BE38" s="436">
        <f t="shared" si="45"/>
        <v>0</v>
      </c>
      <c r="BF38" s="436">
        <f t="shared" si="45"/>
        <v>0</v>
      </c>
      <c r="BG38" s="436">
        <f t="shared" si="45"/>
        <v>166</v>
      </c>
      <c r="BH38" s="436">
        <f t="shared" ref="BH38:BM38" si="46">BH39+BH47</f>
        <v>517</v>
      </c>
      <c r="BI38" s="436">
        <f t="shared" si="46"/>
        <v>286</v>
      </c>
      <c r="BJ38" s="436">
        <f t="shared" si="46"/>
        <v>11</v>
      </c>
      <c r="BK38" s="436">
        <f t="shared" si="46"/>
        <v>55</v>
      </c>
      <c r="BL38" s="436">
        <f t="shared" si="46"/>
        <v>0</v>
      </c>
      <c r="BM38" s="436">
        <f t="shared" si="46"/>
        <v>165</v>
      </c>
      <c r="BN38" s="436">
        <f t="shared" ref="BN38:BY38" si="47">BN39+BN47</f>
        <v>164</v>
      </c>
      <c r="BO38" s="436">
        <f t="shared" si="47"/>
        <v>72</v>
      </c>
      <c r="BP38" s="436">
        <f t="shared" si="47"/>
        <v>40</v>
      </c>
      <c r="BQ38" s="436">
        <f t="shared" si="47"/>
        <v>0</v>
      </c>
      <c r="BR38" s="436">
        <f t="shared" si="47"/>
        <v>0</v>
      </c>
      <c r="BS38" s="436">
        <f t="shared" si="47"/>
        <v>52</v>
      </c>
      <c r="BT38" s="436">
        <f t="shared" si="47"/>
        <v>795</v>
      </c>
      <c r="BU38" s="436">
        <f t="shared" si="47"/>
        <v>211</v>
      </c>
      <c r="BV38" s="436">
        <f t="shared" si="47"/>
        <v>296</v>
      </c>
      <c r="BW38" s="436">
        <f t="shared" si="47"/>
        <v>35</v>
      </c>
      <c r="BX38" s="436">
        <f t="shared" si="47"/>
        <v>0</v>
      </c>
      <c r="BY38" s="436">
        <f t="shared" si="47"/>
        <v>253</v>
      </c>
      <c r="BZ38" s="435"/>
      <c r="CA38" s="441"/>
    </row>
    <row r="39" spans="1:79" s="99" customFormat="1" ht="14.25" customHeight="1" x14ac:dyDescent="0.2">
      <c r="A39" s="413" t="s">
        <v>204</v>
      </c>
      <c r="B39" s="771" t="s">
        <v>191</v>
      </c>
      <c r="C39" s="771"/>
      <c r="D39" s="771"/>
      <c r="E39" s="771"/>
      <c r="F39" s="771"/>
      <c r="G39" s="771"/>
      <c r="H39" s="414"/>
      <c r="I39" s="451">
        <v>552</v>
      </c>
      <c r="J39" s="451">
        <v>368</v>
      </c>
      <c r="K39" s="415">
        <f t="shared" ref="K39:AF39" si="48">SUM(K40:K46)</f>
        <v>640</v>
      </c>
      <c r="L39" s="415">
        <f t="shared" si="48"/>
        <v>427</v>
      </c>
      <c r="M39" s="415">
        <f t="shared" si="48"/>
        <v>345</v>
      </c>
      <c r="N39" s="415">
        <f t="shared" si="48"/>
        <v>82</v>
      </c>
      <c r="O39" s="415">
        <f t="shared" si="48"/>
        <v>0</v>
      </c>
      <c r="P39" s="415">
        <f t="shared" si="48"/>
        <v>0</v>
      </c>
      <c r="Q39" s="415">
        <f t="shared" si="48"/>
        <v>213</v>
      </c>
      <c r="R39" s="415">
        <f t="shared" si="48"/>
        <v>0</v>
      </c>
      <c r="S39" s="415">
        <f t="shared" si="48"/>
        <v>0</v>
      </c>
      <c r="T39" s="415">
        <f t="shared" si="48"/>
        <v>0</v>
      </c>
      <c r="U39" s="415">
        <f t="shared" si="48"/>
        <v>0</v>
      </c>
      <c r="V39" s="415">
        <f t="shared" si="48"/>
        <v>0</v>
      </c>
      <c r="W39" s="416">
        <f t="shared" si="48"/>
        <v>0</v>
      </c>
      <c r="X39" s="415">
        <f t="shared" si="48"/>
        <v>0</v>
      </c>
      <c r="Y39" s="415">
        <f t="shared" si="48"/>
        <v>0</v>
      </c>
      <c r="Z39" s="415">
        <f t="shared" si="48"/>
        <v>0</v>
      </c>
      <c r="AA39" s="415">
        <f t="shared" si="48"/>
        <v>0</v>
      </c>
      <c r="AB39" s="415">
        <f t="shared" si="48"/>
        <v>0</v>
      </c>
      <c r="AC39" s="416">
        <f t="shared" si="48"/>
        <v>0</v>
      </c>
      <c r="AD39" s="415">
        <f t="shared" si="48"/>
        <v>312</v>
      </c>
      <c r="AE39" s="415">
        <f t="shared" si="48"/>
        <v>160</v>
      </c>
      <c r="AF39" s="415">
        <f t="shared" si="48"/>
        <v>48</v>
      </c>
      <c r="AG39" s="415">
        <f t="shared" ref="AG39:AO39" si="49">SUM(AG40:AG46)</f>
        <v>0</v>
      </c>
      <c r="AH39" s="415">
        <f t="shared" si="49"/>
        <v>0</v>
      </c>
      <c r="AI39" s="415">
        <f t="shared" si="49"/>
        <v>104</v>
      </c>
      <c r="AJ39" s="415">
        <f t="shared" si="49"/>
        <v>229</v>
      </c>
      <c r="AK39" s="415">
        <f t="shared" si="49"/>
        <v>119</v>
      </c>
      <c r="AL39" s="415">
        <f t="shared" si="49"/>
        <v>34</v>
      </c>
      <c r="AM39" s="415">
        <f t="shared" si="49"/>
        <v>0</v>
      </c>
      <c r="AN39" s="415">
        <f t="shared" si="49"/>
        <v>0</v>
      </c>
      <c r="AO39" s="415">
        <f t="shared" si="49"/>
        <v>76</v>
      </c>
      <c r="AP39" s="415">
        <f t="shared" ref="AP39:AU39" si="50">SUM(AP40:AP46)</f>
        <v>0</v>
      </c>
      <c r="AQ39" s="415">
        <f t="shared" si="50"/>
        <v>0</v>
      </c>
      <c r="AR39" s="415">
        <f t="shared" si="50"/>
        <v>0</v>
      </c>
      <c r="AS39" s="415">
        <f t="shared" si="50"/>
        <v>0</v>
      </c>
      <c r="AT39" s="415">
        <f t="shared" si="50"/>
        <v>0</v>
      </c>
      <c r="AU39" s="415">
        <f t="shared" si="50"/>
        <v>0</v>
      </c>
      <c r="AV39" s="415">
        <f t="shared" ref="AV39:BA39" si="51">SUM(AV40:AV46)</f>
        <v>0</v>
      </c>
      <c r="AW39" s="415">
        <f t="shared" si="51"/>
        <v>0</v>
      </c>
      <c r="AX39" s="415">
        <f t="shared" si="51"/>
        <v>0</v>
      </c>
      <c r="AY39" s="415">
        <f t="shared" si="51"/>
        <v>0</v>
      </c>
      <c r="AZ39" s="415">
        <f t="shared" si="51"/>
        <v>0</v>
      </c>
      <c r="BA39" s="415">
        <f t="shared" si="51"/>
        <v>0</v>
      </c>
      <c r="BB39" s="415">
        <f t="shared" ref="BB39:BG39" si="52">SUM(BB40:BB46)</f>
        <v>33</v>
      </c>
      <c r="BC39" s="415">
        <f t="shared" si="52"/>
        <v>22</v>
      </c>
      <c r="BD39" s="415">
        <f t="shared" si="52"/>
        <v>0</v>
      </c>
      <c r="BE39" s="415">
        <f t="shared" si="52"/>
        <v>0</v>
      </c>
      <c r="BF39" s="415">
        <f t="shared" si="52"/>
        <v>0</v>
      </c>
      <c r="BG39" s="415">
        <f t="shared" si="52"/>
        <v>11</v>
      </c>
      <c r="BH39" s="415">
        <f t="shared" ref="BH39:BM39" si="53">SUM(BH40:BH46)</f>
        <v>66</v>
      </c>
      <c r="BI39" s="415">
        <f t="shared" si="53"/>
        <v>44</v>
      </c>
      <c r="BJ39" s="415">
        <f t="shared" si="53"/>
        <v>0</v>
      </c>
      <c r="BK39" s="415">
        <f t="shared" si="53"/>
        <v>0</v>
      </c>
      <c r="BL39" s="415">
        <f t="shared" si="53"/>
        <v>0</v>
      </c>
      <c r="BM39" s="415">
        <f t="shared" si="53"/>
        <v>22</v>
      </c>
      <c r="BN39" s="415">
        <f t="shared" ref="BN39:BY39" si="54">SUM(BN40:BN46)</f>
        <v>0</v>
      </c>
      <c r="BO39" s="415">
        <f t="shared" si="54"/>
        <v>0</v>
      </c>
      <c r="BP39" s="415">
        <f t="shared" si="54"/>
        <v>0</v>
      </c>
      <c r="BQ39" s="415">
        <f t="shared" si="54"/>
        <v>0</v>
      </c>
      <c r="BR39" s="415">
        <f t="shared" si="54"/>
        <v>0</v>
      </c>
      <c r="BS39" s="415">
        <f t="shared" si="54"/>
        <v>0</v>
      </c>
      <c r="BT39" s="415">
        <f t="shared" si="54"/>
        <v>0</v>
      </c>
      <c r="BU39" s="415">
        <f t="shared" si="54"/>
        <v>0</v>
      </c>
      <c r="BV39" s="415">
        <f t="shared" si="54"/>
        <v>0</v>
      </c>
      <c r="BW39" s="415">
        <f t="shared" si="54"/>
        <v>0</v>
      </c>
      <c r="BX39" s="415">
        <f t="shared" si="54"/>
        <v>0</v>
      </c>
      <c r="BY39" s="415">
        <f t="shared" si="54"/>
        <v>0</v>
      </c>
      <c r="BZ39" s="414"/>
      <c r="CA39" s="452"/>
    </row>
    <row r="40" spans="1:79" s="97" customFormat="1" ht="25.5" customHeight="1" x14ac:dyDescent="0.2">
      <c r="A40" s="437" t="s">
        <v>192</v>
      </c>
      <c r="B40" s="223" t="s">
        <v>193</v>
      </c>
      <c r="C40" s="223"/>
      <c r="D40" s="425"/>
      <c r="E40" s="425" t="s">
        <v>40</v>
      </c>
      <c r="F40" s="425"/>
      <c r="G40" s="425"/>
      <c r="H40" s="425" t="s">
        <v>30</v>
      </c>
      <c r="I40" s="202"/>
      <c r="J40" s="421"/>
      <c r="K40" s="419">
        <f t="shared" ref="K40:K46" si="55">L40+SUM(Q40:Q40)</f>
        <v>99</v>
      </c>
      <c r="L40" s="419">
        <f t="shared" ref="L40:L46" si="56">SUM(M40:P40)</f>
        <v>66</v>
      </c>
      <c r="M40" s="419">
        <f t="shared" ref="M40:Q46" si="57">S40+Y40+AE40+AK40+AQ40+AW40+BC40+BI40+BO40+BU40</f>
        <v>0</v>
      </c>
      <c r="N40" s="419">
        <f t="shared" si="57"/>
        <v>66</v>
      </c>
      <c r="O40" s="419">
        <f t="shared" si="57"/>
        <v>0</v>
      </c>
      <c r="P40" s="419">
        <f t="shared" si="57"/>
        <v>0</v>
      </c>
      <c r="Q40" s="419">
        <f t="shared" si="57"/>
        <v>33</v>
      </c>
      <c r="R40" s="418">
        <f t="shared" ref="R40:R46" si="58">SUM(S40:W40)</f>
        <v>0</v>
      </c>
      <c r="S40" s="200"/>
      <c r="T40" s="200"/>
      <c r="U40" s="200"/>
      <c r="V40" s="200"/>
      <c r="W40" s="200"/>
      <c r="X40" s="418">
        <f t="shared" ref="X40:X46" si="59">SUM(Y40:AC40)</f>
        <v>0</v>
      </c>
      <c r="Y40" s="200"/>
      <c r="Z40" s="200"/>
      <c r="AA40" s="200"/>
      <c r="AB40" s="200"/>
      <c r="AC40" s="200"/>
      <c r="AD40" s="418">
        <f t="shared" ref="AD40:AD46" si="60">SUM(AE40:AI40)</f>
        <v>48</v>
      </c>
      <c r="AE40" s="200"/>
      <c r="AF40" s="200">
        <v>32</v>
      </c>
      <c r="AG40" s="200"/>
      <c r="AH40" s="200"/>
      <c r="AI40" s="200">
        <v>16</v>
      </c>
      <c r="AJ40" s="418">
        <f t="shared" ref="AJ40:AJ46" si="61">SUM(AK40:AO40)</f>
        <v>51</v>
      </c>
      <c r="AK40" s="200"/>
      <c r="AL40" s="200">
        <v>34</v>
      </c>
      <c r="AM40" s="200"/>
      <c r="AN40" s="200"/>
      <c r="AO40" s="200">
        <v>17</v>
      </c>
      <c r="AP40" s="418">
        <f t="shared" ref="AP40:AP46" si="62">SUM(AQ40:AU40)</f>
        <v>0</v>
      </c>
      <c r="AQ40" s="200"/>
      <c r="AR40" s="200"/>
      <c r="AS40" s="200"/>
      <c r="AT40" s="200"/>
      <c r="AU40" s="200"/>
      <c r="AV40" s="418">
        <f t="shared" ref="AV40:AV46" si="63">SUM(AW40:BA40)</f>
        <v>0</v>
      </c>
      <c r="AW40" s="200"/>
      <c r="AX40" s="200"/>
      <c r="AY40" s="200"/>
      <c r="AZ40" s="200"/>
      <c r="BA40" s="200"/>
      <c r="BB40" s="418">
        <f t="shared" ref="BB40:BB46" si="64">SUM(BC40:BG40)</f>
        <v>0</v>
      </c>
      <c r="BC40" s="200"/>
      <c r="BD40" s="200"/>
      <c r="BE40" s="200"/>
      <c r="BF40" s="200"/>
      <c r="BG40" s="200"/>
      <c r="BH40" s="418">
        <f t="shared" ref="BH40:BH46" si="65">SUM(BI40:BM40)</f>
        <v>0</v>
      </c>
      <c r="BI40" s="200"/>
      <c r="BJ40" s="200"/>
      <c r="BK40" s="200"/>
      <c r="BL40" s="200"/>
      <c r="BM40" s="200"/>
      <c r="BN40" s="418">
        <f t="shared" ref="BN40:BN46" si="66">SUM(BO40:BS40)</f>
        <v>0</v>
      </c>
      <c r="BO40" s="200"/>
      <c r="BP40" s="200"/>
      <c r="BQ40" s="200"/>
      <c r="BR40" s="200"/>
      <c r="BS40" s="200"/>
      <c r="BT40" s="418">
        <f t="shared" ref="BT40:BT46" si="67">SUM(BU40:BY40)</f>
        <v>0</v>
      </c>
      <c r="BU40" s="200"/>
      <c r="BV40" s="200"/>
      <c r="BW40" s="200"/>
      <c r="BX40" s="200"/>
      <c r="BY40" s="200"/>
      <c r="BZ40" s="425" t="s">
        <v>505</v>
      </c>
      <c r="CA40" s="440" t="s">
        <v>592</v>
      </c>
    </row>
    <row r="41" spans="1:79" s="97" customFormat="1" ht="27.75" customHeight="1" x14ac:dyDescent="0.2">
      <c r="A41" s="437" t="s">
        <v>194</v>
      </c>
      <c r="B41" s="223" t="s">
        <v>195</v>
      </c>
      <c r="C41" s="223"/>
      <c r="D41" s="425"/>
      <c r="E41" s="425" t="s">
        <v>40</v>
      </c>
      <c r="F41" s="425"/>
      <c r="G41" s="425"/>
      <c r="H41" s="425"/>
      <c r="I41" s="200"/>
      <c r="J41" s="421"/>
      <c r="K41" s="419">
        <f t="shared" si="55"/>
        <v>76</v>
      </c>
      <c r="L41" s="419">
        <f t="shared" si="56"/>
        <v>51</v>
      </c>
      <c r="M41" s="419">
        <f t="shared" si="57"/>
        <v>51</v>
      </c>
      <c r="N41" s="419">
        <f t="shared" si="57"/>
        <v>0</v>
      </c>
      <c r="O41" s="419">
        <f t="shared" si="57"/>
        <v>0</v>
      </c>
      <c r="P41" s="419">
        <f t="shared" si="57"/>
        <v>0</v>
      </c>
      <c r="Q41" s="419">
        <f t="shared" si="57"/>
        <v>25</v>
      </c>
      <c r="R41" s="418">
        <f t="shared" si="58"/>
        <v>0</v>
      </c>
      <c r="S41" s="200"/>
      <c r="T41" s="200"/>
      <c r="U41" s="200"/>
      <c r="V41" s="200"/>
      <c r="W41" s="200"/>
      <c r="X41" s="418">
        <f t="shared" si="59"/>
        <v>0</v>
      </c>
      <c r="Y41" s="200"/>
      <c r="Z41" s="200"/>
      <c r="AA41" s="200"/>
      <c r="AB41" s="200"/>
      <c r="AC41" s="200"/>
      <c r="AD41" s="418">
        <f t="shared" si="60"/>
        <v>0</v>
      </c>
      <c r="AE41" s="202"/>
      <c r="AF41" s="202"/>
      <c r="AG41" s="202"/>
      <c r="AH41" s="200"/>
      <c r="AI41" s="202"/>
      <c r="AJ41" s="418">
        <f t="shared" si="61"/>
        <v>76</v>
      </c>
      <c r="AK41" s="202">
        <v>51</v>
      </c>
      <c r="AL41" s="202"/>
      <c r="AM41" s="202"/>
      <c r="AN41" s="202"/>
      <c r="AO41" s="202">
        <v>25</v>
      </c>
      <c r="AP41" s="418">
        <f t="shared" si="62"/>
        <v>0</v>
      </c>
      <c r="AQ41" s="200"/>
      <c r="AR41" s="200"/>
      <c r="AS41" s="200"/>
      <c r="AT41" s="200"/>
      <c r="AU41" s="200"/>
      <c r="AV41" s="418">
        <f t="shared" si="63"/>
        <v>0</v>
      </c>
      <c r="AW41" s="200"/>
      <c r="AX41" s="200"/>
      <c r="AY41" s="200"/>
      <c r="AZ41" s="200"/>
      <c r="BA41" s="200"/>
      <c r="BB41" s="418">
        <f t="shared" si="64"/>
        <v>0</v>
      </c>
      <c r="BC41" s="200"/>
      <c r="BD41" s="200"/>
      <c r="BE41" s="200"/>
      <c r="BF41" s="200"/>
      <c r="BG41" s="200"/>
      <c r="BH41" s="418">
        <f t="shared" si="65"/>
        <v>0</v>
      </c>
      <c r="BI41" s="200"/>
      <c r="BJ41" s="200"/>
      <c r="BK41" s="200"/>
      <c r="BL41" s="200"/>
      <c r="BM41" s="200"/>
      <c r="BN41" s="418">
        <f t="shared" si="66"/>
        <v>0</v>
      </c>
      <c r="BO41" s="200"/>
      <c r="BP41" s="200"/>
      <c r="BQ41" s="200"/>
      <c r="BR41" s="200"/>
      <c r="BS41" s="200"/>
      <c r="BT41" s="418">
        <f t="shared" si="67"/>
        <v>0</v>
      </c>
      <c r="BU41" s="200"/>
      <c r="BV41" s="200"/>
      <c r="BW41" s="200"/>
      <c r="BX41" s="200"/>
      <c r="BY41" s="200"/>
      <c r="BZ41" s="425" t="s">
        <v>505</v>
      </c>
      <c r="CA41" s="200" t="s">
        <v>513</v>
      </c>
    </row>
    <row r="42" spans="1:79" s="97" customFormat="1" ht="28.5" customHeight="1" x14ac:dyDescent="0.2">
      <c r="A42" s="437" t="s">
        <v>196</v>
      </c>
      <c r="B42" s="223" t="s">
        <v>197</v>
      </c>
      <c r="C42" s="223" t="s">
        <v>594</v>
      </c>
      <c r="D42" s="425"/>
      <c r="E42" s="448" t="s">
        <v>30</v>
      </c>
      <c r="F42" s="448"/>
      <c r="G42" s="425"/>
      <c r="H42" s="425"/>
      <c r="I42" s="200"/>
      <c r="J42" s="421"/>
      <c r="K42" s="419">
        <f t="shared" si="55"/>
        <v>66</v>
      </c>
      <c r="L42" s="419">
        <f t="shared" si="56"/>
        <v>44</v>
      </c>
      <c r="M42" s="419">
        <f t="shared" si="57"/>
        <v>28</v>
      </c>
      <c r="N42" s="419">
        <f t="shared" si="57"/>
        <v>16</v>
      </c>
      <c r="O42" s="419">
        <f t="shared" si="57"/>
        <v>0</v>
      </c>
      <c r="P42" s="419">
        <f t="shared" si="57"/>
        <v>0</v>
      </c>
      <c r="Q42" s="419">
        <f t="shared" si="57"/>
        <v>22</v>
      </c>
      <c r="R42" s="418">
        <f t="shared" si="58"/>
        <v>0</v>
      </c>
      <c r="S42" s="200"/>
      <c r="T42" s="200"/>
      <c r="U42" s="200"/>
      <c r="V42" s="200"/>
      <c r="W42" s="200"/>
      <c r="X42" s="418">
        <f t="shared" si="59"/>
        <v>0</v>
      </c>
      <c r="Y42" s="200"/>
      <c r="Z42" s="200"/>
      <c r="AA42" s="200"/>
      <c r="AB42" s="200"/>
      <c r="AC42" s="200"/>
      <c r="AD42" s="418">
        <f t="shared" si="60"/>
        <v>66</v>
      </c>
      <c r="AE42" s="202">
        <v>28</v>
      </c>
      <c r="AF42" s="202">
        <v>16</v>
      </c>
      <c r="AG42" s="202"/>
      <c r="AH42" s="200"/>
      <c r="AI42" s="200">
        <v>22</v>
      </c>
      <c r="AJ42" s="418">
        <f t="shared" si="61"/>
        <v>0</v>
      </c>
      <c r="AK42" s="202"/>
      <c r="AL42" s="202"/>
      <c r="AM42" s="202"/>
      <c r="AN42" s="202"/>
      <c r="AO42" s="202"/>
      <c r="AP42" s="418">
        <f t="shared" si="62"/>
        <v>0</v>
      </c>
      <c r="AQ42" s="200"/>
      <c r="AR42" s="200"/>
      <c r="AS42" s="200"/>
      <c r="AT42" s="200"/>
      <c r="AU42" s="200"/>
      <c r="AV42" s="418">
        <f t="shared" si="63"/>
        <v>0</v>
      </c>
      <c r="AW42" s="200"/>
      <c r="AX42" s="200"/>
      <c r="AY42" s="200"/>
      <c r="AZ42" s="200"/>
      <c r="BA42" s="200"/>
      <c r="BB42" s="418">
        <f t="shared" si="64"/>
        <v>0</v>
      </c>
      <c r="BC42" s="200"/>
      <c r="BD42" s="200"/>
      <c r="BE42" s="200"/>
      <c r="BF42" s="200"/>
      <c r="BG42" s="200"/>
      <c r="BH42" s="418">
        <f t="shared" si="65"/>
        <v>0</v>
      </c>
      <c r="BI42" s="200"/>
      <c r="BJ42" s="200"/>
      <c r="BK42" s="200"/>
      <c r="BL42" s="200"/>
      <c r="BM42" s="200"/>
      <c r="BN42" s="418">
        <f t="shared" si="66"/>
        <v>0</v>
      </c>
      <c r="BO42" s="200"/>
      <c r="BP42" s="200"/>
      <c r="BQ42" s="200"/>
      <c r="BR42" s="200"/>
      <c r="BS42" s="200"/>
      <c r="BT42" s="418">
        <f t="shared" si="67"/>
        <v>0</v>
      </c>
      <c r="BU42" s="200"/>
      <c r="BV42" s="200"/>
      <c r="BW42" s="200"/>
      <c r="BX42" s="200"/>
      <c r="BY42" s="200"/>
      <c r="BZ42" s="425" t="s">
        <v>514</v>
      </c>
      <c r="CA42" s="200" t="s">
        <v>455</v>
      </c>
    </row>
    <row r="43" spans="1:79" s="97" customFormat="1" ht="38.25" customHeight="1" x14ac:dyDescent="0.2">
      <c r="A43" s="437" t="s">
        <v>198</v>
      </c>
      <c r="B43" s="223" t="s">
        <v>557</v>
      </c>
      <c r="C43" s="223" t="s">
        <v>575</v>
      </c>
      <c r="D43" s="448" t="s">
        <v>38</v>
      </c>
      <c r="E43" s="448"/>
      <c r="F43" s="448"/>
      <c r="G43" s="425"/>
      <c r="H43" s="425" t="s">
        <v>43</v>
      </c>
      <c r="I43" s="200"/>
      <c r="J43" s="421"/>
      <c r="K43" s="419">
        <f t="shared" si="55"/>
        <v>99</v>
      </c>
      <c r="L43" s="419">
        <f t="shared" si="56"/>
        <v>66</v>
      </c>
      <c r="M43" s="419">
        <f t="shared" si="57"/>
        <v>66</v>
      </c>
      <c r="N43" s="419">
        <f t="shared" si="57"/>
        <v>0</v>
      </c>
      <c r="O43" s="419">
        <f t="shared" si="57"/>
        <v>0</v>
      </c>
      <c r="P43" s="419">
        <f t="shared" si="57"/>
        <v>0</v>
      </c>
      <c r="Q43" s="419">
        <f t="shared" si="57"/>
        <v>33</v>
      </c>
      <c r="R43" s="418">
        <f t="shared" si="58"/>
        <v>0</v>
      </c>
      <c r="S43" s="200"/>
      <c r="T43" s="200"/>
      <c r="U43" s="200"/>
      <c r="V43" s="200"/>
      <c r="W43" s="200"/>
      <c r="X43" s="418">
        <f t="shared" si="59"/>
        <v>0</v>
      </c>
      <c r="Y43" s="200"/>
      <c r="Z43" s="200"/>
      <c r="AA43" s="200"/>
      <c r="AB43" s="200"/>
      <c r="AC43" s="200"/>
      <c r="AD43" s="418">
        <f t="shared" si="60"/>
        <v>0</v>
      </c>
      <c r="AE43" s="202"/>
      <c r="AF43" s="202"/>
      <c r="AG43" s="202"/>
      <c r="AH43" s="200"/>
      <c r="AI43" s="200"/>
      <c r="AJ43" s="418">
        <f t="shared" si="61"/>
        <v>0</v>
      </c>
      <c r="AK43" s="202"/>
      <c r="AL43" s="202"/>
      <c r="AM43" s="202"/>
      <c r="AN43" s="202"/>
      <c r="AO43" s="202"/>
      <c r="AP43" s="418">
        <f t="shared" si="62"/>
        <v>0</v>
      </c>
      <c r="AQ43" s="200"/>
      <c r="AR43" s="200"/>
      <c r="AS43" s="200"/>
      <c r="AT43" s="200"/>
      <c r="AU43" s="200"/>
      <c r="AV43" s="418">
        <f t="shared" si="63"/>
        <v>0</v>
      </c>
      <c r="AW43" s="200"/>
      <c r="AX43" s="200"/>
      <c r="AY43" s="200"/>
      <c r="AZ43" s="200"/>
      <c r="BA43" s="200"/>
      <c r="BB43" s="418">
        <f t="shared" si="64"/>
        <v>33</v>
      </c>
      <c r="BC43" s="202">
        <v>22</v>
      </c>
      <c r="BD43" s="202"/>
      <c r="BE43" s="200"/>
      <c r="BF43" s="200"/>
      <c r="BG43" s="200">
        <v>11</v>
      </c>
      <c r="BH43" s="418">
        <f t="shared" si="65"/>
        <v>66</v>
      </c>
      <c r="BI43" s="200">
        <v>44</v>
      </c>
      <c r="BJ43" s="200"/>
      <c r="BK43" s="200"/>
      <c r="BL43" s="200"/>
      <c r="BM43" s="202">
        <v>22</v>
      </c>
      <c r="BN43" s="418">
        <f t="shared" si="66"/>
        <v>0</v>
      </c>
      <c r="BO43" s="200"/>
      <c r="BP43" s="200"/>
      <c r="BQ43" s="200"/>
      <c r="BR43" s="200"/>
      <c r="BS43" s="200"/>
      <c r="BT43" s="418">
        <f t="shared" si="67"/>
        <v>0</v>
      </c>
      <c r="BU43" s="200"/>
      <c r="BV43" s="200"/>
      <c r="BW43" s="200"/>
      <c r="BX43" s="200"/>
      <c r="BY43" s="200"/>
      <c r="BZ43" s="425" t="s">
        <v>515</v>
      </c>
      <c r="CA43" s="200" t="s">
        <v>516</v>
      </c>
    </row>
    <row r="44" spans="1:79" s="97" customFormat="1" ht="31.5" customHeight="1" x14ac:dyDescent="0.2">
      <c r="A44" s="437" t="s">
        <v>199</v>
      </c>
      <c r="B44" s="223" t="s">
        <v>200</v>
      </c>
      <c r="C44" s="223"/>
      <c r="D44" s="448"/>
      <c r="E44" s="448" t="s">
        <v>30</v>
      </c>
      <c r="F44" s="448"/>
      <c r="G44" s="425"/>
      <c r="H44" s="425"/>
      <c r="I44" s="200"/>
      <c r="J44" s="421"/>
      <c r="K44" s="419">
        <f t="shared" si="55"/>
        <v>48</v>
      </c>
      <c r="L44" s="419">
        <f t="shared" si="56"/>
        <v>32</v>
      </c>
      <c r="M44" s="419">
        <f t="shared" si="57"/>
        <v>32</v>
      </c>
      <c r="N44" s="419">
        <f t="shared" si="57"/>
        <v>0</v>
      </c>
      <c r="O44" s="419">
        <f t="shared" si="57"/>
        <v>0</v>
      </c>
      <c r="P44" s="419">
        <f t="shared" si="57"/>
        <v>0</v>
      </c>
      <c r="Q44" s="419">
        <f t="shared" si="57"/>
        <v>16</v>
      </c>
      <c r="R44" s="418">
        <f t="shared" si="58"/>
        <v>0</v>
      </c>
      <c r="S44" s="200"/>
      <c r="T44" s="200"/>
      <c r="U44" s="200"/>
      <c r="V44" s="200"/>
      <c r="W44" s="200"/>
      <c r="X44" s="418">
        <f t="shared" si="59"/>
        <v>0</v>
      </c>
      <c r="Y44" s="200"/>
      <c r="Z44" s="200"/>
      <c r="AA44" s="200"/>
      <c r="AB44" s="200"/>
      <c r="AC44" s="200"/>
      <c r="AD44" s="418">
        <f t="shared" si="60"/>
        <v>48</v>
      </c>
      <c r="AE44" s="202">
        <v>32</v>
      </c>
      <c r="AF44" s="202"/>
      <c r="AG44" s="202"/>
      <c r="AH44" s="200"/>
      <c r="AI44" s="200">
        <v>16</v>
      </c>
      <c r="AJ44" s="418">
        <f t="shared" si="61"/>
        <v>0</v>
      </c>
      <c r="AK44" s="202"/>
      <c r="AL44" s="202"/>
      <c r="AM44" s="202"/>
      <c r="AN44" s="202"/>
      <c r="AO44" s="202"/>
      <c r="AP44" s="418">
        <f t="shared" si="62"/>
        <v>0</v>
      </c>
      <c r="AQ44" s="200"/>
      <c r="AR44" s="200"/>
      <c r="AS44" s="200"/>
      <c r="AT44" s="200"/>
      <c r="AU44" s="200"/>
      <c r="AV44" s="418">
        <f t="shared" si="63"/>
        <v>0</v>
      </c>
      <c r="AW44" s="200"/>
      <c r="AX44" s="200"/>
      <c r="AY44" s="200"/>
      <c r="AZ44" s="200"/>
      <c r="BA44" s="200"/>
      <c r="BB44" s="418">
        <f t="shared" si="64"/>
        <v>0</v>
      </c>
      <c r="BC44" s="200"/>
      <c r="BD44" s="200"/>
      <c r="BE44" s="200"/>
      <c r="BF44" s="200"/>
      <c r="BG44" s="200"/>
      <c r="BH44" s="418">
        <f t="shared" si="65"/>
        <v>0</v>
      </c>
      <c r="BI44" s="200"/>
      <c r="BJ44" s="200"/>
      <c r="BK44" s="200"/>
      <c r="BL44" s="200"/>
      <c r="BM44" s="200"/>
      <c r="BN44" s="418">
        <f t="shared" si="66"/>
        <v>0</v>
      </c>
      <c r="BO44" s="200"/>
      <c r="BP44" s="200"/>
      <c r="BQ44" s="200"/>
      <c r="BR44" s="200"/>
      <c r="BS44" s="200"/>
      <c r="BT44" s="418">
        <f t="shared" si="67"/>
        <v>0</v>
      </c>
      <c r="BU44" s="200"/>
      <c r="BV44" s="200"/>
      <c r="BW44" s="200"/>
      <c r="BX44" s="200"/>
      <c r="BY44" s="200"/>
      <c r="BZ44" s="425" t="s">
        <v>517</v>
      </c>
      <c r="CA44" s="200" t="s">
        <v>518</v>
      </c>
    </row>
    <row r="45" spans="1:79" s="97" customFormat="1" ht="25.5" customHeight="1" x14ac:dyDescent="0.2">
      <c r="A45" s="437" t="s">
        <v>201</v>
      </c>
      <c r="B45" s="223" t="s">
        <v>202</v>
      </c>
      <c r="C45" s="223" t="s">
        <v>576</v>
      </c>
      <c r="D45" s="425" t="s">
        <v>40</v>
      </c>
      <c r="E45" s="425"/>
      <c r="F45" s="425"/>
      <c r="G45" s="425"/>
      <c r="H45" s="425" t="s">
        <v>30</v>
      </c>
      <c r="I45" s="200"/>
      <c r="J45" s="421"/>
      <c r="K45" s="419">
        <f t="shared" si="55"/>
        <v>150</v>
      </c>
      <c r="L45" s="419">
        <f t="shared" si="56"/>
        <v>100</v>
      </c>
      <c r="M45" s="419">
        <f t="shared" si="57"/>
        <v>100</v>
      </c>
      <c r="N45" s="419">
        <f t="shared" si="57"/>
        <v>0</v>
      </c>
      <c r="O45" s="419">
        <f t="shared" si="57"/>
        <v>0</v>
      </c>
      <c r="P45" s="419">
        <f t="shared" si="57"/>
        <v>0</v>
      </c>
      <c r="Q45" s="419">
        <f t="shared" si="57"/>
        <v>50</v>
      </c>
      <c r="R45" s="418">
        <f t="shared" si="58"/>
        <v>0</v>
      </c>
      <c r="S45" s="200"/>
      <c r="T45" s="200"/>
      <c r="U45" s="200"/>
      <c r="V45" s="200"/>
      <c r="W45" s="200"/>
      <c r="X45" s="418">
        <f t="shared" si="59"/>
        <v>0</v>
      </c>
      <c r="Y45" s="200"/>
      <c r="Z45" s="200"/>
      <c r="AA45" s="200"/>
      <c r="AB45" s="200"/>
      <c r="AC45" s="200"/>
      <c r="AD45" s="418">
        <f t="shared" si="60"/>
        <v>48</v>
      </c>
      <c r="AE45" s="202">
        <v>32</v>
      </c>
      <c r="AF45" s="202"/>
      <c r="AG45" s="202"/>
      <c r="AH45" s="200"/>
      <c r="AI45" s="200">
        <v>16</v>
      </c>
      <c r="AJ45" s="418">
        <f t="shared" si="61"/>
        <v>102</v>
      </c>
      <c r="AK45" s="202">
        <v>68</v>
      </c>
      <c r="AL45" s="202"/>
      <c r="AM45" s="202"/>
      <c r="AN45" s="202"/>
      <c r="AO45" s="202">
        <v>34</v>
      </c>
      <c r="AP45" s="418">
        <f t="shared" si="62"/>
        <v>0</v>
      </c>
      <c r="AQ45" s="200"/>
      <c r="AR45" s="200"/>
      <c r="AS45" s="200"/>
      <c r="AT45" s="200"/>
      <c r="AU45" s="200"/>
      <c r="AV45" s="418">
        <f t="shared" si="63"/>
        <v>0</v>
      </c>
      <c r="AW45" s="200"/>
      <c r="AX45" s="200"/>
      <c r="AY45" s="200"/>
      <c r="AZ45" s="200"/>
      <c r="BA45" s="200"/>
      <c r="BB45" s="418">
        <f t="shared" si="64"/>
        <v>0</v>
      </c>
      <c r="BC45" s="200"/>
      <c r="BD45" s="200"/>
      <c r="BE45" s="200"/>
      <c r="BF45" s="200"/>
      <c r="BG45" s="200"/>
      <c r="BH45" s="418">
        <f t="shared" si="65"/>
        <v>0</v>
      </c>
      <c r="BI45" s="200"/>
      <c r="BJ45" s="200"/>
      <c r="BK45" s="200"/>
      <c r="BL45" s="200"/>
      <c r="BM45" s="200"/>
      <c r="BN45" s="418">
        <f t="shared" si="66"/>
        <v>0</v>
      </c>
      <c r="BO45" s="200"/>
      <c r="BP45" s="200"/>
      <c r="BQ45" s="200"/>
      <c r="BR45" s="200"/>
      <c r="BS45" s="200"/>
      <c r="BT45" s="418">
        <f t="shared" si="67"/>
        <v>0</v>
      </c>
      <c r="BU45" s="200"/>
      <c r="BV45" s="200"/>
      <c r="BW45" s="200"/>
      <c r="BX45" s="200"/>
      <c r="BY45" s="200"/>
      <c r="BZ45" s="425" t="s">
        <v>515</v>
      </c>
      <c r="CA45" s="200" t="s">
        <v>519</v>
      </c>
    </row>
    <row r="46" spans="1:79" s="97" customFormat="1" ht="28.5" customHeight="1" x14ac:dyDescent="0.2">
      <c r="A46" s="437" t="s">
        <v>203</v>
      </c>
      <c r="B46" s="223" t="s">
        <v>145</v>
      </c>
      <c r="C46" s="223"/>
      <c r="D46" s="425" t="s">
        <v>30</v>
      </c>
      <c r="E46" s="448"/>
      <c r="F46" s="448"/>
      <c r="G46" s="425"/>
      <c r="H46" s="425"/>
      <c r="I46" s="202"/>
      <c r="J46" s="202">
        <v>68</v>
      </c>
      <c r="K46" s="419">
        <f t="shared" si="55"/>
        <v>102</v>
      </c>
      <c r="L46" s="419">
        <f t="shared" si="56"/>
        <v>68</v>
      </c>
      <c r="M46" s="419">
        <f t="shared" si="57"/>
        <v>68</v>
      </c>
      <c r="N46" s="419">
        <f t="shared" si="57"/>
        <v>0</v>
      </c>
      <c r="O46" s="419">
        <f t="shared" si="57"/>
        <v>0</v>
      </c>
      <c r="P46" s="419">
        <f t="shared" si="57"/>
        <v>0</v>
      </c>
      <c r="Q46" s="419">
        <f t="shared" si="57"/>
        <v>34</v>
      </c>
      <c r="R46" s="418">
        <f t="shared" si="58"/>
        <v>0</v>
      </c>
      <c r="S46" s="200"/>
      <c r="T46" s="200"/>
      <c r="U46" s="200"/>
      <c r="V46" s="200"/>
      <c r="W46" s="200"/>
      <c r="X46" s="418">
        <f t="shared" si="59"/>
        <v>0</v>
      </c>
      <c r="Y46" s="200"/>
      <c r="Z46" s="200"/>
      <c r="AA46" s="200"/>
      <c r="AB46" s="200"/>
      <c r="AC46" s="200"/>
      <c r="AD46" s="418">
        <f t="shared" si="60"/>
        <v>102</v>
      </c>
      <c r="AE46" s="202">
        <v>68</v>
      </c>
      <c r="AF46" s="202"/>
      <c r="AG46" s="202"/>
      <c r="AH46" s="200"/>
      <c r="AI46" s="200">
        <v>34</v>
      </c>
      <c r="AJ46" s="418">
        <f t="shared" si="61"/>
        <v>0</v>
      </c>
      <c r="AK46" s="202"/>
      <c r="AL46" s="202"/>
      <c r="AM46" s="202"/>
      <c r="AN46" s="202"/>
      <c r="AO46" s="202"/>
      <c r="AP46" s="418">
        <f t="shared" si="62"/>
        <v>0</v>
      </c>
      <c r="AQ46" s="200"/>
      <c r="AR46" s="200"/>
      <c r="AS46" s="200"/>
      <c r="AT46" s="200"/>
      <c r="AU46" s="200"/>
      <c r="AV46" s="418">
        <f t="shared" si="63"/>
        <v>0</v>
      </c>
      <c r="AW46" s="200"/>
      <c r="AX46" s="200"/>
      <c r="AY46" s="200"/>
      <c r="AZ46" s="200"/>
      <c r="BA46" s="200"/>
      <c r="BB46" s="418">
        <f t="shared" si="64"/>
        <v>0</v>
      </c>
      <c r="BC46" s="200"/>
      <c r="BD46" s="200"/>
      <c r="BE46" s="200"/>
      <c r="BF46" s="200"/>
      <c r="BG46" s="200"/>
      <c r="BH46" s="418">
        <f t="shared" si="65"/>
        <v>0</v>
      </c>
      <c r="BI46" s="200"/>
      <c r="BJ46" s="200"/>
      <c r="BK46" s="200"/>
      <c r="BL46" s="200"/>
      <c r="BM46" s="200"/>
      <c r="BN46" s="418">
        <f t="shared" si="66"/>
        <v>0</v>
      </c>
      <c r="BO46" s="200"/>
      <c r="BP46" s="200"/>
      <c r="BQ46" s="200"/>
      <c r="BR46" s="200"/>
      <c r="BS46" s="200"/>
      <c r="BT46" s="418">
        <f t="shared" si="67"/>
        <v>0</v>
      </c>
      <c r="BU46" s="200"/>
      <c r="BV46" s="200"/>
      <c r="BW46" s="200"/>
      <c r="BX46" s="200"/>
      <c r="BY46" s="200"/>
      <c r="BZ46" s="425" t="s">
        <v>515</v>
      </c>
      <c r="CA46" s="200" t="s">
        <v>520</v>
      </c>
    </row>
    <row r="47" spans="1:79" s="100" customFormat="1" ht="14.25" customHeight="1" x14ac:dyDescent="0.2">
      <c r="A47" s="413" t="s">
        <v>184</v>
      </c>
      <c r="B47" s="771" t="s">
        <v>189</v>
      </c>
      <c r="C47" s="771"/>
      <c r="D47" s="771"/>
      <c r="E47" s="771"/>
      <c r="F47" s="771"/>
      <c r="G47" s="771"/>
      <c r="H47" s="414"/>
      <c r="I47" s="451">
        <v>2248</v>
      </c>
      <c r="J47" s="451">
        <v>1568</v>
      </c>
      <c r="K47" s="415">
        <f t="shared" ref="K47:Q47" si="68">SUM(K48,K74,K81,K86,K89)</f>
        <v>3592</v>
      </c>
      <c r="L47" s="415">
        <f t="shared" si="68"/>
        <v>2463</v>
      </c>
      <c r="M47" s="415">
        <f t="shared" si="68"/>
        <v>1711</v>
      </c>
      <c r="N47" s="415">
        <f t="shared" si="68"/>
        <v>662</v>
      </c>
      <c r="O47" s="415">
        <f t="shared" si="68"/>
        <v>90</v>
      </c>
      <c r="P47" s="415">
        <f t="shared" si="68"/>
        <v>0</v>
      </c>
      <c r="Q47" s="415">
        <f t="shared" si="68"/>
        <v>1129</v>
      </c>
      <c r="R47" s="415">
        <f t="shared" ref="R47:AC47" si="69">SUM(R48+R74+R81+R89)</f>
        <v>0</v>
      </c>
      <c r="S47" s="415">
        <f t="shared" si="69"/>
        <v>0</v>
      </c>
      <c r="T47" s="415">
        <f t="shared" si="69"/>
        <v>0</v>
      </c>
      <c r="U47" s="415">
        <f t="shared" si="69"/>
        <v>0</v>
      </c>
      <c r="V47" s="415">
        <f t="shared" si="69"/>
        <v>0</v>
      </c>
      <c r="W47" s="415">
        <f t="shared" si="69"/>
        <v>0</v>
      </c>
      <c r="X47" s="415">
        <f t="shared" si="69"/>
        <v>0</v>
      </c>
      <c r="Y47" s="415">
        <f t="shared" si="69"/>
        <v>0</v>
      </c>
      <c r="Z47" s="415">
        <f t="shared" si="69"/>
        <v>0</v>
      </c>
      <c r="AA47" s="415">
        <f t="shared" si="69"/>
        <v>0</v>
      </c>
      <c r="AB47" s="415">
        <f t="shared" si="69"/>
        <v>0</v>
      </c>
      <c r="AC47" s="415">
        <f t="shared" si="69"/>
        <v>0</v>
      </c>
      <c r="AD47" s="415">
        <f t="shared" ref="AD47:BE47" si="70">SUM(AD48+AD74+AD81+AD89+AD86)</f>
        <v>36</v>
      </c>
      <c r="AE47" s="415">
        <f t="shared" si="70"/>
        <v>32</v>
      </c>
      <c r="AF47" s="415">
        <f t="shared" si="70"/>
        <v>0</v>
      </c>
      <c r="AG47" s="415">
        <f t="shared" si="70"/>
        <v>0</v>
      </c>
      <c r="AH47" s="415">
        <f t="shared" si="70"/>
        <v>0</v>
      </c>
      <c r="AI47" s="415">
        <f t="shared" si="70"/>
        <v>4</v>
      </c>
      <c r="AJ47" s="415">
        <f t="shared" si="70"/>
        <v>464</v>
      </c>
      <c r="AK47" s="415">
        <f t="shared" si="70"/>
        <v>301</v>
      </c>
      <c r="AL47" s="415">
        <f t="shared" si="70"/>
        <v>22</v>
      </c>
      <c r="AM47" s="415">
        <f t="shared" si="70"/>
        <v>0</v>
      </c>
      <c r="AN47" s="415">
        <f t="shared" si="70"/>
        <v>0</v>
      </c>
      <c r="AO47" s="415">
        <f t="shared" si="70"/>
        <v>141</v>
      </c>
      <c r="AP47" s="415">
        <f t="shared" si="70"/>
        <v>680</v>
      </c>
      <c r="AQ47" s="415">
        <f t="shared" si="70"/>
        <v>374</v>
      </c>
      <c r="AR47" s="415">
        <f t="shared" si="70"/>
        <v>90</v>
      </c>
      <c r="AS47" s="415">
        <f t="shared" si="70"/>
        <v>0</v>
      </c>
      <c r="AT47" s="415">
        <f t="shared" si="70"/>
        <v>0</v>
      </c>
      <c r="AU47" s="415">
        <f t="shared" si="70"/>
        <v>216</v>
      </c>
      <c r="AV47" s="415">
        <f t="shared" si="70"/>
        <v>517</v>
      </c>
      <c r="AW47" s="415">
        <f t="shared" si="70"/>
        <v>233</v>
      </c>
      <c r="AX47" s="415">
        <f t="shared" si="70"/>
        <v>119</v>
      </c>
      <c r="AY47" s="415">
        <f t="shared" si="70"/>
        <v>0</v>
      </c>
      <c r="AZ47" s="415">
        <f t="shared" si="70"/>
        <v>0</v>
      </c>
      <c r="BA47" s="415">
        <f t="shared" si="70"/>
        <v>165</v>
      </c>
      <c r="BB47" s="415">
        <f t="shared" si="70"/>
        <v>485</v>
      </c>
      <c r="BC47" s="415">
        <f t="shared" si="70"/>
        <v>246</v>
      </c>
      <c r="BD47" s="415">
        <f t="shared" si="70"/>
        <v>84</v>
      </c>
      <c r="BE47" s="415">
        <f t="shared" si="70"/>
        <v>0</v>
      </c>
      <c r="BF47" s="415">
        <f t="shared" ref="BF47:BY47" si="71">SUM(BF48+BF74+BF81+BF89+BF86)</f>
        <v>0</v>
      </c>
      <c r="BG47" s="415">
        <f t="shared" si="71"/>
        <v>155</v>
      </c>
      <c r="BH47" s="415">
        <f t="shared" si="71"/>
        <v>451</v>
      </c>
      <c r="BI47" s="415">
        <f t="shared" si="71"/>
        <v>242</v>
      </c>
      <c r="BJ47" s="415">
        <f t="shared" si="71"/>
        <v>11</v>
      </c>
      <c r="BK47" s="415">
        <f t="shared" si="71"/>
        <v>55</v>
      </c>
      <c r="BL47" s="415">
        <f t="shared" si="71"/>
        <v>0</v>
      </c>
      <c r="BM47" s="415">
        <f t="shared" si="71"/>
        <v>143</v>
      </c>
      <c r="BN47" s="415">
        <f t="shared" si="71"/>
        <v>164</v>
      </c>
      <c r="BO47" s="415">
        <f t="shared" si="71"/>
        <v>72</v>
      </c>
      <c r="BP47" s="415">
        <f t="shared" si="71"/>
        <v>40</v>
      </c>
      <c r="BQ47" s="415">
        <f t="shared" si="71"/>
        <v>0</v>
      </c>
      <c r="BR47" s="415">
        <f t="shared" si="71"/>
        <v>0</v>
      </c>
      <c r="BS47" s="415">
        <f t="shared" si="71"/>
        <v>52</v>
      </c>
      <c r="BT47" s="415">
        <f t="shared" si="71"/>
        <v>795</v>
      </c>
      <c r="BU47" s="415">
        <f t="shared" si="71"/>
        <v>211</v>
      </c>
      <c r="BV47" s="415">
        <f t="shared" si="71"/>
        <v>296</v>
      </c>
      <c r="BW47" s="415">
        <f t="shared" si="71"/>
        <v>35</v>
      </c>
      <c r="BX47" s="415">
        <f t="shared" si="71"/>
        <v>0</v>
      </c>
      <c r="BY47" s="415">
        <f t="shared" si="71"/>
        <v>253</v>
      </c>
      <c r="BZ47" s="414"/>
      <c r="CA47" s="452"/>
    </row>
    <row r="48" spans="1:79" s="101" customFormat="1" ht="30.75" customHeight="1" x14ac:dyDescent="0.2">
      <c r="A48" s="453" t="s">
        <v>205</v>
      </c>
      <c r="B48" s="695" t="s">
        <v>411</v>
      </c>
      <c r="C48" s="696"/>
      <c r="D48" s="696"/>
      <c r="E48" s="696"/>
      <c r="F48" s="696"/>
      <c r="G48" s="696"/>
      <c r="H48" s="697"/>
      <c r="I48" s="455"/>
      <c r="J48" s="455"/>
      <c r="K48" s="456">
        <f t="shared" ref="K48:AL48" si="72">SUM(K49+K55+K62+K69)</f>
        <v>2926</v>
      </c>
      <c r="L48" s="456">
        <f t="shared" si="72"/>
        <v>2007</v>
      </c>
      <c r="M48" s="456">
        <f t="shared" si="72"/>
        <v>1405</v>
      </c>
      <c r="N48" s="456">
        <f t="shared" si="72"/>
        <v>534</v>
      </c>
      <c r="O48" s="456">
        <f t="shared" si="72"/>
        <v>68</v>
      </c>
      <c r="P48" s="456">
        <f t="shared" si="72"/>
        <v>0</v>
      </c>
      <c r="Q48" s="456">
        <f t="shared" si="72"/>
        <v>919</v>
      </c>
      <c r="R48" s="456">
        <f t="shared" si="72"/>
        <v>0</v>
      </c>
      <c r="S48" s="456">
        <f t="shared" si="72"/>
        <v>0</v>
      </c>
      <c r="T48" s="456">
        <f t="shared" si="72"/>
        <v>0</v>
      </c>
      <c r="U48" s="456">
        <f t="shared" si="72"/>
        <v>0</v>
      </c>
      <c r="V48" s="456">
        <f t="shared" si="72"/>
        <v>0</v>
      </c>
      <c r="W48" s="456">
        <f t="shared" si="72"/>
        <v>0</v>
      </c>
      <c r="X48" s="456">
        <f t="shared" si="72"/>
        <v>0</v>
      </c>
      <c r="Y48" s="456">
        <f t="shared" si="72"/>
        <v>0</v>
      </c>
      <c r="Z48" s="456">
        <f t="shared" si="72"/>
        <v>0</v>
      </c>
      <c r="AA48" s="456">
        <f t="shared" si="72"/>
        <v>0</v>
      </c>
      <c r="AB48" s="456">
        <f t="shared" si="72"/>
        <v>0</v>
      </c>
      <c r="AC48" s="456">
        <f t="shared" si="72"/>
        <v>0</v>
      </c>
      <c r="AD48" s="456">
        <f t="shared" si="72"/>
        <v>36</v>
      </c>
      <c r="AE48" s="456">
        <f t="shared" si="72"/>
        <v>32</v>
      </c>
      <c r="AF48" s="456">
        <f t="shared" si="72"/>
        <v>0</v>
      </c>
      <c r="AG48" s="456">
        <f t="shared" si="72"/>
        <v>0</v>
      </c>
      <c r="AH48" s="456">
        <f t="shared" si="72"/>
        <v>0</v>
      </c>
      <c r="AI48" s="456">
        <f t="shared" si="72"/>
        <v>4</v>
      </c>
      <c r="AJ48" s="456">
        <f t="shared" si="72"/>
        <v>364</v>
      </c>
      <c r="AK48" s="456">
        <f t="shared" si="72"/>
        <v>233</v>
      </c>
      <c r="AL48" s="456">
        <f t="shared" si="72"/>
        <v>22</v>
      </c>
      <c r="AM48" s="456">
        <f t="shared" ref="AM48:BM48" si="73">SUM(AM49+AM55+AM62+AM69)</f>
        <v>0</v>
      </c>
      <c r="AN48" s="456">
        <f t="shared" si="73"/>
        <v>0</v>
      </c>
      <c r="AO48" s="456">
        <f t="shared" si="73"/>
        <v>109</v>
      </c>
      <c r="AP48" s="456">
        <f t="shared" si="73"/>
        <v>630</v>
      </c>
      <c r="AQ48" s="456">
        <f t="shared" si="73"/>
        <v>338</v>
      </c>
      <c r="AR48" s="456">
        <f t="shared" si="73"/>
        <v>90</v>
      </c>
      <c r="AS48" s="456">
        <f t="shared" si="73"/>
        <v>0</v>
      </c>
      <c r="AT48" s="456">
        <f t="shared" si="73"/>
        <v>0</v>
      </c>
      <c r="AU48" s="456">
        <f t="shared" si="73"/>
        <v>202</v>
      </c>
      <c r="AV48" s="456">
        <f t="shared" si="73"/>
        <v>517</v>
      </c>
      <c r="AW48" s="456">
        <f t="shared" si="73"/>
        <v>233</v>
      </c>
      <c r="AX48" s="456">
        <f t="shared" si="73"/>
        <v>119</v>
      </c>
      <c r="AY48" s="456">
        <f t="shared" si="73"/>
        <v>0</v>
      </c>
      <c r="AZ48" s="456">
        <f t="shared" si="73"/>
        <v>0</v>
      </c>
      <c r="BA48" s="456">
        <f t="shared" si="73"/>
        <v>165</v>
      </c>
      <c r="BB48" s="456">
        <f t="shared" si="73"/>
        <v>389</v>
      </c>
      <c r="BC48" s="456">
        <f t="shared" si="73"/>
        <v>180</v>
      </c>
      <c r="BD48" s="456">
        <f t="shared" si="73"/>
        <v>84</v>
      </c>
      <c r="BE48" s="456">
        <f t="shared" si="73"/>
        <v>0</v>
      </c>
      <c r="BF48" s="456">
        <f t="shared" si="73"/>
        <v>0</v>
      </c>
      <c r="BG48" s="456">
        <f t="shared" si="73"/>
        <v>125</v>
      </c>
      <c r="BH48" s="456">
        <f t="shared" si="73"/>
        <v>319</v>
      </c>
      <c r="BI48" s="456">
        <f t="shared" si="73"/>
        <v>176</v>
      </c>
      <c r="BJ48" s="456">
        <f t="shared" si="73"/>
        <v>11</v>
      </c>
      <c r="BK48" s="456">
        <f t="shared" si="73"/>
        <v>33</v>
      </c>
      <c r="BL48" s="456">
        <f t="shared" si="73"/>
        <v>0</v>
      </c>
      <c r="BM48" s="456">
        <f t="shared" si="73"/>
        <v>99</v>
      </c>
      <c r="BN48" s="456">
        <f t="shared" ref="BN48:BY48" si="74">SUM(BN49+BN55+BN62+BN69)</f>
        <v>140</v>
      </c>
      <c r="BO48" s="456">
        <f t="shared" si="74"/>
        <v>56</v>
      </c>
      <c r="BP48" s="456">
        <f t="shared" si="74"/>
        <v>40</v>
      </c>
      <c r="BQ48" s="456">
        <f t="shared" si="74"/>
        <v>0</v>
      </c>
      <c r="BR48" s="456">
        <f t="shared" si="74"/>
        <v>0</v>
      </c>
      <c r="BS48" s="456">
        <f t="shared" si="74"/>
        <v>44</v>
      </c>
      <c r="BT48" s="456">
        <f t="shared" si="74"/>
        <v>531</v>
      </c>
      <c r="BU48" s="456">
        <f t="shared" si="74"/>
        <v>157</v>
      </c>
      <c r="BV48" s="456">
        <f t="shared" si="74"/>
        <v>168</v>
      </c>
      <c r="BW48" s="456">
        <f t="shared" si="74"/>
        <v>35</v>
      </c>
      <c r="BX48" s="456">
        <f t="shared" si="74"/>
        <v>0</v>
      </c>
      <c r="BY48" s="456">
        <f t="shared" si="74"/>
        <v>171</v>
      </c>
      <c r="BZ48" s="454"/>
      <c r="CA48" s="592" t="s">
        <v>643</v>
      </c>
    </row>
    <row r="49" spans="1:129" s="97" customFormat="1" ht="25.5" customHeight="1" x14ac:dyDescent="0.2">
      <c r="A49" s="457" t="s">
        <v>383</v>
      </c>
      <c r="B49" s="692" t="s">
        <v>346</v>
      </c>
      <c r="C49" s="693"/>
      <c r="D49" s="693"/>
      <c r="E49" s="693"/>
      <c r="F49" s="693"/>
      <c r="G49" s="693"/>
      <c r="H49" s="694"/>
      <c r="I49" s="417"/>
      <c r="J49" s="417"/>
      <c r="K49" s="459">
        <f t="shared" ref="K49" si="75">SUM(K50:K54)</f>
        <v>726</v>
      </c>
      <c r="L49" s="459">
        <f t="shared" ref="L49" si="76">SUM(L50:L54)</f>
        <v>484</v>
      </c>
      <c r="M49" s="459">
        <f t="shared" ref="M49" si="77">SUM(M50:M54)</f>
        <v>376</v>
      </c>
      <c r="N49" s="459">
        <f t="shared" ref="N49" si="78">SUM(N50:N54)</f>
        <v>73</v>
      </c>
      <c r="O49" s="459">
        <f t="shared" ref="O49" si="79">SUM(O50:O54)</f>
        <v>35</v>
      </c>
      <c r="P49" s="459">
        <f t="shared" ref="P49" si="80">SUM(P50:P54)</f>
        <v>0</v>
      </c>
      <c r="Q49" s="459">
        <f t="shared" ref="Q49" si="81">SUM(Q50:Q54)</f>
        <v>242</v>
      </c>
      <c r="R49" s="459">
        <f t="shared" ref="R49" si="82">SUM(R50:R54)</f>
        <v>0</v>
      </c>
      <c r="S49" s="459">
        <f t="shared" ref="S49" si="83">SUM(S50:S54)</f>
        <v>0</v>
      </c>
      <c r="T49" s="459">
        <f t="shared" ref="T49" si="84">SUM(T50:T54)</f>
        <v>0</v>
      </c>
      <c r="U49" s="459">
        <f t="shared" ref="U49" si="85">SUM(U50:U54)</f>
        <v>0</v>
      </c>
      <c r="V49" s="459">
        <f t="shared" ref="V49" si="86">SUM(V50:V54)</f>
        <v>0</v>
      </c>
      <c r="W49" s="459">
        <f t="shared" ref="W49" si="87">SUM(W50:W54)</f>
        <v>0</v>
      </c>
      <c r="X49" s="459">
        <f t="shared" ref="X49" si="88">SUM(X50:X54)</f>
        <v>0</v>
      </c>
      <c r="Y49" s="459">
        <f t="shared" ref="Y49" si="89">SUM(Y50:Y54)</f>
        <v>0</v>
      </c>
      <c r="Z49" s="459">
        <f t="shared" ref="Z49" si="90">SUM(Z50:Z54)</f>
        <v>0</v>
      </c>
      <c r="AA49" s="459">
        <f t="shared" ref="AA49" si="91">SUM(AA50:AA54)</f>
        <v>0</v>
      </c>
      <c r="AB49" s="459">
        <f t="shared" ref="AB49" si="92">SUM(AB50:AB54)</f>
        <v>0</v>
      </c>
      <c r="AC49" s="459">
        <f t="shared" ref="AC49" si="93">SUM(AC50:AC54)</f>
        <v>0</v>
      </c>
      <c r="AD49" s="459">
        <f t="shared" ref="AD49" si="94">SUM(AD50:AD54)</f>
        <v>0</v>
      </c>
      <c r="AE49" s="459">
        <f t="shared" ref="AE49" si="95">SUM(AE50:AE54)</f>
        <v>0</v>
      </c>
      <c r="AF49" s="459">
        <f t="shared" ref="AF49" si="96">SUM(AF50:AF54)</f>
        <v>0</v>
      </c>
      <c r="AG49" s="459">
        <f t="shared" ref="AG49" si="97">SUM(AG50:AG54)</f>
        <v>0</v>
      </c>
      <c r="AH49" s="459">
        <f t="shared" ref="AH49" si="98">SUM(AH50:AH54)</f>
        <v>0</v>
      </c>
      <c r="AI49" s="459">
        <f t="shared" ref="AI49" si="99">SUM(AI50:AI54)</f>
        <v>0</v>
      </c>
      <c r="AJ49" s="459">
        <f t="shared" ref="AJ49" si="100">SUM(AJ50:AJ54)</f>
        <v>48</v>
      </c>
      <c r="AK49" s="459">
        <f t="shared" ref="AK49" si="101">SUM(AK50:AK54)</f>
        <v>28</v>
      </c>
      <c r="AL49" s="459">
        <f t="shared" ref="AL49" si="102">SUM(AL50:AL54)</f>
        <v>6</v>
      </c>
      <c r="AM49" s="459">
        <f t="shared" ref="AM49" si="103">SUM(AM50:AM54)</f>
        <v>0</v>
      </c>
      <c r="AN49" s="459">
        <f t="shared" ref="AN49" si="104">SUM(AN50:AN54)</f>
        <v>0</v>
      </c>
      <c r="AO49" s="459">
        <f t="shared" ref="AO49" si="105">SUM(AO50:AO54)</f>
        <v>14</v>
      </c>
      <c r="AP49" s="459">
        <f t="shared" ref="AP49" si="106">SUM(AP50:AP54)</f>
        <v>122</v>
      </c>
      <c r="AQ49" s="459">
        <f t="shared" ref="AQ49" si="107">SUM(AQ50:AQ54)</f>
        <v>60</v>
      </c>
      <c r="AR49" s="459">
        <f t="shared" ref="AR49" si="108">SUM(AR50:AR54)</f>
        <v>16</v>
      </c>
      <c r="AS49" s="459">
        <f t="shared" ref="AS49" si="109">SUM(AS50:AS54)</f>
        <v>0</v>
      </c>
      <c r="AT49" s="459">
        <f t="shared" ref="AT49" si="110">SUM(AT50:AT54)</f>
        <v>0</v>
      </c>
      <c r="AU49" s="459">
        <f t="shared" ref="AU49" si="111">SUM(AU50:AU54)</f>
        <v>46</v>
      </c>
      <c r="AV49" s="459">
        <f t="shared" ref="AV49" si="112">SUM(AV50:AV54)</f>
        <v>99</v>
      </c>
      <c r="AW49" s="459">
        <f t="shared" ref="AW49" si="113">SUM(AW50:AW54)</f>
        <v>55</v>
      </c>
      <c r="AX49" s="459">
        <f t="shared" ref="AX49" si="114">SUM(AX50:AX54)</f>
        <v>11</v>
      </c>
      <c r="AY49" s="459">
        <f t="shared" ref="AY49" si="115">SUM(AY50:AY54)</f>
        <v>0</v>
      </c>
      <c r="AZ49" s="459">
        <f t="shared" ref="AZ49" si="116">SUM(AZ50:AZ54)</f>
        <v>0</v>
      </c>
      <c r="BA49" s="459">
        <f t="shared" ref="BA49" si="117">SUM(BA50:BA54)</f>
        <v>33</v>
      </c>
      <c r="BB49" s="459">
        <f t="shared" ref="BB49" si="118">SUM(BB50:BB54)</f>
        <v>198</v>
      </c>
      <c r="BC49" s="459">
        <f t="shared" ref="BC49" si="119">SUM(BC50:BC54)</f>
        <v>92</v>
      </c>
      <c r="BD49" s="459">
        <f t="shared" ref="BD49" si="120">SUM(BD50:BD54)</f>
        <v>40</v>
      </c>
      <c r="BE49" s="459">
        <f t="shared" ref="BE49" si="121">SUM(BE50:BE54)</f>
        <v>0</v>
      </c>
      <c r="BF49" s="459">
        <f t="shared" ref="BF49" si="122">SUM(BF50:BF54)</f>
        <v>0</v>
      </c>
      <c r="BG49" s="459">
        <f t="shared" ref="BG49" si="123">SUM(BG50:BG54)</f>
        <v>66</v>
      </c>
      <c r="BH49" s="459">
        <f t="shared" ref="BH49" si="124">SUM(BH50:BH54)</f>
        <v>129</v>
      </c>
      <c r="BI49" s="459">
        <f t="shared" ref="BI49" si="125">SUM(BI50:BI54)</f>
        <v>88</v>
      </c>
      <c r="BJ49" s="459">
        <f t="shared" ref="BJ49" si="126">SUM(BJ50:BJ54)</f>
        <v>0</v>
      </c>
      <c r="BK49" s="459">
        <f t="shared" ref="BK49" si="127">SUM(BK50:BK54)</f>
        <v>0</v>
      </c>
      <c r="BL49" s="459">
        <f t="shared" ref="BL49" si="128">SUM(BL50:BL54)</f>
        <v>0</v>
      </c>
      <c r="BM49" s="459">
        <f t="shared" ref="BM49" si="129">SUM(BM50:BM54)</f>
        <v>41</v>
      </c>
      <c r="BN49" s="459">
        <f t="shared" ref="BN49" si="130">SUM(BN50:BN54)</f>
        <v>24</v>
      </c>
      <c r="BO49" s="459">
        <f>SUM(BO50:BO54)</f>
        <v>16</v>
      </c>
      <c r="BP49" s="459">
        <f t="shared" ref="BP49" si="131">SUM(BP50:BP54)</f>
        <v>0</v>
      </c>
      <c r="BQ49" s="459">
        <f t="shared" ref="BQ49" si="132">SUM(BQ50:BQ54)</f>
        <v>0</v>
      </c>
      <c r="BR49" s="459">
        <f t="shared" ref="BR49" si="133">SUM(BR50:BR54)</f>
        <v>0</v>
      </c>
      <c r="BS49" s="459">
        <f t="shared" ref="BS49" si="134">SUM(BS50:BS54)</f>
        <v>8</v>
      </c>
      <c r="BT49" s="459">
        <f t="shared" ref="BT49" si="135">SUM(BT50:BT54)</f>
        <v>106</v>
      </c>
      <c r="BU49" s="459">
        <f>SUM(BU50:BU54)</f>
        <v>37</v>
      </c>
      <c r="BV49" s="459">
        <f t="shared" ref="BV49" si="136">SUM(BV50:BV54)</f>
        <v>0</v>
      </c>
      <c r="BW49" s="459">
        <f t="shared" ref="BW49" si="137">SUM(BW50:BW54)</f>
        <v>35</v>
      </c>
      <c r="BX49" s="459">
        <f t="shared" ref="BX49" si="138">SUM(BX50:BX54)</f>
        <v>0</v>
      </c>
      <c r="BY49" s="459">
        <f t="shared" ref="BY49" si="139">SUM(BY50:BY54)</f>
        <v>34</v>
      </c>
      <c r="BZ49" s="458"/>
      <c r="CA49" s="593"/>
    </row>
    <row r="50" spans="1:129" s="102" customFormat="1" ht="30" customHeight="1" x14ac:dyDescent="0.2">
      <c r="A50" s="437"/>
      <c r="B50" s="223" t="s">
        <v>347</v>
      </c>
      <c r="C50" s="223"/>
      <c r="D50" s="425"/>
      <c r="E50" s="425" t="s">
        <v>610</v>
      </c>
      <c r="F50" s="425"/>
      <c r="G50" s="425" t="s">
        <v>423</v>
      </c>
      <c r="H50" s="425" t="s">
        <v>611</v>
      </c>
      <c r="I50" s="200"/>
      <c r="J50" s="200"/>
      <c r="K50" s="419">
        <f>L50+SUM(Q50:Q50)</f>
        <v>312</v>
      </c>
      <c r="L50" s="419">
        <f>SUM(M50:P50)</f>
        <v>204</v>
      </c>
      <c r="M50" s="419">
        <f t="shared" ref="M50:Q54" si="140">S50+Y50+AE50+AK50+AQ50+AW50+BC50+BI50+BO50+BU50</f>
        <v>169</v>
      </c>
      <c r="N50" s="419">
        <f t="shared" si="140"/>
        <v>0</v>
      </c>
      <c r="O50" s="419">
        <f t="shared" si="140"/>
        <v>35</v>
      </c>
      <c r="P50" s="419">
        <f t="shared" si="140"/>
        <v>0</v>
      </c>
      <c r="Q50" s="419">
        <f t="shared" si="140"/>
        <v>108</v>
      </c>
      <c r="R50" s="418">
        <f>SUM(S50:W50)</f>
        <v>0</v>
      </c>
      <c r="S50" s="200"/>
      <c r="T50" s="200"/>
      <c r="U50" s="200"/>
      <c r="V50" s="200"/>
      <c r="W50" s="200"/>
      <c r="X50" s="418">
        <f>SUM(Y50:AC50)</f>
        <v>0</v>
      </c>
      <c r="Y50" s="200"/>
      <c r="Z50" s="200"/>
      <c r="AA50" s="200"/>
      <c r="AB50" s="200"/>
      <c r="AC50" s="200"/>
      <c r="AD50" s="418">
        <f>SUM(AE50:AI50)</f>
        <v>0</v>
      </c>
      <c r="AE50" s="200"/>
      <c r="AF50" s="200"/>
      <c r="AG50" s="200"/>
      <c r="AH50" s="200"/>
      <c r="AI50" s="200"/>
      <c r="AJ50" s="418">
        <f>SUM(AK50:AO50)</f>
        <v>0</v>
      </c>
      <c r="AK50" s="200"/>
      <c r="AL50" s="200"/>
      <c r="AM50" s="200"/>
      <c r="AN50" s="200"/>
      <c r="AO50" s="200"/>
      <c r="AP50" s="418">
        <f>SUM(AQ50:AU50)</f>
        <v>50</v>
      </c>
      <c r="AQ50" s="200">
        <v>28</v>
      </c>
      <c r="AR50" s="200"/>
      <c r="AS50" s="200"/>
      <c r="AT50" s="200"/>
      <c r="AU50" s="200">
        <v>22</v>
      </c>
      <c r="AV50" s="418">
        <f>SUM(AW50:BA50)</f>
        <v>33</v>
      </c>
      <c r="AW50" s="200">
        <v>22</v>
      </c>
      <c r="AX50" s="200"/>
      <c r="AY50" s="200"/>
      <c r="AZ50" s="200"/>
      <c r="BA50" s="200">
        <v>11</v>
      </c>
      <c r="BB50" s="418">
        <f>SUM(BC50:BG50)</f>
        <v>66</v>
      </c>
      <c r="BC50" s="200">
        <v>44</v>
      </c>
      <c r="BD50" s="200"/>
      <c r="BE50" s="200"/>
      <c r="BF50" s="200"/>
      <c r="BG50" s="200">
        <v>22</v>
      </c>
      <c r="BH50" s="418">
        <f>SUM(BI50:BM50)</f>
        <v>33</v>
      </c>
      <c r="BI50" s="200">
        <v>22</v>
      </c>
      <c r="BJ50" s="200"/>
      <c r="BK50" s="200"/>
      <c r="BL50" s="200"/>
      <c r="BM50" s="200">
        <v>11</v>
      </c>
      <c r="BN50" s="418">
        <f>SUM(BO50:BS50)</f>
        <v>24</v>
      </c>
      <c r="BO50" s="200">
        <v>16</v>
      </c>
      <c r="BP50" s="200"/>
      <c r="BQ50" s="200"/>
      <c r="BR50" s="200"/>
      <c r="BS50" s="200">
        <v>8</v>
      </c>
      <c r="BT50" s="418">
        <f>SUM(BU50:BY50)</f>
        <v>106</v>
      </c>
      <c r="BU50" s="200">
        <v>37</v>
      </c>
      <c r="BV50" s="200"/>
      <c r="BW50" s="200">
        <v>35</v>
      </c>
      <c r="BX50" s="200"/>
      <c r="BY50" s="200">
        <v>34</v>
      </c>
      <c r="BZ50" s="425" t="s">
        <v>515</v>
      </c>
      <c r="CA50" s="200" t="s">
        <v>456</v>
      </c>
    </row>
    <row r="51" spans="1:129" s="102" customFormat="1" ht="30" customHeight="1" x14ac:dyDescent="0.2">
      <c r="A51" s="437"/>
      <c r="B51" s="438" t="s">
        <v>412</v>
      </c>
      <c r="C51" s="223"/>
      <c r="D51" s="448"/>
      <c r="E51" s="448" t="s">
        <v>41</v>
      </c>
      <c r="F51" s="448"/>
      <c r="G51" s="425"/>
      <c r="H51" s="425" t="s">
        <v>40</v>
      </c>
      <c r="I51" s="200"/>
      <c r="J51" s="200"/>
      <c r="K51" s="419">
        <f>L51+SUM(Q51:Q51)</f>
        <v>120</v>
      </c>
      <c r="L51" s="419">
        <f>SUM(M51:P51)</f>
        <v>82</v>
      </c>
      <c r="M51" s="419">
        <f t="shared" si="140"/>
        <v>60</v>
      </c>
      <c r="N51" s="419">
        <f t="shared" si="140"/>
        <v>22</v>
      </c>
      <c r="O51" s="419">
        <f t="shared" si="140"/>
        <v>0</v>
      </c>
      <c r="P51" s="419">
        <f t="shared" si="140"/>
        <v>0</v>
      </c>
      <c r="Q51" s="419">
        <f t="shared" si="140"/>
        <v>38</v>
      </c>
      <c r="R51" s="418">
        <f>SUM(S51:W51)</f>
        <v>0</v>
      </c>
      <c r="S51" s="200"/>
      <c r="T51" s="200"/>
      <c r="U51" s="200"/>
      <c r="V51" s="200"/>
      <c r="W51" s="200"/>
      <c r="X51" s="418"/>
      <c r="Y51" s="200"/>
      <c r="Z51" s="200"/>
      <c r="AA51" s="200"/>
      <c r="AB51" s="200"/>
      <c r="AC51" s="200"/>
      <c r="AD51" s="418"/>
      <c r="AE51" s="200"/>
      <c r="AF51" s="200"/>
      <c r="AG51" s="200"/>
      <c r="AH51" s="200"/>
      <c r="AI51" s="200"/>
      <c r="AJ51" s="418">
        <f>SUM(AK51:AO51)</f>
        <v>48</v>
      </c>
      <c r="AK51" s="200">
        <v>28</v>
      </c>
      <c r="AL51" s="200">
        <v>6</v>
      </c>
      <c r="AM51" s="200"/>
      <c r="AN51" s="200"/>
      <c r="AO51" s="200">
        <v>14</v>
      </c>
      <c r="AP51" s="418">
        <f>SUM(AQ51:AU51)</f>
        <v>72</v>
      </c>
      <c r="AQ51" s="200">
        <v>32</v>
      </c>
      <c r="AR51" s="200">
        <v>16</v>
      </c>
      <c r="AS51" s="200"/>
      <c r="AT51" s="200"/>
      <c r="AU51" s="200">
        <v>24</v>
      </c>
      <c r="AV51" s="418"/>
      <c r="AW51" s="200"/>
      <c r="AX51" s="200"/>
      <c r="AY51" s="200"/>
      <c r="AZ51" s="200"/>
      <c r="BA51" s="200"/>
      <c r="BB51" s="418">
        <f t="shared" ref="BB51:BB54" si="141">SUM(BC51:BG51)</f>
        <v>0</v>
      </c>
      <c r="BC51" s="200"/>
      <c r="BD51" s="200"/>
      <c r="BE51" s="200"/>
      <c r="BF51" s="200"/>
      <c r="BG51" s="200"/>
      <c r="BH51" s="418"/>
      <c r="BI51" s="200"/>
      <c r="BJ51" s="200"/>
      <c r="BK51" s="200"/>
      <c r="BL51" s="200"/>
      <c r="BM51" s="200"/>
      <c r="BN51" s="418"/>
      <c r="BO51" s="200"/>
      <c r="BP51" s="200"/>
      <c r="BQ51" s="200"/>
      <c r="BR51" s="200"/>
      <c r="BS51" s="200"/>
      <c r="BT51" s="418"/>
      <c r="BU51" s="200"/>
      <c r="BV51" s="200"/>
      <c r="BW51" s="200"/>
      <c r="BX51" s="200"/>
      <c r="BY51" s="200"/>
      <c r="BZ51" s="425" t="s">
        <v>515</v>
      </c>
      <c r="CA51" s="200" t="s">
        <v>456</v>
      </c>
    </row>
    <row r="52" spans="1:129" s="102" customFormat="1" ht="29.25" customHeight="1" x14ac:dyDescent="0.2">
      <c r="A52" s="437"/>
      <c r="B52" s="420" t="s">
        <v>325</v>
      </c>
      <c r="C52" s="223"/>
      <c r="D52" s="425"/>
      <c r="E52" s="425" t="s">
        <v>38</v>
      </c>
      <c r="F52" s="425"/>
      <c r="G52" s="425"/>
      <c r="H52" s="425" t="s">
        <v>591</v>
      </c>
      <c r="I52" s="200"/>
      <c r="J52" s="200"/>
      <c r="K52" s="419">
        <f>L52+SUM(Q52:Q52)</f>
        <v>98</v>
      </c>
      <c r="L52" s="419">
        <f>SUM(M52:P52)</f>
        <v>66</v>
      </c>
      <c r="M52" s="419">
        <f t="shared" si="140"/>
        <v>66</v>
      </c>
      <c r="N52" s="419">
        <f t="shared" si="140"/>
        <v>0</v>
      </c>
      <c r="O52" s="419">
        <f t="shared" si="140"/>
        <v>0</v>
      </c>
      <c r="P52" s="419">
        <f t="shared" si="140"/>
        <v>0</v>
      </c>
      <c r="Q52" s="419">
        <f t="shared" si="140"/>
        <v>32</v>
      </c>
      <c r="R52" s="418">
        <f>SUM(S52:W52)</f>
        <v>0</v>
      </c>
      <c r="S52" s="200"/>
      <c r="T52" s="200"/>
      <c r="U52" s="200"/>
      <c r="V52" s="200"/>
      <c r="W52" s="200"/>
      <c r="X52" s="418"/>
      <c r="Y52" s="200"/>
      <c r="Z52" s="200"/>
      <c r="AA52" s="200"/>
      <c r="AB52" s="200"/>
      <c r="AC52" s="200"/>
      <c r="AD52" s="418">
        <f>SUM(AE52:AI52)</f>
        <v>0</v>
      </c>
      <c r="AE52" s="200"/>
      <c r="AF52" s="200"/>
      <c r="AG52" s="200"/>
      <c r="AH52" s="200"/>
      <c r="AI52" s="200"/>
      <c r="AJ52" s="418">
        <f>SUM(AK52:AO52)</f>
        <v>0</v>
      </c>
      <c r="AK52" s="200"/>
      <c r="AL52" s="200"/>
      <c r="AM52" s="200"/>
      <c r="AN52" s="200"/>
      <c r="AO52" s="200"/>
      <c r="AP52" s="418">
        <f>SUM(AQ52:AU52)</f>
        <v>0</v>
      </c>
      <c r="AQ52" s="200"/>
      <c r="AR52" s="200"/>
      <c r="AS52" s="200"/>
      <c r="AT52" s="200"/>
      <c r="AU52" s="200"/>
      <c r="AV52" s="418">
        <f>SUM(AW52:BA52)</f>
        <v>33</v>
      </c>
      <c r="AW52" s="200">
        <v>22</v>
      </c>
      <c r="AX52" s="200"/>
      <c r="AY52" s="200"/>
      <c r="AZ52" s="200"/>
      <c r="BA52" s="200">
        <v>11</v>
      </c>
      <c r="BB52" s="418">
        <f t="shared" si="141"/>
        <v>33</v>
      </c>
      <c r="BC52" s="200">
        <v>22</v>
      </c>
      <c r="BD52" s="200"/>
      <c r="BE52" s="200"/>
      <c r="BF52" s="200"/>
      <c r="BG52" s="200">
        <v>11</v>
      </c>
      <c r="BH52" s="418">
        <f>SUM(BI52:BM52)</f>
        <v>32</v>
      </c>
      <c r="BI52" s="200">
        <v>22</v>
      </c>
      <c r="BJ52" s="200"/>
      <c r="BK52" s="200"/>
      <c r="BL52" s="200"/>
      <c r="BM52" s="200">
        <v>10</v>
      </c>
      <c r="BN52" s="418"/>
      <c r="BO52" s="200"/>
      <c r="BP52" s="200"/>
      <c r="BQ52" s="200"/>
      <c r="BR52" s="200"/>
      <c r="BS52" s="200"/>
      <c r="BT52" s="418"/>
      <c r="BU52" s="200"/>
      <c r="BV52" s="200"/>
      <c r="BW52" s="200"/>
      <c r="BX52" s="200"/>
      <c r="BY52" s="200"/>
      <c r="BZ52" s="425" t="s">
        <v>515</v>
      </c>
      <c r="CA52" s="200" t="s">
        <v>456</v>
      </c>
    </row>
    <row r="53" spans="1:129" s="102" customFormat="1" ht="17.25" customHeight="1" x14ac:dyDescent="0.2">
      <c r="A53" s="437"/>
      <c r="B53" s="223" t="s">
        <v>326</v>
      </c>
      <c r="C53" s="223"/>
      <c r="D53" s="425" t="s">
        <v>38</v>
      </c>
      <c r="E53" s="425"/>
      <c r="F53" s="425"/>
      <c r="G53" s="425"/>
      <c r="H53" s="425" t="s">
        <v>591</v>
      </c>
      <c r="I53" s="200"/>
      <c r="J53" s="200"/>
      <c r="K53" s="419">
        <f>L53+SUM(Q53:Q53)</f>
        <v>130</v>
      </c>
      <c r="L53" s="419">
        <f>SUM(M53:P53)</f>
        <v>88</v>
      </c>
      <c r="M53" s="419">
        <f t="shared" si="140"/>
        <v>77</v>
      </c>
      <c r="N53" s="419">
        <f t="shared" si="140"/>
        <v>11</v>
      </c>
      <c r="O53" s="419">
        <f t="shared" si="140"/>
        <v>0</v>
      </c>
      <c r="P53" s="419">
        <f t="shared" si="140"/>
        <v>0</v>
      </c>
      <c r="Q53" s="419">
        <f t="shared" si="140"/>
        <v>42</v>
      </c>
      <c r="R53" s="418">
        <f>SUM(S53:W53)</f>
        <v>0</v>
      </c>
      <c r="S53" s="200"/>
      <c r="T53" s="200"/>
      <c r="U53" s="200"/>
      <c r="V53" s="200"/>
      <c r="W53" s="200"/>
      <c r="X53" s="418">
        <f>SUM(Y53:AC53)</f>
        <v>0</v>
      </c>
      <c r="Y53" s="200"/>
      <c r="Z53" s="200"/>
      <c r="AA53" s="200"/>
      <c r="AB53" s="200"/>
      <c r="AC53" s="200"/>
      <c r="AD53" s="418">
        <f>SUM(AE53:AI53)</f>
        <v>0</v>
      </c>
      <c r="AE53" s="200"/>
      <c r="AF53" s="200"/>
      <c r="AG53" s="200"/>
      <c r="AH53" s="200"/>
      <c r="AI53" s="200"/>
      <c r="AJ53" s="418">
        <f>SUM(AK53:AO53)</f>
        <v>0</v>
      </c>
      <c r="AK53" s="200"/>
      <c r="AL53" s="200"/>
      <c r="AM53" s="200"/>
      <c r="AN53" s="200"/>
      <c r="AO53" s="200"/>
      <c r="AP53" s="418">
        <f>SUM(AQ53:AU53)</f>
        <v>0</v>
      </c>
      <c r="AQ53" s="200"/>
      <c r="AR53" s="200"/>
      <c r="AS53" s="200"/>
      <c r="AT53" s="200"/>
      <c r="AU53" s="200"/>
      <c r="AV53" s="418">
        <f>SUM(AW53:BA53)</f>
        <v>33</v>
      </c>
      <c r="AW53" s="200">
        <v>11</v>
      </c>
      <c r="AX53" s="200">
        <v>11</v>
      </c>
      <c r="AY53" s="200"/>
      <c r="AZ53" s="200"/>
      <c r="BA53" s="200">
        <v>11</v>
      </c>
      <c r="BB53" s="418">
        <f t="shared" si="141"/>
        <v>33</v>
      </c>
      <c r="BC53" s="200">
        <v>22</v>
      </c>
      <c r="BD53" s="200"/>
      <c r="BE53" s="200"/>
      <c r="BF53" s="200"/>
      <c r="BG53" s="200">
        <v>11</v>
      </c>
      <c r="BH53" s="418">
        <f>SUM(BI53:BM53)</f>
        <v>64</v>
      </c>
      <c r="BI53" s="200">
        <v>44</v>
      </c>
      <c r="BJ53" s="200"/>
      <c r="BK53" s="200"/>
      <c r="BL53" s="200"/>
      <c r="BM53" s="200">
        <v>20</v>
      </c>
      <c r="BN53" s="418">
        <f>SUM(BO53:BS53)</f>
        <v>0</v>
      </c>
      <c r="BO53" s="200"/>
      <c r="BP53" s="200"/>
      <c r="BQ53" s="200"/>
      <c r="BR53" s="200"/>
      <c r="BS53" s="200"/>
      <c r="BT53" s="418">
        <f>SUM(BU53:BY53)</f>
        <v>0</v>
      </c>
      <c r="BU53" s="200"/>
      <c r="BV53" s="200"/>
      <c r="BW53" s="200"/>
      <c r="BX53" s="200"/>
      <c r="BY53" s="200"/>
      <c r="BZ53" s="425" t="s">
        <v>515</v>
      </c>
      <c r="CA53" s="200" t="s">
        <v>456</v>
      </c>
    </row>
    <row r="54" spans="1:129" s="102" customFormat="1" ht="27.75" customHeight="1" x14ac:dyDescent="0.2">
      <c r="A54" s="437"/>
      <c r="B54" s="223" t="s">
        <v>461</v>
      </c>
      <c r="C54" s="223" t="s">
        <v>577</v>
      </c>
      <c r="D54" s="425"/>
      <c r="E54" s="425"/>
      <c r="F54" s="136" t="s">
        <v>43</v>
      </c>
      <c r="G54" s="425"/>
      <c r="H54" s="425"/>
      <c r="I54" s="200"/>
      <c r="J54" s="200"/>
      <c r="K54" s="419">
        <f>L54+SUM(Q54:Q54)</f>
        <v>66</v>
      </c>
      <c r="L54" s="419">
        <f>SUM(M54:P54)</f>
        <v>44</v>
      </c>
      <c r="M54" s="419">
        <f t="shared" si="140"/>
        <v>4</v>
      </c>
      <c r="N54" s="419">
        <f t="shared" si="140"/>
        <v>40</v>
      </c>
      <c r="O54" s="419">
        <f t="shared" si="140"/>
        <v>0</v>
      </c>
      <c r="P54" s="419">
        <f t="shared" si="140"/>
        <v>0</v>
      </c>
      <c r="Q54" s="419">
        <f t="shared" si="140"/>
        <v>22</v>
      </c>
      <c r="R54" s="418"/>
      <c r="S54" s="200"/>
      <c r="T54" s="200"/>
      <c r="U54" s="200"/>
      <c r="V54" s="200"/>
      <c r="W54" s="200"/>
      <c r="X54" s="418"/>
      <c r="Y54" s="200"/>
      <c r="Z54" s="200"/>
      <c r="AA54" s="200"/>
      <c r="AB54" s="200"/>
      <c r="AC54" s="200"/>
      <c r="AD54" s="418"/>
      <c r="AE54" s="200"/>
      <c r="AF54" s="200"/>
      <c r="AG54" s="200"/>
      <c r="AH54" s="200"/>
      <c r="AI54" s="200"/>
      <c r="AJ54" s="418"/>
      <c r="AK54" s="200"/>
      <c r="AL54" s="200"/>
      <c r="AM54" s="200"/>
      <c r="AN54" s="200"/>
      <c r="AO54" s="200"/>
      <c r="AP54" s="418"/>
      <c r="AQ54" s="200"/>
      <c r="AR54" s="200"/>
      <c r="AS54" s="200"/>
      <c r="AT54" s="200"/>
      <c r="AU54" s="200"/>
      <c r="AV54" s="418">
        <f>SUM(AW54:BA54)</f>
        <v>0</v>
      </c>
      <c r="AW54" s="202"/>
      <c r="AX54" s="202"/>
      <c r="AY54" s="200"/>
      <c r="AZ54" s="200"/>
      <c r="BA54" s="200"/>
      <c r="BB54" s="418">
        <f t="shared" si="141"/>
        <v>66</v>
      </c>
      <c r="BC54" s="200">
        <v>4</v>
      </c>
      <c r="BD54" s="200">
        <v>40</v>
      </c>
      <c r="BE54" s="200"/>
      <c r="BF54" s="200"/>
      <c r="BG54" s="200">
        <v>22</v>
      </c>
      <c r="BH54" s="418"/>
      <c r="BI54" s="200"/>
      <c r="BJ54" s="200"/>
      <c r="BK54" s="200"/>
      <c r="BL54" s="200"/>
      <c r="BM54" s="200"/>
      <c r="BN54" s="418"/>
      <c r="BO54" s="200"/>
      <c r="BP54" s="200"/>
      <c r="BQ54" s="200"/>
      <c r="BR54" s="200"/>
      <c r="BS54" s="200"/>
      <c r="BT54" s="418"/>
      <c r="BU54" s="200"/>
      <c r="BV54" s="200"/>
      <c r="BW54" s="200"/>
      <c r="BX54" s="200"/>
      <c r="BY54" s="200"/>
      <c r="BZ54" s="425" t="s">
        <v>515</v>
      </c>
      <c r="CA54" s="205" t="s">
        <v>644</v>
      </c>
    </row>
    <row r="55" spans="1:129" s="102" customFormat="1" ht="31.5" customHeight="1" x14ac:dyDescent="0.2">
      <c r="A55" s="457" t="s">
        <v>384</v>
      </c>
      <c r="B55" s="692" t="s">
        <v>348</v>
      </c>
      <c r="C55" s="693"/>
      <c r="D55" s="693"/>
      <c r="E55" s="693"/>
      <c r="F55" s="693"/>
      <c r="G55" s="693"/>
      <c r="H55" s="694"/>
      <c r="I55" s="417"/>
      <c r="J55" s="417"/>
      <c r="K55" s="459">
        <f t="shared" ref="K55:Q55" si="142">SUM(K56:K61)</f>
        <v>700</v>
      </c>
      <c r="L55" s="459">
        <f t="shared" si="142"/>
        <v>481</v>
      </c>
      <c r="M55" s="459">
        <f t="shared" si="142"/>
        <v>268</v>
      </c>
      <c r="N55" s="459">
        <f t="shared" si="142"/>
        <v>213</v>
      </c>
      <c r="O55" s="459">
        <f t="shared" si="142"/>
        <v>0</v>
      </c>
      <c r="P55" s="459">
        <f t="shared" si="142"/>
        <v>0</v>
      </c>
      <c r="Q55" s="459">
        <f t="shared" si="142"/>
        <v>219</v>
      </c>
      <c r="R55" s="459">
        <f t="shared" ref="R55:W55" si="143">SUM(R56:R61)</f>
        <v>0</v>
      </c>
      <c r="S55" s="459">
        <f t="shared" si="143"/>
        <v>0</v>
      </c>
      <c r="T55" s="459">
        <f t="shared" si="143"/>
        <v>0</v>
      </c>
      <c r="U55" s="459">
        <f t="shared" si="143"/>
        <v>0</v>
      </c>
      <c r="V55" s="459">
        <f t="shared" si="143"/>
        <v>0</v>
      </c>
      <c r="W55" s="459">
        <f t="shared" si="143"/>
        <v>0</v>
      </c>
      <c r="X55" s="459">
        <f t="shared" ref="X55:AC55" si="144">SUM(X56:X61)</f>
        <v>0</v>
      </c>
      <c r="Y55" s="459">
        <f t="shared" si="144"/>
        <v>0</v>
      </c>
      <c r="Z55" s="459">
        <f t="shared" si="144"/>
        <v>0</v>
      </c>
      <c r="AA55" s="459">
        <f t="shared" si="144"/>
        <v>0</v>
      </c>
      <c r="AB55" s="459">
        <f t="shared" si="144"/>
        <v>0</v>
      </c>
      <c r="AC55" s="459">
        <f t="shared" si="144"/>
        <v>0</v>
      </c>
      <c r="AD55" s="459">
        <f t="shared" ref="AD55:AI55" si="145">SUM(AD56:AD61)</f>
        <v>0</v>
      </c>
      <c r="AE55" s="459">
        <f t="shared" si="145"/>
        <v>0</v>
      </c>
      <c r="AF55" s="459">
        <f t="shared" si="145"/>
        <v>0</v>
      </c>
      <c r="AG55" s="459">
        <f t="shared" si="145"/>
        <v>0</v>
      </c>
      <c r="AH55" s="459">
        <f t="shared" si="145"/>
        <v>0</v>
      </c>
      <c r="AI55" s="459">
        <f t="shared" si="145"/>
        <v>0</v>
      </c>
      <c r="AJ55" s="459">
        <f t="shared" ref="AJ55:AO55" si="146">SUM(AJ56:AJ61)</f>
        <v>96</v>
      </c>
      <c r="AK55" s="459">
        <f t="shared" si="146"/>
        <v>52</v>
      </c>
      <c r="AL55" s="459">
        <f t="shared" si="146"/>
        <v>16</v>
      </c>
      <c r="AM55" s="459">
        <f t="shared" si="146"/>
        <v>0</v>
      </c>
      <c r="AN55" s="459">
        <f t="shared" si="146"/>
        <v>0</v>
      </c>
      <c r="AO55" s="459">
        <f t="shared" si="146"/>
        <v>28</v>
      </c>
      <c r="AP55" s="459">
        <f t="shared" ref="AP55:AU55" si="147">SUM(AP56:AP61)</f>
        <v>146</v>
      </c>
      <c r="AQ55" s="459">
        <f t="shared" si="147"/>
        <v>84</v>
      </c>
      <c r="AR55" s="459">
        <f t="shared" si="147"/>
        <v>16</v>
      </c>
      <c r="AS55" s="459">
        <f t="shared" si="147"/>
        <v>0</v>
      </c>
      <c r="AT55" s="459">
        <f t="shared" si="147"/>
        <v>0</v>
      </c>
      <c r="AU55" s="459">
        <f t="shared" si="147"/>
        <v>46</v>
      </c>
      <c r="AV55" s="459">
        <f t="shared" ref="AV55:BA55" si="148">SUM(AV56:AV61)</f>
        <v>128</v>
      </c>
      <c r="AW55" s="459">
        <f t="shared" si="148"/>
        <v>50</v>
      </c>
      <c r="AX55" s="459">
        <f t="shared" si="148"/>
        <v>38</v>
      </c>
      <c r="AY55" s="459">
        <f t="shared" si="148"/>
        <v>0</v>
      </c>
      <c r="AZ55" s="459">
        <f t="shared" si="148"/>
        <v>0</v>
      </c>
      <c r="BA55" s="459">
        <f t="shared" si="148"/>
        <v>40</v>
      </c>
      <c r="BB55" s="459">
        <f t="shared" ref="BB55:BG55" si="149">SUM(BB56:BB61)</f>
        <v>66</v>
      </c>
      <c r="BC55" s="459">
        <f t="shared" si="149"/>
        <v>22</v>
      </c>
      <c r="BD55" s="459">
        <f t="shared" si="149"/>
        <v>22</v>
      </c>
      <c r="BE55" s="459">
        <f t="shared" si="149"/>
        <v>0</v>
      </c>
      <c r="BF55" s="459">
        <f t="shared" si="149"/>
        <v>0</v>
      </c>
      <c r="BG55" s="459">
        <f t="shared" si="149"/>
        <v>22</v>
      </c>
      <c r="BH55" s="459">
        <f t="shared" ref="BH55:BM55" si="150">SUM(BH56:BH61)</f>
        <v>47</v>
      </c>
      <c r="BI55" s="459">
        <f>SUM(BI56:BI61)</f>
        <v>22</v>
      </c>
      <c r="BJ55" s="459">
        <f t="shared" si="150"/>
        <v>11</v>
      </c>
      <c r="BK55" s="459">
        <f t="shared" si="150"/>
        <v>0</v>
      </c>
      <c r="BL55" s="459">
        <f t="shared" si="150"/>
        <v>0</v>
      </c>
      <c r="BM55" s="459">
        <f t="shared" si="150"/>
        <v>14</v>
      </c>
      <c r="BN55" s="459">
        <f t="shared" ref="BN55:BS55" si="151">SUM(BN56:BN61)</f>
        <v>58</v>
      </c>
      <c r="BO55" s="459">
        <f t="shared" si="151"/>
        <v>8</v>
      </c>
      <c r="BP55" s="459">
        <f t="shared" si="151"/>
        <v>32</v>
      </c>
      <c r="BQ55" s="459">
        <f t="shared" si="151"/>
        <v>0</v>
      </c>
      <c r="BR55" s="459">
        <f t="shared" si="151"/>
        <v>0</v>
      </c>
      <c r="BS55" s="459">
        <f t="shared" si="151"/>
        <v>18</v>
      </c>
      <c r="BT55" s="459">
        <f t="shared" ref="BT55:BY55" si="152">SUM(BT56:BT61)</f>
        <v>159</v>
      </c>
      <c r="BU55" s="459">
        <f t="shared" si="152"/>
        <v>30</v>
      </c>
      <c r="BV55" s="459">
        <f t="shared" si="152"/>
        <v>78</v>
      </c>
      <c r="BW55" s="459">
        <f t="shared" si="152"/>
        <v>0</v>
      </c>
      <c r="BX55" s="459">
        <f t="shared" si="152"/>
        <v>0</v>
      </c>
      <c r="BY55" s="459">
        <f t="shared" si="152"/>
        <v>51</v>
      </c>
      <c r="BZ55" s="417"/>
      <c r="CA55" s="417"/>
    </row>
    <row r="56" spans="1:129" s="102" customFormat="1" ht="20.25" customHeight="1" x14ac:dyDescent="0.2">
      <c r="A56" s="437"/>
      <c r="B56" s="461" t="s">
        <v>489</v>
      </c>
      <c r="C56" s="223"/>
      <c r="D56" s="448"/>
      <c r="E56" s="448" t="s">
        <v>43</v>
      </c>
      <c r="F56" s="448"/>
      <c r="G56" s="448"/>
      <c r="H56" s="448" t="s">
        <v>42</v>
      </c>
      <c r="I56" s="200"/>
      <c r="J56" s="421"/>
      <c r="K56" s="419">
        <f t="shared" ref="K56:K61" si="153">L56+SUM(Q56:Q56)</f>
        <v>161</v>
      </c>
      <c r="L56" s="419">
        <f t="shared" ref="L56:L61" si="154">SUM(M56:P56)</f>
        <v>110</v>
      </c>
      <c r="M56" s="419">
        <f t="shared" ref="M56:Q61" si="155">S56+Y56+AE56+AK56+AQ56+AW56+BC56+BI56+BO56+BU56</f>
        <v>58</v>
      </c>
      <c r="N56" s="419">
        <f t="shared" si="155"/>
        <v>52</v>
      </c>
      <c r="O56" s="419">
        <f t="shared" si="155"/>
        <v>0</v>
      </c>
      <c r="P56" s="419">
        <f t="shared" si="155"/>
        <v>0</v>
      </c>
      <c r="Q56" s="419">
        <f t="shared" si="155"/>
        <v>51</v>
      </c>
      <c r="R56" s="418">
        <f t="shared" ref="R56:R61" si="156">SUM(S56:W56)</f>
        <v>0</v>
      </c>
      <c r="S56" s="200"/>
      <c r="T56" s="200"/>
      <c r="U56" s="200"/>
      <c r="V56" s="200"/>
      <c r="W56" s="200"/>
      <c r="X56" s="418"/>
      <c r="Y56" s="200"/>
      <c r="Z56" s="200"/>
      <c r="AA56" s="200"/>
      <c r="AB56" s="200"/>
      <c r="AC56" s="200"/>
      <c r="AD56" s="418">
        <f t="shared" ref="AD56:AD61" si="157">SUM(AE56:AI56)</f>
        <v>0</v>
      </c>
      <c r="AE56" s="200"/>
      <c r="AF56" s="200"/>
      <c r="AG56" s="200"/>
      <c r="AH56" s="200"/>
      <c r="AI56" s="200"/>
      <c r="AJ56" s="418">
        <f t="shared" ref="AJ56:AJ61" si="158">SUM(AK56:AO56)</f>
        <v>0</v>
      </c>
      <c r="AK56" s="200"/>
      <c r="AL56" s="200"/>
      <c r="AM56" s="200"/>
      <c r="AN56" s="200"/>
      <c r="AO56" s="200"/>
      <c r="AP56" s="418">
        <f t="shared" ref="AP56:AP61" si="159">SUM(AQ56:AU56)</f>
        <v>0</v>
      </c>
      <c r="AQ56" s="200"/>
      <c r="AR56" s="200"/>
      <c r="AS56" s="200"/>
      <c r="AT56" s="200"/>
      <c r="AU56" s="200"/>
      <c r="AV56" s="418">
        <f t="shared" ref="AV56:AV61" si="160">SUM(AW56:BA56)</f>
        <v>95</v>
      </c>
      <c r="AW56" s="200">
        <v>36</v>
      </c>
      <c r="AX56" s="200">
        <v>30</v>
      </c>
      <c r="AY56" s="200"/>
      <c r="AZ56" s="200"/>
      <c r="BA56" s="200">
        <v>29</v>
      </c>
      <c r="BB56" s="418">
        <f t="shared" ref="BB56:BB61" si="161">SUM(BC56:BG56)</f>
        <v>66</v>
      </c>
      <c r="BC56" s="200">
        <v>22</v>
      </c>
      <c r="BD56" s="200">
        <v>22</v>
      </c>
      <c r="BE56" s="200"/>
      <c r="BF56" s="200"/>
      <c r="BG56" s="200">
        <v>22</v>
      </c>
      <c r="BH56" s="418">
        <f>SUM(BI56:BM56)</f>
        <v>0</v>
      </c>
      <c r="BI56" s="200"/>
      <c r="BJ56" s="200"/>
      <c r="BK56" s="200"/>
      <c r="BL56" s="200"/>
      <c r="BM56" s="200"/>
      <c r="BN56" s="418"/>
      <c r="BO56" s="200"/>
      <c r="BP56" s="200"/>
      <c r="BQ56" s="200"/>
      <c r="BR56" s="200"/>
      <c r="BS56" s="200"/>
      <c r="BT56" s="418"/>
      <c r="BU56" s="200"/>
      <c r="BV56" s="200"/>
      <c r="BW56" s="200"/>
      <c r="BX56" s="200"/>
      <c r="BY56" s="200"/>
      <c r="BZ56" s="425" t="s">
        <v>515</v>
      </c>
      <c r="CA56" s="200" t="s">
        <v>457</v>
      </c>
    </row>
    <row r="57" spans="1:129" s="102" customFormat="1" ht="30" customHeight="1" x14ac:dyDescent="0.2">
      <c r="A57" s="437"/>
      <c r="B57" s="438" t="s">
        <v>581</v>
      </c>
      <c r="C57" s="223" t="s">
        <v>582</v>
      </c>
      <c r="D57" s="448"/>
      <c r="E57" s="448" t="s">
        <v>41</v>
      </c>
      <c r="F57" s="448"/>
      <c r="G57" s="448"/>
      <c r="H57" s="448" t="s">
        <v>40</v>
      </c>
      <c r="I57" s="200"/>
      <c r="J57" s="421"/>
      <c r="K57" s="419">
        <f t="shared" si="153"/>
        <v>95</v>
      </c>
      <c r="L57" s="419">
        <f t="shared" si="154"/>
        <v>66</v>
      </c>
      <c r="M57" s="419">
        <f t="shared" si="155"/>
        <v>50</v>
      </c>
      <c r="N57" s="419">
        <f t="shared" si="155"/>
        <v>16</v>
      </c>
      <c r="O57" s="419">
        <f t="shared" si="155"/>
        <v>0</v>
      </c>
      <c r="P57" s="419">
        <f t="shared" si="155"/>
        <v>0</v>
      </c>
      <c r="Q57" s="419">
        <f t="shared" si="155"/>
        <v>29</v>
      </c>
      <c r="R57" s="418">
        <f t="shared" si="156"/>
        <v>0</v>
      </c>
      <c r="S57" s="200"/>
      <c r="T57" s="200"/>
      <c r="U57" s="200"/>
      <c r="V57" s="200"/>
      <c r="W57" s="200"/>
      <c r="X57" s="418"/>
      <c r="Y57" s="200"/>
      <c r="Z57" s="200"/>
      <c r="AA57" s="200"/>
      <c r="AB57" s="200"/>
      <c r="AC57" s="200"/>
      <c r="AD57" s="418">
        <f t="shared" si="157"/>
        <v>0</v>
      </c>
      <c r="AE57" s="200"/>
      <c r="AF57" s="200"/>
      <c r="AG57" s="200"/>
      <c r="AH57" s="200"/>
      <c r="AI57" s="200"/>
      <c r="AJ57" s="418">
        <f t="shared" si="158"/>
        <v>48</v>
      </c>
      <c r="AK57" s="200">
        <v>26</v>
      </c>
      <c r="AL57" s="200">
        <v>8</v>
      </c>
      <c r="AM57" s="200"/>
      <c r="AN57" s="200"/>
      <c r="AO57" s="200">
        <v>14</v>
      </c>
      <c r="AP57" s="418">
        <f t="shared" si="159"/>
        <v>47</v>
      </c>
      <c r="AQ57" s="200">
        <v>24</v>
      </c>
      <c r="AR57" s="200">
        <v>8</v>
      </c>
      <c r="AS57" s="200"/>
      <c r="AT57" s="200"/>
      <c r="AU57" s="200">
        <v>15</v>
      </c>
      <c r="AV57" s="418">
        <f t="shared" si="160"/>
        <v>0</v>
      </c>
      <c r="AW57" s="200"/>
      <c r="AX57" s="200"/>
      <c r="AY57" s="200"/>
      <c r="AZ57" s="200"/>
      <c r="BA57" s="200"/>
      <c r="BB57" s="418">
        <f t="shared" si="161"/>
        <v>0</v>
      </c>
      <c r="BC57" s="200"/>
      <c r="BD57" s="200"/>
      <c r="BE57" s="200"/>
      <c r="BF57" s="200"/>
      <c r="BG57" s="200"/>
      <c r="BH57" s="418">
        <f>SUM(BI57:BM57)</f>
        <v>0</v>
      </c>
      <c r="BI57" s="200"/>
      <c r="BJ57" s="200"/>
      <c r="BK57" s="200"/>
      <c r="BL57" s="200"/>
      <c r="BM57" s="200"/>
      <c r="BN57" s="418"/>
      <c r="BO57" s="200"/>
      <c r="BP57" s="200"/>
      <c r="BQ57" s="200"/>
      <c r="BR57" s="200"/>
      <c r="BS57" s="200"/>
      <c r="BT57" s="418"/>
      <c r="BU57" s="200"/>
      <c r="BV57" s="200"/>
      <c r="BW57" s="200"/>
      <c r="BX57" s="200"/>
      <c r="BY57" s="200"/>
      <c r="BZ57" s="425" t="s">
        <v>515</v>
      </c>
      <c r="CA57" s="200" t="s">
        <v>458</v>
      </c>
    </row>
    <row r="58" spans="1:129" s="102" customFormat="1" ht="29.25" customHeight="1" x14ac:dyDescent="0.2">
      <c r="A58" s="437"/>
      <c r="B58" s="223" t="s">
        <v>413</v>
      </c>
      <c r="C58" s="223" t="s">
        <v>580</v>
      </c>
      <c r="D58" s="425" t="s">
        <v>42</v>
      </c>
      <c r="E58" s="425"/>
      <c r="F58" s="425"/>
      <c r="G58" s="425"/>
      <c r="H58" s="425" t="s">
        <v>571</v>
      </c>
      <c r="I58" s="200"/>
      <c r="J58" s="421"/>
      <c r="K58" s="419">
        <f t="shared" si="153"/>
        <v>128</v>
      </c>
      <c r="L58" s="419">
        <f t="shared" si="154"/>
        <v>88</v>
      </c>
      <c r="M58" s="419">
        <f t="shared" si="155"/>
        <v>64</v>
      </c>
      <c r="N58" s="419">
        <f t="shared" si="155"/>
        <v>24</v>
      </c>
      <c r="O58" s="419">
        <f t="shared" si="155"/>
        <v>0</v>
      </c>
      <c r="P58" s="419">
        <f t="shared" si="155"/>
        <v>0</v>
      </c>
      <c r="Q58" s="419">
        <f t="shared" si="155"/>
        <v>40</v>
      </c>
      <c r="R58" s="418">
        <f t="shared" si="156"/>
        <v>0</v>
      </c>
      <c r="S58" s="200"/>
      <c r="T58" s="200"/>
      <c r="U58" s="200"/>
      <c r="V58" s="200"/>
      <c r="W58" s="200"/>
      <c r="X58" s="418"/>
      <c r="Y58" s="200"/>
      <c r="Z58" s="200"/>
      <c r="AA58" s="200"/>
      <c r="AB58" s="200"/>
      <c r="AC58" s="200"/>
      <c r="AD58" s="418">
        <f t="shared" si="157"/>
        <v>0</v>
      </c>
      <c r="AE58" s="200"/>
      <c r="AF58" s="200"/>
      <c r="AG58" s="200"/>
      <c r="AH58" s="200"/>
      <c r="AI58" s="200"/>
      <c r="AJ58" s="418">
        <f t="shared" si="158"/>
        <v>48</v>
      </c>
      <c r="AK58" s="200">
        <v>26</v>
      </c>
      <c r="AL58" s="200">
        <v>8</v>
      </c>
      <c r="AM58" s="200"/>
      <c r="AN58" s="200"/>
      <c r="AO58" s="200">
        <v>14</v>
      </c>
      <c r="AP58" s="418">
        <f t="shared" si="159"/>
        <v>47</v>
      </c>
      <c r="AQ58" s="200">
        <v>24</v>
      </c>
      <c r="AR58" s="200">
        <v>8</v>
      </c>
      <c r="AS58" s="200"/>
      <c r="AT58" s="200"/>
      <c r="AU58" s="200">
        <v>15</v>
      </c>
      <c r="AV58" s="418">
        <f t="shared" si="160"/>
        <v>33</v>
      </c>
      <c r="AW58" s="200">
        <v>14</v>
      </c>
      <c r="AX58" s="200">
        <v>8</v>
      </c>
      <c r="AY58" s="200"/>
      <c r="AZ58" s="200"/>
      <c r="BA58" s="200">
        <v>11</v>
      </c>
      <c r="BB58" s="418">
        <f t="shared" si="161"/>
        <v>0</v>
      </c>
      <c r="BC58" s="200"/>
      <c r="BD58" s="200"/>
      <c r="BE58" s="200"/>
      <c r="BF58" s="200"/>
      <c r="BG58" s="200"/>
      <c r="BH58" s="418">
        <f t="shared" ref="BH58:BH61" si="162">SUM(BI58:BM58)</f>
        <v>0</v>
      </c>
      <c r="BI58" s="200"/>
      <c r="BJ58" s="200"/>
      <c r="BK58" s="200"/>
      <c r="BL58" s="200"/>
      <c r="BM58" s="200"/>
      <c r="BN58" s="418">
        <f>SUM(BO58:BS58)</f>
        <v>0</v>
      </c>
      <c r="BO58" s="200"/>
      <c r="BP58" s="200"/>
      <c r="BQ58" s="200"/>
      <c r="BR58" s="200"/>
      <c r="BS58" s="200"/>
      <c r="BT58" s="418"/>
      <c r="BU58" s="200"/>
      <c r="BV58" s="200"/>
      <c r="BW58" s="200"/>
      <c r="BX58" s="200"/>
      <c r="BY58" s="200"/>
      <c r="BZ58" s="425" t="s">
        <v>515</v>
      </c>
      <c r="CA58" s="200" t="s">
        <v>458</v>
      </c>
    </row>
    <row r="59" spans="1:129" s="104" customFormat="1" ht="30" customHeight="1" x14ac:dyDescent="0.2">
      <c r="A59" s="437"/>
      <c r="B59" s="438" t="s">
        <v>488</v>
      </c>
      <c r="C59" s="462" t="s">
        <v>578</v>
      </c>
      <c r="D59" s="105"/>
      <c r="E59" s="425"/>
      <c r="F59" s="103" t="s">
        <v>423</v>
      </c>
      <c r="G59" s="105"/>
      <c r="H59" s="425" t="s">
        <v>39</v>
      </c>
      <c r="I59" s="185"/>
      <c r="J59" s="422"/>
      <c r="K59" s="419">
        <f t="shared" si="153"/>
        <v>140</v>
      </c>
      <c r="L59" s="419">
        <f t="shared" si="154"/>
        <v>96</v>
      </c>
      <c r="M59" s="419">
        <f t="shared" si="155"/>
        <v>38</v>
      </c>
      <c r="N59" s="419">
        <f t="shared" si="155"/>
        <v>58</v>
      </c>
      <c r="O59" s="419">
        <f t="shared" si="155"/>
        <v>0</v>
      </c>
      <c r="P59" s="419">
        <f t="shared" si="155"/>
        <v>0</v>
      </c>
      <c r="Q59" s="419">
        <f t="shared" si="155"/>
        <v>44</v>
      </c>
      <c r="R59" s="418">
        <f t="shared" si="156"/>
        <v>0</v>
      </c>
      <c r="S59" s="185"/>
      <c r="T59" s="185"/>
      <c r="U59" s="185"/>
      <c r="V59" s="185"/>
      <c r="W59" s="185"/>
      <c r="X59" s="423"/>
      <c r="Y59" s="185"/>
      <c r="Z59" s="185"/>
      <c r="AA59" s="185"/>
      <c r="AB59" s="185"/>
      <c r="AC59" s="185"/>
      <c r="AD59" s="418">
        <f t="shared" si="157"/>
        <v>0</v>
      </c>
      <c r="AE59" s="185"/>
      <c r="AF59" s="185"/>
      <c r="AG59" s="185"/>
      <c r="AH59" s="185"/>
      <c r="AI59" s="424"/>
      <c r="AJ59" s="418">
        <f t="shared" si="158"/>
        <v>0</v>
      </c>
      <c r="AK59" s="185"/>
      <c r="AL59" s="185"/>
      <c r="AM59" s="185"/>
      <c r="AN59" s="185"/>
      <c r="AO59" s="185"/>
      <c r="AP59" s="418">
        <f t="shared" si="159"/>
        <v>0</v>
      </c>
      <c r="AQ59" s="185"/>
      <c r="AR59" s="185"/>
      <c r="AS59" s="185"/>
      <c r="AT59" s="185"/>
      <c r="AU59" s="185"/>
      <c r="AV59" s="418">
        <f t="shared" si="160"/>
        <v>0</v>
      </c>
      <c r="AW59" s="185"/>
      <c r="AX59" s="185"/>
      <c r="AY59" s="185"/>
      <c r="AZ59" s="185"/>
      <c r="BA59" s="185"/>
      <c r="BB59" s="418">
        <f t="shared" si="161"/>
        <v>0</v>
      </c>
      <c r="BC59" s="185"/>
      <c r="BD59" s="185"/>
      <c r="BE59" s="185"/>
      <c r="BF59" s="185"/>
      <c r="BG59" s="185"/>
      <c r="BH59" s="418">
        <f t="shared" si="162"/>
        <v>0</v>
      </c>
      <c r="BI59" s="185"/>
      <c r="BJ59" s="185"/>
      <c r="BK59" s="185"/>
      <c r="BL59" s="185"/>
      <c r="BM59" s="185"/>
      <c r="BN59" s="418">
        <f>SUM(BO59:BS59)</f>
        <v>34</v>
      </c>
      <c r="BO59" s="185">
        <v>8</v>
      </c>
      <c r="BP59" s="185">
        <v>16</v>
      </c>
      <c r="BQ59" s="185"/>
      <c r="BR59" s="185"/>
      <c r="BS59" s="185">
        <v>10</v>
      </c>
      <c r="BT59" s="418">
        <f>SUM(BU59:BY59)</f>
        <v>106</v>
      </c>
      <c r="BU59" s="185">
        <v>30</v>
      </c>
      <c r="BV59" s="185">
        <v>42</v>
      </c>
      <c r="BW59" s="185"/>
      <c r="BX59" s="185"/>
      <c r="BY59" s="185">
        <v>34</v>
      </c>
      <c r="BZ59" s="425" t="s">
        <v>515</v>
      </c>
      <c r="CA59" s="205" t="s">
        <v>644</v>
      </c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</row>
    <row r="60" spans="1:129" s="104" customFormat="1" ht="31.5" customHeight="1" x14ac:dyDescent="0.2">
      <c r="A60" s="437"/>
      <c r="B60" s="462" t="s">
        <v>609</v>
      </c>
      <c r="C60" s="462"/>
      <c r="D60" s="105"/>
      <c r="E60" s="425" t="s">
        <v>41</v>
      </c>
      <c r="F60" s="425"/>
      <c r="G60" s="105"/>
      <c r="H60" s="425"/>
      <c r="I60" s="185"/>
      <c r="J60" s="422"/>
      <c r="K60" s="419">
        <f t="shared" si="153"/>
        <v>52</v>
      </c>
      <c r="L60" s="419">
        <f t="shared" si="154"/>
        <v>36</v>
      </c>
      <c r="M60" s="419">
        <f t="shared" si="155"/>
        <v>36</v>
      </c>
      <c r="N60" s="419">
        <f t="shared" si="155"/>
        <v>0</v>
      </c>
      <c r="O60" s="419">
        <f t="shared" si="155"/>
        <v>0</v>
      </c>
      <c r="P60" s="419">
        <f t="shared" si="155"/>
        <v>0</v>
      </c>
      <c r="Q60" s="419">
        <f t="shared" si="155"/>
        <v>16</v>
      </c>
      <c r="R60" s="418">
        <f t="shared" si="156"/>
        <v>0</v>
      </c>
      <c r="S60" s="185"/>
      <c r="T60" s="185"/>
      <c r="U60" s="185"/>
      <c r="V60" s="185"/>
      <c r="W60" s="185"/>
      <c r="X60" s="423"/>
      <c r="Y60" s="185"/>
      <c r="Z60" s="185"/>
      <c r="AA60" s="185"/>
      <c r="AB60" s="185"/>
      <c r="AC60" s="185"/>
      <c r="AD60" s="418">
        <f t="shared" si="157"/>
        <v>0</v>
      </c>
      <c r="AE60" s="185"/>
      <c r="AF60" s="185"/>
      <c r="AG60" s="185"/>
      <c r="AH60" s="185"/>
      <c r="AI60" s="424"/>
      <c r="AJ60" s="418">
        <f t="shared" si="158"/>
        <v>0</v>
      </c>
      <c r="AK60" s="185"/>
      <c r="AL60" s="185"/>
      <c r="AM60" s="185"/>
      <c r="AN60" s="185"/>
      <c r="AO60" s="185"/>
      <c r="AP60" s="418">
        <f t="shared" si="159"/>
        <v>52</v>
      </c>
      <c r="AQ60" s="200">
        <v>36</v>
      </c>
      <c r="AR60" s="200"/>
      <c r="AS60" s="200"/>
      <c r="AT60" s="200"/>
      <c r="AU60" s="200">
        <v>16</v>
      </c>
      <c r="AV60" s="418">
        <f t="shared" si="160"/>
        <v>0</v>
      </c>
      <c r="AW60" s="185"/>
      <c r="AX60" s="185"/>
      <c r="AY60" s="185"/>
      <c r="AZ60" s="185"/>
      <c r="BA60" s="185"/>
      <c r="BB60" s="418">
        <f t="shared" ref="BB60" si="163">SUM(BC60:BG60)</f>
        <v>0</v>
      </c>
      <c r="BC60" s="185"/>
      <c r="BD60" s="185"/>
      <c r="BE60" s="185"/>
      <c r="BF60" s="185"/>
      <c r="BG60" s="185"/>
      <c r="BH60" s="418">
        <f t="shared" si="162"/>
        <v>0</v>
      </c>
      <c r="BI60" s="185"/>
      <c r="BJ60" s="185"/>
      <c r="BK60" s="185"/>
      <c r="BL60" s="185"/>
      <c r="BM60" s="185"/>
      <c r="BN60" s="418">
        <f>SUM(BO60:BS60)</f>
        <v>0</v>
      </c>
      <c r="BO60" s="185"/>
      <c r="BP60" s="185"/>
      <c r="BQ60" s="185"/>
      <c r="BR60" s="185"/>
      <c r="BS60" s="185"/>
      <c r="BT60" s="418">
        <f>SUM(BU60:BY60)</f>
        <v>0</v>
      </c>
      <c r="BU60" s="185"/>
      <c r="BV60" s="185"/>
      <c r="BW60" s="185"/>
      <c r="BX60" s="185"/>
      <c r="BY60" s="185"/>
      <c r="BZ60" s="425" t="s">
        <v>515</v>
      </c>
      <c r="CA60" s="205" t="s">
        <v>645</v>
      </c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</row>
    <row r="61" spans="1:129" s="104" customFormat="1" ht="42.75" customHeight="1" x14ac:dyDescent="0.2">
      <c r="A61" s="437"/>
      <c r="B61" s="589" t="s">
        <v>627</v>
      </c>
      <c r="C61" s="462" t="s">
        <v>579</v>
      </c>
      <c r="D61" s="105"/>
      <c r="E61" s="425"/>
      <c r="F61" s="103" t="s">
        <v>423</v>
      </c>
      <c r="G61" s="105"/>
      <c r="H61" s="103" t="s">
        <v>625</v>
      </c>
      <c r="I61" s="185"/>
      <c r="J61" s="422"/>
      <c r="K61" s="419">
        <f t="shared" si="153"/>
        <v>124</v>
      </c>
      <c r="L61" s="419">
        <f t="shared" si="154"/>
        <v>85</v>
      </c>
      <c r="M61" s="419">
        <f t="shared" si="155"/>
        <v>22</v>
      </c>
      <c r="N61" s="419">
        <f t="shared" si="155"/>
        <v>63</v>
      </c>
      <c r="O61" s="419">
        <f t="shared" si="155"/>
        <v>0</v>
      </c>
      <c r="P61" s="419">
        <f t="shared" si="155"/>
        <v>0</v>
      </c>
      <c r="Q61" s="419">
        <f t="shared" si="155"/>
        <v>39</v>
      </c>
      <c r="R61" s="418">
        <f t="shared" si="156"/>
        <v>0</v>
      </c>
      <c r="S61" s="185"/>
      <c r="T61" s="185"/>
      <c r="U61" s="185"/>
      <c r="V61" s="185"/>
      <c r="W61" s="185"/>
      <c r="X61" s="423"/>
      <c r="Y61" s="185"/>
      <c r="Z61" s="185"/>
      <c r="AA61" s="185"/>
      <c r="AB61" s="185"/>
      <c r="AC61" s="185"/>
      <c r="AD61" s="418">
        <f t="shared" si="157"/>
        <v>0</v>
      </c>
      <c r="AE61" s="185"/>
      <c r="AF61" s="185"/>
      <c r="AG61" s="185"/>
      <c r="AH61" s="185"/>
      <c r="AI61" s="424"/>
      <c r="AJ61" s="418">
        <f t="shared" si="158"/>
        <v>0</v>
      </c>
      <c r="AK61" s="185"/>
      <c r="AL61" s="185"/>
      <c r="AM61" s="185"/>
      <c r="AN61" s="185"/>
      <c r="AO61" s="185"/>
      <c r="AP61" s="418">
        <f t="shared" si="159"/>
        <v>0</v>
      </c>
      <c r="AQ61" s="185"/>
      <c r="AR61" s="185"/>
      <c r="AS61" s="185"/>
      <c r="AT61" s="185"/>
      <c r="AU61" s="185"/>
      <c r="AV61" s="418">
        <f t="shared" si="160"/>
        <v>0</v>
      </c>
      <c r="AW61" s="185"/>
      <c r="AX61" s="185"/>
      <c r="AY61" s="185"/>
      <c r="AZ61" s="185"/>
      <c r="BA61" s="185"/>
      <c r="BB61" s="418">
        <f t="shared" si="161"/>
        <v>0</v>
      </c>
      <c r="BC61" s="185"/>
      <c r="BD61" s="185"/>
      <c r="BE61" s="185"/>
      <c r="BF61" s="185"/>
      <c r="BG61" s="185"/>
      <c r="BH61" s="418">
        <f t="shared" si="162"/>
        <v>47</v>
      </c>
      <c r="BI61" s="185">
        <v>22</v>
      </c>
      <c r="BJ61" s="185">
        <v>11</v>
      </c>
      <c r="BK61" s="185"/>
      <c r="BL61" s="185"/>
      <c r="BM61" s="185">
        <v>14</v>
      </c>
      <c r="BN61" s="418">
        <f>SUM(BO61:BS61)</f>
        <v>24</v>
      </c>
      <c r="BO61" s="185"/>
      <c r="BP61" s="185">
        <v>16</v>
      </c>
      <c r="BQ61" s="185"/>
      <c r="BR61" s="185"/>
      <c r="BS61" s="185">
        <v>8</v>
      </c>
      <c r="BT61" s="418">
        <f>SUM(BU61:BY61)</f>
        <v>53</v>
      </c>
      <c r="BU61" s="185"/>
      <c r="BV61" s="185">
        <v>36</v>
      </c>
      <c r="BW61" s="185"/>
      <c r="BX61" s="185"/>
      <c r="BY61" s="185">
        <v>17</v>
      </c>
      <c r="BZ61" s="425" t="s">
        <v>515</v>
      </c>
      <c r="CA61" s="205" t="s">
        <v>645</v>
      </c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</row>
    <row r="62" spans="1:129" s="102" customFormat="1" ht="25.5" customHeight="1" x14ac:dyDescent="0.2">
      <c r="A62" s="457" t="s">
        <v>414</v>
      </c>
      <c r="B62" s="689" t="s">
        <v>422</v>
      </c>
      <c r="C62" s="690"/>
      <c r="D62" s="690"/>
      <c r="E62" s="690"/>
      <c r="F62" s="690"/>
      <c r="G62" s="690"/>
      <c r="H62" s="691"/>
      <c r="I62" s="417"/>
      <c r="J62" s="417"/>
      <c r="K62" s="459">
        <f>SUM(K63:K68)</f>
        <v>922</v>
      </c>
      <c r="L62" s="459">
        <f t="shared" ref="L62:P62" si="164">SUM(L63:L68)</f>
        <v>647</v>
      </c>
      <c r="M62" s="459">
        <f>SUM(M63:M68)</f>
        <v>464</v>
      </c>
      <c r="N62" s="459">
        <f t="shared" si="164"/>
        <v>183</v>
      </c>
      <c r="O62" s="459">
        <f t="shared" si="164"/>
        <v>0</v>
      </c>
      <c r="P62" s="459">
        <f t="shared" si="164"/>
        <v>0</v>
      </c>
      <c r="Q62" s="459">
        <f>SUM(Q63:Q68)</f>
        <v>275</v>
      </c>
      <c r="R62" s="459">
        <f t="shared" ref="R62:W62" si="165">SUM(R63:R73)</f>
        <v>0</v>
      </c>
      <c r="S62" s="459">
        <f t="shared" si="165"/>
        <v>0</v>
      </c>
      <c r="T62" s="459">
        <f t="shared" si="165"/>
        <v>0</v>
      </c>
      <c r="U62" s="459">
        <f t="shared" si="165"/>
        <v>0</v>
      </c>
      <c r="V62" s="459">
        <f t="shared" si="165"/>
        <v>0</v>
      </c>
      <c r="W62" s="459">
        <f t="shared" si="165"/>
        <v>0</v>
      </c>
      <c r="X62" s="459">
        <f t="shared" ref="X62:AC62" si="166">SUM(X63:X73)</f>
        <v>0</v>
      </c>
      <c r="Y62" s="459">
        <f t="shared" si="166"/>
        <v>0</v>
      </c>
      <c r="Z62" s="459">
        <f t="shared" si="166"/>
        <v>0</v>
      </c>
      <c r="AA62" s="459">
        <f t="shared" si="166"/>
        <v>0</v>
      </c>
      <c r="AB62" s="459">
        <f t="shared" si="166"/>
        <v>0</v>
      </c>
      <c r="AC62" s="459">
        <f t="shared" si="166"/>
        <v>0</v>
      </c>
      <c r="AD62" s="459">
        <f>SUM(AD63:AD68)</f>
        <v>0</v>
      </c>
      <c r="AE62" s="459">
        <f t="shared" ref="AE62:BT62" si="167">SUM(AE63:AE68)</f>
        <v>0</v>
      </c>
      <c r="AF62" s="459">
        <f t="shared" si="167"/>
        <v>0</v>
      </c>
      <c r="AG62" s="459">
        <f t="shared" si="167"/>
        <v>0</v>
      </c>
      <c r="AH62" s="459">
        <f t="shared" si="167"/>
        <v>0</v>
      </c>
      <c r="AI62" s="459">
        <f t="shared" si="167"/>
        <v>0</v>
      </c>
      <c r="AJ62" s="459">
        <f t="shared" si="167"/>
        <v>96</v>
      </c>
      <c r="AK62" s="459">
        <f t="shared" si="167"/>
        <v>68</v>
      </c>
      <c r="AL62" s="459">
        <f t="shared" si="167"/>
        <v>0</v>
      </c>
      <c r="AM62" s="459">
        <f t="shared" si="167"/>
        <v>0</v>
      </c>
      <c r="AN62" s="459">
        <f t="shared" si="167"/>
        <v>0</v>
      </c>
      <c r="AO62" s="459">
        <f t="shared" si="167"/>
        <v>28</v>
      </c>
      <c r="AP62" s="459">
        <f t="shared" si="167"/>
        <v>182</v>
      </c>
      <c r="AQ62" s="459">
        <f>SUM(AQ63:AQ68)</f>
        <v>102</v>
      </c>
      <c r="AR62" s="459">
        <f t="shared" si="167"/>
        <v>26</v>
      </c>
      <c r="AS62" s="459">
        <f t="shared" si="167"/>
        <v>0</v>
      </c>
      <c r="AT62" s="459">
        <f t="shared" si="167"/>
        <v>0</v>
      </c>
      <c r="AU62" s="459">
        <f t="shared" si="167"/>
        <v>54</v>
      </c>
      <c r="AV62" s="459">
        <f t="shared" si="167"/>
        <v>195</v>
      </c>
      <c r="AW62" s="459">
        <f t="shared" si="167"/>
        <v>106</v>
      </c>
      <c r="AX62" s="459">
        <f t="shared" si="167"/>
        <v>37</v>
      </c>
      <c r="AY62" s="459">
        <f t="shared" si="167"/>
        <v>0</v>
      </c>
      <c r="AZ62" s="459">
        <f t="shared" si="167"/>
        <v>0</v>
      </c>
      <c r="BA62" s="459">
        <f t="shared" si="167"/>
        <v>52</v>
      </c>
      <c r="BB62" s="459">
        <f t="shared" si="167"/>
        <v>92</v>
      </c>
      <c r="BC62" s="459">
        <f t="shared" si="167"/>
        <v>44</v>
      </c>
      <c r="BD62" s="459">
        <f t="shared" si="167"/>
        <v>22</v>
      </c>
      <c r="BE62" s="459">
        <f t="shared" si="167"/>
        <v>0</v>
      </c>
      <c r="BF62" s="459">
        <f t="shared" si="167"/>
        <v>0</v>
      </c>
      <c r="BG62" s="459">
        <f t="shared" si="167"/>
        <v>26</v>
      </c>
      <c r="BH62" s="459">
        <f t="shared" si="167"/>
        <v>33</v>
      </c>
      <c r="BI62" s="459">
        <f t="shared" si="167"/>
        <v>22</v>
      </c>
      <c r="BJ62" s="459">
        <f t="shared" si="167"/>
        <v>0</v>
      </c>
      <c r="BK62" s="459">
        <f t="shared" si="167"/>
        <v>0</v>
      </c>
      <c r="BL62" s="459">
        <f t="shared" si="167"/>
        <v>0</v>
      </c>
      <c r="BM62" s="459">
        <f t="shared" si="167"/>
        <v>11</v>
      </c>
      <c r="BN62" s="459">
        <f t="shared" si="167"/>
        <v>58</v>
      </c>
      <c r="BO62" s="459">
        <f>SUM(BO63:BO68)</f>
        <v>32</v>
      </c>
      <c r="BP62" s="459">
        <f t="shared" si="167"/>
        <v>8</v>
      </c>
      <c r="BQ62" s="459">
        <f t="shared" si="167"/>
        <v>0</v>
      </c>
      <c r="BR62" s="459">
        <f t="shared" si="167"/>
        <v>0</v>
      </c>
      <c r="BS62" s="459">
        <f t="shared" si="167"/>
        <v>18</v>
      </c>
      <c r="BT62" s="459">
        <f t="shared" si="167"/>
        <v>266</v>
      </c>
      <c r="BU62" s="459">
        <f>SUM(BU63:BU68)</f>
        <v>90</v>
      </c>
      <c r="BV62" s="459">
        <f t="shared" ref="BV62:BY62" si="168">SUM(BV63:BV68)</f>
        <v>90</v>
      </c>
      <c r="BW62" s="459">
        <f t="shared" si="168"/>
        <v>0</v>
      </c>
      <c r="BX62" s="459">
        <f t="shared" si="168"/>
        <v>0</v>
      </c>
      <c r="BY62" s="459">
        <f t="shared" si="168"/>
        <v>86</v>
      </c>
      <c r="BZ62" s="417"/>
      <c r="CA62" s="417"/>
    </row>
    <row r="63" spans="1:129" s="201" customFormat="1" ht="31.5" customHeight="1" x14ac:dyDescent="0.2">
      <c r="A63" s="437"/>
      <c r="B63" s="223" t="s">
        <v>415</v>
      </c>
      <c r="C63" s="438" t="s">
        <v>583</v>
      </c>
      <c r="D63" s="425"/>
      <c r="E63" s="448" t="s">
        <v>41</v>
      </c>
      <c r="F63" s="448"/>
      <c r="G63" s="203"/>
      <c r="H63" s="425" t="s">
        <v>40</v>
      </c>
      <c r="I63" s="202"/>
      <c r="J63" s="202"/>
      <c r="K63" s="419">
        <f t="shared" ref="K63:K68" si="169">L63+SUM(Q63:Q63)</f>
        <v>142</v>
      </c>
      <c r="L63" s="419">
        <f t="shared" ref="L63:L68" si="170">SUM(M63:P63)</f>
        <v>98</v>
      </c>
      <c r="M63" s="419">
        <f t="shared" ref="M63:Q68" si="171">S63+Y63+AE63+AK63+AQ63+AW63+BC63+BI63+BO63+BU63</f>
        <v>82</v>
      </c>
      <c r="N63" s="419">
        <f t="shared" si="171"/>
        <v>16</v>
      </c>
      <c r="O63" s="419">
        <f t="shared" si="171"/>
        <v>0</v>
      </c>
      <c r="P63" s="419">
        <f t="shared" si="171"/>
        <v>0</v>
      </c>
      <c r="Q63" s="419">
        <f t="shared" si="171"/>
        <v>44</v>
      </c>
      <c r="R63" s="418">
        <f>SUM(S63:W63)</f>
        <v>0</v>
      </c>
      <c r="S63" s="185"/>
      <c r="T63" s="185"/>
      <c r="U63" s="185"/>
      <c r="V63" s="185"/>
      <c r="W63" s="185"/>
      <c r="X63" s="418">
        <f>SUM(Y63:AC63)</f>
        <v>0</v>
      </c>
      <c r="Y63" s="185"/>
      <c r="Z63" s="185"/>
      <c r="AA63" s="185"/>
      <c r="AB63" s="185"/>
      <c r="AC63" s="185"/>
      <c r="AD63" s="418">
        <f>SUM(AE63:AI63)</f>
        <v>0</v>
      </c>
      <c r="AE63" s="185"/>
      <c r="AF63" s="185"/>
      <c r="AG63" s="185"/>
      <c r="AH63" s="185"/>
      <c r="AI63" s="185"/>
      <c r="AJ63" s="418">
        <f t="shared" ref="AJ63:AJ68" si="172">SUM(AK63:AO63)</f>
        <v>48</v>
      </c>
      <c r="AK63" s="185">
        <v>34</v>
      </c>
      <c r="AL63" s="185"/>
      <c r="AM63" s="185"/>
      <c r="AN63" s="185"/>
      <c r="AO63" s="185">
        <v>14</v>
      </c>
      <c r="AP63" s="418">
        <f t="shared" ref="AP63:AP68" si="173">SUM(AQ63:AU63)</f>
        <v>94</v>
      </c>
      <c r="AQ63" s="200">
        <v>48</v>
      </c>
      <c r="AR63" s="200">
        <v>16</v>
      </c>
      <c r="AS63" s="185"/>
      <c r="AT63" s="185"/>
      <c r="AU63" s="185">
        <v>30</v>
      </c>
      <c r="AV63" s="418">
        <f t="shared" ref="AV63:AV68" si="174">SUM(AW63:BA63)</f>
        <v>0</v>
      </c>
      <c r="AW63" s="185"/>
      <c r="AX63" s="185"/>
      <c r="AY63" s="185"/>
      <c r="AZ63" s="185"/>
      <c r="BA63" s="185"/>
      <c r="BB63" s="418">
        <f t="shared" ref="BB63:BB68" si="175">SUM(BC63:BG63)</f>
        <v>0</v>
      </c>
      <c r="BC63" s="185"/>
      <c r="BD63" s="185"/>
      <c r="BE63" s="185"/>
      <c r="BF63" s="185"/>
      <c r="BG63" s="185"/>
      <c r="BH63" s="418">
        <f t="shared" ref="BH63:BH68" si="176">SUM(BI63:BM63)</f>
        <v>0</v>
      </c>
      <c r="BI63" s="185"/>
      <c r="BJ63" s="185"/>
      <c r="BK63" s="185"/>
      <c r="BL63" s="185"/>
      <c r="BM63" s="185"/>
      <c r="BN63" s="418">
        <f t="shared" ref="BN63:BN68" si="177">SUM(BO63:BS63)</f>
        <v>0</v>
      </c>
      <c r="BO63" s="202"/>
      <c r="BP63" s="202"/>
      <c r="BQ63" s="202"/>
      <c r="BR63" s="202"/>
      <c r="BS63" s="202"/>
      <c r="BT63" s="418">
        <f t="shared" ref="BT63:BT68" si="178">SUM(BU63:BY63)</f>
        <v>0</v>
      </c>
      <c r="BU63" s="202"/>
      <c r="BV63" s="202"/>
      <c r="BW63" s="202"/>
      <c r="BX63" s="202"/>
      <c r="BY63" s="202"/>
      <c r="BZ63" s="425" t="s">
        <v>514</v>
      </c>
      <c r="CA63" s="202" t="s">
        <v>459</v>
      </c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</row>
    <row r="64" spans="1:129" s="97" customFormat="1" ht="43.5" customHeight="1" x14ac:dyDescent="0.2">
      <c r="A64" s="437"/>
      <c r="B64" s="223" t="s">
        <v>480</v>
      </c>
      <c r="C64" s="223" t="s">
        <v>584</v>
      </c>
      <c r="D64" s="448"/>
      <c r="E64" s="103" t="s">
        <v>621</v>
      </c>
      <c r="F64" s="425"/>
      <c r="G64" s="425"/>
      <c r="H64" s="103" t="s">
        <v>622</v>
      </c>
      <c r="I64" s="200"/>
      <c r="J64" s="421"/>
      <c r="K64" s="419">
        <f t="shared" si="169"/>
        <v>462</v>
      </c>
      <c r="L64" s="419">
        <f t="shared" si="170"/>
        <v>319</v>
      </c>
      <c r="M64" s="419">
        <f t="shared" si="171"/>
        <v>220</v>
      </c>
      <c r="N64" s="419">
        <f t="shared" si="171"/>
        <v>99</v>
      </c>
      <c r="O64" s="419">
        <f t="shared" si="171"/>
        <v>0</v>
      </c>
      <c r="P64" s="419">
        <f t="shared" si="171"/>
        <v>0</v>
      </c>
      <c r="Q64" s="419">
        <f t="shared" si="171"/>
        <v>143</v>
      </c>
      <c r="R64" s="418">
        <f>SUM(S64:W64)</f>
        <v>0</v>
      </c>
      <c r="S64" s="200"/>
      <c r="T64" s="200"/>
      <c r="U64" s="200"/>
      <c r="V64" s="200"/>
      <c r="W64" s="200"/>
      <c r="X64" s="418"/>
      <c r="Y64" s="200"/>
      <c r="Z64" s="200"/>
      <c r="AA64" s="200"/>
      <c r="AB64" s="200"/>
      <c r="AC64" s="200"/>
      <c r="AD64" s="418">
        <f>SUM(AE64:AI64)</f>
        <v>0</v>
      </c>
      <c r="AE64" s="202"/>
      <c r="AF64" s="202"/>
      <c r="AG64" s="200"/>
      <c r="AH64" s="200"/>
      <c r="AI64" s="200"/>
      <c r="AJ64" s="418">
        <f t="shared" si="172"/>
        <v>48</v>
      </c>
      <c r="AK64" s="202">
        <v>34</v>
      </c>
      <c r="AL64" s="202"/>
      <c r="AM64" s="200"/>
      <c r="AN64" s="200"/>
      <c r="AO64" s="200">
        <v>14</v>
      </c>
      <c r="AP64" s="418">
        <f t="shared" si="173"/>
        <v>44</v>
      </c>
      <c r="AQ64" s="200">
        <v>28</v>
      </c>
      <c r="AR64" s="200">
        <v>4</v>
      </c>
      <c r="AS64" s="200"/>
      <c r="AT64" s="200"/>
      <c r="AU64" s="200">
        <v>12</v>
      </c>
      <c r="AV64" s="418">
        <f t="shared" si="174"/>
        <v>98</v>
      </c>
      <c r="AW64" s="202">
        <v>44</v>
      </c>
      <c r="AX64" s="200">
        <v>22</v>
      </c>
      <c r="AY64" s="200"/>
      <c r="AZ64" s="200"/>
      <c r="BA64" s="200">
        <v>32</v>
      </c>
      <c r="BB64" s="418">
        <f t="shared" si="175"/>
        <v>43</v>
      </c>
      <c r="BC64" s="202">
        <v>22</v>
      </c>
      <c r="BD64" s="200">
        <v>11</v>
      </c>
      <c r="BE64" s="200"/>
      <c r="BF64" s="200"/>
      <c r="BG64" s="200">
        <v>10</v>
      </c>
      <c r="BH64" s="418">
        <f t="shared" si="176"/>
        <v>33</v>
      </c>
      <c r="BI64" s="200">
        <v>22</v>
      </c>
      <c r="BJ64" s="200"/>
      <c r="BK64" s="200"/>
      <c r="BL64" s="200"/>
      <c r="BM64" s="200">
        <v>11</v>
      </c>
      <c r="BN64" s="418">
        <f t="shared" si="177"/>
        <v>36</v>
      </c>
      <c r="BO64" s="200">
        <v>16</v>
      </c>
      <c r="BP64" s="200">
        <v>8</v>
      </c>
      <c r="BQ64" s="200"/>
      <c r="BR64" s="200"/>
      <c r="BS64" s="200">
        <v>12</v>
      </c>
      <c r="BT64" s="418">
        <f t="shared" si="178"/>
        <v>160</v>
      </c>
      <c r="BU64" s="200">
        <v>54</v>
      </c>
      <c r="BV64" s="200">
        <v>54</v>
      </c>
      <c r="BW64" s="200"/>
      <c r="BX64" s="200"/>
      <c r="BY64" s="200">
        <v>52</v>
      </c>
      <c r="BZ64" s="425" t="s">
        <v>514</v>
      </c>
      <c r="CA64" s="202" t="s">
        <v>459</v>
      </c>
    </row>
    <row r="65" spans="1:129" s="201" customFormat="1" ht="42.75" customHeight="1" x14ac:dyDescent="0.2">
      <c r="A65" s="437"/>
      <c r="B65" s="223" t="s">
        <v>462</v>
      </c>
      <c r="C65" s="438" t="s">
        <v>585</v>
      </c>
      <c r="D65" s="425"/>
      <c r="E65" s="425" t="s">
        <v>42</v>
      </c>
      <c r="F65" s="425"/>
      <c r="G65" s="203"/>
      <c r="H65" s="425" t="s">
        <v>41</v>
      </c>
      <c r="I65" s="202"/>
      <c r="J65" s="202"/>
      <c r="K65" s="419">
        <f t="shared" si="169"/>
        <v>76</v>
      </c>
      <c r="L65" s="419">
        <f t="shared" si="170"/>
        <v>54</v>
      </c>
      <c r="M65" s="419">
        <f t="shared" si="171"/>
        <v>44</v>
      </c>
      <c r="N65" s="419">
        <f t="shared" si="171"/>
        <v>10</v>
      </c>
      <c r="O65" s="419">
        <f t="shared" si="171"/>
        <v>0</v>
      </c>
      <c r="P65" s="419">
        <f t="shared" si="171"/>
        <v>0</v>
      </c>
      <c r="Q65" s="419">
        <f t="shared" si="171"/>
        <v>22</v>
      </c>
      <c r="R65" s="418">
        <f>SUM(S65:W65)</f>
        <v>0</v>
      </c>
      <c r="S65" s="185"/>
      <c r="T65" s="185"/>
      <c r="U65" s="185"/>
      <c r="V65" s="185"/>
      <c r="W65" s="185"/>
      <c r="X65" s="418">
        <f>SUM(Y65:AC65)</f>
        <v>0</v>
      </c>
      <c r="Y65" s="185"/>
      <c r="Z65" s="185"/>
      <c r="AA65" s="185"/>
      <c r="AB65" s="185"/>
      <c r="AC65" s="185"/>
      <c r="AD65" s="418">
        <f>SUM(AE65:AI65)</f>
        <v>0</v>
      </c>
      <c r="AE65" s="185"/>
      <c r="AF65" s="185"/>
      <c r="AG65" s="185"/>
      <c r="AH65" s="185"/>
      <c r="AI65" s="185"/>
      <c r="AJ65" s="418">
        <f t="shared" si="172"/>
        <v>0</v>
      </c>
      <c r="AK65" s="185"/>
      <c r="AL65" s="185"/>
      <c r="AM65" s="185"/>
      <c r="AN65" s="185"/>
      <c r="AO65" s="185"/>
      <c r="AP65" s="418">
        <f t="shared" si="173"/>
        <v>44</v>
      </c>
      <c r="AQ65" s="185">
        <v>26</v>
      </c>
      <c r="AR65" s="185">
        <v>6</v>
      </c>
      <c r="AS65" s="185"/>
      <c r="AT65" s="185"/>
      <c r="AU65" s="185">
        <v>12</v>
      </c>
      <c r="AV65" s="418">
        <f t="shared" si="174"/>
        <v>32</v>
      </c>
      <c r="AW65" s="185">
        <v>18</v>
      </c>
      <c r="AX65" s="185">
        <v>4</v>
      </c>
      <c r="AY65" s="185"/>
      <c r="AZ65" s="185"/>
      <c r="BA65" s="185">
        <v>10</v>
      </c>
      <c r="BB65" s="418">
        <f t="shared" si="175"/>
        <v>0</v>
      </c>
      <c r="BC65" s="185"/>
      <c r="BD65" s="185"/>
      <c r="BE65" s="185"/>
      <c r="BF65" s="185"/>
      <c r="BG65" s="185"/>
      <c r="BH65" s="418">
        <f t="shared" si="176"/>
        <v>0</v>
      </c>
      <c r="BI65" s="185"/>
      <c r="BJ65" s="185"/>
      <c r="BK65" s="185"/>
      <c r="BL65" s="185"/>
      <c r="BM65" s="185"/>
      <c r="BN65" s="418">
        <f t="shared" si="177"/>
        <v>0</v>
      </c>
      <c r="BO65" s="202"/>
      <c r="BP65" s="202"/>
      <c r="BQ65" s="202"/>
      <c r="BR65" s="202"/>
      <c r="BS65" s="202"/>
      <c r="BT65" s="418">
        <f t="shared" si="178"/>
        <v>0</v>
      </c>
      <c r="BU65" s="202"/>
      <c r="BV65" s="202"/>
      <c r="BW65" s="202"/>
      <c r="BX65" s="202"/>
      <c r="BY65" s="202"/>
      <c r="BZ65" s="425" t="s">
        <v>521</v>
      </c>
      <c r="CA65" s="594" t="s">
        <v>459</v>
      </c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</row>
    <row r="66" spans="1:129" s="201" customFormat="1" ht="41.25" customHeight="1" x14ac:dyDescent="0.2">
      <c r="A66" s="437"/>
      <c r="B66" s="223" t="s">
        <v>463</v>
      </c>
      <c r="C66" s="438"/>
      <c r="D66" s="425"/>
      <c r="E66" s="425" t="s">
        <v>423</v>
      </c>
      <c r="F66" s="425"/>
      <c r="G66" s="203"/>
      <c r="H66" s="425" t="s">
        <v>39</v>
      </c>
      <c r="I66" s="202"/>
      <c r="J66" s="202"/>
      <c r="K66" s="419">
        <f t="shared" si="169"/>
        <v>128</v>
      </c>
      <c r="L66" s="419">
        <f t="shared" si="170"/>
        <v>88</v>
      </c>
      <c r="M66" s="419">
        <f t="shared" si="171"/>
        <v>52</v>
      </c>
      <c r="N66" s="419">
        <f t="shared" si="171"/>
        <v>36</v>
      </c>
      <c r="O66" s="419">
        <f t="shared" si="171"/>
        <v>0</v>
      </c>
      <c r="P66" s="419">
        <f t="shared" si="171"/>
        <v>0</v>
      </c>
      <c r="Q66" s="419">
        <f t="shared" si="171"/>
        <v>40</v>
      </c>
      <c r="R66" s="418"/>
      <c r="S66" s="185"/>
      <c r="T66" s="185"/>
      <c r="U66" s="185"/>
      <c r="V66" s="185"/>
      <c r="W66" s="185"/>
      <c r="X66" s="418"/>
      <c r="Y66" s="185"/>
      <c r="Z66" s="185"/>
      <c r="AA66" s="185"/>
      <c r="AB66" s="185"/>
      <c r="AC66" s="185"/>
      <c r="AD66" s="418"/>
      <c r="AE66" s="185"/>
      <c r="AF66" s="185"/>
      <c r="AG66" s="185"/>
      <c r="AH66" s="185"/>
      <c r="AI66" s="185"/>
      <c r="AJ66" s="418">
        <f t="shared" si="172"/>
        <v>0</v>
      </c>
      <c r="AK66" s="185"/>
      <c r="AL66" s="185"/>
      <c r="AM66" s="185"/>
      <c r="AN66" s="185"/>
      <c r="AO66" s="185"/>
      <c r="AP66" s="418">
        <f t="shared" si="173"/>
        <v>0</v>
      </c>
      <c r="AQ66" s="185"/>
      <c r="AR66" s="185"/>
      <c r="AS66" s="185"/>
      <c r="AT66" s="185"/>
      <c r="AU66" s="185"/>
      <c r="AV66" s="418">
        <f t="shared" si="174"/>
        <v>0</v>
      </c>
      <c r="AW66" s="185"/>
      <c r="AX66" s="185"/>
      <c r="AY66" s="185"/>
      <c r="AZ66" s="185"/>
      <c r="BA66" s="185"/>
      <c r="BB66" s="418">
        <f t="shared" si="175"/>
        <v>0</v>
      </c>
      <c r="BC66" s="185"/>
      <c r="BD66" s="185"/>
      <c r="BE66" s="185"/>
      <c r="BF66" s="185"/>
      <c r="BG66" s="185"/>
      <c r="BH66" s="418">
        <f t="shared" si="176"/>
        <v>0</v>
      </c>
      <c r="BI66" s="185"/>
      <c r="BJ66" s="185"/>
      <c r="BK66" s="185"/>
      <c r="BL66" s="185"/>
      <c r="BM66" s="185"/>
      <c r="BN66" s="418">
        <f t="shared" si="177"/>
        <v>22</v>
      </c>
      <c r="BO66" s="202">
        <v>16</v>
      </c>
      <c r="BP66" s="202"/>
      <c r="BQ66" s="202"/>
      <c r="BR66" s="202"/>
      <c r="BS66" s="202">
        <v>6</v>
      </c>
      <c r="BT66" s="418">
        <f t="shared" si="178"/>
        <v>106</v>
      </c>
      <c r="BU66" s="202">
        <v>36</v>
      </c>
      <c r="BV66" s="202">
        <v>36</v>
      </c>
      <c r="BW66" s="202"/>
      <c r="BX66" s="202"/>
      <c r="BY66" s="202">
        <v>34</v>
      </c>
      <c r="BZ66" s="425" t="s">
        <v>514</v>
      </c>
      <c r="CA66" s="202" t="s">
        <v>459</v>
      </c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</row>
    <row r="67" spans="1:129" s="201" customFormat="1" ht="19.5" customHeight="1" x14ac:dyDescent="0.2">
      <c r="A67" s="437"/>
      <c r="B67" s="223" t="s">
        <v>416</v>
      </c>
      <c r="C67" s="438"/>
      <c r="D67" s="350"/>
      <c r="E67" s="425" t="s">
        <v>42</v>
      </c>
      <c r="F67" s="425"/>
      <c r="G67" s="203"/>
      <c r="H67" s="425"/>
      <c r="I67" s="202"/>
      <c r="J67" s="202"/>
      <c r="K67" s="419">
        <f t="shared" si="169"/>
        <v>65</v>
      </c>
      <c r="L67" s="419">
        <f t="shared" si="170"/>
        <v>55</v>
      </c>
      <c r="M67" s="419">
        <f t="shared" si="171"/>
        <v>44</v>
      </c>
      <c r="N67" s="419">
        <f t="shared" si="171"/>
        <v>11</v>
      </c>
      <c r="O67" s="419">
        <f t="shared" si="171"/>
        <v>0</v>
      </c>
      <c r="P67" s="419">
        <f t="shared" si="171"/>
        <v>0</v>
      </c>
      <c r="Q67" s="419">
        <f t="shared" si="171"/>
        <v>10</v>
      </c>
      <c r="R67" s="418">
        <f>SUM(S67:W67)</f>
        <v>0</v>
      </c>
      <c r="S67" s="185"/>
      <c r="T67" s="185"/>
      <c r="U67" s="185"/>
      <c r="V67" s="185"/>
      <c r="W67" s="185"/>
      <c r="X67" s="418">
        <f>SUM(Y67:AC67)</f>
        <v>0</v>
      </c>
      <c r="Y67" s="185"/>
      <c r="Z67" s="185"/>
      <c r="AA67" s="185"/>
      <c r="AB67" s="185"/>
      <c r="AC67" s="185"/>
      <c r="AD67" s="418">
        <f>SUM(AE67:AI67)</f>
        <v>0</v>
      </c>
      <c r="AE67" s="185"/>
      <c r="AF67" s="185"/>
      <c r="AG67" s="185"/>
      <c r="AH67" s="185"/>
      <c r="AI67" s="185"/>
      <c r="AJ67" s="418">
        <f t="shared" si="172"/>
        <v>0</v>
      </c>
      <c r="AK67" s="185"/>
      <c r="AL67" s="185"/>
      <c r="AM67" s="185"/>
      <c r="AN67" s="185"/>
      <c r="AO67" s="185"/>
      <c r="AP67" s="418">
        <f t="shared" si="173"/>
        <v>0</v>
      </c>
      <c r="AQ67" s="185"/>
      <c r="AR67" s="185"/>
      <c r="AS67" s="185"/>
      <c r="AT67" s="185"/>
      <c r="AU67" s="185"/>
      <c r="AV67" s="418">
        <f t="shared" si="174"/>
        <v>65</v>
      </c>
      <c r="AW67" s="185">
        <v>44</v>
      </c>
      <c r="AX67" s="185">
        <v>11</v>
      </c>
      <c r="AY67" s="185"/>
      <c r="AZ67" s="185"/>
      <c r="BA67" s="185">
        <v>10</v>
      </c>
      <c r="BB67" s="418">
        <f t="shared" si="175"/>
        <v>0</v>
      </c>
      <c r="BC67" s="185"/>
      <c r="BD67" s="185"/>
      <c r="BE67" s="185"/>
      <c r="BF67" s="185"/>
      <c r="BG67" s="185"/>
      <c r="BH67" s="418">
        <f t="shared" si="176"/>
        <v>0</v>
      </c>
      <c r="BI67" s="185"/>
      <c r="BJ67" s="185"/>
      <c r="BK67" s="185"/>
      <c r="BL67" s="185"/>
      <c r="BM67" s="185"/>
      <c r="BN67" s="418">
        <f t="shared" si="177"/>
        <v>0</v>
      </c>
      <c r="BO67" s="202"/>
      <c r="BP67" s="202"/>
      <c r="BQ67" s="202"/>
      <c r="BR67" s="202"/>
      <c r="BS67" s="202"/>
      <c r="BT67" s="418">
        <f t="shared" si="178"/>
        <v>0</v>
      </c>
      <c r="BU67" s="202"/>
      <c r="BV67" s="202"/>
      <c r="BW67" s="202"/>
      <c r="BX67" s="202"/>
      <c r="BY67" s="202"/>
      <c r="BZ67" s="425" t="s">
        <v>521</v>
      </c>
      <c r="CA67" s="200" t="s">
        <v>522</v>
      </c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</row>
    <row r="68" spans="1:129" s="201" customFormat="1" ht="42" customHeight="1" x14ac:dyDescent="0.2">
      <c r="A68" s="437"/>
      <c r="B68" s="223" t="s">
        <v>487</v>
      </c>
      <c r="C68" s="438"/>
      <c r="D68" s="350"/>
      <c r="E68" s="425" t="s">
        <v>43</v>
      </c>
      <c r="F68" s="425"/>
      <c r="G68" s="203"/>
      <c r="H68" s="425"/>
      <c r="I68" s="202"/>
      <c r="J68" s="202"/>
      <c r="K68" s="419">
        <f t="shared" si="169"/>
        <v>49</v>
      </c>
      <c r="L68" s="419">
        <f t="shared" si="170"/>
        <v>33</v>
      </c>
      <c r="M68" s="419">
        <f t="shared" si="171"/>
        <v>22</v>
      </c>
      <c r="N68" s="419">
        <f t="shared" si="171"/>
        <v>11</v>
      </c>
      <c r="O68" s="419">
        <f t="shared" si="171"/>
        <v>0</v>
      </c>
      <c r="P68" s="419">
        <f t="shared" si="171"/>
        <v>0</v>
      </c>
      <c r="Q68" s="419">
        <f t="shared" si="171"/>
        <v>16</v>
      </c>
      <c r="R68" s="418">
        <f>SUM(S68:W68)</f>
        <v>0</v>
      </c>
      <c r="S68" s="185"/>
      <c r="T68" s="185"/>
      <c r="U68" s="185"/>
      <c r="V68" s="185"/>
      <c r="W68" s="185"/>
      <c r="X68" s="418">
        <f>SUM(Y68:AC68)</f>
        <v>0</v>
      </c>
      <c r="Y68" s="185"/>
      <c r="Z68" s="185"/>
      <c r="AA68" s="185"/>
      <c r="AB68" s="185"/>
      <c r="AC68" s="185"/>
      <c r="AD68" s="418">
        <f>SUM(AE68:AI68)</f>
        <v>0</v>
      </c>
      <c r="AE68" s="185"/>
      <c r="AF68" s="185"/>
      <c r="AG68" s="185"/>
      <c r="AH68" s="185"/>
      <c r="AI68" s="185"/>
      <c r="AJ68" s="418">
        <f t="shared" si="172"/>
        <v>0</v>
      </c>
      <c r="AK68" s="185"/>
      <c r="AL68" s="185"/>
      <c r="AM68" s="185"/>
      <c r="AN68" s="185"/>
      <c r="AO68" s="185"/>
      <c r="AP68" s="418">
        <f t="shared" si="173"/>
        <v>0</v>
      </c>
      <c r="AQ68" s="185"/>
      <c r="AR68" s="185"/>
      <c r="AS68" s="185"/>
      <c r="AT68" s="185"/>
      <c r="AU68" s="185"/>
      <c r="AV68" s="418">
        <f t="shared" si="174"/>
        <v>0</v>
      </c>
      <c r="AW68" s="185"/>
      <c r="AX68" s="185"/>
      <c r="AY68" s="185"/>
      <c r="AZ68" s="185"/>
      <c r="BA68" s="185"/>
      <c r="BB68" s="418">
        <f t="shared" si="175"/>
        <v>49</v>
      </c>
      <c r="BC68" s="185">
        <v>22</v>
      </c>
      <c r="BD68" s="185">
        <v>11</v>
      </c>
      <c r="BE68" s="185"/>
      <c r="BF68" s="185"/>
      <c r="BG68" s="185">
        <v>16</v>
      </c>
      <c r="BH68" s="418">
        <f t="shared" si="176"/>
        <v>0</v>
      </c>
      <c r="BI68" s="185"/>
      <c r="BJ68" s="185"/>
      <c r="BK68" s="185"/>
      <c r="BL68" s="185"/>
      <c r="BM68" s="185"/>
      <c r="BN68" s="418">
        <f t="shared" si="177"/>
        <v>0</v>
      </c>
      <c r="BO68" s="202"/>
      <c r="BP68" s="202"/>
      <c r="BQ68" s="202"/>
      <c r="BR68" s="202"/>
      <c r="BS68" s="202"/>
      <c r="BT68" s="418">
        <f t="shared" si="178"/>
        <v>0</v>
      </c>
      <c r="BU68" s="202"/>
      <c r="BV68" s="202"/>
      <c r="BW68" s="202"/>
      <c r="BX68" s="202"/>
      <c r="BY68" s="202"/>
      <c r="BZ68" s="425" t="s">
        <v>521</v>
      </c>
      <c r="CA68" s="200" t="s">
        <v>523</v>
      </c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</row>
    <row r="69" spans="1:129" s="201" customFormat="1" ht="25.5" customHeight="1" x14ac:dyDescent="0.2">
      <c r="A69" s="463" t="s">
        <v>566</v>
      </c>
      <c r="B69" s="700" t="s">
        <v>464</v>
      </c>
      <c r="C69" s="700"/>
      <c r="D69" s="700"/>
      <c r="E69" s="700"/>
      <c r="F69" s="700"/>
      <c r="G69" s="700"/>
      <c r="H69" s="464"/>
      <c r="I69" s="465"/>
      <c r="J69" s="465"/>
      <c r="K69" s="466">
        <f>SUM(K70:K72)</f>
        <v>578</v>
      </c>
      <c r="L69" s="466">
        <f t="shared" ref="L69:Q69" si="179">SUM(L70:L72)</f>
        <v>395</v>
      </c>
      <c r="M69" s="466">
        <f t="shared" si="179"/>
        <v>297</v>
      </c>
      <c r="N69" s="466">
        <f t="shared" si="179"/>
        <v>65</v>
      </c>
      <c r="O69" s="466">
        <f t="shared" si="179"/>
        <v>33</v>
      </c>
      <c r="P69" s="466">
        <f t="shared" si="179"/>
        <v>0</v>
      </c>
      <c r="Q69" s="466">
        <f t="shared" si="179"/>
        <v>183</v>
      </c>
      <c r="R69" s="466">
        <f>SUM(R70:R72)</f>
        <v>0</v>
      </c>
      <c r="S69" s="466">
        <f t="shared" ref="S69:BH69" si="180">SUM(S70:S72)</f>
        <v>0</v>
      </c>
      <c r="T69" s="466">
        <f t="shared" si="180"/>
        <v>0</v>
      </c>
      <c r="U69" s="466">
        <f t="shared" si="180"/>
        <v>0</v>
      </c>
      <c r="V69" s="466">
        <f t="shared" si="180"/>
        <v>0</v>
      </c>
      <c r="W69" s="466">
        <f t="shared" si="180"/>
        <v>0</v>
      </c>
      <c r="X69" s="466">
        <f t="shared" si="180"/>
        <v>0</v>
      </c>
      <c r="Y69" s="466">
        <f t="shared" si="180"/>
        <v>0</v>
      </c>
      <c r="Z69" s="466">
        <f t="shared" si="180"/>
        <v>0</v>
      </c>
      <c r="AA69" s="466">
        <f t="shared" si="180"/>
        <v>0</v>
      </c>
      <c r="AB69" s="466">
        <f t="shared" si="180"/>
        <v>0</v>
      </c>
      <c r="AC69" s="466">
        <f t="shared" si="180"/>
        <v>0</v>
      </c>
      <c r="AD69" s="466">
        <f t="shared" si="180"/>
        <v>36</v>
      </c>
      <c r="AE69" s="466">
        <f t="shared" si="180"/>
        <v>32</v>
      </c>
      <c r="AF69" s="466">
        <f t="shared" si="180"/>
        <v>0</v>
      </c>
      <c r="AG69" s="466">
        <f t="shared" si="180"/>
        <v>0</v>
      </c>
      <c r="AH69" s="466">
        <f t="shared" si="180"/>
        <v>0</v>
      </c>
      <c r="AI69" s="466">
        <f t="shared" si="180"/>
        <v>4</v>
      </c>
      <c r="AJ69" s="466">
        <f t="shared" si="180"/>
        <v>124</v>
      </c>
      <c r="AK69" s="466">
        <f t="shared" si="180"/>
        <v>85</v>
      </c>
      <c r="AL69" s="466">
        <f t="shared" si="180"/>
        <v>0</v>
      </c>
      <c r="AM69" s="466">
        <f t="shared" si="180"/>
        <v>0</v>
      </c>
      <c r="AN69" s="466">
        <f t="shared" si="180"/>
        <v>0</v>
      </c>
      <c r="AO69" s="466">
        <f t="shared" si="180"/>
        <v>39</v>
      </c>
      <c r="AP69" s="466">
        <f t="shared" si="180"/>
        <v>180</v>
      </c>
      <c r="AQ69" s="466">
        <f>SUM(AQ70:AQ72)</f>
        <v>92</v>
      </c>
      <c r="AR69" s="466">
        <f t="shared" si="180"/>
        <v>32</v>
      </c>
      <c r="AS69" s="466">
        <f t="shared" si="180"/>
        <v>0</v>
      </c>
      <c r="AT69" s="466">
        <f t="shared" si="180"/>
        <v>0</v>
      </c>
      <c r="AU69" s="466">
        <f t="shared" si="180"/>
        <v>56</v>
      </c>
      <c r="AV69" s="466">
        <f t="shared" si="180"/>
        <v>95</v>
      </c>
      <c r="AW69" s="466">
        <f t="shared" si="180"/>
        <v>22</v>
      </c>
      <c r="AX69" s="466">
        <f t="shared" si="180"/>
        <v>33</v>
      </c>
      <c r="AY69" s="466">
        <f t="shared" si="180"/>
        <v>0</v>
      </c>
      <c r="AZ69" s="466">
        <f t="shared" si="180"/>
        <v>0</v>
      </c>
      <c r="BA69" s="466">
        <f t="shared" si="180"/>
        <v>40</v>
      </c>
      <c r="BB69" s="466">
        <f t="shared" si="180"/>
        <v>33</v>
      </c>
      <c r="BC69" s="466">
        <f t="shared" si="180"/>
        <v>22</v>
      </c>
      <c r="BD69" s="466">
        <f t="shared" si="180"/>
        <v>0</v>
      </c>
      <c r="BE69" s="466">
        <f t="shared" si="180"/>
        <v>0</v>
      </c>
      <c r="BF69" s="466">
        <f t="shared" si="180"/>
        <v>0</v>
      </c>
      <c r="BG69" s="466">
        <f t="shared" si="180"/>
        <v>11</v>
      </c>
      <c r="BH69" s="466">
        <f t="shared" si="180"/>
        <v>110</v>
      </c>
      <c r="BI69" s="466">
        <f t="shared" ref="BI69:BY69" si="181">SUM(BI70:BI72)</f>
        <v>44</v>
      </c>
      <c r="BJ69" s="466">
        <f t="shared" si="181"/>
        <v>0</v>
      </c>
      <c r="BK69" s="466">
        <f t="shared" si="181"/>
        <v>33</v>
      </c>
      <c r="BL69" s="466">
        <f t="shared" si="181"/>
        <v>0</v>
      </c>
      <c r="BM69" s="466">
        <f t="shared" si="181"/>
        <v>33</v>
      </c>
      <c r="BN69" s="466">
        <f>SUM(BN70:BN72)</f>
        <v>0</v>
      </c>
      <c r="BO69" s="466">
        <f>SUM(BO70:BO72)</f>
        <v>0</v>
      </c>
      <c r="BP69" s="466">
        <f t="shared" si="181"/>
        <v>0</v>
      </c>
      <c r="BQ69" s="466">
        <f t="shared" si="181"/>
        <v>0</v>
      </c>
      <c r="BR69" s="466">
        <f t="shared" si="181"/>
        <v>0</v>
      </c>
      <c r="BS69" s="466">
        <f t="shared" si="181"/>
        <v>0</v>
      </c>
      <c r="BT69" s="466">
        <f t="shared" si="181"/>
        <v>0</v>
      </c>
      <c r="BU69" s="466">
        <f>SUM(BU70:BU72)</f>
        <v>0</v>
      </c>
      <c r="BV69" s="466">
        <f t="shared" si="181"/>
        <v>0</v>
      </c>
      <c r="BW69" s="466">
        <f t="shared" si="181"/>
        <v>0</v>
      </c>
      <c r="BX69" s="466">
        <f t="shared" si="181"/>
        <v>0</v>
      </c>
      <c r="BY69" s="466">
        <f t="shared" si="181"/>
        <v>0</v>
      </c>
      <c r="BZ69" s="465"/>
      <c r="CA69" s="465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</row>
    <row r="70" spans="1:129" s="201" customFormat="1" ht="30" customHeight="1" x14ac:dyDescent="0.2">
      <c r="A70" s="467"/>
      <c r="B70" s="223" t="s">
        <v>465</v>
      </c>
      <c r="C70" s="438"/>
      <c r="D70" s="425" t="s">
        <v>42</v>
      </c>
      <c r="E70" s="103" t="s">
        <v>38</v>
      </c>
      <c r="F70" s="425"/>
      <c r="G70" s="103" t="s">
        <v>38</v>
      </c>
      <c r="H70" s="103" t="s">
        <v>624</v>
      </c>
      <c r="I70" s="202"/>
      <c r="J70" s="202"/>
      <c r="K70" s="419">
        <f>L70+SUM(Q70:Q70)</f>
        <v>297</v>
      </c>
      <c r="L70" s="419">
        <f>SUM(M70:P70)</f>
        <v>204</v>
      </c>
      <c r="M70" s="419">
        <f t="shared" ref="M70:Q72" si="182">S70+Y70+AE70+AK70+AQ70+AW70+BC70+BI70+BO70+BU70</f>
        <v>171</v>
      </c>
      <c r="N70" s="419">
        <f t="shared" si="182"/>
        <v>0</v>
      </c>
      <c r="O70" s="419">
        <f t="shared" si="182"/>
        <v>33</v>
      </c>
      <c r="P70" s="419">
        <f t="shared" si="182"/>
        <v>0</v>
      </c>
      <c r="Q70" s="419">
        <f t="shared" si="182"/>
        <v>93</v>
      </c>
      <c r="R70" s="418">
        <f>SUM(S70:W70)</f>
        <v>0</v>
      </c>
      <c r="S70" s="185"/>
      <c r="T70" s="185"/>
      <c r="U70" s="185"/>
      <c r="V70" s="185"/>
      <c r="W70" s="185"/>
      <c r="X70" s="418">
        <f>SUM(Y70:AC70)</f>
        <v>0</v>
      </c>
      <c r="Y70" s="185"/>
      <c r="Z70" s="185"/>
      <c r="AA70" s="185"/>
      <c r="AB70" s="185"/>
      <c r="AC70" s="185"/>
      <c r="AD70" s="418">
        <f>SUM(AE70:AI70)</f>
        <v>0</v>
      </c>
      <c r="AE70" s="185"/>
      <c r="AF70" s="185"/>
      <c r="AG70" s="185"/>
      <c r="AH70" s="185"/>
      <c r="AI70" s="185"/>
      <c r="AJ70" s="418">
        <f>SUM(AK70:AO70)</f>
        <v>76</v>
      </c>
      <c r="AK70" s="185">
        <v>51</v>
      </c>
      <c r="AL70" s="185"/>
      <c r="AM70" s="185"/>
      <c r="AN70" s="185"/>
      <c r="AO70" s="185">
        <v>25</v>
      </c>
      <c r="AP70" s="418">
        <f>SUM(AQ70:AU70)</f>
        <v>46</v>
      </c>
      <c r="AQ70" s="185">
        <v>32</v>
      </c>
      <c r="AR70" s="185"/>
      <c r="AS70" s="185"/>
      <c r="AT70" s="185"/>
      <c r="AU70" s="185">
        <v>14</v>
      </c>
      <c r="AV70" s="418">
        <f>SUM(AW70:BA70)</f>
        <v>32</v>
      </c>
      <c r="AW70" s="185">
        <v>22</v>
      </c>
      <c r="AX70" s="185"/>
      <c r="AY70" s="185"/>
      <c r="AZ70" s="185"/>
      <c r="BA70" s="185">
        <v>10</v>
      </c>
      <c r="BB70" s="418">
        <f>SUM(BC70:BG70)</f>
        <v>33</v>
      </c>
      <c r="BC70" s="185">
        <v>22</v>
      </c>
      <c r="BD70" s="185"/>
      <c r="BE70" s="185"/>
      <c r="BF70" s="185"/>
      <c r="BG70" s="185">
        <v>11</v>
      </c>
      <c r="BH70" s="418">
        <f>SUM(BI70:BM70)</f>
        <v>110</v>
      </c>
      <c r="BI70" s="185">
        <v>44</v>
      </c>
      <c r="BJ70" s="185"/>
      <c r="BK70" s="185">
        <v>33</v>
      </c>
      <c r="BL70" s="185"/>
      <c r="BM70" s="185">
        <v>33</v>
      </c>
      <c r="BN70" s="418">
        <f>SUM(BO70:BS70)</f>
        <v>0</v>
      </c>
      <c r="BO70" s="202"/>
      <c r="BP70" s="202"/>
      <c r="BQ70" s="202"/>
      <c r="BR70" s="202"/>
      <c r="BS70" s="202"/>
      <c r="BT70" s="418">
        <f>SUM(BU70:BY70)</f>
        <v>0</v>
      </c>
      <c r="BU70" s="202"/>
      <c r="BV70" s="202"/>
      <c r="BW70" s="202"/>
      <c r="BX70" s="202"/>
      <c r="BY70" s="202"/>
      <c r="BZ70" s="425" t="s">
        <v>515</v>
      </c>
      <c r="CA70" s="202" t="s">
        <v>459</v>
      </c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</row>
    <row r="71" spans="1:129" s="201" customFormat="1" ht="30.75" customHeight="1" x14ac:dyDescent="0.2">
      <c r="A71" s="467"/>
      <c r="B71" s="223" t="s">
        <v>466</v>
      </c>
      <c r="C71" s="438" t="s">
        <v>587</v>
      </c>
      <c r="D71" s="350"/>
      <c r="E71" s="448" t="s">
        <v>41</v>
      </c>
      <c r="F71" s="448"/>
      <c r="G71" s="425"/>
      <c r="H71" s="425" t="s">
        <v>40</v>
      </c>
      <c r="I71" s="202"/>
      <c r="J71" s="202"/>
      <c r="K71" s="419">
        <f>L71+SUM(Q71:Q71)</f>
        <v>148</v>
      </c>
      <c r="L71" s="419">
        <f>SUM(M71:P71)</f>
        <v>110</v>
      </c>
      <c r="M71" s="419">
        <f t="shared" si="182"/>
        <v>110</v>
      </c>
      <c r="N71" s="419">
        <f t="shared" si="182"/>
        <v>0</v>
      </c>
      <c r="O71" s="419">
        <f t="shared" si="182"/>
        <v>0</v>
      </c>
      <c r="P71" s="419">
        <f t="shared" si="182"/>
        <v>0</v>
      </c>
      <c r="Q71" s="419">
        <f t="shared" si="182"/>
        <v>38</v>
      </c>
      <c r="R71" s="418">
        <f>SUM(S71:W71)</f>
        <v>0</v>
      </c>
      <c r="S71" s="185"/>
      <c r="T71" s="185"/>
      <c r="U71" s="185"/>
      <c r="V71" s="185"/>
      <c r="W71" s="185"/>
      <c r="X71" s="418">
        <f>SUM(Y71:AC71)</f>
        <v>0</v>
      </c>
      <c r="Y71" s="185"/>
      <c r="Z71" s="185"/>
      <c r="AA71" s="185"/>
      <c r="AB71" s="185"/>
      <c r="AC71" s="185"/>
      <c r="AD71" s="418">
        <f>SUM(AE71:AI71)</f>
        <v>36</v>
      </c>
      <c r="AE71" s="185">
        <v>32</v>
      </c>
      <c r="AF71" s="185"/>
      <c r="AG71" s="185"/>
      <c r="AH71" s="185"/>
      <c r="AI71" s="185">
        <v>4</v>
      </c>
      <c r="AJ71" s="418">
        <f>SUM(AK71:AO71)</f>
        <v>48</v>
      </c>
      <c r="AK71" s="185">
        <v>34</v>
      </c>
      <c r="AL71" s="185"/>
      <c r="AM71" s="185"/>
      <c r="AN71" s="185"/>
      <c r="AO71" s="185">
        <v>14</v>
      </c>
      <c r="AP71" s="418">
        <f>SUM(AQ71:AU71)</f>
        <v>64</v>
      </c>
      <c r="AQ71" s="185">
        <v>44</v>
      </c>
      <c r="AR71" s="185"/>
      <c r="AS71" s="185"/>
      <c r="AT71" s="185"/>
      <c r="AU71" s="185">
        <v>20</v>
      </c>
      <c r="AV71" s="418">
        <f>SUM(AW71:BA71)</f>
        <v>0</v>
      </c>
      <c r="AW71" s="185"/>
      <c r="AX71" s="185"/>
      <c r="AY71" s="185"/>
      <c r="AZ71" s="185"/>
      <c r="BA71" s="185"/>
      <c r="BB71" s="418">
        <f>SUM(BC71:BG71)</f>
        <v>0</v>
      </c>
      <c r="BC71" s="185"/>
      <c r="BD71" s="185"/>
      <c r="BE71" s="185"/>
      <c r="BF71" s="185"/>
      <c r="BG71" s="185"/>
      <c r="BH71" s="418">
        <f>SUM(BI71:BM71)</f>
        <v>0</v>
      </c>
      <c r="BI71" s="185"/>
      <c r="BJ71" s="185"/>
      <c r="BK71" s="185"/>
      <c r="BL71" s="185"/>
      <c r="BM71" s="185"/>
      <c r="BN71" s="418">
        <f>SUM(BO71:BS71)</f>
        <v>0</v>
      </c>
      <c r="BO71" s="202"/>
      <c r="BP71" s="202"/>
      <c r="BQ71" s="202"/>
      <c r="BR71" s="202"/>
      <c r="BS71" s="202"/>
      <c r="BT71" s="418">
        <f>SUM(BU71:BY71)</f>
        <v>0</v>
      </c>
      <c r="BU71" s="202"/>
      <c r="BV71" s="202"/>
      <c r="BW71" s="202"/>
      <c r="BX71" s="202"/>
      <c r="BY71" s="202"/>
      <c r="BZ71" s="425" t="s">
        <v>515</v>
      </c>
      <c r="CA71" s="202" t="s">
        <v>459</v>
      </c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</row>
    <row r="72" spans="1:129" s="201" customFormat="1" ht="21" customHeight="1" x14ac:dyDescent="0.2">
      <c r="A72" s="467"/>
      <c r="B72" s="438" t="s">
        <v>375</v>
      </c>
      <c r="C72" s="438" t="s">
        <v>586</v>
      </c>
      <c r="D72" s="350"/>
      <c r="E72" s="103"/>
      <c r="F72" s="136" t="s">
        <v>42</v>
      </c>
      <c r="G72" s="425"/>
      <c r="H72" s="103" t="s">
        <v>41</v>
      </c>
      <c r="I72" s="202"/>
      <c r="J72" s="202"/>
      <c r="K72" s="419">
        <f>L72+SUM(Q72:Q72)</f>
        <v>133</v>
      </c>
      <c r="L72" s="419">
        <f>SUM(M72:P72)</f>
        <v>81</v>
      </c>
      <c r="M72" s="419">
        <f t="shared" si="182"/>
        <v>16</v>
      </c>
      <c r="N72" s="419">
        <f t="shared" si="182"/>
        <v>65</v>
      </c>
      <c r="O72" s="419">
        <f t="shared" si="182"/>
        <v>0</v>
      </c>
      <c r="P72" s="419">
        <f t="shared" si="182"/>
        <v>0</v>
      </c>
      <c r="Q72" s="419">
        <f t="shared" si="182"/>
        <v>52</v>
      </c>
      <c r="R72" s="418">
        <f>SUM(S72:W72)</f>
        <v>0</v>
      </c>
      <c r="S72" s="185"/>
      <c r="T72" s="185"/>
      <c r="U72" s="185"/>
      <c r="V72" s="185"/>
      <c r="W72" s="185"/>
      <c r="X72" s="418">
        <f>SUM(Y72:AC72)</f>
        <v>0</v>
      </c>
      <c r="Y72" s="185"/>
      <c r="Z72" s="185"/>
      <c r="AA72" s="185"/>
      <c r="AB72" s="185"/>
      <c r="AC72" s="185"/>
      <c r="AD72" s="418">
        <f>SUM(AE72:AI72)</f>
        <v>0</v>
      </c>
      <c r="AE72" s="185"/>
      <c r="AF72" s="185"/>
      <c r="AG72" s="185"/>
      <c r="AH72" s="185"/>
      <c r="AI72" s="185"/>
      <c r="AJ72" s="418">
        <f>SUM(AK72:AO72)</f>
        <v>0</v>
      </c>
      <c r="AK72" s="185"/>
      <c r="AL72" s="185"/>
      <c r="AM72" s="185"/>
      <c r="AN72" s="185"/>
      <c r="AO72" s="185"/>
      <c r="AP72" s="418">
        <f>SUM(AQ72:AU72)</f>
        <v>70</v>
      </c>
      <c r="AQ72" s="185">
        <v>16</v>
      </c>
      <c r="AR72" s="185">
        <v>32</v>
      </c>
      <c r="AS72" s="185"/>
      <c r="AT72" s="185"/>
      <c r="AU72" s="185">
        <v>22</v>
      </c>
      <c r="AV72" s="418">
        <f>SUM(AW72:BA72)</f>
        <v>63</v>
      </c>
      <c r="AW72" s="185"/>
      <c r="AX72" s="185">
        <v>33</v>
      </c>
      <c r="AY72" s="185"/>
      <c r="AZ72" s="185"/>
      <c r="BA72" s="185">
        <v>30</v>
      </c>
      <c r="BB72" s="418">
        <f>SUM(BC72:BG72)</f>
        <v>0</v>
      </c>
      <c r="BC72" s="185"/>
      <c r="BD72" s="185"/>
      <c r="BE72" s="185"/>
      <c r="BF72" s="185"/>
      <c r="BG72" s="185"/>
      <c r="BH72" s="418">
        <f>SUM(BI72:BM72)</f>
        <v>0</v>
      </c>
      <c r="BI72" s="185"/>
      <c r="BJ72" s="185"/>
      <c r="BK72" s="185"/>
      <c r="BL72" s="185"/>
      <c r="BM72" s="185"/>
      <c r="BN72" s="418">
        <f>SUM(BO72:BS72)</f>
        <v>0</v>
      </c>
      <c r="BO72" s="202"/>
      <c r="BP72" s="202"/>
      <c r="BQ72" s="202"/>
      <c r="BR72" s="202"/>
      <c r="BS72" s="202"/>
      <c r="BT72" s="418">
        <f>SUM(BU72:BY72)</f>
        <v>0</v>
      </c>
      <c r="BU72" s="202"/>
      <c r="BV72" s="202"/>
      <c r="BW72" s="202"/>
      <c r="BX72" s="202"/>
      <c r="BY72" s="202"/>
      <c r="BZ72" s="425" t="s">
        <v>515</v>
      </c>
      <c r="CA72" s="202" t="s">
        <v>459</v>
      </c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</row>
    <row r="73" spans="1:129" s="102" customFormat="1" ht="13.5" customHeight="1" x14ac:dyDescent="0.2">
      <c r="A73" s="426" t="s">
        <v>390</v>
      </c>
      <c r="B73" s="426"/>
      <c r="C73" s="426"/>
      <c r="D73" s="468" t="s">
        <v>423</v>
      </c>
      <c r="E73" s="427"/>
      <c r="F73" s="427"/>
      <c r="G73" s="426"/>
      <c r="H73" s="469"/>
      <c r="I73" s="470"/>
      <c r="J73" s="470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  <c r="AL73" s="470"/>
      <c r="AM73" s="470"/>
      <c r="AN73" s="470"/>
      <c r="AO73" s="470"/>
      <c r="AP73" s="470"/>
      <c r="AQ73" s="470"/>
      <c r="AR73" s="470"/>
      <c r="AS73" s="470"/>
      <c r="AT73" s="470"/>
      <c r="AU73" s="470"/>
      <c r="AV73" s="470"/>
      <c r="AW73" s="470"/>
      <c r="AX73" s="470"/>
      <c r="AY73" s="470"/>
      <c r="AZ73" s="470"/>
      <c r="BA73" s="470"/>
      <c r="BB73" s="470"/>
      <c r="BC73" s="470"/>
      <c r="BD73" s="470"/>
      <c r="BE73" s="470"/>
      <c r="BF73" s="470"/>
      <c r="BG73" s="470"/>
      <c r="BH73" s="470"/>
      <c r="BI73" s="470"/>
      <c r="BJ73" s="470"/>
      <c r="BK73" s="470"/>
      <c r="BL73" s="470"/>
      <c r="BM73" s="470"/>
      <c r="BN73" s="470"/>
      <c r="BO73" s="470"/>
      <c r="BP73" s="470"/>
      <c r="BQ73" s="470"/>
      <c r="BR73" s="470"/>
      <c r="BS73" s="470"/>
      <c r="BT73" s="470"/>
      <c r="BU73" s="470"/>
      <c r="BV73" s="470"/>
      <c r="BW73" s="470"/>
      <c r="BX73" s="470"/>
      <c r="BY73" s="470"/>
      <c r="BZ73" s="469"/>
      <c r="CA73" s="470"/>
    </row>
    <row r="74" spans="1:129" s="101" customFormat="1" ht="32.25" customHeight="1" x14ac:dyDescent="0.2">
      <c r="A74" s="471" t="s">
        <v>206</v>
      </c>
      <c r="B74" s="698" t="s">
        <v>207</v>
      </c>
      <c r="C74" s="698"/>
      <c r="D74" s="698"/>
      <c r="E74" s="698"/>
      <c r="F74" s="698"/>
      <c r="G74" s="698"/>
      <c r="H74" s="472"/>
      <c r="I74" s="473"/>
      <c r="J74" s="473"/>
      <c r="K74" s="474">
        <f>K75</f>
        <v>314</v>
      </c>
      <c r="L74" s="474">
        <f>L75</f>
        <v>218</v>
      </c>
      <c r="M74" s="474">
        <f t="shared" ref="M74:Q74" si="183">M75</f>
        <v>90</v>
      </c>
      <c r="N74" s="474">
        <f t="shared" si="183"/>
        <v>128</v>
      </c>
      <c r="O74" s="474">
        <f t="shared" si="183"/>
        <v>0</v>
      </c>
      <c r="P74" s="474">
        <f t="shared" si="183"/>
        <v>0</v>
      </c>
      <c r="Q74" s="474">
        <f t="shared" si="183"/>
        <v>96</v>
      </c>
      <c r="R74" s="474">
        <f t="shared" ref="R74" si="184">SUM(R75)</f>
        <v>0</v>
      </c>
      <c r="S74" s="474">
        <f t="shared" ref="S74" si="185">SUM(S75)</f>
        <v>0</v>
      </c>
      <c r="T74" s="474">
        <f t="shared" ref="T74" si="186">SUM(T75)</f>
        <v>0</v>
      </c>
      <c r="U74" s="474">
        <f t="shared" ref="U74" si="187">SUM(U75)</f>
        <v>0</v>
      </c>
      <c r="V74" s="474">
        <f t="shared" ref="V74" si="188">SUM(V75)</f>
        <v>0</v>
      </c>
      <c r="W74" s="474">
        <f t="shared" ref="W74" si="189">SUM(W75)</f>
        <v>0</v>
      </c>
      <c r="X74" s="474">
        <f t="shared" ref="X74" si="190">SUM(X75)</f>
        <v>0</v>
      </c>
      <c r="Y74" s="474">
        <f t="shared" ref="Y74" si="191">SUM(Y75)</f>
        <v>0</v>
      </c>
      <c r="Z74" s="474">
        <f t="shared" ref="Z74" si="192">SUM(Z75)</f>
        <v>0</v>
      </c>
      <c r="AA74" s="474">
        <f t="shared" ref="AA74" si="193">SUM(AA75)</f>
        <v>0</v>
      </c>
      <c r="AB74" s="474">
        <f t="shared" ref="AB74" si="194">SUM(AB75)</f>
        <v>0</v>
      </c>
      <c r="AC74" s="474">
        <f t="shared" ref="AC74" si="195">SUM(AC75)</f>
        <v>0</v>
      </c>
      <c r="AD74" s="474">
        <f t="shared" ref="AD74" si="196">SUM(AD75)</f>
        <v>0</v>
      </c>
      <c r="AE74" s="474">
        <f t="shared" ref="AE74" si="197">SUM(AE75)</f>
        <v>0</v>
      </c>
      <c r="AF74" s="474">
        <f t="shared" ref="AF74" si="198">SUM(AF75)</f>
        <v>0</v>
      </c>
      <c r="AG74" s="474">
        <f t="shared" ref="AG74" si="199">SUM(AG75)</f>
        <v>0</v>
      </c>
      <c r="AH74" s="474">
        <f t="shared" ref="AH74" si="200">SUM(AH75)</f>
        <v>0</v>
      </c>
      <c r="AI74" s="474">
        <f t="shared" ref="AI74" si="201">SUM(AI75)</f>
        <v>0</v>
      </c>
      <c r="AJ74" s="474">
        <f t="shared" ref="AJ74" si="202">SUM(AJ75)</f>
        <v>0</v>
      </c>
      <c r="AK74" s="474">
        <f t="shared" ref="AK74" si="203">SUM(AK75)</f>
        <v>0</v>
      </c>
      <c r="AL74" s="474">
        <f t="shared" ref="AL74" si="204">SUM(AL75)</f>
        <v>0</v>
      </c>
      <c r="AM74" s="474">
        <f t="shared" ref="AM74" si="205">SUM(AM75)</f>
        <v>0</v>
      </c>
      <c r="AN74" s="474">
        <f t="shared" ref="AN74" si="206">SUM(AN75)</f>
        <v>0</v>
      </c>
      <c r="AO74" s="474">
        <f t="shared" ref="AO74" si="207">SUM(AO75)</f>
        <v>0</v>
      </c>
      <c r="AP74" s="474">
        <f t="shared" ref="AP74" si="208">SUM(AP75)</f>
        <v>50</v>
      </c>
      <c r="AQ74" s="474">
        <f>SUM(AQ75)</f>
        <v>36</v>
      </c>
      <c r="AR74" s="474">
        <f t="shared" ref="AR74" si="209">SUM(AR75)</f>
        <v>0</v>
      </c>
      <c r="AS74" s="474">
        <f t="shared" ref="AS74" si="210">SUM(AS75)</f>
        <v>0</v>
      </c>
      <c r="AT74" s="474">
        <f t="shared" ref="AT74" si="211">SUM(AT75)</f>
        <v>0</v>
      </c>
      <c r="AU74" s="474">
        <f t="shared" ref="AU74" si="212">SUM(AU75)</f>
        <v>14</v>
      </c>
      <c r="AV74" s="474">
        <f t="shared" ref="AV74" si="213">SUM(AV75)</f>
        <v>0</v>
      </c>
      <c r="AW74" s="474">
        <f t="shared" ref="AW74" si="214">SUM(AW75)</f>
        <v>0</v>
      </c>
      <c r="AX74" s="474">
        <f t="shared" ref="AX74" si="215">SUM(AX75)</f>
        <v>0</v>
      </c>
      <c r="AY74" s="474">
        <f t="shared" ref="AY74" si="216">SUM(AY75)</f>
        <v>0</v>
      </c>
      <c r="AZ74" s="474">
        <f t="shared" ref="AZ74" si="217">SUM(AZ75)</f>
        <v>0</v>
      </c>
      <c r="BA74" s="474">
        <f t="shared" ref="BA74" si="218">SUM(BA75)</f>
        <v>0</v>
      </c>
      <c r="BB74" s="474">
        <f t="shared" ref="BB74" si="219">SUM(BB75)</f>
        <v>0</v>
      </c>
      <c r="BC74" s="474">
        <f t="shared" ref="BC74" si="220">SUM(BC75)</f>
        <v>0</v>
      </c>
      <c r="BD74" s="474">
        <f t="shared" ref="BD74" si="221">SUM(BD75)</f>
        <v>0</v>
      </c>
      <c r="BE74" s="474">
        <f t="shared" ref="BE74" si="222">SUM(BE75)</f>
        <v>0</v>
      </c>
      <c r="BF74" s="474">
        <f t="shared" ref="BF74" si="223">SUM(BF75)</f>
        <v>0</v>
      </c>
      <c r="BG74" s="474">
        <f t="shared" ref="BG74" si="224">SUM(BG75)</f>
        <v>0</v>
      </c>
      <c r="BH74" s="474">
        <f>SUM(BH75)</f>
        <v>0</v>
      </c>
      <c r="BI74" s="474">
        <f>SUM(BI75)</f>
        <v>0</v>
      </c>
      <c r="BJ74" s="474">
        <f t="shared" ref="BJ74" si="225">SUM(BJ75)</f>
        <v>0</v>
      </c>
      <c r="BK74" s="474">
        <f t="shared" ref="BK74" si="226">SUM(BK75)</f>
        <v>0</v>
      </c>
      <c r="BL74" s="474">
        <f t="shared" ref="BL74" si="227">SUM(BL75)</f>
        <v>0</v>
      </c>
      <c r="BM74" s="474">
        <f t="shared" ref="BM74" si="228">SUM(BM75)</f>
        <v>0</v>
      </c>
      <c r="BN74" s="474">
        <f t="shared" ref="BN74" si="229">BN75</f>
        <v>0</v>
      </c>
      <c r="BO74" s="474">
        <f>BO75</f>
        <v>0</v>
      </c>
      <c r="BP74" s="474">
        <f t="shared" ref="BP74:BS74" si="230">BP75</f>
        <v>0</v>
      </c>
      <c r="BQ74" s="474">
        <f t="shared" si="230"/>
        <v>0</v>
      </c>
      <c r="BR74" s="474">
        <f t="shared" si="230"/>
        <v>0</v>
      </c>
      <c r="BS74" s="474">
        <f t="shared" si="230"/>
        <v>0</v>
      </c>
      <c r="BT74" s="474">
        <f t="shared" ref="BT74" si="231">BT75</f>
        <v>264</v>
      </c>
      <c r="BU74" s="474">
        <f>BU75</f>
        <v>54</v>
      </c>
      <c r="BV74" s="474">
        <f t="shared" ref="BV74" si="232">BV75</f>
        <v>128</v>
      </c>
      <c r="BW74" s="474">
        <f t="shared" ref="BW74" si="233">BW75</f>
        <v>0</v>
      </c>
      <c r="BX74" s="474">
        <f t="shared" ref="BX74" si="234">BX75</f>
        <v>0</v>
      </c>
      <c r="BY74" s="474">
        <f t="shared" ref="BY74" si="235">BY75</f>
        <v>82</v>
      </c>
      <c r="BZ74" s="472"/>
      <c r="CA74" s="473" t="s">
        <v>386</v>
      </c>
    </row>
    <row r="75" spans="1:129" s="102" customFormat="1" ht="26.25" customHeight="1" x14ac:dyDescent="0.2">
      <c r="A75" s="457" t="s">
        <v>208</v>
      </c>
      <c r="B75" s="674" t="s">
        <v>371</v>
      </c>
      <c r="C75" s="674"/>
      <c r="D75" s="674"/>
      <c r="E75" s="674"/>
      <c r="F75" s="674"/>
      <c r="G75" s="674"/>
      <c r="H75" s="460"/>
      <c r="I75" s="417"/>
      <c r="J75" s="417"/>
      <c r="K75" s="459">
        <f>L75+SUM(Q75:Q75)</f>
        <v>314</v>
      </c>
      <c r="L75" s="459">
        <f>SUM(M75:P75)</f>
        <v>218</v>
      </c>
      <c r="M75" s="459">
        <f t="shared" ref="M75:Q79" si="236">S75+Y75+AE75+AK75+AQ75+AW75+BC75+BI75+BO75+BU75</f>
        <v>90</v>
      </c>
      <c r="N75" s="459">
        <f t="shared" si="236"/>
        <v>128</v>
      </c>
      <c r="O75" s="459">
        <f t="shared" si="236"/>
        <v>0</v>
      </c>
      <c r="P75" s="459">
        <f t="shared" si="236"/>
        <v>0</v>
      </c>
      <c r="Q75" s="459">
        <f t="shared" si="236"/>
        <v>96</v>
      </c>
      <c r="R75" s="459">
        <f t="shared" ref="R75:W75" si="237">SUM(R76:R79)</f>
        <v>0</v>
      </c>
      <c r="S75" s="459">
        <f t="shared" si="237"/>
        <v>0</v>
      </c>
      <c r="T75" s="459">
        <f t="shared" si="237"/>
        <v>0</v>
      </c>
      <c r="U75" s="459">
        <f t="shared" si="237"/>
        <v>0</v>
      </c>
      <c r="V75" s="459">
        <f t="shared" si="237"/>
        <v>0</v>
      </c>
      <c r="W75" s="459">
        <f t="shared" si="237"/>
        <v>0</v>
      </c>
      <c r="X75" s="459">
        <f t="shared" ref="X75:AC75" si="238">SUM(X76:X79)</f>
        <v>0</v>
      </c>
      <c r="Y75" s="459">
        <f t="shared" si="238"/>
        <v>0</v>
      </c>
      <c r="Z75" s="459">
        <f t="shared" si="238"/>
        <v>0</v>
      </c>
      <c r="AA75" s="459">
        <f t="shared" si="238"/>
        <v>0</v>
      </c>
      <c r="AB75" s="459">
        <f t="shared" si="238"/>
        <v>0</v>
      </c>
      <c r="AC75" s="459">
        <f t="shared" si="238"/>
        <v>0</v>
      </c>
      <c r="AD75" s="459">
        <f t="shared" ref="AD75:AI75" si="239">SUM(AD76:AD79)</f>
        <v>0</v>
      </c>
      <c r="AE75" s="459">
        <f t="shared" si="239"/>
        <v>0</v>
      </c>
      <c r="AF75" s="459">
        <f t="shared" si="239"/>
        <v>0</v>
      </c>
      <c r="AG75" s="459">
        <f t="shared" si="239"/>
        <v>0</v>
      </c>
      <c r="AH75" s="459">
        <f t="shared" si="239"/>
        <v>0</v>
      </c>
      <c r="AI75" s="459">
        <f t="shared" si="239"/>
        <v>0</v>
      </c>
      <c r="AJ75" s="459">
        <f t="shared" ref="AJ75:AO75" si="240">SUM(AJ76:AJ79)</f>
        <v>0</v>
      </c>
      <c r="AK75" s="459">
        <f t="shared" si="240"/>
        <v>0</v>
      </c>
      <c r="AL75" s="459">
        <f t="shared" si="240"/>
        <v>0</v>
      </c>
      <c r="AM75" s="459">
        <f t="shared" si="240"/>
        <v>0</v>
      </c>
      <c r="AN75" s="459">
        <f t="shared" si="240"/>
        <v>0</v>
      </c>
      <c r="AO75" s="459">
        <f t="shared" si="240"/>
        <v>0</v>
      </c>
      <c r="AP75" s="459">
        <f t="shared" ref="AP75:AU75" si="241">SUM(AP76:AP79)</f>
        <v>50</v>
      </c>
      <c r="AQ75" s="459">
        <f t="shared" si="241"/>
        <v>36</v>
      </c>
      <c r="AR75" s="459">
        <f t="shared" si="241"/>
        <v>0</v>
      </c>
      <c r="AS75" s="459">
        <f t="shared" si="241"/>
        <v>0</v>
      </c>
      <c r="AT75" s="459">
        <f t="shared" si="241"/>
        <v>0</v>
      </c>
      <c r="AU75" s="459">
        <f t="shared" si="241"/>
        <v>14</v>
      </c>
      <c r="AV75" s="459">
        <f t="shared" ref="AV75:BA75" si="242">SUM(AV76:AV79)</f>
        <v>0</v>
      </c>
      <c r="AW75" s="459">
        <f t="shared" si="242"/>
        <v>0</v>
      </c>
      <c r="AX75" s="459">
        <f t="shared" si="242"/>
        <v>0</v>
      </c>
      <c r="AY75" s="459">
        <f t="shared" si="242"/>
        <v>0</v>
      </c>
      <c r="AZ75" s="459">
        <f t="shared" si="242"/>
        <v>0</v>
      </c>
      <c r="BA75" s="459">
        <f t="shared" si="242"/>
        <v>0</v>
      </c>
      <c r="BB75" s="459">
        <f t="shared" ref="BB75:BG75" si="243">SUM(BB76:BB79)</f>
        <v>0</v>
      </c>
      <c r="BC75" s="459">
        <f t="shared" si="243"/>
        <v>0</v>
      </c>
      <c r="BD75" s="459">
        <f t="shared" si="243"/>
        <v>0</v>
      </c>
      <c r="BE75" s="459">
        <f t="shared" si="243"/>
        <v>0</v>
      </c>
      <c r="BF75" s="459">
        <f t="shared" si="243"/>
        <v>0</v>
      </c>
      <c r="BG75" s="459">
        <f t="shared" si="243"/>
        <v>0</v>
      </c>
      <c r="BH75" s="459">
        <f t="shared" ref="BH75:BM75" si="244">SUM(BH76:BH79)</f>
        <v>0</v>
      </c>
      <c r="BI75" s="459">
        <f t="shared" si="244"/>
        <v>0</v>
      </c>
      <c r="BJ75" s="459">
        <f t="shared" si="244"/>
        <v>0</v>
      </c>
      <c r="BK75" s="459">
        <f t="shared" si="244"/>
        <v>0</v>
      </c>
      <c r="BL75" s="459">
        <f t="shared" si="244"/>
        <v>0</v>
      </c>
      <c r="BM75" s="459">
        <f t="shared" si="244"/>
        <v>0</v>
      </c>
      <c r="BN75" s="459">
        <f t="shared" ref="BN75:BS75" si="245">SUM(BN76:BN79)</f>
        <v>0</v>
      </c>
      <c r="BO75" s="459">
        <f t="shared" si="245"/>
        <v>0</v>
      </c>
      <c r="BP75" s="459">
        <f t="shared" si="245"/>
        <v>0</v>
      </c>
      <c r="BQ75" s="459">
        <f t="shared" si="245"/>
        <v>0</v>
      </c>
      <c r="BR75" s="459">
        <f t="shared" si="245"/>
        <v>0</v>
      </c>
      <c r="BS75" s="459">
        <f t="shared" si="245"/>
        <v>0</v>
      </c>
      <c r="BT75" s="459">
        <f t="shared" ref="BT75:BY75" si="246">SUM(BT76:BT79)</f>
        <v>264</v>
      </c>
      <c r="BU75" s="459">
        <f t="shared" si="246"/>
        <v>54</v>
      </c>
      <c r="BV75" s="459">
        <f t="shared" si="246"/>
        <v>128</v>
      </c>
      <c r="BW75" s="459">
        <f t="shared" si="246"/>
        <v>0</v>
      </c>
      <c r="BX75" s="459">
        <f t="shared" si="246"/>
        <v>0</v>
      </c>
      <c r="BY75" s="459">
        <f t="shared" si="246"/>
        <v>82</v>
      </c>
      <c r="BZ75" s="459"/>
      <c r="CA75" s="547" t="s">
        <v>386</v>
      </c>
    </row>
    <row r="76" spans="1:129" s="102" customFormat="1" ht="15.75" hidden="1" customHeight="1" x14ac:dyDescent="0.2">
      <c r="A76" s="437"/>
      <c r="B76" s="475"/>
      <c r="C76" s="223"/>
      <c r="D76" s="350"/>
      <c r="E76" s="425"/>
      <c r="F76" s="425"/>
      <c r="G76" s="425"/>
      <c r="H76" s="425"/>
      <c r="I76" s="200"/>
      <c r="J76" s="200"/>
      <c r="K76" s="419">
        <f>L76+SUM(Q76:Q76)</f>
        <v>0</v>
      </c>
      <c r="L76" s="419">
        <f>SUM(M76:P76)</f>
        <v>0</v>
      </c>
      <c r="M76" s="419">
        <f t="shared" si="236"/>
        <v>0</v>
      </c>
      <c r="N76" s="419">
        <f t="shared" si="236"/>
        <v>0</v>
      </c>
      <c r="O76" s="419">
        <f t="shared" si="236"/>
        <v>0</v>
      </c>
      <c r="P76" s="419">
        <f t="shared" si="236"/>
        <v>0</v>
      </c>
      <c r="Q76" s="419">
        <f t="shared" si="236"/>
        <v>0</v>
      </c>
      <c r="R76" s="418">
        <f>SUM(S76:W76)</f>
        <v>0</v>
      </c>
      <c r="S76" s="200"/>
      <c r="T76" s="200"/>
      <c r="U76" s="200"/>
      <c r="V76" s="200"/>
      <c r="W76" s="200"/>
      <c r="X76" s="418"/>
      <c r="Y76" s="200"/>
      <c r="Z76" s="200"/>
      <c r="AA76" s="200"/>
      <c r="AB76" s="200"/>
      <c r="AC76" s="200"/>
      <c r="AD76" s="418">
        <f>SUM(AE76:AI76)</f>
        <v>0</v>
      </c>
      <c r="AE76" s="200"/>
      <c r="AF76" s="200"/>
      <c r="AG76" s="200"/>
      <c r="AH76" s="200"/>
      <c r="AI76" s="200"/>
      <c r="AJ76" s="418">
        <f>SUM(AK76:AO76)</f>
        <v>0</v>
      </c>
      <c r="AK76" s="200"/>
      <c r="AL76" s="200"/>
      <c r="AM76" s="200"/>
      <c r="AN76" s="200"/>
      <c r="AO76" s="200"/>
      <c r="AP76" s="418">
        <f>SUM(AQ76:AU76)</f>
        <v>0</v>
      </c>
      <c r="AQ76" s="200"/>
      <c r="AR76" s="200"/>
      <c r="AS76" s="200"/>
      <c r="AT76" s="200"/>
      <c r="AU76" s="200"/>
      <c r="AV76" s="418">
        <f>SUM(AW76:BA76)</f>
        <v>0</v>
      </c>
      <c r="AW76" s="200"/>
      <c r="AX76" s="200"/>
      <c r="AY76" s="200"/>
      <c r="AZ76" s="200"/>
      <c r="BA76" s="200"/>
      <c r="BB76" s="418">
        <f>SUM(BC76:BG76)</f>
        <v>0</v>
      </c>
      <c r="BC76" s="200"/>
      <c r="BD76" s="200"/>
      <c r="BE76" s="200"/>
      <c r="BF76" s="200"/>
      <c r="BG76" s="200"/>
      <c r="BH76" s="418">
        <f>SUM(BI76:BM76)</f>
        <v>0</v>
      </c>
      <c r="BI76" s="200"/>
      <c r="BJ76" s="200"/>
      <c r="BK76" s="200"/>
      <c r="BL76" s="200"/>
      <c r="BM76" s="200"/>
      <c r="BN76" s="418">
        <f>SUM(BO76:BS76)</f>
        <v>0</v>
      </c>
      <c r="BO76" s="200"/>
      <c r="BP76" s="200"/>
      <c r="BQ76" s="200"/>
      <c r="BR76" s="200"/>
      <c r="BS76" s="200"/>
      <c r="BT76" s="418">
        <f t="shared" ref="BT76:BT79" si="247">SUM(BU76:BY76)</f>
        <v>0</v>
      </c>
      <c r="BU76" s="200"/>
      <c r="BV76" s="200"/>
      <c r="BW76" s="200"/>
      <c r="BX76" s="200"/>
      <c r="BY76" s="200"/>
      <c r="BZ76" s="425"/>
      <c r="CA76" s="200"/>
    </row>
    <row r="77" spans="1:129" s="102" customFormat="1" ht="26.1" customHeight="1" x14ac:dyDescent="0.2">
      <c r="A77" s="437"/>
      <c r="B77" s="476" t="s">
        <v>467</v>
      </c>
      <c r="C77" s="223" t="s">
        <v>588</v>
      </c>
      <c r="D77" s="350"/>
      <c r="E77" s="425"/>
      <c r="F77" s="103" t="s">
        <v>423</v>
      </c>
      <c r="G77" s="425"/>
      <c r="H77" s="425"/>
      <c r="I77" s="200"/>
      <c r="J77" s="200"/>
      <c r="K77" s="419">
        <f>L77+SUM(Q77:Q77)</f>
        <v>185</v>
      </c>
      <c r="L77" s="419">
        <f>SUM(M77:P77)</f>
        <v>128</v>
      </c>
      <c r="M77" s="419">
        <f t="shared" si="236"/>
        <v>0</v>
      </c>
      <c r="N77" s="419">
        <f t="shared" si="236"/>
        <v>128</v>
      </c>
      <c r="O77" s="419">
        <f t="shared" si="236"/>
        <v>0</v>
      </c>
      <c r="P77" s="419">
        <f t="shared" si="236"/>
        <v>0</v>
      </c>
      <c r="Q77" s="419">
        <f t="shared" si="236"/>
        <v>57</v>
      </c>
      <c r="R77" s="418">
        <f>SUM(S77:W77)</f>
        <v>0</v>
      </c>
      <c r="S77" s="200"/>
      <c r="T77" s="200"/>
      <c r="U77" s="200"/>
      <c r="V77" s="200"/>
      <c r="W77" s="200"/>
      <c r="X77" s="418"/>
      <c r="Y77" s="200"/>
      <c r="Z77" s="200"/>
      <c r="AA77" s="200"/>
      <c r="AB77" s="200"/>
      <c r="AC77" s="200"/>
      <c r="AD77" s="418">
        <f>SUM(AE77:AI77)</f>
        <v>0</v>
      </c>
      <c r="AE77" s="200"/>
      <c r="AF77" s="200"/>
      <c r="AG77" s="200"/>
      <c r="AH77" s="200"/>
      <c r="AI77" s="200"/>
      <c r="AJ77" s="418">
        <f>SUM(AK77:AO77)</f>
        <v>0</v>
      </c>
      <c r="AK77" s="200"/>
      <c r="AL77" s="200"/>
      <c r="AM77" s="200"/>
      <c r="AN77" s="200"/>
      <c r="AO77" s="200"/>
      <c r="AP77" s="418">
        <f>SUM(AQ77:AU77)</f>
        <v>0</v>
      </c>
      <c r="AQ77" s="200"/>
      <c r="AR77" s="200"/>
      <c r="AS77" s="200"/>
      <c r="AT77" s="200"/>
      <c r="AU77" s="200"/>
      <c r="AV77" s="418">
        <f>SUM(AW77:BA77)</f>
        <v>0</v>
      </c>
      <c r="AW77" s="200"/>
      <c r="AX77" s="200"/>
      <c r="AY77" s="200"/>
      <c r="AZ77" s="200"/>
      <c r="BA77" s="200"/>
      <c r="BB77" s="418">
        <f>SUM(BC77:BG77)</f>
        <v>0</v>
      </c>
      <c r="BC77" s="200"/>
      <c r="BD77" s="200"/>
      <c r="BE77" s="200"/>
      <c r="BF77" s="200"/>
      <c r="BG77" s="200"/>
      <c r="BH77" s="418">
        <f>SUM(BI77:BM77)</f>
        <v>0</v>
      </c>
      <c r="BI77" s="200"/>
      <c r="BJ77" s="200"/>
      <c r="BK77" s="200"/>
      <c r="BL77" s="200"/>
      <c r="BM77" s="200"/>
      <c r="BN77" s="418">
        <f>SUM(BO77:BS77)</f>
        <v>0</v>
      </c>
      <c r="BO77" s="200"/>
      <c r="BP77" s="200"/>
      <c r="BQ77" s="200"/>
      <c r="BR77" s="200"/>
      <c r="BS77" s="200"/>
      <c r="BT77" s="418">
        <f t="shared" si="247"/>
        <v>185</v>
      </c>
      <c r="BU77" s="200"/>
      <c r="BV77" s="200">
        <v>128</v>
      </c>
      <c r="BW77" s="200"/>
      <c r="BX77" s="200"/>
      <c r="BY77" s="200">
        <v>57</v>
      </c>
      <c r="BZ77" s="425" t="s">
        <v>41</v>
      </c>
      <c r="CA77" s="205" t="s">
        <v>616</v>
      </c>
    </row>
    <row r="78" spans="1:129" s="102" customFormat="1" ht="26.1" customHeight="1" x14ac:dyDescent="0.2">
      <c r="A78" s="437"/>
      <c r="B78" s="477" t="s">
        <v>468</v>
      </c>
      <c r="C78" s="223"/>
      <c r="D78" s="350"/>
      <c r="E78" s="103" t="s">
        <v>423</v>
      </c>
      <c r="F78" s="425"/>
      <c r="G78" s="425"/>
      <c r="H78" s="425"/>
      <c r="I78" s="200"/>
      <c r="J78" s="200"/>
      <c r="K78" s="419">
        <f>L78+SUM(Q78:Q78)</f>
        <v>79</v>
      </c>
      <c r="L78" s="419">
        <f>SUM(M78:P78)</f>
        <v>54</v>
      </c>
      <c r="M78" s="419">
        <f t="shared" si="236"/>
        <v>54</v>
      </c>
      <c r="N78" s="419">
        <f t="shared" si="236"/>
        <v>0</v>
      </c>
      <c r="O78" s="419">
        <f t="shared" si="236"/>
        <v>0</v>
      </c>
      <c r="P78" s="419">
        <f t="shared" si="236"/>
        <v>0</v>
      </c>
      <c r="Q78" s="419">
        <f t="shared" si="236"/>
        <v>25</v>
      </c>
      <c r="R78" s="418">
        <f>SUM(S78:W78)</f>
        <v>0</v>
      </c>
      <c r="S78" s="200"/>
      <c r="T78" s="200"/>
      <c r="U78" s="200"/>
      <c r="V78" s="200"/>
      <c r="W78" s="200"/>
      <c r="X78" s="418"/>
      <c r="Y78" s="200"/>
      <c r="Z78" s="200"/>
      <c r="AA78" s="200"/>
      <c r="AB78" s="200"/>
      <c r="AC78" s="200"/>
      <c r="AD78" s="418"/>
      <c r="AE78" s="200"/>
      <c r="AF78" s="200"/>
      <c r="AG78" s="200"/>
      <c r="AH78" s="200"/>
      <c r="AI78" s="200"/>
      <c r="AJ78" s="418"/>
      <c r="AK78" s="200"/>
      <c r="AL78" s="200"/>
      <c r="AM78" s="200"/>
      <c r="AN78" s="200"/>
      <c r="AO78" s="200"/>
      <c r="AP78" s="418"/>
      <c r="AQ78" s="200"/>
      <c r="AR78" s="200"/>
      <c r="AS78" s="200"/>
      <c r="AT78" s="200"/>
      <c r="AU78" s="200"/>
      <c r="AV78" s="418"/>
      <c r="AW78" s="200"/>
      <c r="AX78" s="200"/>
      <c r="AY78" s="200"/>
      <c r="AZ78" s="200"/>
      <c r="BA78" s="200"/>
      <c r="BB78" s="418">
        <f>SUM(BC78:BG78)</f>
        <v>0</v>
      </c>
      <c r="BC78" s="202"/>
      <c r="BD78" s="202"/>
      <c r="BE78" s="202"/>
      <c r="BF78" s="202"/>
      <c r="BG78" s="202"/>
      <c r="BH78" s="418">
        <f>SUM(BI78:BM78)</f>
        <v>0</v>
      </c>
      <c r="BI78" s="200"/>
      <c r="BJ78" s="200"/>
      <c r="BK78" s="200"/>
      <c r="BL78" s="200"/>
      <c r="BM78" s="200"/>
      <c r="BN78" s="418">
        <f>SUM(BO78:BS78)</f>
        <v>0</v>
      </c>
      <c r="BO78" s="200"/>
      <c r="BP78" s="200"/>
      <c r="BQ78" s="200"/>
      <c r="BR78" s="200"/>
      <c r="BS78" s="200"/>
      <c r="BT78" s="418">
        <f t="shared" si="247"/>
        <v>79</v>
      </c>
      <c r="BU78" s="200">
        <v>54</v>
      </c>
      <c r="BV78" s="200"/>
      <c r="BW78" s="200"/>
      <c r="BX78" s="200"/>
      <c r="BY78" s="200">
        <v>25</v>
      </c>
      <c r="BZ78" s="425" t="s">
        <v>515</v>
      </c>
      <c r="CA78" s="200" t="s">
        <v>460</v>
      </c>
    </row>
    <row r="79" spans="1:129" s="102" customFormat="1" ht="26.1" customHeight="1" x14ac:dyDescent="0.2">
      <c r="A79" s="437"/>
      <c r="B79" s="223" t="s">
        <v>327</v>
      </c>
      <c r="C79" s="223"/>
      <c r="D79" s="425" t="s">
        <v>41</v>
      </c>
      <c r="E79" s="425"/>
      <c r="F79" s="425"/>
      <c r="G79" s="425"/>
      <c r="H79" s="425"/>
      <c r="I79" s="200"/>
      <c r="J79" s="202"/>
      <c r="K79" s="419">
        <f>L79+SUM(Q79:Q79)</f>
        <v>50</v>
      </c>
      <c r="L79" s="419">
        <f>SUM(M79:P79)</f>
        <v>36</v>
      </c>
      <c r="M79" s="419">
        <f t="shared" si="236"/>
        <v>36</v>
      </c>
      <c r="N79" s="419">
        <f t="shared" si="236"/>
        <v>0</v>
      </c>
      <c r="O79" s="419">
        <f t="shared" si="236"/>
        <v>0</v>
      </c>
      <c r="P79" s="419">
        <f t="shared" si="236"/>
        <v>0</v>
      </c>
      <c r="Q79" s="419">
        <f t="shared" si="236"/>
        <v>14</v>
      </c>
      <c r="R79" s="418">
        <f>SUM(S79:W79)</f>
        <v>0</v>
      </c>
      <c r="S79" s="200"/>
      <c r="T79" s="200"/>
      <c r="U79" s="200"/>
      <c r="V79" s="200"/>
      <c r="W79" s="200"/>
      <c r="X79" s="418"/>
      <c r="Y79" s="200"/>
      <c r="Z79" s="200"/>
      <c r="AA79" s="200"/>
      <c r="AB79" s="200"/>
      <c r="AC79" s="200"/>
      <c r="AD79" s="418">
        <f>SUM(AE79:AI79)</f>
        <v>0</v>
      </c>
      <c r="AE79" s="200"/>
      <c r="AF79" s="200"/>
      <c r="AG79" s="200"/>
      <c r="AH79" s="200"/>
      <c r="AI79" s="200"/>
      <c r="AJ79" s="418">
        <f>SUM(AK79:AO79)</f>
        <v>0</v>
      </c>
      <c r="AK79" s="200"/>
      <c r="AL79" s="200"/>
      <c r="AM79" s="200"/>
      <c r="AN79" s="200"/>
      <c r="AO79" s="200"/>
      <c r="AP79" s="418">
        <f>SUM(AQ79:AU79)</f>
        <v>50</v>
      </c>
      <c r="AQ79" s="200">
        <v>36</v>
      </c>
      <c r="AR79" s="200"/>
      <c r="AS79" s="200"/>
      <c r="AT79" s="200"/>
      <c r="AU79" s="200">
        <v>14</v>
      </c>
      <c r="AV79" s="418">
        <f>SUM(AW79:BA79)</f>
        <v>0</v>
      </c>
      <c r="AW79" s="200"/>
      <c r="AX79" s="200"/>
      <c r="AY79" s="200"/>
      <c r="AZ79" s="200"/>
      <c r="BA79" s="200"/>
      <c r="BB79" s="418">
        <f>SUM(BC79:BG79)</f>
        <v>0</v>
      </c>
      <c r="BC79" s="200"/>
      <c r="BD79" s="200"/>
      <c r="BE79" s="200"/>
      <c r="BF79" s="200"/>
      <c r="BG79" s="200"/>
      <c r="BH79" s="418">
        <f>SUM(BI79:BM79)</f>
        <v>0</v>
      </c>
      <c r="BI79" s="200"/>
      <c r="BJ79" s="200"/>
      <c r="BK79" s="200"/>
      <c r="BL79" s="200"/>
      <c r="BM79" s="200"/>
      <c r="BN79" s="418">
        <f>SUM(BO79:BS79)</f>
        <v>0</v>
      </c>
      <c r="BO79" s="200"/>
      <c r="BP79" s="200"/>
      <c r="BQ79" s="200"/>
      <c r="BR79" s="200"/>
      <c r="BS79" s="200"/>
      <c r="BT79" s="418">
        <f t="shared" si="247"/>
        <v>0</v>
      </c>
      <c r="BU79" s="200"/>
      <c r="BV79" s="200"/>
      <c r="BW79" s="200"/>
      <c r="BX79" s="200"/>
      <c r="BY79" s="200"/>
      <c r="BZ79" s="425" t="s">
        <v>515</v>
      </c>
      <c r="CA79" s="200" t="s">
        <v>386</v>
      </c>
    </row>
    <row r="80" spans="1:129" s="102" customFormat="1" ht="13.5" customHeight="1" x14ac:dyDescent="0.2">
      <c r="A80" s="426" t="s">
        <v>390</v>
      </c>
      <c r="B80" s="426"/>
      <c r="C80" s="426"/>
      <c r="D80" s="478" t="s">
        <v>423</v>
      </c>
      <c r="E80" s="429"/>
      <c r="F80" s="429"/>
      <c r="G80" s="426"/>
      <c r="H80" s="469"/>
      <c r="I80" s="470"/>
      <c r="J80" s="470"/>
      <c r="K80" s="428"/>
      <c r="L80" s="428"/>
      <c r="M80" s="428"/>
      <c r="N80" s="428"/>
      <c r="O80" s="428"/>
      <c r="P80" s="428"/>
      <c r="Q80" s="428"/>
      <c r="R80" s="428"/>
      <c r="S80" s="470"/>
      <c r="T80" s="470"/>
      <c r="U80" s="470"/>
      <c r="V80" s="470"/>
      <c r="W80" s="470"/>
      <c r="X80" s="428"/>
      <c r="Y80" s="470"/>
      <c r="Z80" s="470"/>
      <c r="AA80" s="470"/>
      <c r="AB80" s="470"/>
      <c r="AC80" s="470"/>
      <c r="AD80" s="428"/>
      <c r="AE80" s="470"/>
      <c r="AF80" s="470"/>
      <c r="AG80" s="470"/>
      <c r="AH80" s="470"/>
      <c r="AI80" s="470"/>
      <c r="AJ80" s="428"/>
      <c r="AK80" s="470"/>
      <c r="AL80" s="470"/>
      <c r="AM80" s="470"/>
      <c r="AN80" s="470"/>
      <c r="AO80" s="470"/>
      <c r="AP80" s="428"/>
      <c r="AQ80" s="470"/>
      <c r="AR80" s="470"/>
      <c r="AS80" s="470"/>
      <c r="AT80" s="470"/>
      <c r="AU80" s="470"/>
      <c r="AV80" s="428"/>
      <c r="AW80" s="470"/>
      <c r="AX80" s="470"/>
      <c r="AY80" s="470"/>
      <c r="AZ80" s="470"/>
      <c r="BA80" s="470"/>
      <c r="BB80" s="428"/>
      <c r="BC80" s="470"/>
      <c r="BD80" s="470"/>
      <c r="BE80" s="470"/>
      <c r="BF80" s="470"/>
      <c r="BG80" s="470"/>
      <c r="BH80" s="428"/>
      <c r="BI80" s="470"/>
      <c r="BJ80" s="470"/>
      <c r="BK80" s="470"/>
      <c r="BL80" s="470"/>
      <c r="BM80" s="470"/>
      <c r="BN80" s="428"/>
      <c r="BO80" s="470"/>
      <c r="BP80" s="470"/>
      <c r="BQ80" s="470"/>
      <c r="BR80" s="470"/>
      <c r="BS80" s="470"/>
      <c r="BT80" s="428"/>
      <c r="BU80" s="470"/>
      <c r="BV80" s="470"/>
      <c r="BW80" s="470"/>
      <c r="BX80" s="470"/>
      <c r="BY80" s="470"/>
      <c r="BZ80" s="469"/>
      <c r="CA80" s="470"/>
    </row>
    <row r="81" spans="1:531" s="101" customFormat="1" ht="26.1" customHeight="1" x14ac:dyDescent="0.2">
      <c r="A81" s="471" t="s">
        <v>209</v>
      </c>
      <c r="B81" s="698" t="s">
        <v>210</v>
      </c>
      <c r="C81" s="698"/>
      <c r="D81" s="698"/>
      <c r="E81" s="698"/>
      <c r="F81" s="698"/>
      <c r="G81" s="698"/>
      <c r="H81" s="472"/>
      <c r="I81" s="473"/>
      <c r="J81" s="473"/>
      <c r="K81" s="474">
        <f>SUM(K83:K84)</f>
        <v>163</v>
      </c>
      <c r="L81" s="474">
        <f t="shared" ref="L81:Q81" si="248">SUM(L83:L84)</f>
        <v>110</v>
      </c>
      <c r="M81" s="474">
        <f t="shared" si="248"/>
        <v>88</v>
      </c>
      <c r="N81" s="474">
        <f t="shared" si="248"/>
        <v>0</v>
      </c>
      <c r="O81" s="474">
        <f t="shared" si="248"/>
        <v>22</v>
      </c>
      <c r="P81" s="474">
        <f t="shared" si="248"/>
        <v>0</v>
      </c>
      <c r="Q81" s="474">
        <f t="shared" si="248"/>
        <v>53</v>
      </c>
      <c r="R81" s="474">
        <f>SUM(R82)</f>
        <v>0</v>
      </c>
      <c r="S81" s="474">
        <f t="shared" ref="S81" si="249">SUM(S82)</f>
        <v>0</v>
      </c>
      <c r="T81" s="474">
        <f t="shared" ref="T81" si="250">SUM(T82)</f>
        <v>0</v>
      </c>
      <c r="U81" s="474">
        <f t="shared" ref="U81" si="251">SUM(U82)</f>
        <v>0</v>
      </c>
      <c r="V81" s="474">
        <f t="shared" ref="V81" si="252">SUM(V82)</f>
        <v>0</v>
      </c>
      <c r="W81" s="474">
        <f t="shared" ref="W81" si="253">SUM(W82)</f>
        <v>0</v>
      </c>
      <c r="X81" s="474">
        <f>SUM(X82)</f>
        <v>0</v>
      </c>
      <c r="Y81" s="474">
        <f t="shared" ref="Y81" si="254">SUM(Y82)</f>
        <v>0</v>
      </c>
      <c r="Z81" s="474">
        <f t="shared" ref="Z81" si="255">SUM(Z82)</f>
        <v>0</v>
      </c>
      <c r="AA81" s="474">
        <f t="shared" ref="AA81" si="256">SUM(AA82)</f>
        <v>0</v>
      </c>
      <c r="AB81" s="474">
        <f t="shared" ref="AB81" si="257">SUM(AB82)</f>
        <v>0</v>
      </c>
      <c r="AC81" s="474">
        <f t="shared" ref="AC81" si="258">SUM(AC82)</f>
        <v>0</v>
      </c>
      <c r="AD81" s="474">
        <f>SUM(AD82)</f>
        <v>0</v>
      </c>
      <c r="AE81" s="474">
        <f t="shared" ref="AE81:AI81" si="259">SUM(AE82)</f>
        <v>0</v>
      </c>
      <c r="AF81" s="474">
        <f t="shared" si="259"/>
        <v>0</v>
      </c>
      <c r="AG81" s="474">
        <f t="shared" si="259"/>
        <v>0</v>
      </c>
      <c r="AH81" s="474">
        <f t="shared" si="259"/>
        <v>0</v>
      </c>
      <c r="AI81" s="474">
        <f t="shared" si="259"/>
        <v>0</v>
      </c>
      <c r="AJ81" s="474">
        <f>SUM(AJ82)</f>
        <v>0</v>
      </c>
      <c r="AK81" s="474">
        <f t="shared" ref="AK81" si="260">SUM(AK82)</f>
        <v>0</v>
      </c>
      <c r="AL81" s="474">
        <f t="shared" ref="AL81" si="261">SUM(AL82)</f>
        <v>0</v>
      </c>
      <c r="AM81" s="474">
        <f t="shared" ref="AM81" si="262">SUM(AM82)</f>
        <v>0</v>
      </c>
      <c r="AN81" s="474">
        <f t="shared" ref="AN81" si="263">SUM(AN82)</f>
        <v>0</v>
      </c>
      <c r="AO81" s="474">
        <f t="shared" ref="AO81" si="264">SUM(AO82)</f>
        <v>0</v>
      </c>
      <c r="AP81" s="474">
        <f>SUM(AP82)</f>
        <v>0</v>
      </c>
      <c r="AQ81" s="474">
        <f t="shared" ref="AQ81" si="265">SUM(AQ82)</f>
        <v>0</v>
      </c>
      <c r="AR81" s="474">
        <f t="shared" ref="AR81" si="266">SUM(AR82)</f>
        <v>0</v>
      </c>
      <c r="AS81" s="474">
        <f t="shared" ref="AS81" si="267">SUM(AS82)</f>
        <v>0</v>
      </c>
      <c r="AT81" s="474">
        <f t="shared" ref="AT81" si="268">SUM(AT82)</f>
        <v>0</v>
      </c>
      <c r="AU81" s="474">
        <f t="shared" ref="AU81" si="269">SUM(AU82)</f>
        <v>0</v>
      </c>
      <c r="AV81" s="474">
        <f>SUM(AV82)</f>
        <v>0</v>
      </c>
      <c r="AW81" s="474">
        <f>SUM(AW82)</f>
        <v>0</v>
      </c>
      <c r="AX81" s="474">
        <f t="shared" ref="AX81" si="270">SUM(AX82)</f>
        <v>0</v>
      </c>
      <c r="AY81" s="474">
        <f t="shared" ref="AY81" si="271">SUM(AY82)</f>
        <v>0</v>
      </c>
      <c r="AZ81" s="474">
        <f t="shared" ref="AZ81" si="272">SUM(AZ82)</f>
        <v>0</v>
      </c>
      <c r="BA81" s="474">
        <f t="shared" ref="BA81" si="273">SUM(BA82)</f>
        <v>0</v>
      </c>
      <c r="BB81" s="474">
        <f>SUM(BB82)</f>
        <v>64</v>
      </c>
      <c r="BC81" s="474">
        <f t="shared" ref="BC81" si="274">SUM(BC82)</f>
        <v>44</v>
      </c>
      <c r="BD81" s="474">
        <f t="shared" ref="BD81" si="275">SUM(BD82)</f>
        <v>0</v>
      </c>
      <c r="BE81" s="474">
        <f t="shared" ref="BE81" si="276">SUM(BE82)</f>
        <v>0</v>
      </c>
      <c r="BF81" s="474">
        <f t="shared" ref="BF81" si="277">SUM(BF82)</f>
        <v>0</v>
      </c>
      <c r="BG81" s="474">
        <f t="shared" ref="BG81" si="278">SUM(BG82)</f>
        <v>20</v>
      </c>
      <c r="BH81" s="474">
        <f>SUM(BH82)</f>
        <v>99</v>
      </c>
      <c r="BI81" s="474">
        <f t="shared" ref="BI81" si="279">SUM(BI82)</f>
        <v>44</v>
      </c>
      <c r="BJ81" s="474">
        <f t="shared" ref="BJ81" si="280">SUM(BJ82)</f>
        <v>0</v>
      </c>
      <c r="BK81" s="474">
        <f t="shared" ref="BK81" si="281">SUM(BK82)</f>
        <v>22</v>
      </c>
      <c r="BL81" s="474">
        <f t="shared" ref="BL81" si="282">SUM(BL82)</f>
        <v>0</v>
      </c>
      <c r="BM81" s="474">
        <f t="shared" ref="BM81" si="283">SUM(BM82)</f>
        <v>33</v>
      </c>
      <c r="BN81" s="474">
        <f>SUM(BO81:BS81)</f>
        <v>0</v>
      </c>
      <c r="BO81" s="474">
        <f t="shared" ref="BO81:BS81" si="284">SUM(BO83:BO83)</f>
        <v>0</v>
      </c>
      <c r="BP81" s="474">
        <f t="shared" si="284"/>
        <v>0</v>
      </c>
      <c r="BQ81" s="474">
        <f t="shared" si="284"/>
        <v>0</v>
      </c>
      <c r="BR81" s="474">
        <f t="shared" si="284"/>
        <v>0</v>
      </c>
      <c r="BS81" s="474">
        <f t="shared" si="284"/>
        <v>0</v>
      </c>
      <c r="BT81" s="474">
        <f>SUM(BU81:BY81)</f>
        <v>0</v>
      </c>
      <c r="BU81" s="474">
        <f t="shared" ref="BU81:BY81" si="285">SUM(BU83:BU83)</f>
        <v>0</v>
      </c>
      <c r="BV81" s="474">
        <f t="shared" si="285"/>
        <v>0</v>
      </c>
      <c r="BW81" s="474">
        <f t="shared" si="285"/>
        <v>0</v>
      </c>
      <c r="BX81" s="474">
        <f t="shared" si="285"/>
        <v>0</v>
      </c>
      <c r="BY81" s="474">
        <f t="shared" si="285"/>
        <v>0</v>
      </c>
      <c r="BZ81" s="472"/>
      <c r="CA81" s="479" t="s">
        <v>387</v>
      </c>
    </row>
    <row r="82" spans="1:531" s="101" customFormat="1" ht="26.1" customHeight="1" x14ac:dyDescent="0.2">
      <c r="A82" s="457" t="s">
        <v>372</v>
      </c>
      <c r="B82" s="480" t="s">
        <v>373</v>
      </c>
      <c r="C82" s="480"/>
      <c r="D82" s="480"/>
      <c r="E82" s="481"/>
      <c r="F82" s="481"/>
      <c r="G82" s="480"/>
      <c r="H82" s="458"/>
      <c r="I82" s="417"/>
      <c r="J82" s="417"/>
      <c r="K82" s="459">
        <f>SUM(K83,K84)</f>
        <v>163</v>
      </c>
      <c r="L82" s="459">
        <f t="shared" ref="L82:Q82" si="286">SUM(L83,L84)</f>
        <v>110</v>
      </c>
      <c r="M82" s="459">
        <f t="shared" si="286"/>
        <v>88</v>
      </c>
      <c r="N82" s="459">
        <f t="shared" si="286"/>
        <v>0</v>
      </c>
      <c r="O82" s="459">
        <f t="shared" si="286"/>
        <v>22</v>
      </c>
      <c r="P82" s="459">
        <f t="shared" si="286"/>
        <v>0</v>
      </c>
      <c r="Q82" s="459">
        <f t="shared" si="286"/>
        <v>53</v>
      </c>
      <c r="R82" s="459">
        <f>SUM(R83,R84)</f>
        <v>0</v>
      </c>
      <c r="S82" s="459">
        <f t="shared" ref="S82:W82" si="287">SUM(S83,S84)</f>
        <v>0</v>
      </c>
      <c r="T82" s="459">
        <f t="shared" si="287"/>
        <v>0</v>
      </c>
      <c r="U82" s="459">
        <f t="shared" si="287"/>
        <v>0</v>
      </c>
      <c r="V82" s="459">
        <f t="shared" si="287"/>
        <v>0</v>
      </c>
      <c r="W82" s="459">
        <f t="shared" si="287"/>
        <v>0</v>
      </c>
      <c r="X82" s="459">
        <f>SUM(X83,X84)</f>
        <v>0</v>
      </c>
      <c r="Y82" s="459">
        <f t="shared" ref="Y82" si="288">SUM(Y83,Y84)</f>
        <v>0</v>
      </c>
      <c r="Z82" s="459">
        <f t="shared" ref="Z82" si="289">SUM(Z83,Z84)</f>
        <v>0</v>
      </c>
      <c r="AA82" s="459">
        <f t="shared" ref="AA82" si="290">SUM(AA83,AA84)</f>
        <v>0</v>
      </c>
      <c r="AB82" s="459">
        <f t="shared" ref="AB82" si="291">SUM(AB83,AB84)</f>
        <v>0</v>
      </c>
      <c r="AC82" s="459">
        <f t="shared" ref="AC82" si="292">SUM(AC83,AC84)</f>
        <v>0</v>
      </c>
      <c r="AD82" s="459">
        <f>SUM(AD83,AD84)</f>
        <v>0</v>
      </c>
      <c r="AE82" s="459">
        <f t="shared" ref="AE82" si="293">SUM(AE83,AE84)</f>
        <v>0</v>
      </c>
      <c r="AF82" s="459">
        <f t="shared" ref="AF82" si="294">SUM(AF83,AF84)</f>
        <v>0</v>
      </c>
      <c r="AG82" s="459">
        <f t="shared" ref="AG82" si="295">SUM(AG83,AG84)</f>
        <v>0</v>
      </c>
      <c r="AH82" s="459">
        <f t="shared" ref="AH82" si="296">SUM(AH83,AH84)</f>
        <v>0</v>
      </c>
      <c r="AI82" s="459">
        <f t="shared" ref="AI82" si="297">SUM(AI83,AI84)</f>
        <v>0</v>
      </c>
      <c r="AJ82" s="459">
        <f>SUM(AJ83,AJ84)</f>
        <v>0</v>
      </c>
      <c r="AK82" s="459">
        <f t="shared" ref="AK82" si="298">SUM(AK83,AK84)</f>
        <v>0</v>
      </c>
      <c r="AL82" s="459">
        <f t="shared" ref="AL82" si="299">SUM(AL83,AL84)</f>
        <v>0</v>
      </c>
      <c r="AM82" s="459">
        <f t="shared" ref="AM82" si="300">SUM(AM83,AM84)</f>
        <v>0</v>
      </c>
      <c r="AN82" s="459">
        <f t="shared" ref="AN82" si="301">SUM(AN83,AN84)</f>
        <v>0</v>
      </c>
      <c r="AO82" s="459">
        <f t="shared" ref="AO82" si="302">SUM(AO83,AO84)</f>
        <v>0</v>
      </c>
      <c r="AP82" s="459">
        <f>SUM(AP83,AP84)</f>
        <v>0</v>
      </c>
      <c r="AQ82" s="459">
        <f t="shared" ref="AQ82" si="303">SUM(AQ83,AQ84)</f>
        <v>0</v>
      </c>
      <c r="AR82" s="459">
        <f t="shared" ref="AR82" si="304">SUM(AR83,AR84)</f>
        <v>0</v>
      </c>
      <c r="AS82" s="459">
        <f t="shared" ref="AS82" si="305">SUM(AS83,AS84)</f>
        <v>0</v>
      </c>
      <c r="AT82" s="459">
        <f t="shared" ref="AT82" si="306">SUM(AT83,AT84)</f>
        <v>0</v>
      </c>
      <c r="AU82" s="459">
        <f t="shared" ref="AU82" si="307">SUM(AU83,AU84)</f>
        <v>0</v>
      </c>
      <c r="AV82" s="459">
        <f>SUM(AV83,AV84)</f>
        <v>0</v>
      </c>
      <c r="AW82" s="459">
        <f>SUM(AW83,AW84)</f>
        <v>0</v>
      </c>
      <c r="AX82" s="459">
        <f t="shared" ref="AX82" si="308">SUM(AX83,AX84)</f>
        <v>0</v>
      </c>
      <c r="AY82" s="459">
        <f t="shared" ref="AY82" si="309">SUM(AY83,AY84)</f>
        <v>0</v>
      </c>
      <c r="AZ82" s="459">
        <f t="shared" ref="AZ82" si="310">SUM(AZ83,AZ84)</f>
        <v>0</v>
      </c>
      <c r="BA82" s="459">
        <f t="shared" ref="BA82" si="311">SUM(BA83,BA84)</f>
        <v>0</v>
      </c>
      <c r="BB82" s="459">
        <f>SUM(BB83,BB84)</f>
        <v>64</v>
      </c>
      <c r="BC82" s="459">
        <f t="shared" ref="BC82" si="312">SUM(BC83,BC84)</f>
        <v>44</v>
      </c>
      <c r="BD82" s="459">
        <f t="shared" ref="BD82" si="313">SUM(BD83,BD84)</f>
        <v>0</v>
      </c>
      <c r="BE82" s="459">
        <f t="shared" ref="BE82" si="314">SUM(BE83,BE84)</f>
        <v>0</v>
      </c>
      <c r="BF82" s="459">
        <f t="shared" ref="BF82" si="315">SUM(BF83,BF84)</f>
        <v>0</v>
      </c>
      <c r="BG82" s="459">
        <f t="shared" ref="BG82" si="316">SUM(BG83,BG84)</f>
        <v>20</v>
      </c>
      <c r="BH82" s="459">
        <f>SUM(BH83,BH84)</f>
        <v>99</v>
      </c>
      <c r="BI82" s="459">
        <f t="shared" ref="BI82" si="317">SUM(BI83,BI84)</f>
        <v>44</v>
      </c>
      <c r="BJ82" s="459">
        <f t="shared" ref="BJ82" si="318">SUM(BJ83,BJ84)</f>
        <v>0</v>
      </c>
      <c r="BK82" s="459">
        <f t="shared" ref="BK82" si="319">SUM(BK83,BK84)</f>
        <v>22</v>
      </c>
      <c r="BL82" s="459">
        <f t="shared" ref="BL82" si="320">SUM(BL83,BL84)</f>
        <v>0</v>
      </c>
      <c r="BM82" s="459">
        <f t="shared" ref="BM82" si="321">SUM(BM83,BM84)</f>
        <v>33</v>
      </c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8"/>
      <c r="CA82" s="481" t="s">
        <v>387</v>
      </c>
    </row>
    <row r="83" spans="1:531" s="102" customFormat="1" ht="26.1" customHeight="1" x14ac:dyDescent="0.2">
      <c r="A83" s="437"/>
      <c r="B83" s="223" t="s">
        <v>352</v>
      </c>
      <c r="C83" s="223"/>
      <c r="D83" s="425"/>
      <c r="E83" s="425" t="s">
        <v>38</v>
      </c>
      <c r="F83" s="425"/>
      <c r="G83" s="425"/>
      <c r="H83" s="425" t="s">
        <v>43</v>
      </c>
      <c r="I83" s="200"/>
      <c r="J83" s="200"/>
      <c r="K83" s="419">
        <f>L83+SUM(Q83:Q83)</f>
        <v>65</v>
      </c>
      <c r="L83" s="419">
        <f>SUM(M83:P83)</f>
        <v>44</v>
      </c>
      <c r="M83" s="419">
        <f t="shared" ref="M83:Q84" si="322">S83+Y83+AE83+AK83+AQ83+AW83+BC83+BI83+BO83+BU83</f>
        <v>44</v>
      </c>
      <c r="N83" s="419">
        <f t="shared" si="322"/>
        <v>0</v>
      </c>
      <c r="O83" s="419">
        <f t="shared" si="322"/>
        <v>0</v>
      </c>
      <c r="P83" s="419">
        <f t="shared" si="322"/>
        <v>0</v>
      </c>
      <c r="Q83" s="419">
        <f t="shared" si="322"/>
        <v>21</v>
      </c>
      <c r="R83" s="418">
        <f>SUM(S83:W83)</f>
        <v>0</v>
      </c>
      <c r="S83" s="200"/>
      <c r="T83" s="200"/>
      <c r="U83" s="200"/>
      <c r="V83" s="200"/>
      <c r="W83" s="200"/>
      <c r="X83" s="418">
        <f>SUM(Y83:AC83)</f>
        <v>0</v>
      </c>
      <c r="Y83" s="200"/>
      <c r="Z83" s="200"/>
      <c r="AA83" s="200"/>
      <c r="AB83" s="200"/>
      <c r="AC83" s="200"/>
      <c r="AD83" s="418">
        <f>SUM(AE83:AI83)</f>
        <v>0</v>
      </c>
      <c r="AE83" s="200"/>
      <c r="AF83" s="200"/>
      <c r="AG83" s="200"/>
      <c r="AH83" s="200"/>
      <c r="AI83" s="200"/>
      <c r="AJ83" s="418">
        <f>SUM(AK83:AO83)</f>
        <v>0</v>
      </c>
      <c r="AK83" s="200"/>
      <c r="AL83" s="200"/>
      <c r="AM83" s="200"/>
      <c r="AN83" s="200"/>
      <c r="AO83" s="200"/>
      <c r="AP83" s="418">
        <f>SUM(AQ83:AU83)</f>
        <v>0</v>
      </c>
      <c r="AQ83" s="200"/>
      <c r="AR83" s="200"/>
      <c r="AS83" s="200"/>
      <c r="AT83" s="200"/>
      <c r="AU83" s="200"/>
      <c r="AV83" s="418">
        <f>SUM(AW83:BA83)</f>
        <v>0</v>
      </c>
      <c r="AW83" s="200"/>
      <c r="AX83" s="200"/>
      <c r="AY83" s="200"/>
      <c r="AZ83" s="200"/>
      <c r="BA83" s="200"/>
      <c r="BB83" s="418">
        <f>SUM(BC83:BG83)</f>
        <v>32</v>
      </c>
      <c r="BC83" s="200">
        <v>22</v>
      </c>
      <c r="BD83" s="200"/>
      <c r="BE83" s="200"/>
      <c r="BF83" s="200"/>
      <c r="BG83" s="200">
        <v>10</v>
      </c>
      <c r="BH83" s="418">
        <f>SUM(BI83:BM83)</f>
        <v>33</v>
      </c>
      <c r="BI83" s="200">
        <v>22</v>
      </c>
      <c r="BJ83" s="200"/>
      <c r="BK83" s="200"/>
      <c r="BL83" s="200"/>
      <c r="BM83" s="200">
        <v>11</v>
      </c>
      <c r="BN83" s="418">
        <f>SUM(BO83:BS83)</f>
        <v>0</v>
      </c>
      <c r="BO83" s="200"/>
      <c r="BP83" s="200"/>
      <c r="BQ83" s="200"/>
      <c r="BR83" s="200"/>
      <c r="BS83" s="200"/>
      <c r="BT83" s="418">
        <f>SUM(BU83:BY83)</f>
        <v>0</v>
      </c>
      <c r="BU83" s="200"/>
      <c r="BV83" s="200"/>
      <c r="BW83" s="200"/>
      <c r="BX83" s="200"/>
      <c r="BY83" s="200"/>
      <c r="BZ83" s="425" t="s">
        <v>524</v>
      </c>
      <c r="CA83" s="200" t="s">
        <v>387</v>
      </c>
    </row>
    <row r="84" spans="1:531" s="102" customFormat="1" ht="26.1" customHeight="1" x14ac:dyDescent="0.2">
      <c r="A84" s="437"/>
      <c r="B84" s="223" t="s">
        <v>374</v>
      </c>
      <c r="C84" s="223"/>
      <c r="D84" s="448"/>
      <c r="E84" s="448" t="s">
        <v>38</v>
      </c>
      <c r="F84" s="448"/>
      <c r="G84" s="425" t="s">
        <v>38</v>
      </c>
      <c r="H84" s="425" t="s">
        <v>43</v>
      </c>
      <c r="I84" s="200"/>
      <c r="J84" s="421"/>
      <c r="K84" s="419">
        <f>L84+SUM(Q84:Q84)</f>
        <v>98</v>
      </c>
      <c r="L84" s="419">
        <f>SUM(M84:P84)</f>
        <v>66</v>
      </c>
      <c r="M84" s="419">
        <f t="shared" si="322"/>
        <v>44</v>
      </c>
      <c r="N84" s="419">
        <f t="shared" si="322"/>
        <v>0</v>
      </c>
      <c r="O84" s="419">
        <f t="shared" si="322"/>
        <v>22</v>
      </c>
      <c r="P84" s="419">
        <f t="shared" si="322"/>
        <v>0</v>
      </c>
      <c r="Q84" s="419">
        <f t="shared" si="322"/>
        <v>32</v>
      </c>
      <c r="R84" s="418">
        <f>SUM(S84:W84)</f>
        <v>0</v>
      </c>
      <c r="S84" s="200"/>
      <c r="T84" s="200"/>
      <c r="U84" s="200"/>
      <c r="V84" s="200"/>
      <c r="W84" s="200"/>
      <c r="X84" s="418">
        <f>SUM(Y84:AC84)</f>
        <v>0</v>
      </c>
      <c r="Y84" s="200"/>
      <c r="Z84" s="200"/>
      <c r="AA84" s="200"/>
      <c r="AB84" s="200"/>
      <c r="AC84" s="200"/>
      <c r="AD84" s="418">
        <f>SUM(AE84:AI84)</f>
        <v>0</v>
      </c>
      <c r="AE84" s="200"/>
      <c r="AF84" s="200"/>
      <c r="AG84" s="200"/>
      <c r="AH84" s="200"/>
      <c r="AI84" s="200"/>
      <c r="AJ84" s="418">
        <f>SUM(AK84:AO84)</f>
        <v>0</v>
      </c>
      <c r="AK84" s="200"/>
      <c r="AL84" s="200"/>
      <c r="AM84" s="200"/>
      <c r="AN84" s="200"/>
      <c r="AO84" s="200"/>
      <c r="AP84" s="418">
        <f>SUM(AQ84:AU84)</f>
        <v>0</v>
      </c>
      <c r="AQ84" s="200"/>
      <c r="AR84" s="202"/>
      <c r="AS84" s="200"/>
      <c r="AT84" s="200"/>
      <c r="AU84" s="200"/>
      <c r="AV84" s="418">
        <f>SUM(AW84:BA84)</f>
        <v>0</v>
      </c>
      <c r="AW84" s="200"/>
      <c r="AX84" s="202"/>
      <c r="AY84" s="202"/>
      <c r="AZ84" s="200"/>
      <c r="BA84" s="200"/>
      <c r="BB84" s="418">
        <f>SUM(BC84:BG84)</f>
        <v>32</v>
      </c>
      <c r="BC84" s="200">
        <v>22</v>
      </c>
      <c r="BD84" s="200"/>
      <c r="BE84" s="200"/>
      <c r="BF84" s="200"/>
      <c r="BG84" s="200">
        <v>10</v>
      </c>
      <c r="BH84" s="418">
        <f>SUM(BI84:BM84)</f>
        <v>66</v>
      </c>
      <c r="BI84" s="200">
        <v>22</v>
      </c>
      <c r="BJ84" s="200"/>
      <c r="BK84" s="200">
        <v>22</v>
      </c>
      <c r="BL84" s="200"/>
      <c r="BM84" s="200">
        <v>22</v>
      </c>
      <c r="BN84" s="418"/>
      <c r="BO84" s="200"/>
      <c r="BP84" s="200"/>
      <c r="BQ84" s="200"/>
      <c r="BR84" s="200"/>
      <c r="BS84" s="200"/>
      <c r="BT84" s="418"/>
      <c r="BU84" s="200"/>
      <c r="BV84" s="200"/>
      <c r="BW84" s="200"/>
      <c r="BX84" s="200"/>
      <c r="BY84" s="200"/>
      <c r="BZ84" s="425" t="s">
        <v>524</v>
      </c>
      <c r="CA84" s="200" t="s">
        <v>387</v>
      </c>
    </row>
    <row r="85" spans="1:531" s="102" customFormat="1" ht="13.5" customHeight="1" x14ac:dyDescent="0.2">
      <c r="A85" s="426" t="s">
        <v>390</v>
      </c>
      <c r="B85" s="426"/>
      <c r="C85" s="426"/>
      <c r="D85" s="429">
        <v>8</v>
      </c>
      <c r="E85" s="426"/>
      <c r="F85" s="426"/>
      <c r="G85" s="426"/>
      <c r="H85" s="469"/>
      <c r="I85" s="470"/>
      <c r="J85" s="470"/>
      <c r="K85" s="428"/>
      <c r="L85" s="428"/>
      <c r="M85" s="428"/>
      <c r="N85" s="428"/>
      <c r="O85" s="428"/>
      <c r="P85" s="428"/>
      <c r="Q85" s="428"/>
      <c r="R85" s="428"/>
      <c r="S85" s="470"/>
      <c r="T85" s="470"/>
      <c r="U85" s="470"/>
      <c r="V85" s="470"/>
      <c r="W85" s="470"/>
      <c r="X85" s="428"/>
      <c r="Y85" s="470"/>
      <c r="Z85" s="470"/>
      <c r="AA85" s="470"/>
      <c r="AB85" s="470"/>
      <c r="AC85" s="470"/>
      <c r="AD85" s="428"/>
      <c r="AE85" s="470"/>
      <c r="AF85" s="470"/>
      <c r="AG85" s="470"/>
      <c r="AH85" s="470"/>
      <c r="AI85" s="470"/>
      <c r="AJ85" s="428"/>
      <c r="AK85" s="470"/>
      <c r="AL85" s="470"/>
      <c r="AM85" s="470"/>
      <c r="AN85" s="470"/>
      <c r="AO85" s="470"/>
      <c r="AP85" s="428"/>
      <c r="AQ85" s="470"/>
      <c r="AR85" s="470"/>
      <c r="AS85" s="470"/>
      <c r="AT85" s="470"/>
      <c r="AU85" s="470"/>
      <c r="AV85" s="428"/>
      <c r="AW85" s="470"/>
      <c r="AX85" s="470"/>
      <c r="AY85" s="470"/>
      <c r="AZ85" s="470"/>
      <c r="BA85" s="470"/>
      <c r="BB85" s="428"/>
      <c r="BC85" s="470"/>
      <c r="BD85" s="470"/>
      <c r="BE85" s="470"/>
      <c r="BF85" s="470"/>
      <c r="BG85" s="470"/>
      <c r="BH85" s="428"/>
      <c r="BI85" s="470"/>
      <c r="BJ85" s="470"/>
      <c r="BK85" s="470"/>
      <c r="BL85" s="470"/>
      <c r="BM85" s="470"/>
      <c r="BN85" s="428"/>
      <c r="BO85" s="470"/>
      <c r="BP85" s="470"/>
      <c r="BQ85" s="470"/>
      <c r="BR85" s="470"/>
      <c r="BS85" s="470"/>
      <c r="BT85" s="428"/>
      <c r="BU85" s="470"/>
      <c r="BV85" s="470"/>
      <c r="BW85" s="470"/>
      <c r="BX85" s="470"/>
      <c r="BY85" s="470"/>
      <c r="BZ85" s="469"/>
      <c r="CA85" s="470"/>
    </row>
    <row r="86" spans="1:531" s="102" customFormat="1" ht="27.75" customHeight="1" x14ac:dyDescent="0.2">
      <c r="A86" s="471" t="s">
        <v>211</v>
      </c>
      <c r="B86" s="698" t="s">
        <v>417</v>
      </c>
      <c r="C86" s="698"/>
      <c r="D86" s="698"/>
      <c r="E86" s="698"/>
      <c r="F86" s="698"/>
      <c r="G86" s="698"/>
      <c r="H86" s="472"/>
      <c r="I86" s="473"/>
      <c r="J86" s="473"/>
      <c r="K86" s="474">
        <f>K87</f>
        <v>89</v>
      </c>
      <c r="L86" s="474">
        <f t="shared" ref="L86:Q86" si="323">L87</f>
        <v>60</v>
      </c>
      <c r="M86" s="474">
        <f t="shared" si="323"/>
        <v>60</v>
      </c>
      <c r="N86" s="474">
        <f t="shared" si="323"/>
        <v>0</v>
      </c>
      <c r="O86" s="474">
        <f t="shared" si="323"/>
        <v>0</v>
      </c>
      <c r="P86" s="474">
        <f t="shared" si="323"/>
        <v>0</v>
      </c>
      <c r="Q86" s="474">
        <f t="shared" si="323"/>
        <v>29</v>
      </c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>
        <f>SUM(AP87)</f>
        <v>0</v>
      </c>
      <c r="AQ86" s="474">
        <f>SUM(AQ87)</f>
        <v>0</v>
      </c>
      <c r="AR86" s="474">
        <f t="shared" ref="AR86:AU86" si="324">SUM(AR87)</f>
        <v>0</v>
      </c>
      <c r="AS86" s="474">
        <f t="shared" si="324"/>
        <v>0</v>
      </c>
      <c r="AT86" s="474">
        <f t="shared" si="324"/>
        <v>0</v>
      </c>
      <c r="AU86" s="474">
        <f t="shared" si="324"/>
        <v>0</v>
      </c>
      <c r="AV86" s="474">
        <f>SUM(AV87)</f>
        <v>0</v>
      </c>
      <c r="AW86" s="474">
        <f>SUM(AW87)</f>
        <v>0</v>
      </c>
      <c r="AX86" s="474">
        <f t="shared" ref="AX86:BA86" si="325">SUM(AX87)</f>
        <v>0</v>
      </c>
      <c r="AY86" s="474">
        <f t="shared" si="325"/>
        <v>0</v>
      </c>
      <c r="AZ86" s="474">
        <f t="shared" si="325"/>
        <v>0</v>
      </c>
      <c r="BA86" s="474">
        <f t="shared" si="325"/>
        <v>0</v>
      </c>
      <c r="BB86" s="474">
        <f>SUM(BB87)</f>
        <v>32</v>
      </c>
      <c r="BC86" s="474">
        <f>SUM(BC87)</f>
        <v>22</v>
      </c>
      <c r="BD86" s="474">
        <f t="shared" ref="BD86:BG86" si="326">SUM(BD87)</f>
        <v>0</v>
      </c>
      <c r="BE86" s="474">
        <f t="shared" si="326"/>
        <v>0</v>
      </c>
      <c r="BF86" s="474">
        <f t="shared" si="326"/>
        <v>0</v>
      </c>
      <c r="BG86" s="474">
        <f t="shared" si="326"/>
        <v>10</v>
      </c>
      <c r="BH86" s="474">
        <f>SUM(BH87)</f>
        <v>33</v>
      </c>
      <c r="BI86" s="474">
        <f>SUM(BI87)</f>
        <v>22</v>
      </c>
      <c r="BJ86" s="474">
        <f t="shared" ref="BJ86:BM86" si="327">SUM(BJ87)</f>
        <v>0</v>
      </c>
      <c r="BK86" s="474">
        <f t="shared" si="327"/>
        <v>0</v>
      </c>
      <c r="BL86" s="474">
        <f t="shared" si="327"/>
        <v>0</v>
      </c>
      <c r="BM86" s="474">
        <f t="shared" si="327"/>
        <v>11</v>
      </c>
      <c r="BN86" s="474">
        <f>SUM(BN87)</f>
        <v>24</v>
      </c>
      <c r="BO86" s="474">
        <f>SUM(BO87)</f>
        <v>16</v>
      </c>
      <c r="BP86" s="474">
        <f t="shared" ref="BP86:BS86" si="328">SUM(BP87)</f>
        <v>0</v>
      </c>
      <c r="BQ86" s="474">
        <f t="shared" si="328"/>
        <v>0</v>
      </c>
      <c r="BR86" s="474">
        <f t="shared" si="328"/>
        <v>0</v>
      </c>
      <c r="BS86" s="474">
        <f t="shared" si="328"/>
        <v>8</v>
      </c>
      <c r="BT86" s="474">
        <f>SUM(BT87)</f>
        <v>0</v>
      </c>
      <c r="BU86" s="474">
        <f>SUM(BU87)</f>
        <v>0</v>
      </c>
      <c r="BV86" s="474">
        <f t="shared" ref="BV86:BY86" si="329">SUM(BV87)</f>
        <v>0</v>
      </c>
      <c r="BW86" s="474">
        <f t="shared" si="329"/>
        <v>0</v>
      </c>
      <c r="BX86" s="474">
        <f t="shared" si="329"/>
        <v>0</v>
      </c>
      <c r="BY86" s="474">
        <f t="shared" si="329"/>
        <v>0</v>
      </c>
      <c r="BZ86" s="472"/>
      <c r="CA86" s="479"/>
    </row>
    <row r="87" spans="1:531" s="102" customFormat="1" ht="56.25" customHeight="1" x14ac:dyDescent="0.2">
      <c r="A87" s="482" t="s">
        <v>418</v>
      </c>
      <c r="B87" s="223" t="s">
        <v>419</v>
      </c>
      <c r="C87" s="438"/>
      <c r="D87" s="448"/>
      <c r="E87" s="203">
        <v>9</v>
      </c>
      <c r="F87" s="203"/>
      <c r="G87" s="203"/>
      <c r="H87" s="576" t="s">
        <v>626</v>
      </c>
      <c r="I87" s="202"/>
      <c r="J87" s="202"/>
      <c r="K87" s="419">
        <f>L87+SUM(Q87:Q87)</f>
        <v>89</v>
      </c>
      <c r="L87" s="419">
        <f>SUM(M87:P87)</f>
        <v>60</v>
      </c>
      <c r="M87" s="419">
        <f>S87+Y87+AE87+AK87+AQ87+AW87+BC87+BI87+BO87+BU87</f>
        <v>60</v>
      </c>
      <c r="N87" s="419">
        <f>T87+Z87+AF87+AL87+AR87+AX87+BD87+BJ87+BP87+BV87</f>
        <v>0</v>
      </c>
      <c r="O87" s="419">
        <f>U87+AA87+AG87+AM87+AS87+AY87+BE87+BK87+BQ87+BW87</f>
        <v>0</v>
      </c>
      <c r="P87" s="419">
        <f>V87+AB87+AH87+AN87+AT87+AZ87+BF87+BL87+BR87+BX87</f>
        <v>0</v>
      </c>
      <c r="Q87" s="419">
        <f>W87+AC87+AI87+AO87+AU87+BA87+BG87+BM87+BS87+BY87</f>
        <v>29</v>
      </c>
      <c r="R87" s="418">
        <f>SUM(S87:W87)</f>
        <v>0</v>
      </c>
      <c r="S87" s="200"/>
      <c r="T87" s="200"/>
      <c r="U87" s="200"/>
      <c r="V87" s="200"/>
      <c r="W87" s="200"/>
      <c r="X87" s="418">
        <f>SUM(Y87:AC87)</f>
        <v>0</v>
      </c>
      <c r="Y87" s="200"/>
      <c r="Z87" s="200"/>
      <c r="AA87" s="200"/>
      <c r="AB87" s="200"/>
      <c r="AC87" s="200"/>
      <c r="AD87" s="418">
        <f>SUM(AE87:AI87)</f>
        <v>0</v>
      </c>
      <c r="AE87" s="200"/>
      <c r="AF87" s="200"/>
      <c r="AG87" s="200"/>
      <c r="AH87" s="200"/>
      <c r="AI87" s="200"/>
      <c r="AJ87" s="418">
        <f>SUM(AK87:AO87)</f>
        <v>0</v>
      </c>
      <c r="AK87" s="200"/>
      <c r="AL87" s="200"/>
      <c r="AM87" s="200"/>
      <c r="AN87" s="200"/>
      <c r="AO87" s="200"/>
      <c r="AP87" s="418">
        <f>SUM(AQ87:AU87)</f>
        <v>0</v>
      </c>
      <c r="AQ87" s="200"/>
      <c r="AR87" s="200"/>
      <c r="AS87" s="200"/>
      <c r="AT87" s="200"/>
      <c r="AU87" s="200"/>
      <c r="AV87" s="418">
        <f>SUM(AW87:BA87)</f>
        <v>0</v>
      </c>
      <c r="AW87" s="200"/>
      <c r="AX87" s="200"/>
      <c r="AY87" s="200"/>
      <c r="AZ87" s="200"/>
      <c r="BA87" s="200"/>
      <c r="BB87" s="418">
        <f>SUM(BC87:BG87)</f>
        <v>32</v>
      </c>
      <c r="BC87" s="200">
        <v>22</v>
      </c>
      <c r="BD87" s="200"/>
      <c r="BE87" s="200"/>
      <c r="BF87" s="200"/>
      <c r="BG87" s="200">
        <v>10</v>
      </c>
      <c r="BH87" s="418">
        <f>SUM(BI87:BM87)</f>
        <v>33</v>
      </c>
      <c r="BI87" s="200">
        <v>22</v>
      </c>
      <c r="BJ87" s="200"/>
      <c r="BK87" s="200"/>
      <c r="BL87" s="200"/>
      <c r="BM87" s="200">
        <v>11</v>
      </c>
      <c r="BN87" s="418">
        <f>SUM(BO87:BS87)</f>
        <v>24</v>
      </c>
      <c r="BO87" s="200">
        <v>16</v>
      </c>
      <c r="BP87" s="200"/>
      <c r="BQ87" s="200"/>
      <c r="BR87" s="200"/>
      <c r="BS87" s="200">
        <v>8</v>
      </c>
      <c r="BT87" s="418">
        <f>SUM(BU87:BY87)</f>
        <v>0</v>
      </c>
      <c r="BU87" s="200"/>
      <c r="BV87" s="200"/>
      <c r="BW87" s="200"/>
      <c r="BX87" s="200"/>
      <c r="BY87" s="200"/>
      <c r="BZ87" s="448" t="s">
        <v>514</v>
      </c>
      <c r="CA87" s="200" t="s">
        <v>478</v>
      </c>
    </row>
    <row r="88" spans="1:531" s="102" customFormat="1" ht="13.5" customHeight="1" x14ac:dyDescent="0.2">
      <c r="A88" s="426" t="s">
        <v>390</v>
      </c>
      <c r="B88" s="426"/>
      <c r="C88" s="426"/>
      <c r="D88" s="577" t="s">
        <v>423</v>
      </c>
      <c r="E88" s="426"/>
      <c r="F88" s="426"/>
      <c r="G88" s="426"/>
      <c r="H88" s="469"/>
      <c r="I88" s="470"/>
      <c r="J88" s="470"/>
      <c r="K88" s="428"/>
      <c r="L88" s="428"/>
      <c r="M88" s="428"/>
      <c r="N88" s="428"/>
      <c r="O88" s="428"/>
      <c r="P88" s="428"/>
      <c r="Q88" s="428"/>
      <c r="R88" s="428"/>
      <c r="S88" s="470"/>
      <c r="T88" s="470"/>
      <c r="U88" s="470"/>
      <c r="V88" s="470"/>
      <c r="W88" s="470"/>
      <c r="X88" s="428"/>
      <c r="Y88" s="470"/>
      <c r="Z88" s="470"/>
      <c r="AA88" s="470"/>
      <c r="AB88" s="470"/>
      <c r="AC88" s="470"/>
      <c r="AD88" s="428"/>
      <c r="AE88" s="470"/>
      <c r="AF88" s="470"/>
      <c r="AG88" s="470"/>
      <c r="AH88" s="470"/>
      <c r="AI88" s="470"/>
      <c r="AJ88" s="428"/>
      <c r="AK88" s="470"/>
      <c r="AL88" s="470"/>
      <c r="AM88" s="470"/>
      <c r="AN88" s="470"/>
      <c r="AO88" s="470"/>
      <c r="AP88" s="428"/>
      <c r="AQ88" s="470"/>
      <c r="AR88" s="470"/>
      <c r="AS88" s="470"/>
      <c r="AT88" s="470"/>
      <c r="AU88" s="470"/>
      <c r="AV88" s="428"/>
      <c r="AW88" s="470"/>
      <c r="AX88" s="470"/>
      <c r="AY88" s="470"/>
      <c r="AZ88" s="470"/>
      <c r="BA88" s="470"/>
      <c r="BB88" s="428"/>
      <c r="BC88" s="470"/>
      <c r="BD88" s="470"/>
      <c r="BE88" s="470"/>
      <c r="BF88" s="470"/>
      <c r="BG88" s="470"/>
      <c r="BH88" s="428"/>
      <c r="BI88" s="470"/>
      <c r="BJ88" s="470"/>
      <c r="BK88" s="470"/>
      <c r="BL88" s="470"/>
      <c r="BM88" s="470"/>
      <c r="BN88" s="428"/>
      <c r="BO88" s="470"/>
      <c r="BP88" s="470"/>
      <c r="BQ88" s="470"/>
      <c r="BR88" s="470"/>
      <c r="BS88" s="470"/>
      <c r="BT88" s="428"/>
      <c r="BU88" s="470"/>
      <c r="BV88" s="470"/>
      <c r="BW88" s="470"/>
      <c r="BX88" s="470"/>
      <c r="BY88" s="470"/>
      <c r="BZ88" s="469"/>
      <c r="CA88" s="470"/>
    </row>
    <row r="89" spans="1:531" s="102" customFormat="1" ht="27.75" customHeight="1" x14ac:dyDescent="0.2">
      <c r="A89" s="471" t="s">
        <v>420</v>
      </c>
      <c r="B89" s="698" t="s">
        <v>212</v>
      </c>
      <c r="C89" s="698"/>
      <c r="D89" s="698"/>
      <c r="E89" s="698"/>
      <c r="F89" s="698"/>
      <c r="G89" s="698"/>
      <c r="H89" s="483"/>
      <c r="I89" s="473"/>
      <c r="J89" s="473"/>
      <c r="K89" s="474">
        <f t="shared" ref="K89:Q89" si="330">SUM(K91:K91)</f>
        <v>100</v>
      </c>
      <c r="L89" s="474">
        <f t="shared" si="330"/>
        <v>68</v>
      </c>
      <c r="M89" s="474">
        <f t="shared" si="330"/>
        <v>68</v>
      </c>
      <c r="N89" s="474">
        <f t="shared" si="330"/>
        <v>0</v>
      </c>
      <c r="O89" s="474">
        <f t="shared" si="330"/>
        <v>0</v>
      </c>
      <c r="P89" s="474">
        <f t="shared" si="330"/>
        <v>0</v>
      </c>
      <c r="Q89" s="474">
        <f t="shared" si="330"/>
        <v>32</v>
      </c>
      <c r="R89" s="474">
        <f t="shared" ref="R89:BB89" si="331">SUM(R90)</f>
        <v>0</v>
      </c>
      <c r="S89" s="474">
        <f t="shared" si="331"/>
        <v>0</v>
      </c>
      <c r="T89" s="474">
        <f t="shared" si="331"/>
        <v>0</v>
      </c>
      <c r="U89" s="474">
        <f t="shared" si="331"/>
        <v>0</v>
      </c>
      <c r="V89" s="474">
        <f t="shared" si="331"/>
        <v>0</v>
      </c>
      <c r="W89" s="474">
        <f t="shared" si="331"/>
        <v>0</v>
      </c>
      <c r="X89" s="474">
        <f t="shared" si="331"/>
        <v>0</v>
      </c>
      <c r="Y89" s="474">
        <f t="shared" si="331"/>
        <v>0</v>
      </c>
      <c r="Z89" s="474">
        <f t="shared" si="331"/>
        <v>0</v>
      </c>
      <c r="AA89" s="474">
        <f t="shared" si="331"/>
        <v>0</v>
      </c>
      <c r="AB89" s="474">
        <f t="shared" si="331"/>
        <v>0</v>
      </c>
      <c r="AC89" s="474">
        <f t="shared" si="331"/>
        <v>0</v>
      </c>
      <c r="AD89" s="474">
        <f>SUM(AD91:AD91)</f>
        <v>0</v>
      </c>
      <c r="AE89" s="474">
        <f>SUM(AE91:AE91)</f>
        <v>0</v>
      </c>
      <c r="AF89" s="474">
        <f>SUM(AF91:AF91)</f>
        <v>0</v>
      </c>
      <c r="AG89" s="474">
        <f t="shared" si="331"/>
        <v>0</v>
      </c>
      <c r="AH89" s="474">
        <f t="shared" si="331"/>
        <v>0</v>
      </c>
      <c r="AI89" s="474">
        <f>SUM(AI91:AI91)</f>
        <v>0</v>
      </c>
      <c r="AJ89" s="474">
        <f>SUM(AJ91:AJ91)</f>
        <v>100</v>
      </c>
      <c r="AK89" s="474">
        <f>SUM(AK91:AK91)</f>
        <v>68</v>
      </c>
      <c r="AL89" s="474">
        <f>SUM(AL91:AL91)</f>
        <v>0</v>
      </c>
      <c r="AM89" s="474">
        <f t="shared" si="331"/>
        <v>0</v>
      </c>
      <c r="AN89" s="474">
        <f t="shared" si="331"/>
        <v>0</v>
      </c>
      <c r="AO89" s="474">
        <f>SUM(AO91:AO91)</f>
        <v>32</v>
      </c>
      <c r="AP89" s="474">
        <f>SUM(AP91:AP91)</f>
        <v>0</v>
      </c>
      <c r="AQ89" s="474">
        <f>SUM(AQ91:AQ91)</f>
        <v>0</v>
      </c>
      <c r="AR89" s="474">
        <f>SUM(AR91:AR91)</f>
        <v>0</v>
      </c>
      <c r="AS89" s="474">
        <f t="shared" si="331"/>
        <v>0</v>
      </c>
      <c r="AT89" s="474">
        <f t="shared" si="331"/>
        <v>0</v>
      </c>
      <c r="AU89" s="474">
        <f>SUM(AU91:AU91)</f>
        <v>0</v>
      </c>
      <c r="AV89" s="474">
        <f>SUM(AV91:AV91)</f>
        <v>0</v>
      </c>
      <c r="AW89" s="474">
        <f>SUM(AW91:AW91)</f>
        <v>0</v>
      </c>
      <c r="AX89" s="474">
        <f>SUM(AX91:AX91)</f>
        <v>0</v>
      </c>
      <c r="AY89" s="474">
        <f t="shared" si="331"/>
        <v>0</v>
      </c>
      <c r="AZ89" s="474">
        <f t="shared" si="331"/>
        <v>0</v>
      </c>
      <c r="BA89" s="474">
        <f>SUM(BA91:BA91)</f>
        <v>0</v>
      </c>
      <c r="BB89" s="474">
        <f t="shared" si="331"/>
        <v>0</v>
      </c>
      <c r="BC89" s="474">
        <f t="shared" ref="BC89:BM89" si="332">SUM(BC90)</f>
        <v>0</v>
      </c>
      <c r="BD89" s="474">
        <f t="shared" si="332"/>
        <v>0</v>
      </c>
      <c r="BE89" s="474">
        <f t="shared" si="332"/>
        <v>0</v>
      </c>
      <c r="BF89" s="474">
        <f t="shared" si="332"/>
        <v>0</v>
      </c>
      <c r="BG89" s="474">
        <f t="shared" si="332"/>
        <v>0</v>
      </c>
      <c r="BH89" s="474">
        <f t="shared" si="332"/>
        <v>0</v>
      </c>
      <c r="BI89" s="474">
        <f t="shared" si="332"/>
        <v>0</v>
      </c>
      <c r="BJ89" s="474">
        <f t="shared" si="332"/>
        <v>0</v>
      </c>
      <c r="BK89" s="474">
        <f t="shared" si="332"/>
        <v>0</v>
      </c>
      <c r="BL89" s="474">
        <f t="shared" si="332"/>
        <v>0</v>
      </c>
      <c r="BM89" s="474">
        <f t="shared" si="332"/>
        <v>0</v>
      </c>
      <c r="BN89" s="474"/>
      <c r="BO89" s="473"/>
      <c r="BP89" s="473"/>
      <c r="BQ89" s="473"/>
      <c r="BR89" s="473"/>
      <c r="BS89" s="474">
        <f t="shared" ref="BS89" si="333">SUM(BS90)</f>
        <v>0</v>
      </c>
      <c r="BT89" s="473"/>
      <c r="BU89" s="473"/>
      <c r="BV89" s="473"/>
      <c r="BW89" s="473"/>
      <c r="BX89" s="473"/>
      <c r="BY89" s="473"/>
      <c r="BZ89" s="474"/>
      <c r="CA89" s="474"/>
    </row>
    <row r="90" spans="1:531" s="135" customFormat="1" ht="18.75" hidden="1" customHeight="1" x14ac:dyDescent="0.2">
      <c r="A90" s="463" t="s">
        <v>421</v>
      </c>
      <c r="B90" s="769" t="s">
        <v>385</v>
      </c>
      <c r="C90" s="674"/>
      <c r="D90" s="674"/>
      <c r="E90" s="674"/>
      <c r="F90" s="674"/>
      <c r="G90" s="674"/>
      <c r="H90" s="425"/>
      <c r="I90" s="674"/>
      <c r="J90" s="674"/>
      <c r="K90" s="674"/>
      <c r="L90" s="674"/>
      <c r="M90" s="674"/>
      <c r="N90" s="674"/>
      <c r="O90" s="674"/>
      <c r="P90" s="674"/>
      <c r="Q90" s="674"/>
      <c r="R90" s="674"/>
      <c r="S90" s="674"/>
      <c r="T90" s="674"/>
      <c r="U90" s="674"/>
      <c r="V90" s="674"/>
      <c r="W90" s="674"/>
      <c r="X90" s="674"/>
      <c r="Y90" s="674"/>
      <c r="Z90" s="674"/>
      <c r="AA90" s="674"/>
      <c r="AB90" s="674"/>
      <c r="AC90" s="674"/>
      <c r="AD90" s="674"/>
      <c r="AE90" s="674"/>
      <c r="AF90" s="674"/>
      <c r="AG90" s="674"/>
      <c r="AH90" s="674"/>
      <c r="AI90" s="674"/>
      <c r="AJ90" s="674"/>
      <c r="AK90" s="674"/>
      <c r="AL90" s="674"/>
      <c r="AM90" s="674"/>
      <c r="AN90" s="674"/>
      <c r="AO90" s="674"/>
      <c r="AP90" s="674"/>
      <c r="AQ90" s="674"/>
      <c r="AR90" s="674"/>
      <c r="AS90" s="674"/>
      <c r="AT90" s="674"/>
      <c r="AU90" s="674"/>
      <c r="AV90" s="674"/>
      <c r="AW90" s="674"/>
      <c r="AX90" s="674"/>
      <c r="AY90" s="674"/>
      <c r="AZ90" s="674"/>
      <c r="BA90" s="674"/>
      <c r="BB90" s="674"/>
      <c r="BC90" s="674"/>
      <c r="BD90" s="674"/>
      <c r="BE90" s="674"/>
      <c r="BF90" s="674"/>
      <c r="BG90" s="674"/>
      <c r="BH90" s="674"/>
      <c r="BI90" s="674"/>
      <c r="BJ90" s="674"/>
      <c r="BK90" s="674"/>
      <c r="BL90" s="674"/>
      <c r="BM90" s="674"/>
      <c r="BN90" s="674"/>
      <c r="BO90" s="674"/>
      <c r="BP90" s="674"/>
      <c r="BQ90" s="674"/>
      <c r="BR90" s="674"/>
      <c r="BS90" s="480"/>
      <c r="BT90" s="480"/>
      <c r="BU90" s="480"/>
      <c r="BV90" s="480"/>
      <c r="BW90" s="480"/>
      <c r="BX90" s="480"/>
      <c r="BY90" s="480"/>
      <c r="BZ90" s="480"/>
      <c r="CA90" s="484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2"/>
      <c r="IV90" s="102"/>
      <c r="IW90" s="102"/>
      <c r="IX90" s="102"/>
      <c r="IY90" s="102"/>
      <c r="IZ90" s="102"/>
      <c r="JA90" s="102"/>
      <c r="JB90" s="102"/>
      <c r="JC90" s="102"/>
      <c r="JD90" s="102"/>
      <c r="JE90" s="102"/>
      <c r="JF90" s="102"/>
      <c r="JG90" s="102"/>
      <c r="JH90" s="102"/>
      <c r="JI90" s="102"/>
      <c r="JJ90" s="102"/>
      <c r="JK90" s="102"/>
      <c r="JL90" s="102"/>
      <c r="JM90" s="102"/>
      <c r="JN90" s="102"/>
      <c r="JO90" s="102"/>
      <c r="JP90" s="102"/>
      <c r="JQ90" s="102"/>
      <c r="JR90" s="102"/>
      <c r="JS90" s="102"/>
      <c r="JT90" s="102"/>
      <c r="JU90" s="102"/>
      <c r="JV90" s="102"/>
      <c r="JW90" s="102"/>
      <c r="JX90" s="102"/>
      <c r="JY90" s="102"/>
      <c r="JZ90" s="102"/>
      <c r="KA90" s="102"/>
      <c r="KB90" s="102"/>
      <c r="KC90" s="102"/>
      <c r="KD90" s="102"/>
      <c r="KE90" s="102"/>
      <c r="KF90" s="102"/>
      <c r="KG90" s="102"/>
      <c r="KH90" s="102"/>
      <c r="KI90" s="102"/>
      <c r="KJ90" s="102"/>
      <c r="KK90" s="102"/>
      <c r="KL90" s="102"/>
      <c r="KM90" s="102"/>
      <c r="KN90" s="102"/>
      <c r="KO90" s="102"/>
      <c r="KP90" s="102"/>
      <c r="KQ90" s="102"/>
      <c r="KR90" s="102"/>
      <c r="KS90" s="102"/>
      <c r="KT90" s="102"/>
      <c r="KU90" s="102"/>
      <c r="KV90" s="102"/>
      <c r="KW90" s="102"/>
      <c r="KX90" s="102"/>
      <c r="KY90" s="102"/>
      <c r="KZ90" s="102"/>
      <c r="LA90" s="102"/>
      <c r="LB90" s="102"/>
      <c r="LC90" s="102"/>
      <c r="LD90" s="102"/>
      <c r="LE90" s="102"/>
      <c r="LF90" s="102"/>
      <c r="LG90" s="102"/>
      <c r="LH90" s="102"/>
      <c r="LI90" s="102"/>
      <c r="LJ90" s="102"/>
      <c r="LK90" s="102"/>
      <c r="LL90" s="102"/>
      <c r="LM90" s="102"/>
      <c r="LN90" s="102"/>
      <c r="LO90" s="102"/>
      <c r="LP90" s="102"/>
      <c r="LQ90" s="102"/>
      <c r="LR90" s="102"/>
      <c r="LS90" s="102"/>
      <c r="LT90" s="102"/>
      <c r="LU90" s="102"/>
      <c r="LV90" s="102"/>
      <c r="LW90" s="102"/>
      <c r="LX90" s="102"/>
      <c r="LY90" s="102"/>
      <c r="LZ90" s="102"/>
      <c r="MA90" s="102"/>
      <c r="MB90" s="102"/>
      <c r="MC90" s="102"/>
      <c r="MD90" s="102"/>
      <c r="ME90" s="102"/>
      <c r="MF90" s="102"/>
      <c r="MG90" s="102"/>
      <c r="MH90" s="102"/>
      <c r="MI90" s="102"/>
      <c r="MJ90" s="102"/>
      <c r="MK90" s="102"/>
      <c r="ML90" s="102"/>
      <c r="MM90" s="102"/>
      <c r="MN90" s="102"/>
      <c r="MO90" s="102"/>
      <c r="MP90" s="102"/>
      <c r="MQ90" s="102"/>
      <c r="MR90" s="102"/>
      <c r="MS90" s="102"/>
      <c r="MT90" s="102"/>
      <c r="MU90" s="102"/>
      <c r="MV90" s="102"/>
      <c r="MW90" s="102"/>
      <c r="MX90" s="102"/>
      <c r="MY90" s="102"/>
      <c r="MZ90" s="102"/>
      <c r="NA90" s="102"/>
      <c r="NB90" s="102"/>
      <c r="NC90" s="102"/>
      <c r="ND90" s="102"/>
      <c r="NE90" s="102"/>
      <c r="NF90" s="102"/>
      <c r="NG90" s="102"/>
      <c r="NH90" s="102"/>
      <c r="NI90" s="102"/>
      <c r="NJ90" s="102"/>
      <c r="NK90" s="102"/>
      <c r="NL90" s="102"/>
      <c r="NM90" s="102"/>
      <c r="NN90" s="102"/>
      <c r="NO90" s="102"/>
      <c r="NP90" s="102"/>
      <c r="NQ90" s="102"/>
      <c r="NR90" s="102"/>
      <c r="NS90" s="102"/>
      <c r="NT90" s="102"/>
      <c r="NU90" s="102"/>
      <c r="NV90" s="102"/>
      <c r="NW90" s="102"/>
      <c r="NX90" s="102"/>
      <c r="NY90" s="102"/>
      <c r="NZ90" s="102"/>
      <c r="OA90" s="102"/>
      <c r="OB90" s="102"/>
      <c r="OC90" s="102"/>
      <c r="OD90" s="102"/>
      <c r="OE90" s="102"/>
      <c r="OF90" s="102"/>
      <c r="OG90" s="102"/>
      <c r="OH90" s="102"/>
      <c r="OI90" s="102"/>
      <c r="OJ90" s="102"/>
      <c r="OK90" s="102"/>
      <c r="OL90" s="102"/>
      <c r="OM90" s="102"/>
      <c r="ON90" s="102"/>
      <c r="OO90" s="102"/>
      <c r="OP90" s="102"/>
      <c r="OQ90" s="102"/>
      <c r="OR90" s="102"/>
      <c r="OS90" s="102"/>
      <c r="OT90" s="102"/>
      <c r="OU90" s="102"/>
      <c r="OV90" s="102"/>
      <c r="OW90" s="102"/>
      <c r="OX90" s="102"/>
      <c r="OY90" s="102"/>
      <c r="OZ90" s="102"/>
      <c r="PA90" s="102"/>
      <c r="PB90" s="102"/>
      <c r="PC90" s="102"/>
      <c r="PD90" s="102"/>
      <c r="PE90" s="102"/>
      <c r="PF90" s="102"/>
      <c r="PG90" s="102"/>
      <c r="PH90" s="102"/>
      <c r="PI90" s="102"/>
      <c r="PJ90" s="102"/>
      <c r="PK90" s="102"/>
      <c r="PL90" s="102"/>
      <c r="PM90" s="102"/>
      <c r="PN90" s="102"/>
      <c r="PO90" s="102"/>
      <c r="PP90" s="102"/>
      <c r="PQ90" s="102"/>
      <c r="PR90" s="102"/>
      <c r="PS90" s="102"/>
      <c r="PT90" s="102"/>
      <c r="PU90" s="102"/>
      <c r="PV90" s="102"/>
      <c r="PW90" s="102"/>
      <c r="PX90" s="102"/>
      <c r="PY90" s="102"/>
      <c r="PZ90" s="102"/>
      <c r="QA90" s="102"/>
      <c r="QB90" s="102"/>
      <c r="QC90" s="102"/>
      <c r="QD90" s="102"/>
      <c r="QE90" s="102"/>
      <c r="QF90" s="102"/>
      <c r="QG90" s="102"/>
      <c r="QH90" s="102"/>
      <c r="QI90" s="102"/>
      <c r="QJ90" s="102"/>
      <c r="QK90" s="102"/>
      <c r="QL90" s="102"/>
      <c r="QM90" s="102"/>
      <c r="QN90" s="102"/>
      <c r="QO90" s="102"/>
      <c r="QP90" s="102"/>
      <c r="QQ90" s="102"/>
      <c r="QR90" s="102"/>
      <c r="QS90" s="102"/>
      <c r="QT90" s="102"/>
      <c r="QU90" s="102"/>
      <c r="QV90" s="102"/>
      <c r="QW90" s="102"/>
      <c r="QX90" s="102"/>
      <c r="QY90" s="102"/>
      <c r="QZ90" s="102"/>
      <c r="RA90" s="102"/>
      <c r="RB90" s="102"/>
      <c r="RC90" s="102"/>
      <c r="RD90" s="102"/>
      <c r="RE90" s="102"/>
      <c r="RF90" s="102"/>
      <c r="RG90" s="102"/>
      <c r="RH90" s="102"/>
      <c r="RI90" s="102"/>
      <c r="RJ90" s="102"/>
      <c r="RK90" s="102"/>
      <c r="RL90" s="102"/>
      <c r="RM90" s="102"/>
      <c r="RN90" s="102"/>
      <c r="RO90" s="102"/>
      <c r="RP90" s="102"/>
      <c r="RQ90" s="102"/>
      <c r="RR90" s="102"/>
      <c r="RS90" s="102"/>
      <c r="RT90" s="102"/>
      <c r="RU90" s="102"/>
      <c r="RV90" s="102"/>
      <c r="RW90" s="102"/>
      <c r="RX90" s="102"/>
      <c r="RY90" s="102"/>
      <c r="RZ90" s="102"/>
      <c r="SA90" s="102"/>
      <c r="SB90" s="102"/>
      <c r="SC90" s="102"/>
      <c r="SD90" s="102"/>
      <c r="SE90" s="102"/>
      <c r="SF90" s="102"/>
      <c r="SG90" s="102"/>
      <c r="SH90" s="102"/>
      <c r="SI90" s="102"/>
      <c r="SJ90" s="102"/>
      <c r="SK90" s="102"/>
      <c r="SL90" s="102"/>
      <c r="SM90" s="102"/>
      <c r="SN90" s="102"/>
      <c r="SO90" s="102"/>
      <c r="SP90" s="102"/>
      <c r="SQ90" s="102"/>
      <c r="SR90" s="102"/>
      <c r="SS90" s="102"/>
      <c r="ST90" s="102"/>
      <c r="SU90" s="102"/>
      <c r="SV90" s="102"/>
      <c r="SW90" s="102"/>
      <c r="SX90" s="102"/>
      <c r="SY90" s="102"/>
      <c r="SZ90" s="102"/>
      <c r="TA90" s="102"/>
      <c r="TB90" s="102"/>
      <c r="TC90" s="102"/>
      <c r="TD90" s="102"/>
      <c r="TE90" s="102"/>
      <c r="TF90" s="102"/>
      <c r="TG90" s="102"/>
      <c r="TH90" s="102"/>
      <c r="TI90" s="102"/>
      <c r="TJ90" s="102"/>
      <c r="TK90" s="102"/>
    </row>
    <row r="91" spans="1:531" s="135" customFormat="1" ht="36" customHeight="1" x14ac:dyDescent="0.2">
      <c r="A91" s="467"/>
      <c r="B91" s="438" t="s">
        <v>385</v>
      </c>
      <c r="C91" s="223"/>
      <c r="D91" s="425"/>
      <c r="E91" s="425" t="s">
        <v>40</v>
      </c>
      <c r="F91" s="425"/>
      <c r="G91" s="425"/>
      <c r="H91" s="425"/>
      <c r="I91" s="200"/>
      <c r="J91" s="200"/>
      <c r="K91" s="419">
        <f>L91+SUM(Q91:Q91)</f>
        <v>100</v>
      </c>
      <c r="L91" s="419">
        <f>SUM(M91:P91)</f>
        <v>68</v>
      </c>
      <c r="M91" s="419">
        <f>S91+Y91+AE91+AK91+AQ91+AW91+BC91+BI91+BO91+BU91</f>
        <v>68</v>
      </c>
      <c r="N91" s="419">
        <f>T91+Z91+AF91+AL91+AR91+AX91+BD91+BJ91+BP91+BV91</f>
        <v>0</v>
      </c>
      <c r="O91" s="419">
        <f>U91+AA91+AG91+AM91+AS91+AY91+BE91+BK91+BQ91+BW91</f>
        <v>0</v>
      </c>
      <c r="P91" s="419">
        <f>V91+AB91+AH91+AN91+AT91+AZ91+BF91+BL91+BR91+BX91</f>
        <v>0</v>
      </c>
      <c r="Q91" s="419">
        <f>W91+AC91+AI91+AO91+AU91+BA91+BG91+BM91+BS91+BY91</f>
        <v>32</v>
      </c>
      <c r="R91" s="418">
        <f>SUM(S91:W91)</f>
        <v>0</v>
      </c>
      <c r="S91" s="200"/>
      <c r="T91" s="200"/>
      <c r="U91" s="200"/>
      <c r="V91" s="200"/>
      <c r="W91" s="200"/>
      <c r="X91" s="418">
        <f>SUM(Y91:AC91)</f>
        <v>0</v>
      </c>
      <c r="Y91" s="200"/>
      <c r="Z91" s="200"/>
      <c r="AA91" s="200"/>
      <c r="AB91" s="200"/>
      <c r="AC91" s="200"/>
      <c r="AD91" s="418">
        <f>SUM(AE91:AI91)</f>
        <v>0</v>
      </c>
      <c r="AE91" s="200"/>
      <c r="AF91" s="200"/>
      <c r="AG91" s="200"/>
      <c r="AH91" s="200"/>
      <c r="AI91" s="200"/>
      <c r="AJ91" s="418">
        <f>SUM(AK91:AO91)</f>
        <v>100</v>
      </c>
      <c r="AK91" s="202">
        <v>68</v>
      </c>
      <c r="AL91" s="200"/>
      <c r="AM91" s="200"/>
      <c r="AN91" s="200"/>
      <c r="AO91" s="200">
        <v>32</v>
      </c>
      <c r="AP91" s="418">
        <f>SUM(AQ91:AU91)</f>
        <v>0</v>
      </c>
      <c r="AQ91" s="200"/>
      <c r="AR91" s="200"/>
      <c r="AS91" s="200"/>
      <c r="AT91" s="200"/>
      <c r="AU91" s="200"/>
      <c r="AV91" s="418">
        <f>SUM(AW91:BA91)</f>
        <v>0</v>
      </c>
      <c r="AW91" s="200"/>
      <c r="AX91" s="200"/>
      <c r="AY91" s="200"/>
      <c r="AZ91" s="200"/>
      <c r="BA91" s="200"/>
      <c r="BB91" s="418">
        <f>SUM(BC91:BG91)</f>
        <v>0</v>
      </c>
      <c r="BC91" s="200"/>
      <c r="BD91" s="200"/>
      <c r="BE91" s="200"/>
      <c r="BF91" s="200"/>
      <c r="BG91" s="200"/>
      <c r="BH91" s="418">
        <f>SUM(BI91:BM91)</f>
        <v>0</v>
      </c>
      <c r="BI91" s="200"/>
      <c r="BJ91" s="200"/>
      <c r="BK91" s="200"/>
      <c r="BL91" s="200"/>
      <c r="BM91" s="200"/>
      <c r="BN91" s="418"/>
      <c r="BO91" s="200"/>
      <c r="BP91" s="200"/>
      <c r="BQ91" s="200"/>
      <c r="BR91" s="200"/>
      <c r="BS91" s="200"/>
      <c r="BT91" s="418"/>
      <c r="BU91" s="200"/>
      <c r="BV91" s="200"/>
      <c r="BW91" s="200"/>
      <c r="BX91" s="200"/>
      <c r="BY91" s="200"/>
      <c r="BZ91" s="425" t="s">
        <v>514</v>
      </c>
      <c r="CA91" s="200" t="s">
        <v>452</v>
      </c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  <c r="IW91" s="102"/>
      <c r="IX91" s="102"/>
      <c r="IY91" s="102"/>
      <c r="IZ91" s="102"/>
      <c r="JA91" s="102"/>
      <c r="JB91" s="102"/>
      <c r="JC91" s="102"/>
      <c r="JD91" s="102"/>
      <c r="JE91" s="102"/>
      <c r="JF91" s="102"/>
      <c r="JG91" s="102"/>
      <c r="JH91" s="102"/>
      <c r="JI91" s="102"/>
      <c r="JJ91" s="102"/>
      <c r="JK91" s="102"/>
      <c r="JL91" s="102"/>
      <c r="JM91" s="102"/>
      <c r="JN91" s="102"/>
      <c r="JO91" s="102"/>
      <c r="JP91" s="102"/>
      <c r="JQ91" s="102"/>
      <c r="JR91" s="102"/>
      <c r="JS91" s="102"/>
      <c r="JT91" s="102"/>
      <c r="JU91" s="102"/>
      <c r="JV91" s="102"/>
      <c r="JW91" s="102"/>
      <c r="JX91" s="102"/>
      <c r="JY91" s="102"/>
      <c r="JZ91" s="102"/>
      <c r="KA91" s="102"/>
      <c r="KB91" s="102"/>
      <c r="KC91" s="102"/>
      <c r="KD91" s="102"/>
      <c r="KE91" s="102"/>
      <c r="KF91" s="102"/>
      <c r="KG91" s="102"/>
      <c r="KH91" s="102"/>
      <c r="KI91" s="102"/>
      <c r="KJ91" s="102"/>
      <c r="KK91" s="102"/>
      <c r="KL91" s="102"/>
      <c r="KM91" s="102"/>
      <c r="KN91" s="102"/>
      <c r="KO91" s="102"/>
      <c r="KP91" s="102"/>
      <c r="KQ91" s="102"/>
      <c r="KR91" s="102"/>
      <c r="KS91" s="102"/>
      <c r="KT91" s="102"/>
      <c r="KU91" s="102"/>
      <c r="KV91" s="102"/>
      <c r="KW91" s="102"/>
      <c r="KX91" s="102"/>
      <c r="KY91" s="102"/>
      <c r="KZ91" s="102"/>
      <c r="LA91" s="102"/>
      <c r="LB91" s="102"/>
      <c r="LC91" s="102"/>
      <c r="LD91" s="102"/>
      <c r="LE91" s="102"/>
      <c r="LF91" s="102"/>
      <c r="LG91" s="102"/>
      <c r="LH91" s="102"/>
      <c r="LI91" s="102"/>
      <c r="LJ91" s="102"/>
      <c r="LK91" s="102"/>
      <c r="LL91" s="102"/>
      <c r="LM91" s="102"/>
      <c r="LN91" s="102"/>
      <c r="LO91" s="102"/>
      <c r="LP91" s="102"/>
      <c r="LQ91" s="102"/>
      <c r="LR91" s="102"/>
      <c r="LS91" s="102"/>
      <c r="LT91" s="102"/>
      <c r="LU91" s="102"/>
      <c r="LV91" s="102"/>
      <c r="LW91" s="102"/>
      <c r="LX91" s="102"/>
      <c r="LY91" s="102"/>
      <c r="LZ91" s="102"/>
      <c r="MA91" s="102"/>
      <c r="MB91" s="102"/>
      <c r="MC91" s="102"/>
      <c r="MD91" s="102"/>
      <c r="ME91" s="102"/>
      <c r="MF91" s="102"/>
      <c r="MG91" s="102"/>
      <c r="MH91" s="102"/>
      <c r="MI91" s="102"/>
      <c r="MJ91" s="102"/>
      <c r="MK91" s="102"/>
      <c r="ML91" s="102"/>
      <c r="MM91" s="102"/>
      <c r="MN91" s="102"/>
      <c r="MO91" s="102"/>
      <c r="MP91" s="102"/>
      <c r="MQ91" s="102"/>
      <c r="MR91" s="102"/>
      <c r="MS91" s="102"/>
      <c r="MT91" s="102"/>
      <c r="MU91" s="102"/>
      <c r="MV91" s="102"/>
      <c r="MW91" s="102"/>
      <c r="MX91" s="102"/>
      <c r="MY91" s="102"/>
      <c r="MZ91" s="102"/>
      <c r="NA91" s="102"/>
      <c r="NB91" s="102"/>
      <c r="NC91" s="102"/>
      <c r="ND91" s="102"/>
      <c r="NE91" s="102"/>
      <c r="NF91" s="102"/>
      <c r="NG91" s="102"/>
      <c r="NH91" s="102"/>
      <c r="NI91" s="102"/>
      <c r="NJ91" s="102"/>
      <c r="NK91" s="102"/>
      <c r="NL91" s="102"/>
      <c r="NM91" s="102"/>
      <c r="NN91" s="102"/>
      <c r="NO91" s="102"/>
      <c r="NP91" s="102"/>
      <c r="NQ91" s="102"/>
      <c r="NR91" s="102"/>
      <c r="NS91" s="102"/>
      <c r="NT91" s="102"/>
      <c r="NU91" s="102"/>
      <c r="NV91" s="102"/>
      <c r="NW91" s="102"/>
      <c r="NX91" s="102"/>
      <c r="NY91" s="102"/>
      <c r="NZ91" s="102"/>
      <c r="OA91" s="102"/>
      <c r="OB91" s="102"/>
      <c r="OC91" s="102"/>
      <c r="OD91" s="102"/>
      <c r="OE91" s="102"/>
      <c r="OF91" s="102"/>
      <c r="OG91" s="102"/>
      <c r="OH91" s="102"/>
      <c r="OI91" s="102"/>
      <c r="OJ91" s="102"/>
      <c r="OK91" s="102"/>
      <c r="OL91" s="102"/>
      <c r="OM91" s="102"/>
      <c r="ON91" s="102"/>
      <c r="OO91" s="102"/>
      <c r="OP91" s="102"/>
      <c r="OQ91" s="102"/>
      <c r="OR91" s="102"/>
      <c r="OS91" s="102"/>
      <c r="OT91" s="102"/>
      <c r="OU91" s="102"/>
      <c r="OV91" s="102"/>
      <c r="OW91" s="102"/>
      <c r="OX91" s="102"/>
      <c r="OY91" s="102"/>
      <c r="OZ91" s="102"/>
      <c r="PA91" s="102"/>
      <c r="PB91" s="102"/>
      <c r="PC91" s="102"/>
      <c r="PD91" s="102"/>
      <c r="PE91" s="102"/>
      <c r="PF91" s="102"/>
      <c r="PG91" s="102"/>
      <c r="PH91" s="102"/>
      <c r="PI91" s="102"/>
      <c r="PJ91" s="102"/>
      <c r="PK91" s="102"/>
      <c r="PL91" s="102"/>
      <c r="PM91" s="102"/>
      <c r="PN91" s="102"/>
      <c r="PO91" s="102"/>
      <c r="PP91" s="102"/>
      <c r="PQ91" s="102"/>
      <c r="PR91" s="102"/>
      <c r="PS91" s="102"/>
      <c r="PT91" s="102"/>
      <c r="PU91" s="102"/>
      <c r="PV91" s="102"/>
      <c r="PW91" s="102"/>
      <c r="PX91" s="102"/>
      <c r="PY91" s="102"/>
      <c r="PZ91" s="102"/>
      <c r="QA91" s="102"/>
      <c r="QB91" s="102"/>
      <c r="QC91" s="102"/>
      <c r="QD91" s="102"/>
      <c r="QE91" s="102"/>
      <c r="QF91" s="102"/>
      <c r="QG91" s="102"/>
      <c r="QH91" s="102"/>
      <c r="QI91" s="102"/>
      <c r="QJ91" s="102"/>
      <c r="QK91" s="102"/>
      <c r="QL91" s="102"/>
      <c r="QM91" s="102"/>
      <c r="QN91" s="102"/>
      <c r="QO91" s="102"/>
      <c r="QP91" s="102"/>
      <c r="QQ91" s="102"/>
      <c r="QR91" s="102"/>
      <c r="QS91" s="102"/>
      <c r="QT91" s="102"/>
      <c r="QU91" s="102"/>
      <c r="QV91" s="102"/>
      <c r="QW91" s="102"/>
      <c r="QX91" s="102"/>
      <c r="QY91" s="102"/>
      <c r="QZ91" s="102"/>
      <c r="RA91" s="102"/>
      <c r="RB91" s="102"/>
      <c r="RC91" s="102"/>
      <c r="RD91" s="102"/>
      <c r="RE91" s="102"/>
      <c r="RF91" s="102"/>
      <c r="RG91" s="102"/>
      <c r="RH91" s="102"/>
      <c r="RI91" s="102"/>
      <c r="RJ91" s="102"/>
      <c r="RK91" s="102"/>
      <c r="RL91" s="102"/>
      <c r="RM91" s="102"/>
      <c r="RN91" s="102"/>
      <c r="RO91" s="102"/>
      <c r="RP91" s="102"/>
      <c r="RQ91" s="102"/>
      <c r="RR91" s="102"/>
      <c r="RS91" s="102"/>
      <c r="RT91" s="102"/>
      <c r="RU91" s="102"/>
      <c r="RV91" s="102"/>
      <c r="RW91" s="102"/>
      <c r="RX91" s="102"/>
      <c r="RY91" s="102"/>
      <c r="RZ91" s="102"/>
      <c r="SA91" s="102"/>
      <c r="SB91" s="102"/>
      <c r="SC91" s="102"/>
      <c r="SD91" s="102"/>
      <c r="SE91" s="102"/>
      <c r="SF91" s="102"/>
      <c r="SG91" s="102"/>
      <c r="SH91" s="102"/>
      <c r="SI91" s="102"/>
      <c r="SJ91" s="102"/>
      <c r="SK91" s="102"/>
      <c r="SL91" s="102"/>
      <c r="SM91" s="102"/>
      <c r="SN91" s="102"/>
      <c r="SO91" s="102"/>
      <c r="SP91" s="102"/>
      <c r="SQ91" s="102"/>
      <c r="SR91" s="102"/>
      <c r="SS91" s="102"/>
      <c r="ST91" s="102"/>
      <c r="SU91" s="102"/>
      <c r="SV91" s="102"/>
      <c r="SW91" s="102"/>
      <c r="SX91" s="102"/>
      <c r="SY91" s="102"/>
      <c r="SZ91" s="102"/>
      <c r="TA91" s="102"/>
      <c r="TB91" s="102"/>
      <c r="TC91" s="102"/>
      <c r="TD91" s="102"/>
      <c r="TE91" s="102"/>
      <c r="TF91" s="102"/>
      <c r="TG91" s="102"/>
      <c r="TH91" s="102"/>
      <c r="TI91" s="102"/>
      <c r="TJ91" s="102"/>
      <c r="TK91" s="102"/>
    </row>
    <row r="92" spans="1:531" s="102" customFormat="1" ht="13.5" customHeight="1" x14ac:dyDescent="0.2">
      <c r="A92" s="426" t="s">
        <v>390</v>
      </c>
      <c r="B92" s="426"/>
      <c r="C92" s="426"/>
      <c r="D92" s="429">
        <v>5</v>
      </c>
      <c r="E92" s="426"/>
      <c r="F92" s="426"/>
      <c r="G92" s="426"/>
      <c r="H92" s="469"/>
      <c r="I92" s="470"/>
      <c r="J92" s="470"/>
      <c r="K92" s="428"/>
      <c r="L92" s="428"/>
      <c r="M92" s="428"/>
      <c r="N92" s="428"/>
      <c r="O92" s="428"/>
      <c r="P92" s="428"/>
      <c r="Q92" s="428"/>
      <c r="R92" s="428"/>
      <c r="S92" s="470"/>
      <c r="T92" s="470"/>
      <c r="U92" s="470"/>
      <c r="V92" s="470"/>
      <c r="W92" s="470"/>
      <c r="X92" s="428"/>
      <c r="Y92" s="470"/>
      <c r="Z92" s="470"/>
      <c r="AA92" s="470"/>
      <c r="AB92" s="470"/>
      <c r="AC92" s="470"/>
      <c r="AD92" s="428"/>
      <c r="AE92" s="470"/>
      <c r="AF92" s="470"/>
      <c r="AG92" s="470"/>
      <c r="AH92" s="470"/>
      <c r="AI92" s="470"/>
      <c r="AJ92" s="428"/>
      <c r="AK92" s="470"/>
      <c r="AL92" s="470"/>
      <c r="AM92" s="470"/>
      <c r="AN92" s="470"/>
      <c r="AO92" s="470"/>
      <c r="AP92" s="428"/>
      <c r="AQ92" s="470"/>
      <c r="AR92" s="470"/>
      <c r="AS92" s="470"/>
      <c r="AT92" s="470"/>
      <c r="AU92" s="470"/>
      <c r="AV92" s="428"/>
      <c r="AW92" s="470"/>
      <c r="AX92" s="470"/>
      <c r="AY92" s="470"/>
      <c r="AZ92" s="470"/>
      <c r="BA92" s="470"/>
      <c r="BB92" s="428"/>
      <c r="BC92" s="470"/>
      <c r="BD92" s="470"/>
      <c r="BE92" s="470"/>
      <c r="BF92" s="470"/>
      <c r="BG92" s="470"/>
      <c r="BH92" s="428"/>
      <c r="BI92" s="470"/>
      <c r="BJ92" s="470"/>
      <c r="BK92" s="470"/>
      <c r="BL92" s="470"/>
      <c r="BM92" s="470"/>
      <c r="BN92" s="428"/>
      <c r="BO92" s="470"/>
      <c r="BP92" s="470"/>
      <c r="BQ92" s="470"/>
      <c r="BR92" s="470"/>
      <c r="BS92" s="470"/>
      <c r="BT92" s="428"/>
      <c r="BU92" s="470"/>
      <c r="BV92" s="470"/>
      <c r="BW92" s="470"/>
      <c r="BX92" s="470"/>
      <c r="BY92" s="470"/>
      <c r="BZ92" s="469"/>
      <c r="CA92" s="470"/>
    </row>
    <row r="93" spans="1:531" s="100" customFormat="1" ht="27.75" customHeight="1" x14ac:dyDescent="0.2">
      <c r="A93" s="485" t="s">
        <v>349</v>
      </c>
      <c r="B93" s="686" t="s">
        <v>388</v>
      </c>
      <c r="C93" s="687"/>
      <c r="D93" s="687"/>
      <c r="E93" s="687"/>
      <c r="F93" s="687"/>
      <c r="G93" s="688"/>
      <c r="H93" s="486"/>
      <c r="I93" s="419">
        <v>1674</v>
      </c>
      <c r="J93" s="419">
        <v>1116</v>
      </c>
      <c r="K93" s="419">
        <f>SUM(K94:K95)</f>
        <v>225</v>
      </c>
      <c r="L93" s="419">
        <f>SUM(L94:L95)</f>
        <v>150</v>
      </c>
      <c r="M93" s="419">
        <f t="shared" ref="M93:Q93" si="334">SUM(M94:M95)</f>
        <v>92</v>
      </c>
      <c r="N93" s="419">
        <f t="shared" si="334"/>
        <v>58</v>
      </c>
      <c r="O93" s="419">
        <f t="shared" si="334"/>
        <v>0</v>
      </c>
      <c r="P93" s="419">
        <f t="shared" si="334"/>
        <v>0</v>
      </c>
      <c r="Q93" s="419">
        <f t="shared" si="334"/>
        <v>75</v>
      </c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>
        <f>AD94</f>
        <v>44</v>
      </c>
      <c r="AE93" s="419">
        <f t="shared" ref="AE93:AI93" si="335">AE94</f>
        <v>32</v>
      </c>
      <c r="AF93" s="419">
        <f t="shared" si="335"/>
        <v>0</v>
      </c>
      <c r="AG93" s="419">
        <f t="shared" si="335"/>
        <v>0</v>
      </c>
      <c r="AH93" s="419">
        <f t="shared" si="335"/>
        <v>0</v>
      </c>
      <c r="AI93" s="419">
        <f t="shared" si="335"/>
        <v>12</v>
      </c>
      <c r="AJ93" s="419">
        <f>AJ94</f>
        <v>106</v>
      </c>
      <c r="AK93" s="419">
        <f t="shared" ref="AK93" si="336">AK94</f>
        <v>60</v>
      </c>
      <c r="AL93" s="419">
        <f t="shared" ref="AL93" si="337">AL94</f>
        <v>8</v>
      </c>
      <c r="AM93" s="419">
        <f t="shared" ref="AM93" si="338">AM94</f>
        <v>0</v>
      </c>
      <c r="AN93" s="419">
        <f t="shared" ref="AN93" si="339">AN94</f>
        <v>0</v>
      </c>
      <c r="AO93" s="419">
        <f t="shared" ref="AO93" si="340">AO94</f>
        <v>38</v>
      </c>
      <c r="AP93" s="419">
        <f t="shared" ref="AP93" si="341">SUM(AP94:AP95)</f>
        <v>0</v>
      </c>
      <c r="AQ93" s="419">
        <f t="shared" ref="AQ93" si="342">SUM(AQ94:AQ95)</f>
        <v>0</v>
      </c>
      <c r="AR93" s="419">
        <f t="shared" ref="AR93" si="343">SUM(AR94:AR95)</f>
        <v>0</v>
      </c>
      <c r="AS93" s="419">
        <f t="shared" ref="AS93" si="344">SUM(AS94:AS95)</f>
        <v>0</v>
      </c>
      <c r="AT93" s="419">
        <f t="shared" ref="AT93" si="345">SUM(AT94:AT95)</f>
        <v>0</v>
      </c>
      <c r="AU93" s="419">
        <f t="shared" ref="AU93" si="346">SUM(AU94:AU95)</f>
        <v>0</v>
      </c>
      <c r="AV93" s="419">
        <f t="shared" ref="AV93" si="347">SUM(AV94:AV95)</f>
        <v>0</v>
      </c>
      <c r="AW93" s="419">
        <f t="shared" ref="AW93" si="348">SUM(AW94:AW95)</f>
        <v>0</v>
      </c>
      <c r="AX93" s="419">
        <f t="shared" ref="AX93" si="349">SUM(AX94:AX95)</f>
        <v>0</v>
      </c>
      <c r="AY93" s="419">
        <f t="shared" ref="AY93" si="350">SUM(AY94:AY95)</f>
        <v>0</v>
      </c>
      <c r="AZ93" s="419">
        <f t="shared" ref="AZ93" si="351">SUM(AZ94:AZ95)</f>
        <v>0</v>
      </c>
      <c r="BA93" s="419">
        <f t="shared" ref="BA93" si="352">SUM(BA94:BA95)</f>
        <v>0</v>
      </c>
      <c r="BB93" s="419">
        <f t="shared" ref="BB93" si="353">SUM(BB94:BB95)</f>
        <v>0</v>
      </c>
      <c r="BC93" s="419">
        <f t="shared" ref="BC93" si="354">SUM(BC94:BC95)</f>
        <v>0</v>
      </c>
      <c r="BD93" s="419">
        <f t="shared" ref="BD93" si="355">SUM(BD94:BD95)</f>
        <v>0</v>
      </c>
      <c r="BE93" s="419">
        <f t="shared" ref="BE93" si="356">SUM(BE94:BE95)</f>
        <v>0</v>
      </c>
      <c r="BF93" s="419">
        <f t="shared" ref="BF93" si="357">SUM(BF94:BF95)</f>
        <v>0</v>
      </c>
      <c r="BG93" s="419">
        <f t="shared" ref="BG93" si="358">SUM(BG94:BG95)</f>
        <v>0</v>
      </c>
      <c r="BH93" s="419">
        <f t="shared" ref="BH93" si="359">SUM(BH94:BH95)</f>
        <v>0</v>
      </c>
      <c r="BI93" s="419">
        <f t="shared" ref="BI93" si="360">SUM(BI94:BI95)</f>
        <v>0</v>
      </c>
      <c r="BJ93" s="419">
        <f t="shared" ref="BJ93" si="361">SUM(BJ94:BJ95)</f>
        <v>0</v>
      </c>
      <c r="BK93" s="419">
        <f t="shared" ref="BK93" si="362">SUM(BK94:BK95)</f>
        <v>0</v>
      </c>
      <c r="BL93" s="419">
        <f t="shared" ref="BL93" si="363">SUM(BL94:BL95)</f>
        <v>0</v>
      </c>
      <c r="BM93" s="419">
        <f t="shared" ref="BM93" si="364">SUM(BM94:BM95)</f>
        <v>0</v>
      </c>
      <c r="BN93" s="419">
        <f t="shared" ref="BN93" si="365">SUM(BN94:BN95)</f>
        <v>0</v>
      </c>
      <c r="BO93" s="419">
        <f t="shared" ref="BO93" si="366">SUM(BO94:BO95)</f>
        <v>0</v>
      </c>
      <c r="BP93" s="419">
        <f t="shared" ref="BP93" si="367">SUM(BP94:BP95)</f>
        <v>16</v>
      </c>
      <c r="BQ93" s="419">
        <f t="shared" ref="BQ93" si="368">SUM(BQ94:BQ95)</f>
        <v>0</v>
      </c>
      <c r="BR93" s="419">
        <f t="shared" ref="BR93" si="369">SUM(BR94:BR95)</f>
        <v>0</v>
      </c>
      <c r="BS93" s="419">
        <f t="shared" ref="BS93" si="370">SUM(BS94:BS95)</f>
        <v>8</v>
      </c>
      <c r="BT93" s="419">
        <f>SUM(BT94:BT95)</f>
        <v>51</v>
      </c>
      <c r="BU93" s="419">
        <f t="shared" ref="BU93" si="371">SUM(BU94:BU95)</f>
        <v>0</v>
      </c>
      <c r="BV93" s="419">
        <f t="shared" ref="BV93" si="372">SUM(BV94:BV95)</f>
        <v>34</v>
      </c>
      <c r="BW93" s="419">
        <f t="shared" ref="BW93" si="373">SUM(BW94:BW95)</f>
        <v>0</v>
      </c>
      <c r="BX93" s="419">
        <f t="shared" ref="BX93" si="374">SUM(BX94:BX95)</f>
        <v>0</v>
      </c>
      <c r="BY93" s="419">
        <f t="shared" ref="BY93" si="375">SUM(BY94:BY95)</f>
        <v>17</v>
      </c>
      <c r="BZ93" s="487"/>
      <c r="CA93" s="488"/>
    </row>
    <row r="94" spans="1:531" s="135" customFormat="1" ht="37.5" customHeight="1" x14ac:dyDescent="0.2">
      <c r="A94" s="437" t="s">
        <v>550</v>
      </c>
      <c r="B94" s="223" t="s">
        <v>470</v>
      </c>
      <c r="C94" s="223" t="s">
        <v>589</v>
      </c>
      <c r="D94" s="448" t="s">
        <v>40</v>
      </c>
      <c r="E94" s="448"/>
      <c r="F94" s="448"/>
      <c r="G94" s="425"/>
      <c r="H94" s="425" t="s">
        <v>30</v>
      </c>
      <c r="I94" s="202"/>
      <c r="J94" s="200"/>
      <c r="K94" s="419">
        <f>L94+SUM(Q94:Q94)</f>
        <v>150</v>
      </c>
      <c r="L94" s="419">
        <f>SUM(M94:P94)</f>
        <v>100</v>
      </c>
      <c r="M94" s="419">
        <f t="shared" ref="M94:Q95" si="376">S94+Y94+AE94+AK94+AQ94+AW94+BC94+BI94+BO94+BU94</f>
        <v>92</v>
      </c>
      <c r="N94" s="419">
        <f t="shared" si="376"/>
        <v>8</v>
      </c>
      <c r="O94" s="419">
        <f t="shared" si="376"/>
        <v>0</v>
      </c>
      <c r="P94" s="419">
        <f t="shared" si="376"/>
        <v>0</v>
      </c>
      <c r="Q94" s="419">
        <f t="shared" si="376"/>
        <v>50</v>
      </c>
      <c r="R94" s="418"/>
      <c r="S94" s="200"/>
      <c r="T94" s="200"/>
      <c r="U94" s="200"/>
      <c r="V94" s="200"/>
      <c r="W94" s="200"/>
      <c r="X94" s="418"/>
      <c r="Y94" s="200"/>
      <c r="Z94" s="200"/>
      <c r="AA94" s="200"/>
      <c r="AB94" s="200"/>
      <c r="AC94" s="200"/>
      <c r="AD94" s="418">
        <f>SUM(AE94:AI94)</f>
        <v>44</v>
      </c>
      <c r="AE94" s="200">
        <v>32</v>
      </c>
      <c r="AF94" s="200"/>
      <c r="AG94" s="200"/>
      <c r="AH94" s="200"/>
      <c r="AI94" s="200">
        <v>12</v>
      </c>
      <c r="AJ94" s="418">
        <f>SUM(AK94:AO94)</f>
        <v>106</v>
      </c>
      <c r="AK94" s="200">
        <v>60</v>
      </c>
      <c r="AL94" s="200">
        <v>8</v>
      </c>
      <c r="AM94" s="200"/>
      <c r="AN94" s="200"/>
      <c r="AO94" s="200">
        <v>38</v>
      </c>
      <c r="AP94" s="418">
        <f>SUM(AQ94:AU94)</f>
        <v>0</v>
      </c>
      <c r="AQ94" s="200"/>
      <c r="AR94" s="200"/>
      <c r="AS94" s="200"/>
      <c r="AT94" s="200"/>
      <c r="AU94" s="200"/>
      <c r="AV94" s="418"/>
      <c r="AW94" s="200"/>
      <c r="AX94" s="200"/>
      <c r="AY94" s="200"/>
      <c r="AZ94" s="200"/>
      <c r="BA94" s="200"/>
      <c r="BB94" s="418"/>
      <c r="BC94" s="200"/>
      <c r="BD94" s="200"/>
      <c r="BE94" s="200"/>
      <c r="BF94" s="200"/>
      <c r="BG94" s="200"/>
      <c r="BH94" s="418"/>
      <c r="BI94" s="200"/>
      <c r="BJ94" s="200"/>
      <c r="BK94" s="200"/>
      <c r="BL94" s="200"/>
      <c r="BM94" s="200"/>
      <c r="BN94" s="418"/>
      <c r="BO94" s="200"/>
      <c r="BP94" s="200"/>
      <c r="BQ94" s="200"/>
      <c r="BR94" s="200"/>
      <c r="BS94" s="200"/>
      <c r="BT94" s="418"/>
      <c r="BU94" s="200"/>
      <c r="BV94" s="200"/>
      <c r="BW94" s="200"/>
      <c r="BX94" s="200"/>
      <c r="BY94" s="200"/>
      <c r="BZ94" s="203" t="s">
        <v>514</v>
      </c>
      <c r="CA94" s="205" t="s">
        <v>646</v>
      </c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  <c r="IQ94" s="102"/>
      <c r="IR94" s="102"/>
      <c r="IS94" s="102"/>
      <c r="IT94" s="102"/>
      <c r="IU94" s="102"/>
      <c r="IV94" s="102"/>
      <c r="IW94" s="102"/>
      <c r="IX94" s="102"/>
      <c r="IY94" s="102"/>
      <c r="IZ94" s="102"/>
      <c r="JA94" s="102"/>
      <c r="JB94" s="102"/>
      <c r="JC94" s="102"/>
      <c r="JD94" s="102"/>
      <c r="JE94" s="102"/>
      <c r="JF94" s="102"/>
      <c r="JG94" s="102"/>
      <c r="JH94" s="102"/>
      <c r="JI94" s="102"/>
      <c r="JJ94" s="102"/>
      <c r="JK94" s="102"/>
      <c r="JL94" s="102"/>
      <c r="JM94" s="102"/>
      <c r="JN94" s="102"/>
      <c r="JO94" s="102"/>
      <c r="JP94" s="102"/>
      <c r="JQ94" s="102"/>
      <c r="JR94" s="102"/>
      <c r="JS94" s="102"/>
      <c r="JT94" s="102"/>
      <c r="JU94" s="102"/>
      <c r="JV94" s="102"/>
      <c r="JW94" s="102"/>
      <c r="JX94" s="102"/>
      <c r="JY94" s="102"/>
      <c r="JZ94" s="102"/>
      <c r="KA94" s="102"/>
      <c r="KB94" s="102"/>
      <c r="KC94" s="102"/>
      <c r="KD94" s="102"/>
      <c r="KE94" s="102"/>
      <c r="KF94" s="102"/>
      <c r="KG94" s="102"/>
      <c r="KH94" s="102"/>
      <c r="KI94" s="102"/>
      <c r="KJ94" s="102"/>
      <c r="KK94" s="102"/>
      <c r="KL94" s="102"/>
      <c r="KM94" s="102"/>
      <c r="KN94" s="102"/>
      <c r="KO94" s="102"/>
      <c r="KP94" s="102"/>
      <c r="KQ94" s="102"/>
      <c r="KR94" s="102"/>
      <c r="KS94" s="102"/>
      <c r="KT94" s="102"/>
      <c r="KU94" s="102"/>
      <c r="KV94" s="102"/>
      <c r="KW94" s="102"/>
      <c r="KX94" s="102"/>
      <c r="KY94" s="102"/>
      <c r="KZ94" s="102"/>
      <c r="LA94" s="102"/>
      <c r="LB94" s="102"/>
      <c r="LC94" s="102"/>
      <c r="LD94" s="102"/>
      <c r="LE94" s="102"/>
      <c r="LF94" s="102"/>
      <c r="LG94" s="102"/>
      <c r="LH94" s="102"/>
      <c r="LI94" s="102"/>
      <c r="LJ94" s="102"/>
      <c r="LK94" s="102"/>
      <c r="LL94" s="102"/>
      <c r="LM94" s="102"/>
      <c r="LN94" s="102"/>
      <c r="LO94" s="102"/>
      <c r="LP94" s="102"/>
      <c r="LQ94" s="102"/>
      <c r="LR94" s="102"/>
      <c r="LS94" s="102"/>
      <c r="LT94" s="102"/>
      <c r="LU94" s="102"/>
      <c r="LV94" s="102"/>
      <c r="LW94" s="102"/>
      <c r="LX94" s="102"/>
      <c r="LY94" s="102"/>
      <c r="LZ94" s="102"/>
      <c r="MA94" s="102"/>
      <c r="MB94" s="102"/>
      <c r="MC94" s="102"/>
      <c r="MD94" s="102"/>
      <c r="ME94" s="102"/>
      <c r="MF94" s="102"/>
      <c r="MG94" s="102"/>
      <c r="MH94" s="102"/>
      <c r="MI94" s="102"/>
      <c r="MJ94" s="102"/>
      <c r="MK94" s="102"/>
      <c r="ML94" s="102"/>
      <c r="MM94" s="102"/>
      <c r="MN94" s="102"/>
      <c r="MO94" s="102"/>
      <c r="MP94" s="102"/>
      <c r="MQ94" s="102"/>
      <c r="MR94" s="102"/>
      <c r="MS94" s="102"/>
      <c r="MT94" s="102"/>
      <c r="MU94" s="102"/>
      <c r="MV94" s="102"/>
      <c r="MW94" s="102"/>
      <c r="MX94" s="102"/>
      <c r="MY94" s="102"/>
      <c r="MZ94" s="102"/>
      <c r="NA94" s="102"/>
      <c r="NB94" s="102"/>
      <c r="NC94" s="102"/>
      <c r="ND94" s="102"/>
      <c r="NE94" s="102"/>
      <c r="NF94" s="102"/>
      <c r="NG94" s="102"/>
      <c r="NH94" s="102"/>
      <c r="NI94" s="102"/>
      <c r="NJ94" s="102"/>
      <c r="NK94" s="102"/>
      <c r="NL94" s="102"/>
      <c r="NM94" s="102"/>
      <c r="NN94" s="102"/>
      <c r="NO94" s="102"/>
      <c r="NP94" s="102"/>
      <c r="NQ94" s="102"/>
      <c r="NR94" s="102"/>
      <c r="NS94" s="102"/>
      <c r="NT94" s="102"/>
      <c r="NU94" s="102"/>
      <c r="NV94" s="102"/>
      <c r="NW94" s="102"/>
      <c r="NX94" s="102"/>
      <c r="NY94" s="102"/>
      <c r="NZ94" s="102"/>
      <c r="OA94" s="102"/>
      <c r="OB94" s="102"/>
      <c r="OC94" s="102"/>
      <c r="OD94" s="102"/>
      <c r="OE94" s="102"/>
      <c r="OF94" s="102"/>
      <c r="OG94" s="102"/>
      <c r="OH94" s="102"/>
      <c r="OI94" s="102"/>
      <c r="OJ94" s="102"/>
      <c r="OK94" s="102"/>
      <c r="OL94" s="102"/>
      <c r="OM94" s="102"/>
      <c r="ON94" s="102"/>
      <c r="OO94" s="102"/>
      <c r="OP94" s="102"/>
      <c r="OQ94" s="102"/>
      <c r="OR94" s="102"/>
      <c r="OS94" s="102"/>
      <c r="OT94" s="102"/>
      <c r="OU94" s="102"/>
      <c r="OV94" s="102"/>
      <c r="OW94" s="102"/>
      <c r="OX94" s="102"/>
      <c r="OY94" s="102"/>
      <c r="OZ94" s="102"/>
      <c r="PA94" s="102"/>
      <c r="PB94" s="102"/>
      <c r="PC94" s="102"/>
      <c r="PD94" s="102"/>
      <c r="PE94" s="102"/>
      <c r="PF94" s="102"/>
      <c r="PG94" s="102"/>
      <c r="PH94" s="102"/>
      <c r="PI94" s="102"/>
      <c r="PJ94" s="102"/>
      <c r="PK94" s="102"/>
      <c r="PL94" s="102"/>
      <c r="PM94" s="102"/>
      <c r="PN94" s="102"/>
      <c r="PO94" s="102"/>
      <c r="PP94" s="102"/>
      <c r="PQ94" s="102"/>
      <c r="PR94" s="102"/>
      <c r="PS94" s="102"/>
      <c r="PT94" s="102"/>
      <c r="PU94" s="102"/>
      <c r="PV94" s="102"/>
      <c r="PW94" s="102"/>
      <c r="PX94" s="102"/>
      <c r="PY94" s="102"/>
      <c r="PZ94" s="102"/>
      <c r="QA94" s="102"/>
      <c r="QB94" s="102"/>
      <c r="QC94" s="102"/>
      <c r="QD94" s="102"/>
      <c r="QE94" s="102"/>
      <c r="QF94" s="102"/>
      <c r="QG94" s="102"/>
      <c r="QH94" s="102"/>
      <c r="QI94" s="102"/>
      <c r="QJ94" s="102"/>
      <c r="QK94" s="102"/>
      <c r="QL94" s="102"/>
      <c r="QM94" s="102"/>
      <c r="QN94" s="102"/>
      <c r="QO94" s="102"/>
      <c r="QP94" s="102"/>
      <c r="QQ94" s="102"/>
      <c r="QR94" s="102"/>
      <c r="QS94" s="102"/>
      <c r="QT94" s="102"/>
      <c r="QU94" s="102"/>
      <c r="QV94" s="102"/>
      <c r="QW94" s="102"/>
      <c r="QX94" s="102"/>
      <c r="QY94" s="102"/>
      <c r="QZ94" s="102"/>
      <c r="RA94" s="102"/>
      <c r="RB94" s="102"/>
      <c r="RC94" s="102"/>
      <c r="RD94" s="102"/>
      <c r="RE94" s="102"/>
      <c r="RF94" s="102"/>
      <c r="RG94" s="102"/>
      <c r="RH94" s="102"/>
      <c r="RI94" s="102"/>
      <c r="RJ94" s="102"/>
      <c r="RK94" s="102"/>
      <c r="RL94" s="102"/>
      <c r="RM94" s="102"/>
      <c r="RN94" s="102"/>
      <c r="RO94" s="102"/>
      <c r="RP94" s="102"/>
      <c r="RQ94" s="102"/>
      <c r="RR94" s="102"/>
      <c r="RS94" s="102"/>
      <c r="RT94" s="102"/>
      <c r="RU94" s="102"/>
      <c r="RV94" s="102"/>
      <c r="RW94" s="102"/>
      <c r="RX94" s="102"/>
      <c r="RY94" s="102"/>
      <c r="RZ94" s="102"/>
      <c r="SA94" s="102"/>
      <c r="SB94" s="102"/>
      <c r="SC94" s="102"/>
      <c r="SD94" s="102"/>
      <c r="SE94" s="102"/>
      <c r="SF94" s="102"/>
      <c r="SG94" s="102"/>
      <c r="SH94" s="102"/>
      <c r="SI94" s="102"/>
      <c r="SJ94" s="102"/>
      <c r="SK94" s="102"/>
      <c r="SL94" s="102"/>
      <c r="SM94" s="102"/>
      <c r="SN94" s="102"/>
      <c r="SO94" s="102"/>
      <c r="SP94" s="102"/>
      <c r="SQ94" s="102"/>
      <c r="SR94" s="102"/>
      <c r="SS94" s="102"/>
      <c r="ST94" s="102"/>
      <c r="SU94" s="102"/>
      <c r="SV94" s="102"/>
      <c r="SW94" s="102"/>
      <c r="SX94" s="102"/>
      <c r="SY94" s="102"/>
      <c r="SZ94" s="102"/>
      <c r="TA94" s="102"/>
      <c r="TB94" s="102"/>
      <c r="TC94" s="102"/>
      <c r="TD94" s="102"/>
      <c r="TE94" s="102"/>
      <c r="TF94" s="102"/>
      <c r="TG94" s="102"/>
      <c r="TH94" s="102"/>
      <c r="TI94" s="102"/>
      <c r="TJ94" s="102"/>
      <c r="TK94" s="102"/>
    </row>
    <row r="95" spans="1:531" s="97" customFormat="1" ht="30.75" customHeight="1" x14ac:dyDescent="0.2">
      <c r="A95" s="437" t="s">
        <v>549</v>
      </c>
      <c r="B95" s="223" t="s">
        <v>555</v>
      </c>
      <c r="C95" s="223"/>
      <c r="D95" s="425"/>
      <c r="E95" s="425" t="s">
        <v>423</v>
      </c>
      <c r="F95" s="425"/>
      <c r="G95" s="425"/>
      <c r="H95" s="103" t="s">
        <v>39</v>
      </c>
      <c r="I95" s="200"/>
      <c r="J95" s="200"/>
      <c r="K95" s="419">
        <f>L95+SUM(Q95:Q95)</f>
        <v>75</v>
      </c>
      <c r="L95" s="419">
        <f>SUM(M95:P95)</f>
        <v>50</v>
      </c>
      <c r="M95" s="419">
        <f t="shared" si="376"/>
        <v>0</v>
      </c>
      <c r="N95" s="419">
        <f t="shared" si="376"/>
        <v>50</v>
      </c>
      <c r="O95" s="419">
        <f t="shared" si="376"/>
        <v>0</v>
      </c>
      <c r="P95" s="419">
        <f t="shared" si="376"/>
        <v>0</v>
      </c>
      <c r="Q95" s="419">
        <f t="shared" si="376"/>
        <v>25</v>
      </c>
      <c r="R95" s="418"/>
      <c r="S95" s="200"/>
      <c r="T95" s="200"/>
      <c r="U95" s="200"/>
      <c r="V95" s="200"/>
      <c r="W95" s="200"/>
      <c r="X95" s="418"/>
      <c r="Y95" s="200"/>
      <c r="Z95" s="200"/>
      <c r="AA95" s="200"/>
      <c r="AB95" s="200"/>
      <c r="AC95" s="200"/>
      <c r="AD95" s="418"/>
      <c r="AE95" s="200"/>
      <c r="AF95" s="200"/>
      <c r="AG95" s="200"/>
      <c r="AH95" s="200"/>
      <c r="AI95" s="200"/>
      <c r="AJ95" s="418"/>
      <c r="AK95" s="200"/>
      <c r="AL95" s="200"/>
      <c r="AM95" s="200"/>
      <c r="AN95" s="200"/>
      <c r="AO95" s="200"/>
      <c r="AP95" s="418"/>
      <c r="AQ95" s="200"/>
      <c r="AR95" s="200"/>
      <c r="AS95" s="200"/>
      <c r="AT95" s="200"/>
      <c r="AU95" s="200"/>
      <c r="AV95" s="418"/>
      <c r="AW95" s="200"/>
      <c r="AX95" s="200"/>
      <c r="AY95" s="200"/>
      <c r="AZ95" s="200"/>
      <c r="BA95" s="200"/>
      <c r="BB95" s="418"/>
      <c r="BC95" s="200"/>
      <c r="BD95" s="200"/>
      <c r="BE95" s="200"/>
      <c r="BF95" s="200"/>
      <c r="BG95" s="200"/>
      <c r="BH95" s="418"/>
      <c r="BI95" s="200"/>
      <c r="BJ95" s="200"/>
      <c r="BK95" s="200"/>
      <c r="BL95" s="200"/>
      <c r="BM95" s="200"/>
      <c r="BN95" s="418"/>
      <c r="BO95" s="200"/>
      <c r="BP95" s="200">
        <v>16</v>
      </c>
      <c r="BQ95" s="200"/>
      <c r="BR95" s="200"/>
      <c r="BS95" s="200">
        <v>8</v>
      </c>
      <c r="BT95" s="418">
        <f>SUM(BU95:BY95)</f>
        <v>51</v>
      </c>
      <c r="BU95" s="200"/>
      <c r="BV95" s="200">
        <v>34</v>
      </c>
      <c r="BW95" s="200"/>
      <c r="BX95" s="200"/>
      <c r="BY95" s="200">
        <v>17</v>
      </c>
      <c r="BZ95" s="425" t="s">
        <v>504</v>
      </c>
      <c r="CA95" s="440" t="s">
        <v>471</v>
      </c>
    </row>
    <row r="96" spans="1:531" s="100" customFormat="1" ht="27" customHeight="1" x14ac:dyDescent="0.2">
      <c r="A96" s="430" t="s">
        <v>214</v>
      </c>
      <c r="B96" s="489" t="s">
        <v>6</v>
      </c>
      <c r="C96" s="489"/>
      <c r="D96" s="489"/>
      <c r="E96" s="431"/>
      <c r="F96" s="431">
        <v>4</v>
      </c>
      <c r="G96" s="489"/>
      <c r="H96" s="489"/>
      <c r="I96" s="432"/>
      <c r="J96" s="432"/>
      <c r="K96" s="432">
        <f t="shared" ref="K96:AF96" si="377">SUM(K97:K100)</f>
        <v>324</v>
      </c>
      <c r="L96" s="432">
        <f t="shared" si="377"/>
        <v>324</v>
      </c>
      <c r="M96" s="432">
        <f t="shared" si="377"/>
        <v>0</v>
      </c>
      <c r="N96" s="432">
        <f t="shared" si="377"/>
        <v>0</v>
      </c>
      <c r="O96" s="432">
        <f t="shared" si="377"/>
        <v>0</v>
      </c>
      <c r="P96" s="432">
        <f t="shared" si="377"/>
        <v>324</v>
      </c>
      <c r="Q96" s="432">
        <f t="shared" si="377"/>
        <v>0</v>
      </c>
      <c r="R96" s="432">
        <f t="shared" si="377"/>
        <v>0</v>
      </c>
      <c r="S96" s="432">
        <f t="shared" si="377"/>
        <v>0</v>
      </c>
      <c r="T96" s="432">
        <f t="shared" si="377"/>
        <v>0</v>
      </c>
      <c r="U96" s="432">
        <f t="shared" si="377"/>
        <v>0</v>
      </c>
      <c r="V96" s="432">
        <f t="shared" si="377"/>
        <v>0</v>
      </c>
      <c r="W96" s="432">
        <f t="shared" si="377"/>
        <v>0</v>
      </c>
      <c r="X96" s="432">
        <f t="shared" si="377"/>
        <v>0</v>
      </c>
      <c r="Y96" s="432">
        <f t="shared" si="377"/>
        <v>0</v>
      </c>
      <c r="Z96" s="432">
        <f t="shared" si="377"/>
        <v>0</v>
      </c>
      <c r="AA96" s="432">
        <f t="shared" si="377"/>
        <v>0</v>
      </c>
      <c r="AB96" s="432">
        <f t="shared" si="377"/>
        <v>0</v>
      </c>
      <c r="AC96" s="432">
        <f t="shared" si="377"/>
        <v>0</v>
      </c>
      <c r="AD96" s="432">
        <f t="shared" si="377"/>
        <v>0</v>
      </c>
      <c r="AE96" s="432">
        <f t="shared" si="377"/>
        <v>0</v>
      </c>
      <c r="AF96" s="432">
        <f t="shared" si="377"/>
        <v>0</v>
      </c>
      <c r="AG96" s="432">
        <f t="shared" ref="AG96:BA96" si="378">SUM(AG97:AG100)</f>
        <v>0</v>
      </c>
      <c r="AH96" s="432">
        <f t="shared" si="378"/>
        <v>0</v>
      </c>
      <c r="AI96" s="432">
        <f t="shared" si="378"/>
        <v>0</v>
      </c>
      <c r="AJ96" s="432">
        <f t="shared" si="378"/>
        <v>324</v>
      </c>
      <c r="AK96" s="432">
        <f t="shared" si="378"/>
        <v>0</v>
      </c>
      <c r="AL96" s="432">
        <f t="shared" si="378"/>
        <v>0</v>
      </c>
      <c r="AM96" s="432">
        <f t="shared" si="378"/>
        <v>0</v>
      </c>
      <c r="AN96" s="432">
        <f t="shared" si="378"/>
        <v>324</v>
      </c>
      <c r="AO96" s="432">
        <f t="shared" si="378"/>
        <v>0</v>
      </c>
      <c r="AP96" s="432">
        <f t="shared" si="378"/>
        <v>0</v>
      </c>
      <c r="AQ96" s="432">
        <f t="shared" si="378"/>
        <v>0</v>
      </c>
      <c r="AR96" s="432">
        <f t="shared" si="378"/>
        <v>0</v>
      </c>
      <c r="AS96" s="432">
        <f t="shared" si="378"/>
        <v>0</v>
      </c>
      <c r="AT96" s="432">
        <f t="shared" si="378"/>
        <v>0</v>
      </c>
      <c r="AU96" s="432">
        <f t="shared" si="378"/>
        <v>0</v>
      </c>
      <c r="AV96" s="432">
        <f t="shared" si="378"/>
        <v>0</v>
      </c>
      <c r="AW96" s="432">
        <f t="shared" si="378"/>
        <v>0</v>
      </c>
      <c r="AX96" s="432">
        <f t="shared" si="378"/>
        <v>0</v>
      </c>
      <c r="AY96" s="432">
        <f t="shared" si="378"/>
        <v>0</v>
      </c>
      <c r="AZ96" s="432">
        <f t="shared" si="378"/>
        <v>0</v>
      </c>
      <c r="BA96" s="432">
        <f t="shared" si="378"/>
        <v>0</v>
      </c>
      <c r="BB96" s="432">
        <f t="shared" ref="BB96:BW96" si="379">SUM(BB97:BB100)</f>
        <v>0</v>
      </c>
      <c r="BC96" s="432">
        <f t="shared" si="379"/>
        <v>0</v>
      </c>
      <c r="BD96" s="432">
        <f t="shared" si="379"/>
        <v>0</v>
      </c>
      <c r="BE96" s="432">
        <f t="shared" si="379"/>
        <v>0</v>
      </c>
      <c r="BF96" s="432">
        <f t="shared" si="379"/>
        <v>0</v>
      </c>
      <c r="BG96" s="432">
        <f t="shared" si="379"/>
        <v>0</v>
      </c>
      <c r="BH96" s="432">
        <f t="shared" si="379"/>
        <v>0</v>
      </c>
      <c r="BI96" s="432">
        <f t="shared" si="379"/>
        <v>0</v>
      </c>
      <c r="BJ96" s="432">
        <f t="shared" si="379"/>
        <v>0</v>
      </c>
      <c r="BK96" s="432">
        <f t="shared" si="379"/>
        <v>0</v>
      </c>
      <c r="BL96" s="432">
        <f t="shared" si="379"/>
        <v>0</v>
      </c>
      <c r="BM96" s="432">
        <f t="shared" si="379"/>
        <v>0</v>
      </c>
      <c r="BN96" s="432">
        <f t="shared" si="379"/>
        <v>0</v>
      </c>
      <c r="BO96" s="432">
        <f t="shared" si="379"/>
        <v>0</v>
      </c>
      <c r="BP96" s="432">
        <f t="shared" si="379"/>
        <v>0</v>
      </c>
      <c r="BQ96" s="432">
        <f t="shared" si="379"/>
        <v>0</v>
      </c>
      <c r="BR96" s="432">
        <f t="shared" si="379"/>
        <v>0</v>
      </c>
      <c r="BS96" s="432">
        <f t="shared" si="379"/>
        <v>0</v>
      </c>
      <c r="BT96" s="432">
        <f t="shared" si="379"/>
        <v>0</v>
      </c>
      <c r="BU96" s="432">
        <f t="shared" si="379"/>
        <v>0</v>
      </c>
      <c r="BV96" s="432">
        <f t="shared" si="379"/>
        <v>0</v>
      </c>
      <c r="BW96" s="432">
        <f t="shared" si="379"/>
        <v>0</v>
      </c>
      <c r="BX96" s="432">
        <f t="shared" ref="BX96:BY96" si="380">SUM(BX97:BX100)</f>
        <v>0</v>
      </c>
      <c r="BY96" s="432">
        <f t="shared" si="380"/>
        <v>0</v>
      </c>
      <c r="BZ96" s="433" t="s">
        <v>515</v>
      </c>
      <c r="CA96" s="538" t="s">
        <v>399</v>
      </c>
    </row>
    <row r="97" spans="1:129" s="97" customFormat="1" ht="33.75" customHeight="1" x14ac:dyDescent="0.2">
      <c r="A97" s="437" t="s">
        <v>215</v>
      </c>
      <c r="B97" s="223" t="s">
        <v>500</v>
      </c>
      <c r="C97" s="223"/>
      <c r="D97" s="425"/>
      <c r="E97" s="425" t="s">
        <v>40</v>
      </c>
      <c r="F97" s="425"/>
      <c r="G97" s="425"/>
      <c r="H97" s="425"/>
      <c r="I97" s="200"/>
      <c r="J97" s="200"/>
      <c r="K97" s="419">
        <f>L97+SUM(Q97:Q97)</f>
        <v>36</v>
      </c>
      <c r="L97" s="419">
        <f>SUM(M97:P97)</f>
        <v>36</v>
      </c>
      <c r="M97" s="419">
        <f t="shared" ref="M97:Q100" si="381">S97+Y97+AE97+AK97+AQ97+AW97+BC97+BI97+BO97+BU97</f>
        <v>0</v>
      </c>
      <c r="N97" s="419">
        <f t="shared" si="381"/>
        <v>0</v>
      </c>
      <c r="O97" s="419">
        <f t="shared" si="381"/>
        <v>0</v>
      </c>
      <c r="P97" s="419">
        <f t="shared" si="381"/>
        <v>36</v>
      </c>
      <c r="Q97" s="419">
        <f t="shared" si="381"/>
        <v>0</v>
      </c>
      <c r="R97" s="418">
        <f>SUM(S97:W97)</f>
        <v>0</v>
      </c>
      <c r="S97" s="200"/>
      <c r="T97" s="200"/>
      <c r="U97" s="200"/>
      <c r="V97" s="200"/>
      <c r="W97" s="200"/>
      <c r="X97" s="418">
        <f>SUM(Y97:AC97)</f>
        <v>0</v>
      </c>
      <c r="Y97" s="200"/>
      <c r="Z97" s="200"/>
      <c r="AA97" s="200"/>
      <c r="AB97" s="200"/>
      <c r="AC97" s="200"/>
      <c r="AD97" s="418">
        <f>SUM(AE97:AI97)</f>
        <v>0</v>
      </c>
      <c r="AE97" s="200"/>
      <c r="AF97" s="200"/>
      <c r="AG97" s="200"/>
      <c r="AH97" s="200"/>
      <c r="AI97" s="200"/>
      <c r="AJ97" s="418">
        <f>SUM(AK97:AO97)</f>
        <v>36</v>
      </c>
      <c r="AK97" s="200"/>
      <c r="AL97" s="200"/>
      <c r="AM97" s="200"/>
      <c r="AN97" s="200">
        <v>36</v>
      </c>
      <c r="AO97" s="200"/>
      <c r="AP97" s="418">
        <f>SUM(AQ97:AU97)</f>
        <v>0</v>
      </c>
      <c r="AQ97" s="200"/>
      <c r="AR97" s="200"/>
      <c r="AS97" s="200"/>
      <c r="AT97" s="200"/>
      <c r="AU97" s="200"/>
      <c r="AV97" s="418">
        <f>SUM(AW97:BA97)</f>
        <v>0</v>
      </c>
      <c r="AW97" s="200"/>
      <c r="AX97" s="200"/>
      <c r="AY97" s="200"/>
      <c r="AZ97" s="200"/>
      <c r="BA97" s="200"/>
      <c r="BB97" s="418">
        <f>SUM(BC97:BG97)</f>
        <v>0</v>
      </c>
      <c r="BC97" s="200"/>
      <c r="BD97" s="200"/>
      <c r="BE97" s="200"/>
      <c r="BF97" s="200"/>
      <c r="BG97" s="200"/>
      <c r="BH97" s="418">
        <f>SUM(BI97:BM97)</f>
        <v>0</v>
      </c>
      <c r="BI97" s="200"/>
      <c r="BJ97" s="200"/>
      <c r="BK97" s="200"/>
      <c r="BL97" s="200"/>
      <c r="BM97" s="200"/>
      <c r="BN97" s="418">
        <f>SUM(BO97:BS97)</f>
        <v>0</v>
      </c>
      <c r="BO97" s="200"/>
      <c r="BP97" s="200"/>
      <c r="BQ97" s="200"/>
      <c r="BR97" s="200"/>
      <c r="BS97" s="200"/>
      <c r="BT97" s="418">
        <f>SUM(BU97:BY97)</f>
        <v>0</v>
      </c>
      <c r="BU97" s="200"/>
      <c r="BV97" s="200"/>
      <c r="BW97" s="200"/>
      <c r="BX97" s="200"/>
      <c r="BY97" s="200"/>
      <c r="BZ97" s="425" t="s">
        <v>515</v>
      </c>
      <c r="CA97" s="440" t="s">
        <v>399</v>
      </c>
    </row>
    <row r="98" spans="1:129" s="97" customFormat="1" ht="28.5" customHeight="1" x14ac:dyDescent="0.2">
      <c r="A98" s="437" t="s">
        <v>216</v>
      </c>
      <c r="B98" s="223" t="s">
        <v>499</v>
      </c>
      <c r="C98" s="223"/>
      <c r="D98" s="425"/>
      <c r="E98" s="425" t="s">
        <v>40</v>
      </c>
      <c r="F98" s="425"/>
      <c r="G98" s="425"/>
      <c r="H98" s="425"/>
      <c r="I98" s="200"/>
      <c r="J98" s="200"/>
      <c r="K98" s="419">
        <f>L98+SUM(Q98:Q98)</f>
        <v>72</v>
      </c>
      <c r="L98" s="419">
        <f>SUM(M98:P98)</f>
        <v>72</v>
      </c>
      <c r="M98" s="419">
        <f t="shared" si="381"/>
        <v>0</v>
      </c>
      <c r="N98" s="419">
        <f t="shared" si="381"/>
        <v>0</v>
      </c>
      <c r="O98" s="419">
        <f t="shared" si="381"/>
        <v>0</v>
      </c>
      <c r="P98" s="419">
        <f t="shared" si="381"/>
        <v>72</v>
      </c>
      <c r="Q98" s="419">
        <f t="shared" si="381"/>
        <v>0</v>
      </c>
      <c r="R98" s="418">
        <f>SUM(S98:W98)</f>
        <v>0</v>
      </c>
      <c r="S98" s="200"/>
      <c r="T98" s="200"/>
      <c r="U98" s="200"/>
      <c r="V98" s="200"/>
      <c r="W98" s="200"/>
      <c r="X98" s="418"/>
      <c r="Y98" s="200"/>
      <c r="Z98" s="200"/>
      <c r="AA98" s="200"/>
      <c r="AB98" s="200"/>
      <c r="AC98" s="200"/>
      <c r="AD98" s="418"/>
      <c r="AE98" s="200"/>
      <c r="AF98" s="200"/>
      <c r="AG98" s="200"/>
      <c r="AH98" s="200"/>
      <c r="AI98" s="200"/>
      <c r="AJ98" s="418">
        <f>SUM(AK98:AO98)</f>
        <v>72</v>
      </c>
      <c r="AK98" s="200"/>
      <c r="AL98" s="200"/>
      <c r="AM98" s="200"/>
      <c r="AN98" s="200">
        <v>72</v>
      </c>
      <c r="AO98" s="200"/>
      <c r="AP98" s="418">
        <f>SUM(AQ98:AU98)</f>
        <v>0</v>
      </c>
      <c r="AQ98" s="200"/>
      <c r="AR98" s="200"/>
      <c r="AS98" s="200"/>
      <c r="AT98" s="200"/>
      <c r="AU98" s="200"/>
      <c r="AV98" s="418">
        <f>SUM(AW98:BA98)</f>
        <v>0</v>
      </c>
      <c r="AW98" s="200"/>
      <c r="AX98" s="200"/>
      <c r="AY98" s="200"/>
      <c r="AZ98" s="200"/>
      <c r="BA98" s="200"/>
      <c r="BB98" s="418">
        <f>SUM(BC98:BG98)</f>
        <v>0</v>
      </c>
      <c r="BC98" s="200"/>
      <c r="BD98" s="200"/>
      <c r="BE98" s="200"/>
      <c r="BF98" s="200"/>
      <c r="BG98" s="200"/>
      <c r="BH98" s="418"/>
      <c r="BI98" s="200"/>
      <c r="BJ98" s="200"/>
      <c r="BK98" s="200"/>
      <c r="BL98" s="200"/>
      <c r="BM98" s="200"/>
      <c r="BN98" s="418"/>
      <c r="BO98" s="200"/>
      <c r="BP98" s="200"/>
      <c r="BQ98" s="200"/>
      <c r="BR98" s="200"/>
      <c r="BS98" s="200"/>
      <c r="BT98" s="418"/>
      <c r="BU98" s="200"/>
      <c r="BV98" s="200"/>
      <c r="BW98" s="200"/>
      <c r="BX98" s="200"/>
      <c r="BY98" s="200"/>
      <c r="BZ98" s="425" t="s">
        <v>515</v>
      </c>
      <c r="CA98" s="440" t="s">
        <v>399</v>
      </c>
    </row>
    <row r="99" spans="1:129" s="97" customFormat="1" ht="29.25" customHeight="1" x14ac:dyDescent="0.2">
      <c r="A99" s="437" t="s">
        <v>376</v>
      </c>
      <c r="B99" s="223" t="s">
        <v>469</v>
      </c>
      <c r="C99" s="223"/>
      <c r="D99" s="425"/>
      <c r="E99" s="425" t="s">
        <v>40</v>
      </c>
      <c r="F99" s="425"/>
      <c r="G99" s="425"/>
      <c r="H99" s="425"/>
      <c r="I99" s="200"/>
      <c r="J99" s="200"/>
      <c r="K99" s="419">
        <f>L99+SUM(Q99:Q99)</f>
        <v>82</v>
      </c>
      <c r="L99" s="419">
        <f>SUM(M99:P99)</f>
        <v>82</v>
      </c>
      <c r="M99" s="419">
        <f t="shared" si="381"/>
        <v>0</v>
      </c>
      <c r="N99" s="419">
        <f t="shared" si="381"/>
        <v>0</v>
      </c>
      <c r="O99" s="419">
        <f t="shared" si="381"/>
        <v>0</v>
      </c>
      <c r="P99" s="419">
        <f t="shared" si="381"/>
        <v>82</v>
      </c>
      <c r="Q99" s="419">
        <f t="shared" si="381"/>
        <v>0</v>
      </c>
      <c r="R99" s="418"/>
      <c r="S99" s="200"/>
      <c r="T99" s="200"/>
      <c r="U99" s="200"/>
      <c r="V99" s="200"/>
      <c r="W99" s="200"/>
      <c r="X99" s="418"/>
      <c r="Y99" s="200"/>
      <c r="Z99" s="200"/>
      <c r="AA99" s="200"/>
      <c r="AB99" s="200"/>
      <c r="AC99" s="200"/>
      <c r="AD99" s="418"/>
      <c r="AE99" s="200"/>
      <c r="AF99" s="200"/>
      <c r="AG99" s="200"/>
      <c r="AH99" s="200"/>
      <c r="AI99" s="200"/>
      <c r="AJ99" s="418">
        <f>SUM(AK99:AO99)</f>
        <v>82</v>
      </c>
      <c r="AK99" s="200"/>
      <c r="AL99" s="200"/>
      <c r="AM99" s="200"/>
      <c r="AN99" s="200">
        <v>82</v>
      </c>
      <c r="AO99" s="200"/>
      <c r="AP99" s="418">
        <f>SUM(AQ99:AU99)</f>
        <v>0</v>
      </c>
      <c r="AQ99" s="200"/>
      <c r="AR99" s="200"/>
      <c r="AS99" s="200"/>
      <c r="AT99" s="200"/>
      <c r="AU99" s="200"/>
      <c r="AV99" s="418">
        <f>SUM(AW99:BA99)</f>
        <v>0</v>
      </c>
      <c r="AW99" s="200"/>
      <c r="AX99" s="200"/>
      <c r="AY99" s="200"/>
      <c r="AZ99" s="200"/>
      <c r="BA99" s="200"/>
      <c r="BB99" s="418">
        <f>SUM(BC99:BG99)</f>
        <v>0</v>
      </c>
      <c r="BC99" s="200"/>
      <c r="BD99" s="200"/>
      <c r="BE99" s="200"/>
      <c r="BF99" s="200"/>
      <c r="BG99" s="200"/>
      <c r="BH99" s="418"/>
      <c r="BI99" s="200"/>
      <c r="BJ99" s="200"/>
      <c r="BK99" s="200"/>
      <c r="BL99" s="200"/>
      <c r="BM99" s="200"/>
      <c r="BN99" s="418"/>
      <c r="BO99" s="200"/>
      <c r="BP99" s="200"/>
      <c r="BQ99" s="200"/>
      <c r="BR99" s="200"/>
      <c r="BS99" s="200"/>
      <c r="BT99" s="418"/>
      <c r="BU99" s="200"/>
      <c r="BV99" s="200"/>
      <c r="BW99" s="200"/>
      <c r="BX99" s="200"/>
      <c r="BY99" s="200"/>
      <c r="BZ99" s="425" t="s">
        <v>41</v>
      </c>
      <c r="CA99" s="440" t="s">
        <v>452</v>
      </c>
    </row>
    <row r="100" spans="1:129" s="207" customFormat="1" ht="38.25" customHeight="1" x14ac:dyDescent="0.2">
      <c r="A100" s="467" t="s">
        <v>377</v>
      </c>
      <c r="B100" s="223" t="s">
        <v>502</v>
      </c>
      <c r="C100" s="438"/>
      <c r="D100" s="448"/>
      <c r="E100" s="448" t="s">
        <v>40</v>
      </c>
      <c r="F100" s="448"/>
      <c r="G100" s="448"/>
      <c r="H100" s="448"/>
      <c r="I100" s="202"/>
      <c r="J100" s="202"/>
      <c r="K100" s="419">
        <f>L100+SUM(Q100:Q100)</f>
        <v>134</v>
      </c>
      <c r="L100" s="419">
        <f>SUM(M100:P100)</f>
        <v>134</v>
      </c>
      <c r="M100" s="419">
        <f t="shared" si="381"/>
        <v>0</v>
      </c>
      <c r="N100" s="419">
        <f t="shared" si="381"/>
        <v>0</v>
      </c>
      <c r="O100" s="419">
        <f t="shared" si="381"/>
        <v>0</v>
      </c>
      <c r="P100" s="419">
        <f t="shared" si="381"/>
        <v>134</v>
      </c>
      <c r="Q100" s="419">
        <f t="shared" si="381"/>
        <v>0</v>
      </c>
      <c r="R100" s="185"/>
      <c r="S100" s="202"/>
      <c r="T100" s="202"/>
      <c r="U100" s="202"/>
      <c r="V100" s="202"/>
      <c r="W100" s="202"/>
      <c r="X100" s="185"/>
      <c r="Y100" s="202"/>
      <c r="Z100" s="202"/>
      <c r="AA100" s="202"/>
      <c r="AB100" s="202"/>
      <c r="AC100" s="202"/>
      <c r="AD100" s="418"/>
      <c r="AE100" s="202"/>
      <c r="AF100" s="202"/>
      <c r="AG100" s="202"/>
      <c r="AH100" s="202"/>
      <c r="AI100" s="202"/>
      <c r="AJ100" s="418">
        <f>SUM(AK100:AO100)</f>
        <v>134</v>
      </c>
      <c r="AK100" s="202"/>
      <c r="AL100" s="202"/>
      <c r="AM100" s="202"/>
      <c r="AN100" s="202">
        <v>134</v>
      </c>
      <c r="AO100" s="202"/>
      <c r="AP100" s="418">
        <f>SUM(AQ100:AU100)</f>
        <v>0</v>
      </c>
      <c r="AQ100" s="202"/>
      <c r="AR100" s="202"/>
      <c r="AS100" s="202"/>
      <c r="AT100" s="202"/>
      <c r="AU100" s="202"/>
      <c r="AV100" s="418">
        <f>SUM(AW100:BA100)</f>
        <v>0</v>
      </c>
      <c r="AW100" s="202"/>
      <c r="AX100" s="202"/>
      <c r="AY100" s="202"/>
      <c r="AZ100" s="202"/>
      <c r="BA100" s="202"/>
      <c r="BB100" s="418">
        <f>SUM(BC100:BG100)</f>
        <v>0</v>
      </c>
      <c r="BC100" s="202"/>
      <c r="BD100" s="202"/>
      <c r="BE100" s="202"/>
      <c r="BF100" s="202"/>
      <c r="BG100" s="202"/>
      <c r="BH100" s="418"/>
      <c r="BI100" s="202"/>
      <c r="BJ100" s="202"/>
      <c r="BK100" s="202"/>
      <c r="BL100" s="202"/>
      <c r="BM100" s="202"/>
      <c r="BN100" s="418"/>
      <c r="BO100" s="202"/>
      <c r="BP100" s="202"/>
      <c r="BQ100" s="202"/>
      <c r="BR100" s="202"/>
      <c r="BS100" s="202"/>
      <c r="BT100" s="418"/>
      <c r="BU100" s="202"/>
      <c r="BV100" s="202"/>
      <c r="BW100" s="202"/>
      <c r="BX100" s="202"/>
      <c r="BY100" s="202"/>
      <c r="BZ100" s="425" t="s">
        <v>515</v>
      </c>
      <c r="CA100" s="440" t="s">
        <v>345</v>
      </c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</row>
    <row r="101" spans="1:129" s="100" customFormat="1" ht="35.25" customHeight="1" x14ac:dyDescent="0.2">
      <c r="A101" s="430" t="s">
        <v>217</v>
      </c>
      <c r="B101" s="734" t="s">
        <v>146</v>
      </c>
      <c r="C101" s="734"/>
      <c r="D101" s="433"/>
      <c r="E101" s="433"/>
      <c r="F101" s="433"/>
      <c r="G101" s="433"/>
      <c r="H101" s="433"/>
      <c r="I101" s="432"/>
      <c r="J101" s="432"/>
      <c r="K101" s="432">
        <f t="shared" ref="K101:AF101" si="382">SUM(K102:K103)</f>
        <v>1656</v>
      </c>
      <c r="L101" s="432">
        <f t="shared" si="382"/>
        <v>1656</v>
      </c>
      <c r="M101" s="432">
        <f t="shared" si="382"/>
        <v>0</v>
      </c>
      <c r="N101" s="432">
        <f t="shared" si="382"/>
        <v>0</v>
      </c>
      <c r="O101" s="432">
        <f t="shared" si="382"/>
        <v>0</v>
      </c>
      <c r="P101" s="432">
        <f t="shared" si="382"/>
        <v>1656</v>
      </c>
      <c r="Q101" s="432">
        <f t="shared" si="382"/>
        <v>0</v>
      </c>
      <c r="R101" s="432">
        <f t="shared" si="382"/>
        <v>0</v>
      </c>
      <c r="S101" s="432">
        <f t="shared" si="382"/>
        <v>0</v>
      </c>
      <c r="T101" s="432">
        <f t="shared" si="382"/>
        <v>0</v>
      </c>
      <c r="U101" s="432">
        <f t="shared" si="382"/>
        <v>0</v>
      </c>
      <c r="V101" s="432">
        <f t="shared" si="382"/>
        <v>0</v>
      </c>
      <c r="W101" s="432">
        <f t="shared" si="382"/>
        <v>0</v>
      </c>
      <c r="X101" s="432">
        <f t="shared" si="382"/>
        <v>0</v>
      </c>
      <c r="Y101" s="432">
        <f t="shared" si="382"/>
        <v>0</v>
      </c>
      <c r="Z101" s="432">
        <f t="shared" si="382"/>
        <v>0</v>
      </c>
      <c r="AA101" s="432">
        <f t="shared" si="382"/>
        <v>0</v>
      </c>
      <c r="AB101" s="432">
        <f t="shared" si="382"/>
        <v>0</v>
      </c>
      <c r="AC101" s="432">
        <f t="shared" si="382"/>
        <v>0</v>
      </c>
      <c r="AD101" s="432">
        <f t="shared" si="382"/>
        <v>0</v>
      </c>
      <c r="AE101" s="432">
        <f t="shared" si="382"/>
        <v>0</v>
      </c>
      <c r="AF101" s="432">
        <f t="shared" si="382"/>
        <v>0</v>
      </c>
      <c r="AG101" s="432">
        <f t="shared" ref="AG101:BA101" si="383">SUM(AG102:AG103)</f>
        <v>0</v>
      </c>
      <c r="AH101" s="432">
        <f t="shared" si="383"/>
        <v>0</v>
      </c>
      <c r="AI101" s="432">
        <f t="shared" si="383"/>
        <v>0</v>
      </c>
      <c r="AJ101" s="432">
        <f t="shared" si="383"/>
        <v>0</v>
      </c>
      <c r="AK101" s="432">
        <f t="shared" si="383"/>
        <v>0</v>
      </c>
      <c r="AL101" s="432">
        <f t="shared" si="383"/>
        <v>0</v>
      </c>
      <c r="AM101" s="432">
        <f t="shared" si="383"/>
        <v>0</v>
      </c>
      <c r="AN101" s="432">
        <f t="shared" si="383"/>
        <v>0</v>
      </c>
      <c r="AO101" s="432">
        <f t="shared" si="383"/>
        <v>0</v>
      </c>
      <c r="AP101" s="432">
        <f t="shared" si="383"/>
        <v>0</v>
      </c>
      <c r="AQ101" s="432">
        <f t="shared" si="383"/>
        <v>0</v>
      </c>
      <c r="AR101" s="432">
        <f t="shared" si="383"/>
        <v>0</v>
      </c>
      <c r="AS101" s="432">
        <f t="shared" si="383"/>
        <v>0</v>
      </c>
      <c r="AT101" s="432">
        <f t="shared" si="383"/>
        <v>0</v>
      </c>
      <c r="AU101" s="432">
        <f t="shared" si="383"/>
        <v>0</v>
      </c>
      <c r="AV101" s="432">
        <f t="shared" si="383"/>
        <v>540</v>
      </c>
      <c r="AW101" s="432">
        <f t="shared" si="383"/>
        <v>0</v>
      </c>
      <c r="AX101" s="432">
        <f t="shared" si="383"/>
        <v>0</v>
      </c>
      <c r="AY101" s="432">
        <f t="shared" si="383"/>
        <v>0</v>
      </c>
      <c r="AZ101" s="432">
        <f t="shared" si="383"/>
        <v>540</v>
      </c>
      <c r="BA101" s="432">
        <f t="shared" si="383"/>
        <v>0</v>
      </c>
      <c r="BB101" s="432">
        <f t="shared" ref="BB101:BY101" si="384">SUM(BB102:BB103)</f>
        <v>216</v>
      </c>
      <c r="BC101" s="432">
        <f t="shared" si="384"/>
        <v>0</v>
      </c>
      <c r="BD101" s="432">
        <f t="shared" si="384"/>
        <v>0</v>
      </c>
      <c r="BE101" s="432">
        <f t="shared" si="384"/>
        <v>0</v>
      </c>
      <c r="BF101" s="432">
        <f t="shared" si="384"/>
        <v>216</v>
      </c>
      <c r="BG101" s="432">
        <f t="shared" si="384"/>
        <v>0</v>
      </c>
      <c r="BH101" s="432">
        <f t="shared" si="384"/>
        <v>540</v>
      </c>
      <c r="BI101" s="432">
        <f t="shared" si="384"/>
        <v>0</v>
      </c>
      <c r="BJ101" s="432">
        <f t="shared" si="384"/>
        <v>0</v>
      </c>
      <c r="BK101" s="432">
        <f t="shared" si="384"/>
        <v>0</v>
      </c>
      <c r="BL101" s="432">
        <f t="shared" si="384"/>
        <v>540</v>
      </c>
      <c r="BM101" s="432">
        <f t="shared" si="384"/>
        <v>0</v>
      </c>
      <c r="BN101" s="432">
        <f t="shared" si="384"/>
        <v>360</v>
      </c>
      <c r="BO101" s="432">
        <f t="shared" si="384"/>
        <v>0</v>
      </c>
      <c r="BP101" s="432">
        <f t="shared" si="384"/>
        <v>0</v>
      </c>
      <c r="BQ101" s="432">
        <f t="shared" si="384"/>
        <v>0</v>
      </c>
      <c r="BR101" s="432">
        <f t="shared" si="384"/>
        <v>360</v>
      </c>
      <c r="BS101" s="432">
        <f t="shared" si="384"/>
        <v>0</v>
      </c>
      <c r="BT101" s="432">
        <f t="shared" si="384"/>
        <v>0</v>
      </c>
      <c r="BU101" s="432">
        <f t="shared" si="384"/>
        <v>0</v>
      </c>
      <c r="BV101" s="432">
        <f t="shared" si="384"/>
        <v>0</v>
      </c>
      <c r="BW101" s="432">
        <f t="shared" si="384"/>
        <v>0</v>
      </c>
      <c r="BX101" s="432">
        <f t="shared" si="384"/>
        <v>0</v>
      </c>
      <c r="BY101" s="432">
        <f t="shared" si="384"/>
        <v>0</v>
      </c>
      <c r="BZ101" s="433"/>
      <c r="CA101" s="432"/>
    </row>
    <row r="102" spans="1:129" s="97" customFormat="1" ht="30.75" customHeight="1" x14ac:dyDescent="0.2">
      <c r="A102" s="437" t="s">
        <v>218</v>
      </c>
      <c r="B102" s="223" t="s">
        <v>503</v>
      </c>
      <c r="C102" s="223"/>
      <c r="D102" s="425"/>
      <c r="E102" s="103" t="s">
        <v>623</v>
      </c>
      <c r="F102" s="425"/>
      <c r="G102" s="425"/>
      <c r="H102" s="425"/>
      <c r="I102" s="200"/>
      <c r="J102" s="200"/>
      <c r="K102" s="419">
        <f>L102+SUM(Q102:Q102)</f>
        <v>1512</v>
      </c>
      <c r="L102" s="419">
        <f>SUM(M102:P102)</f>
        <v>1512</v>
      </c>
      <c r="M102" s="419">
        <f t="shared" ref="M102:Q103" si="385">S102+Y102+AE102+AK102+AQ102+AW102+BC102+BI102+BO102+BU102</f>
        <v>0</v>
      </c>
      <c r="N102" s="419">
        <f t="shared" si="385"/>
        <v>0</v>
      </c>
      <c r="O102" s="419">
        <f t="shared" si="385"/>
        <v>0</v>
      </c>
      <c r="P102" s="419">
        <f t="shared" si="385"/>
        <v>1512</v>
      </c>
      <c r="Q102" s="419">
        <f t="shared" si="385"/>
        <v>0</v>
      </c>
      <c r="R102" s="418">
        <f>SUM(S102:W102)</f>
        <v>0</v>
      </c>
      <c r="S102" s="200"/>
      <c r="T102" s="200"/>
      <c r="U102" s="200"/>
      <c r="V102" s="200"/>
      <c r="W102" s="200"/>
      <c r="X102" s="418">
        <f>SUM(Y102:AC102)</f>
        <v>0</v>
      </c>
      <c r="Y102" s="200"/>
      <c r="Z102" s="200"/>
      <c r="AA102" s="200"/>
      <c r="AB102" s="200"/>
      <c r="AC102" s="200"/>
      <c r="AD102" s="418">
        <f>SUM(AE102:AI102)</f>
        <v>0</v>
      </c>
      <c r="AE102" s="200"/>
      <c r="AF102" s="200"/>
      <c r="AG102" s="200"/>
      <c r="AH102" s="200"/>
      <c r="AI102" s="200"/>
      <c r="AJ102" s="418">
        <f>SUM(AK102:AO102)</f>
        <v>0</v>
      </c>
      <c r="AK102" s="200"/>
      <c r="AL102" s="200"/>
      <c r="AM102" s="200"/>
      <c r="AN102" s="200"/>
      <c r="AO102" s="200"/>
      <c r="AP102" s="418">
        <f>SUM(AQ102:AU102)</f>
        <v>0</v>
      </c>
      <c r="AQ102" s="200"/>
      <c r="AR102" s="200"/>
      <c r="AS102" s="200"/>
      <c r="AT102" s="200"/>
      <c r="AU102" s="200"/>
      <c r="AV102" s="418">
        <f>SUM(AW102:BA102)</f>
        <v>540</v>
      </c>
      <c r="AW102" s="200"/>
      <c r="AX102" s="200"/>
      <c r="AY102" s="200"/>
      <c r="AZ102" s="200">
        <v>540</v>
      </c>
      <c r="BA102" s="200"/>
      <c r="BB102" s="418">
        <f>SUM(BC102:BG102)</f>
        <v>216</v>
      </c>
      <c r="BC102" s="200"/>
      <c r="BD102" s="200"/>
      <c r="BE102" s="200"/>
      <c r="BF102" s="200">
        <f>6*36</f>
        <v>216</v>
      </c>
      <c r="BG102" s="200"/>
      <c r="BH102" s="418">
        <f>SUM(BI102:BM102)</f>
        <v>540</v>
      </c>
      <c r="BI102" s="200"/>
      <c r="BJ102" s="200"/>
      <c r="BK102" s="200"/>
      <c r="BL102" s="200">
        <v>540</v>
      </c>
      <c r="BM102" s="200"/>
      <c r="BN102" s="418">
        <f>SUM(BO102:BS102)</f>
        <v>216</v>
      </c>
      <c r="BO102" s="200"/>
      <c r="BP102" s="200"/>
      <c r="BQ102" s="200"/>
      <c r="BR102" s="200">
        <f>6*36</f>
        <v>216</v>
      </c>
      <c r="BS102" s="200"/>
      <c r="BT102" s="418">
        <f>SUM(BU102:BY102)</f>
        <v>0</v>
      </c>
      <c r="BU102" s="200"/>
      <c r="BV102" s="200"/>
      <c r="BW102" s="200"/>
      <c r="BX102" s="200"/>
      <c r="BY102" s="200"/>
      <c r="BZ102" s="425" t="s">
        <v>525</v>
      </c>
      <c r="CA102" s="203" t="s">
        <v>345</v>
      </c>
    </row>
    <row r="103" spans="1:129" s="97" customFormat="1" ht="32.25" customHeight="1" x14ac:dyDescent="0.2">
      <c r="A103" s="437" t="s">
        <v>219</v>
      </c>
      <c r="B103" s="223" t="s">
        <v>328</v>
      </c>
      <c r="C103" s="490"/>
      <c r="D103" s="425"/>
      <c r="E103" s="103" t="s">
        <v>39</v>
      </c>
      <c r="F103" s="425"/>
      <c r="G103" s="425"/>
      <c r="H103" s="425"/>
      <c r="I103" s="200"/>
      <c r="J103" s="200"/>
      <c r="K103" s="419">
        <f>L103+SUM(Q103:Q103)</f>
        <v>144</v>
      </c>
      <c r="L103" s="419">
        <f>SUM(M103:P103)</f>
        <v>144</v>
      </c>
      <c r="M103" s="419">
        <f t="shared" si="385"/>
        <v>0</v>
      </c>
      <c r="N103" s="419">
        <f t="shared" si="385"/>
        <v>0</v>
      </c>
      <c r="O103" s="419">
        <f t="shared" si="385"/>
        <v>0</v>
      </c>
      <c r="P103" s="419">
        <f t="shared" si="385"/>
        <v>144</v>
      </c>
      <c r="Q103" s="419">
        <f t="shared" si="385"/>
        <v>0</v>
      </c>
      <c r="R103" s="418">
        <f>SUM(S103:W103)</f>
        <v>0</v>
      </c>
      <c r="S103" s="200"/>
      <c r="T103" s="200"/>
      <c r="U103" s="200"/>
      <c r="V103" s="200"/>
      <c r="W103" s="200"/>
      <c r="X103" s="418">
        <f>SUM(Y103:AC103)</f>
        <v>0</v>
      </c>
      <c r="Y103" s="200"/>
      <c r="Z103" s="200"/>
      <c r="AA103" s="200"/>
      <c r="AB103" s="200"/>
      <c r="AC103" s="200"/>
      <c r="AD103" s="418">
        <f>SUM(AE103:AI103)</f>
        <v>0</v>
      </c>
      <c r="AE103" s="200"/>
      <c r="AF103" s="200"/>
      <c r="AG103" s="200"/>
      <c r="AH103" s="200"/>
      <c r="AI103" s="200"/>
      <c r="AJ103" s="418">
        <f>SUM(AK103:AO103)</f>
        <v>0</v>
      </c>
      <c r="AK103" s="200"/>
      <c r="AL103" s="200"/>
      <c r="AM103" s="200"/>
      <c r="AN103" s="200"/>
      <c r="AO103" s="200"/>
      <c r="AP103" s="418">
        <f>SUM(AQ103:AU103)</f>
        <v>0</v>
      </c>
      <c r="AQ103" s="200"/>
      <c r="AR103" s="200"/>
      <c r="AS103" s="200"/>
      <c r="AT103" s="200"/>
      <c r="AU103" s="200"/>
      <c r="AV103" s="418">
        <f>SUM(AW103:BA103)</f>
        <v>0</v>
      </c>
      <c r="AW103" s="200"/>
      <c r="AX103" s="200"/>
      <c r="AY103" s="200"/>
      <c r="AZ103" s="200"/>
      <c r="BA103" s="200"/>
      <c r="BB103" s="418">
        <f>SUM(BC103:BG103)</f>
        <v>0</v>
      </c>
      <c r="BC103" s="200"/>
      <c r="BD103" s="200"/>
      <c r="BE103" s="200"/>
      <c r="BF103" s="200"/>
      <c r="BG103" s="200"/>
      <c r="BH103" s="418">
        <f>SUM(BI103:BM103)</f>
        <v>0</v>
      </c>
      <c r="BI103" s="200"/>
      <c r="BJ103" s="200"/>
      <c r="BK103" s="200"/>
      <c r="BL103" s="200"/>
      <c r="BM103" s="200"/>
      <c r="BN103" s="418">
        <f>SUM(BO103:BS103)</f>
        <v>144</v>
      </c>
      <c r="BO103" s="200"/>
      <c r="BP103" s="200"/>
      <c r="BQ103" s="200"/>
      <c r="BR103" s="200">
        <v>144</v>
      </c>
      <c r="BS103" s="200"/>
      <c r="BT103" s="418">
        <f>SUM(BU103:BY103)</f>
        <v>0</v>
      </c>
      <c r="BU103" s="200"/>
      <c r="BV103" s="200"/>
      <c r="BW103" s="200"/>
      <c r="BX103" s="200"/>
      <c r="BY103" s="200"/>
      <c r="BZ103" s="425" t="s">
        <v>525</v>
      </c>
      <c r="CA103" s="203" t="s">
        <v>345</v>
      </c>
    </row>
    <row r="104" spans="1:129" s="100" customFormat="1" ht="31.5" customHeight="1" x14ac:dyDescent="0.2">
      <c r="A104" s="430" t="s">
        <v>220</v>
      </c>
      <c r="B104" s="734" t="s">
        <v>378</v>
      </c>
      <c r="C104" s="734"/>
      <c r="D104" s="433"/>
      <c r="E104" s="433"/>
      <c r="F104" s="433"/>
      <c r="G104" s="433"/>
      <c r="H104" s="433"/>
      <c r="I104" s="432">
        <f>Нормы!D20</f>
        <v>216</v>
      </c>
      <c r="J104" s="432"/>
      <c r="K104" s="432">
        <f t="shared" ref="K104:AF104" si="386">SUM(K105:K105)</f>
        <v>216</v>
      </c>
      <c r="L104" s="432">
        <f t="shared" si="386"/>
        <v>0</v>
      </c>
      <c r="M104" s="432">
        <f t="shared" si="386"/>
        <v>0</v>
      </c>
      <c r="N104" s="432">
        <f t="shared" si="386"/>
        <v>0</v>
      </c>
      <c r="O104" s="432">
        <f t="shared" si="386"/>
        <v>0</v>
      </c>
      <c r="P104" s="432">
        <f t="shared" si="386"/>
        <v>0</v>
      </c>
      <c r="Q104" s="432">
        <f t="shared" si="386"/>
        <v>216</v>
      </c>
      <c r="R104" s="432">
        <f t="shared" si="386"/>
        <v>0</v>
      </c>
      <c r="S104" s="432">
        <f t="shared" si="386"/>
        <v>0</v>
      </c>
      <c r="T104" s="432">
        <f t="shared" si="386"/>
        <v>0</v>
      </c>
      <c r="U104" s="432">
        <f t="shared" si="386"/>
        <v>0</v>
      </c>
      <c r="V104" s="432">
        <f t="shared" si="386"/>
        <v>0</v>
      </c>
      <c r="W104" s="432">
        <f t="shared" si="386"/>
        <v>0</v>
      </c>
      <c r="X104" s="432">
        <f t="shared" si="386"/>
        <v>0</v>
      </c>
      <c r="Y104" s="432">
        <f t="shared" si="386"/>
        <v>0</v>
      </c>
      <c r="Z104" s="432">
        <f t="shared" si="386"/>
        <v>0</v>
      </c>
      <c r="AA104" s="432">
        <f t="shared" si="386"/>
        <v>0</v>
      </c>
      <c r="AB104" s="432">
        <f t="shared" si="386"/>
        <v>0</v>
      </c>
      <c r="AC104" s="432">
        <f t="shared" si="386"/>
        <v>0</v>
      </c>
      <c r="AD104" s="432">
        <f t="shared" si="386"/>
        <v>0</v>
      </c>
      <c r="AE104" s="432">
        <f t="shared" si="386"/>
        <v>0</v>
      </c>
      <c r="AF104" s="432">
        <f t="shared" si="386"/>
        <v>0</v>
      </c>
      <c r="AG104" s="432">
        <f t="shared" ref="AG104:BA104" si="387">SUM(AG105:AG105)</f>
        <v>0</v>
      </c>
      <c r="AH104" s="432">
        <f t="shared" si="387"/>
        <v>0</v>
      </c>
      <c r="AI104" s="432">
        <f t="shared" si="387"/>
        <v>0</v>
      </c>
      <c r="AJ104" s="432">
        <f t="shared" si="387"/>
        <v>0</v>
      </c>
      <c r="AK104" s="432">
        <f t="shared" si="387"/>
        <v>0</v>
      </c>
      <c r="AL104" s="432">
        <f t="shared" si="387"/>
        <v>0</v>
      </c>
      <c r="AM104" s="432">
        <f t="shared" si="387"/>
        <v>0</v>
      </c>
      <c r="AN104" s="432">
        <f t="shared" si="387"/>
        <v>0</v>
      </c>
      <c r="AO104" s="432">
        <f t="shared" si="387"/>
        <v>0</v>
      </c>
      <c r="AP104" s="432">
        <f t="shared" si="387"/>
        <v>0</v>
      </c>
      <c r="AQ104" s="432">
        <f t="shared" si="387"/>
        <v>0</v>
      </c>
      <c r="AR104" s="432">
        <f t="shared" si="387"/>
        <v>0</v>
      </c>
      <c r="AS104" s="432">
        <f t="shared" si="387"/>
        <v>0</v>
      </c>
      <c r="AT104" s="432">
        <f t="shared" si="387"/>
        <v>0</v>
      </c>
      <c r="AU104" s="432">
        <f t="shared" si="387"/>
        <v>0</v>
      </c>
      <c r="AV104" s="432">
        <f t="shared" si="387"/>
        <v>0</v>
      </c>
      <c r="AW104" s="432">
        <f t="shared" si="387"/>
        <v>0</v>
      </c>
      <c r="AX104" s="432">
        <f t="shared" si="387"/>
        <v>0</v>
      </c>
      <c r="AY104" s="432">
        <f t="shared" si="387"/>
        <v>0</v>
      </c>
      <c r="AZ104" s="432">
        <f t="shared" si="387"/>
        <v>0</v>
      </c>
      <c r="BA104" s="432">
        <f t="shared" si="387"/>
        <v>0</v>
      </c>
      <c r="BB104" s="432">
        <f t="shared" ref="BB104:BY104" si="388">SUM(BB105:BB105)</f>
        <v>0</v>
      </c>
      <c r="BC104" s="432">
        <f t="shared" si="388"/>
        <v>0</v>
      </c>
      <c r="BD104" s="432">
        <f t="shared" si="388"/>
        <v>0</v>
      </c>
      <c r="BE104" s="432">
        <f t="shared" si="388"/>
        <v>0</v>
      </c>
      <c r="BF104" s="432">
        <f t="shared" si="388"/>
        <v>0</v>
      </c>
      <c r="BG104" s="432">
        <f t="shared" si="388"/>
        <v>0</v>
      </c>
      <c r="BH104" s="432">
        <f t="shared" si="388"/>
        <v>0</v>
      </c>
      <c r="BI104" s="432">
        <f>SUM(BI105:BI105)</f>
        <v>0</v>
      </c>
      <c r="BJ104" s="432">
        <f t="shared" si="388"/>
        <v>0</v>
      </c>
      <c r="BK104" s="432">
        <f t="shared" si="388"/>
        <v>0</v>
      </c>
      <c r="BL104" s="432">
        <f t="shared" si="388"/>
        <v>0</v>
      </c>
      <c r="BM104" s="432">
        <f t="shared" si="388"/>
        <v>0</v>
      </c>
      <c r="BN104" s="432">
        <f t="shared" si="388"/>
        <v>0</v>
      </c>
      <c r="BO104" s="432">
        <f t="shared" si="388"/>
        <v>0</v>
      </c>
      <c r="BP104" s="432">
        <f t="shared" si="388"/>
        <v>0</v>
      </c>
      <c r="BQ104" s="432">
        <f t="shared" si="388"/>
        <v>0</v>
      </c>
      <c r="BR104" s="432">
        <f t="shared" si="388"/>
        <v>0</v>
      </c>
      <c r="BS104" s="432">
        <f t="shared" si="388"/>
        <v>0</v>
      </c>
      <c r="BT104" s="432">
        <f t="shared" si="388"/>
        <v>216</v>
      </c>
      <c r="BU104" s="432">
        <f t="shared" si="388"/>
        <v>0</v>
      </c>
      <c r="BV104" s="432">
        <f t="shared" si="388"/>
        <v>0</v>
      </c>
      <c r="BW104" s="432">
        <f t="shared" si="388"/>
        <v>0</v>
      </c>
      <c r="BX104" s="432">
        <f t="shared" si="388"/>
        <v>0</v>
      </c>
      <c r="BY104" s="432">
        <f t="shared" si="388"/>
        <v>216</v>
      </c>
      <c r="BZ104" s="432"/>
      <c r="CA104" s="432"/>
    </row>
    <row r="105" spans="1:129" s="97" customFormat="1" ht="30.75" hidden="1" customHeight="1" x14ac:dyDescent="0.2">
      <c r="A105" s="189" t="s">
        <v>222</v>
      </c>
      <c r="B105" s="98" t="s">
        <v>378</v>
      </c>
      <c r="C105" s="98"/>
      <c r="D105" s="579"/>
      <c r="E105" s="580"/>
      <c r="F105" s="580"/>
      <c r="G105" s="580"/>
      <c r="H105" s="580"/>
      <c r="I105" s="581"/>
      <c r="J105" s="581"/>
      <c r="K105" s="582">
        <f>L105+SUM(Q105:Q105)</f>
        <v>216</v>
      </c>
      <c r="L105" s="582">
        <f>SUM(M105:P105)</f>
        <v>0</v>
      </c>
      <c r="M105" s="582">
        <f>S105+Y105+AE105+AK105+AQ105+AW105+BC105+BI105+BO105+BU105</f>
        <v>0</v>
      </c>
      <c r="N105" s="582">
        <f>T105+Z105+AF105+AL105+AR105+AX105+BD105+BJ105+BP105+BV105</f>
        <v>0</v>
      </c>
      <c r="O105" s="582">
        <f>U105+AA105+AG105+AM105+AS105+AY105+BE105+BK105+BQ105+BW105</f>
        <v>0</v>
      </c>
      <c r="P105" s="582">
        <f>V105+AB105+AH105+AN105+AT105+AZ105+BF105+BL105+BR105+BX105</f>
        <v>0</v>
      </c>
      <c r="Q105" s="582">
        <f>W105+AC105+AI105+AO105+AU105+BA105+BG105+BM105+BS105+BY105</f>
        <v>216</v>
      </c>
      <c r="R105" s="583"/>
      <c r="S105" s="581"/>
      <c r="T105" s="581"/>
      <c r="U105" s="581"/>
      <c r="V105" s="581"/>
      <c r="W105" s="581"/>
      <c r="X105" s="583">
        <f>SUM(Y105:AC105)</f>
        <v>0</v>
      </c>
      <c r="Y105" s="581"/>
      <c r="Z105" s="581"/>
      <c r="AA105" s="581"/>
      <c r="AB105" s="581"/>
      <c r="AC105" s="581"/>
      <c r="AD105" s="583">
        <f>SUM(AE105:AI105)</f>
        <v>0</v>
      </c>
      <c r="AE105" s="581"/>
      <c r="AF105" s="581"/>
      <c r="AG105" s="581"/>
      <c r="AH105" s="581"/>
      <c r="AI105" s="581"/>
      <c r="AJ105" s="583">
        <f>SUM(AK105:AO105)</f>
        <v>0</v>
      </c>
      <c r="AK105" s="581"/>
      <c r="AL105" s="581"/>
      <c r="AM105" s="581"/>
      <c r="AN105" s="581"/>
      <c r="AO105" s="581"/>
      <c r="AP105" s="583">
        <f>SUM(AQ105:AU105)</f>
        <v>0</v>
      </c>
      <c r="AQ105" s="581"/>
      <c r="AR105" s="581"/>
      <c r="AS105" s="581"/>
      <c r="AT105" s="581"/>
      <c r="AU105" s="581"/>
      <c r="AV105" s="583">
        <f>SUM(AW105:BA105)</f>
        <v>0</v>
      </c>
      <c r="AW105" s="581"/>
      <c r="AX105" s="581"/>
      <c r="AY105" s="581"/>
      <c r="AZ105" s="581"/>
      <c r="BA105" s="581"/>
      <c r="BB105" s="583">
        <f>SUM(BC105:BG105)</f>
        <v>0</v>
      </c>
      <c r="BC105" s="581"/>
      <c r="BD105" s="581"/>
      <c r="BE105" s="581"/>
      <c r="BF105" s="581"/>
      <c r="BG105" s="581"/>
      <c r="BH105" s="583">
        <f>SUM(BI105:BM105)</f>
        <v>0</v>
      </c>
      <c r="BI105" s="581"/>
      <c r="BJ105" s="581"/>
      <c r="BK105" s="581"/>
      <c r="BL105" s="581"/>
      <c r="BM105" s="581"/>
      <c r="BN105" s="583">
        <f>SUM(BO105:BS105)</f>
        <v>0</v>
      </c>
      <c r="BO105" s="581"/>
      <c r="BP105" s="581"/>
      <c r="BQ105" s="581"/>
      <c r="BR105" s="581"/>
      <c r="BS105" s="581"/>
      <c r="BT105" s="583">
        <f>SUM(BU105:BY105)</f>
        <v>216</v>
      </c>
      <c r="BU105" s="581"/>
      <c r="BV105" s="581"/>
      <c r="BW105" s="581"/>
      <c r="BX105" s="581"/>
      <c r="BY105" s="581">
        <v>216</v>
      </c>
      <c r="BZ105" s="578" t="s">
        <v>525</v>
      </c>
      <c r="CA105" s="388" t="s">
        <v>526</v>
      </c>
    </row>
    <row r="106" spans="1:129" s="100" customFormat="1" ht="18" hidden="1" customHeight="1" thickBot="1" x14ac:dyDescent="0.25">
      <c r="A106" s="106"/>
      <c r="B106" s="107" t="s">
        <v>190</v>
      </c>
      <c r="C106" s="108"/>
      <c r="D106" s="109"/>
      <c r="E106" s="109"/>
      <c r="F106" s="109"/>
      <c r="G106" s="109"/>
      <c r="H106" s="109"/>
      <c r="I106" s="110"/>
      <c r="J106" s="111"/>
      <c r="K106" s="110"/>
      <c r="L106" s="112"/>
      <c r="M106" s="112"/>
      <c r="N106" s="112"/>
      <c r="O106" s="112"/>
      <c r="P106" s="112"/>
      <c r="Q106" s="113"/>
      <c r="R106" s="110">
        <f>SUM(S106:W106)</f>
        <v>0</v>
      </c>
      <c r="S106" s="112"/>
      <c r="T106" s="112"/>
      <c r="U106" s="112"/>
      <c r="V106" s="112"/>
      <c r="W106" s="113"/>
      <c r="X106" s="110">
        <f>SUM(Y106:AC106)</f>
        <v>0</v>
      </c>
      <c r="Y106" s="112"/>
      <c r="Z106" s="112"/>
      <c r="AA106" s="112"/>
      <c r="AB106" s="112"/>
      <c r="AC106" s="113"/>
      <c r="AD106" s="110" t="e">
        <f>SUM(#REF!)</f>
        <v>#REF!</v>
      </c>
      <c r="AE106" s="112"/>
      <c r="AF106" s="112"/>
      <c r="AG106" s="112"/>
      <c r="AH106" s="112"/>
      <c r="AI106" s="113"/>
      <c r="AJ106" s="110">
        <f>SUM(AK106:AO106)</f>
        <v>0</v>
      </c>
      <c r="AK106" s="112"/>
      <c r="AL106" s="112"/>
      <c r="AM106" s="112"/>
      <c r="AN106" s="112"/>
      <c r="AO106" s="113"/>
      <c r="AP106" s="110">
        <f>SUM(AQ106:AU106)</f>
        <v>0</v>
      </c>
      <c r="AQ106" s="112"/>
      <c r="AR106" s="112"/>
      <c r="AS106" s="112"/>
      <c r="AT106" s="112"/>
      <c r="AU106" s="113"/>
      <c r="AV106" s="110">
        <f>SUM(AW106:BA106)</f>
        <v>0</v>
      </c>
      <c r="AW106" s="112"/>
      <c r="AX106" s="112"/>
      <c r="AY106" s="112"/>
      <c r="AZ106" s="112"/>
      <c r="BA106" s="113"/>
      <c r="BB106" s="114">
        <f>SUM(BC106:BG106)</f>
        <v>0</v>
      </c>
      <c r="BC106" s="112"/>
      <c r="BD106" s="112"/>
      <c r="BE106" s="112"/>
      <c r="BF106" s="112"/>
      <c r="BG106" s="112"/>
      <c r="BH106" s="110">
        <f>SUM(BI106:BM106)</f>
        <v>0</v>
      </c>
      <c r="BI106" s="112"/>
      <c r="BJ106" s="112"/>
      <c r="BK106" s="112"/>
      <c r="BL106" s="112"/>
      <c r="BM106" s="113"/>
      <c r="BN106" s="114">
        <f>SUM(BO106:BS106)</f>
        <v>0</v>
      </c>
      <c r="BO106" s="112"/>
      <c r="BP106" s="112"/>
      <c r="BQ106" s="112"/>
      <c r="BR106" s="112"/>
      <c r="BS106" s="112"/>
      <c r="BT106" s="110">
        <f>SUM(BU106:BY106)</f>
        <v>0</v>
      </c>
      <c r="BU106" s="112"/>
      <c r="BV106" s="112"/>
      <c r="BW106" s="112"/>
      <c r="BX106" s="112"/>
      <c r="BY106" s="186"/>
      <c r="BZ106" s="195"/>
      <c r="CA106" s="115"/>
    </row>
    <row r="107" spans="1:129" s="95" customFormat="1" ht="26.25" hidden="1" customHeight="1" x14ac:dyDescent="0.2">
      <c r="A107" s="116"/>
      <c r="B107" s="724"/>
      <c r="C107" s="725"/>
      <c r="D107" s="725"/>
      <c r="E107" s="725"/>
      <c r="F107" s="725"/>
      <c r="G107" s="725"/>
      <c r="H107" s="725"/>
      <c r="I107" s="725"/>
      <c r="J107" s="725"/>
      <c r="K107" s="725"/>
      <c r="L107" s="725"/>
      <c r="M107" s="725"/>
      <c r="N107" s="725"/>
      <c r="O107" s="725"/>
      <c r="P107" s="725"/>
      <c r="Q107" s="725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8"/>
      <c r="CA107" s="118"/>
    </row>
    <row r="108" spans="1:129" s="95" customFormat="1" ht="27.75" hidden="1" customHeight="1" x14ac:dyDescent="0.2">
      <c r="A108" s="722" t="str">
        <f>'Титульный лист'!A11:N11</f>
        <v>Специфика:</v>
      </c>
      <c r="B108" s="723"/>
      <c r="C108" s="723"/>
      <c r="D108" s="65"/>
      <c r="E108" s="65"/>
      <c r="F108" s="65"/>
      <c r="G108" s="65"/>
      <c r="H108" s="65"/>
      <c r="I108" s="66"/>
      <c r="J108" s="66"/>
      <c r="K108" s="65"/>
      <c r="L108" s="65"/>
      <c r="M108" s="65"/>
      <c r="N108" s="65"/>
      <c r="O108" s="65"/>
      <c r="P108" s="65"/>
      <c r="Q108" s="65"/>
      <c r="R108" s="66"/>
      <c r="S108" s="119"/>
      <c r="T108" s="119"/>
      <c r="U108" s="119"/>
      <c r="V108" s="119"/>
      <c r="W108" s="119"/>
      <c r="X108" s="66"/>
      <c r="Y108" s="119"/>
      <c r="Z108" s="119"/>
      <c r="AA108" s="119"/>
      <c r="AB108" s="119"/>
      <c r="AC108" s="119"/>
      <c r="AD108" s="66"/>
      <c r="AE108" s="119"/>
      <c r="AF108" s="119"/>
      <c r="AG108" s="119"/>
      <c r="AH108" s="119"/>
      <c r="AI108" s="119"/>
      <c r="AJ108" s="66"/>
      <c r="AK108" s="119"/>
      <c r="AL108" s="119"/>
      <c r="AM108" s="119"/>
      <c r="AN108" s="119"/>
      <c r="AO108" s="119"/>
      <c r="AP108" s="66"/>
      <c r="AQ108" s="119"/>
      <c r="AR108" s="119"/>
      <c r="AS108" s="119"/>
      <c r="AT108" s="119"/>
      <c r="AU108" s="119"/>
      <c r="AV108" s="66"/>
      <c r="AW108" s="119"/>
      <c r="AX108" s="119"/>
      <c r="AY108" s="119"/>
      <c r="AZ108" s="119"/>
      <c r="BA108" s="119"/>
      <c r="BB108" s="66"/>
      <c r="BC108" s="119"/>
      <c r="BD108" s="119"/>
      <c r="BE108" s="119"/>
      <c r="BF108" s="119"/>
      <c r="BG108" s="119"/>
      <c r="BH108" s="66"/>
      <c r="BI108" s="119"/>
      <c r="BJ108" s="119"/>
      <c r="BK108" s="119"/>
      <c r="BL108" s="119"/>
      <c r="BM108" s="119"/>
      <c r="BN108" s="66"/>
      <c r="BO108" s="119"/>
      <c r="BP108" s="119"/>
      <c r="BQ108" s="119"/>
      <c r="BR108" s="119"/>
      <c r="BS108" s="119"/>
      <c r="BT108" s="66"/>
      <c r="BU108" s="119"/>
      <c r="BV108" s="119"/>
      <c r="BW108" s="119"/>
      <c r="BX108" s="119"/>
      <c r="BY108" s="119"/>
      <c r="BZ108" s="118"/>
      <c r="CA108" s="118"/>
    </row>
    <row r="109" spans="1:129" s="95" customFormat="1" ht="27.75" hidden="1" customHeight="1" x14ac:dyDescent="0.2">
      <c r="A109" s="732">
        <f>'Титульный лист'!O11:O11</f>
        <v>0</v>
      </c>
      <c r="B109" s="733"/>
      <c r="C109" s="733"/>
      <c r="D109" s="67"/>
      <c r="E109" s="67"/>
      <c r="F109" s="67"/>
      <c r="G109" s="67"/>
      <c r="H109" s="67"/>
      <c r="I109" s="68"/>
      <c r="J109" s="68"/>
      <c r="K109" s="67"/>
      <c r="L109" s="67"/>
      <c r="M109" s="67"/>
      <c r="N109" s="67"/>
      <c r="O109" s="67"/>
      <c r="P109" s="67"/>
      <c r="Q109" s="67"/>
      <c r="R109" s="143"/>
      <c r="S109" s="144"/>
      <c r="T109" s="144"/>
      <c r="U109" s="144"/>
      <c r="V109" s="144"/>
      <c r="W109" s="144"/>
      <c r="X109" s="143"/>
      <c r="Y109" s="144"/>
      <c r="Z109" s="144"/>
      <c r="AA109" s="144"/>
      <c r="AB109" s="144"/>
      <c r="AC109" s="144"/>
      <c r="AD109" s="143"/>
      <c r="AE109" s="144"/>
      <c r="AF109" s="144"/>
      <c r="AG109" s="144"/>
      <c r="AH109" s="144"/>
      <c r="AI109" s="144"/>
      <c r="AJ109" s="143"/>
      <c r="AK109" s="144"/>
      <c r="AL109" s="144"/>
      <c r="AM109" s="144"/>
      <c r="AN109" s="144"/>
      <c r="AO109" s="144"/>
      <c r="AP109" s="143"/>
      <c r="AQ109" s="144"/>
      <c r="AR109" s="144"/>
      <c r="AS109" s="144"/>
      <c r="AT109" s="144"/>
      <c r="AU109" s="144"/>
      <c r="AV109" s="143"/>
      <c r="AW109" s="144"/>
      <c r="AX109" s="144"/>
      <c r="AY109" s="144"/>
      <c r="AZ109" s="144"/>
      <c r="BA109" s="144"/>
      <c r="BB109" s="143"/>
      <c r="BC109" s="144"/>
      <c r="BD109" s="144"/>
      <c r="BE109" s="144"/>
      <c r="BF109" s="144"/>
      <c r="BG109" s="144"/>
      <c r="BH109" s="143"/>
      <c r="BI109" s="144"/>
      <c r="BJ109" s="144"/>
      <c r="BK109" s="144"/>
      <c r="BL109" s="144"/>
      <c r="BM109" s="144"/>
      <c r="BN109" s="143"/>
      <c r="BO109" s="144"/>
      <c r="BP109" s="144"/>
      <c r="BQ109" s="144"/>
      <c r="BR109" s="144"/>
      <c r="BS109" s="144"/>
      <c r="BT109" s="143"/>
      <c r="BU109" s="144"/>
      <c r="BV109" s="144"/>
      <c r="BW109" s="144"/>
      <c r="BX109" s="144"/>
      <c r="BY109" s="144"/>
      <c r="BZ109" s="118"/>
      <c r="CA109" s="118"/>
    </row>
    <row r="110" spans="1:129" s="95" customFormat="1" ht="12.75" customHeight="1" x14ac:dyDescent="0.2">
      <c r="A110" s="69"/>
      <c r="B110" s="726" t="s">
        <v>614</v>
      </c>
      <c r="C110" s="727"/>
      <c r="D110" s="727"/>
      <c r="E110" s="727"/>
      <c r="F110" s="727"/>
      <c r="G110" s="727"/>
      <c r="H110" s="728"/>
      <c r="I110" s="120">
        <f t="shared" ref="I110:Q110" si="389">I11+I27+I93</f>
        <v>7722</v>
      </c>
      <c r="J110" s="120">
        <f t="shared" si="389"/>
        <v>5148</v>
      </c>
      <c r="K110" s="121">
        <f t="shared" si="389"/>
        <v>7722</v>
      </c>
      <c r="L110" s="121">
        <f t="shared" si="389"/>
        <v>5148</v>
      </c>
      <c r="M110" s="121">
        <f t="shared" si="389"/>
        <v>3793</v>
      </c>
      <c r="N110" s="121">
        <f t="shared" si="389"/>
        <v>1265</v>
      </c>
      <c r="O110" s="121">
        <f t="shared" si="389"/>
        <v>90</v>
      </c>
      <c r="P110" s="121">
        <f t="shared" si="389"/>
        <v>0</v>
      </c>
      <c r="Q110" s="573">
        <f t="shared" si="389"/>
        <v>2574</v>
      </c>
      <c r="R110" s="569">
        <f>SUM(S110:W110)</f>
        <v>918</v>
      </c>
      <c r="S110" s="122">
        <f t="shared" ref="S110:W110" si="390">S11+S27+S93</f>
        <v>525</v>
      </c>
      <c r="T110" s="122">
        <f t="shared" si="390"/>
        <v>87</v>
      </c>
      <c r="U110" s="122">
        <f t="shared" si="390"/>
        <v>0</v>
      </c>
      <c r="V110" s="122">
        <f t="shared" si="390"/>
        <v>0</v>
      </c>
      <c r="W110" s="122">
        <f t="shared" si="390"/>
        <v>306</v>
      </c>
      <c r="X110" s="571">
        <f>SUM(Y110:AC110)</f>
        <v>1188</v>
      </c>
      <c r="Y110" s="122">
        <f t="shared" ref="Y110:AC110" si="391">Y11+Y27+Y93</f>
        <v>664</v>
      </c>
      <c r="Z110" s="122">
        <f t="shared" si="391"/>
        <v>128</v>
      </c>
      <c r="AA110" s="122">
        <f t="shared" si="391"/>
        <v>0</v>
      </c>
      <c r="AB110" s="122">
        <f t="shared" si="391"/>
        <v>0</v>
      </c>
      <c r="AC110" s="131">
        <f t="shared" si="391"/>
        <v>396</v>
      </c>
      <c r="AD110" s="569">
        <f>SUM(AE110:AI110)</f>
        <v>864</v>
      </c>
      <c r="AE110" s="122">
        <f t="shared" ref="AE110:AI110" si="392">AE11+AE27+AE93</f>
        <v>456</v>
      </c>
      <c r="AF110" s="122">
        <f t="shared" si="392"/>
        <v>120</v>
      </c>
      <c r="AG110" s="122">
        <f t="shared" si="392"/>
        <v>0</v>
      </c>
      <c r="AH110" s="122">
        <f t="shared" si="392"/>
        <v>0</v>
      </c>
      <c r="AI110" s="122">
        <f t="shared" si="392"/>
        <v>288</v>
      </c>
      <c r="AJ110" s="569">
        <f>SUM(AK110:AO110)</f>
        <v>918</v>
      </c>
      <c r="AK110" s="122">
        <f t="shared" ref="AK110:AO110" si="393">AK11+AK27+AK93</f>
        <v>514</v>
      </c>
      <c r="AL110" s="122">
        <f t="shared" si="393"/>
        <v>98</v>
      </c>
      <c r="AM110" s="122">
        <f t="shared" si="393"/>
        <v>0</v>
      </c>
      <c r="AN110" s="122">
        <f t="shared" si="393"/>
        <v>0</v>
      </c>
      <c r="AO110" s="122">
        <f t="shared" si="393"/>
        <v>306</v>
      </c>
      <c r="AP110" s="571">
        <f>SUM(AQ110:AU110)</f>
        <v>864</v>
      </c>
      <c r="AQ110" s="122">
        <f t="shared" ref="AQ110:AU110" si="394">AQ11+AQ27+AQ93</f>
        <v>454</v>
      </c>
      <c r="AR110" s="122">
        <f t="shared" si="394"/>
        <v>122</v>
      </c>
      <c r="AS110" s="122">
        <f t="shared" si="394"/>
        <v>0</v>
      </c>
      <c r="AT110" s="122">
        <f t="shared" si="394"/>
        <v>0</v>
      </c>
      <c r="AU110" s="131">
        <f t="shared" si="394"/>
        <v>288</v>
      </c>
      <c r="AV110" s="569">
        <f>SUM(AW110:BA110)</f>
        <v>594</v>
      </c>
      <c r="AW110" s="122">
        <f t="shared" ref="AW110:BA110" si="395">AW11+AW27+AW93</f>
        <v>255</v>
      </c>
      <c r="AX110" s="122">
        <f t="shared" si="395"/>
        <v>141</v>
      </c>
      <c r="AY110" s="122">
        <f t="shared" si="395"/>
        <v>0</v>
      </c>
      <c r="AZ110" s="122">
        <f t="shared" si="395"/>
        <v>0</v>
      </c>
      <c r="BA110" s="122">
        <f t="shared" si="395"/>
        <v>198</v>
      </c>
      <c r="BB110" s="571">
        <f>SUM(BC110:BG110)</f>
        <v>594</v>
      </c>
      <c r="BC110" s="122">
        <f t="shared" ref="BC110:BG110" si="396">BC11+BC27+BC93</f>
        <v>290</v>
      </c>
      <c r="BD110" s="122">
        <f t="shared" si="396"/>
        <v>106</v>
      </c>
      <c r="BE110" s="122">
        <f t="shared" si="396"/>
        <v>0</v>
      </c>
      <c r="BF110" s="122">
        <f t="shared" si="396"/>
        <v>0</v>
      </c>
      <c r="BG110" s="131">
        <f t="shared" si="396"/>
        <v>198</v>
      </c>
      <c r="BH110" s="569">
        <f>SUM(BI110:BM110)</f>
        <v>594</v>
      </c>
      <c r="BI110" s="122">
        <f t="shared" ref="BI110:BM110" si="397">BI11+BI27+BI93</f>
        <v>308</v>
      </c>
      <c r="BJ110" s="122">
        <f t="shared" si="397"/>
        <v>33</v>
      </c>
      <c r="BK110" s="122">
        <f t="shared" si="397"/>
        <v>55</v>
      </c>
      <c r="BL110" s="122">
        <f t="shared" si="397"/>
        <v>0</v>
      </c>
      <c r="BM110" s="122">
        <f t="shared" si="397"/>
        <v>198</v>
      </c>
      <c r="BN110" s="571">
        <f>SUM(BO110:BS110)</f>
        <v>216</v>
      </c>
      <c r="BO110" s="122">
        <f t="shared" ref="BO110:BS110" si="398">BO11+BO27+BO93</f>
        <v>80</v>
      </c>
      <c r="BP110" s="122">
        <f t="shared" si="398"/>
        <v>64</v>
      </c>
      <c r="BQ110" s="122">
        <f t="shared" si="398"/>
        <v>0</v>
      </c>
      <c r="BR110" s="122">
        <f t="shared" si="398"/>
        <v>0</v>
      </c>
      <c r="BS110" s="131">
        <f t="shared" si="398"/>
        <v>72</v>
      </c>
      <c r="BT110" s="569">
        <f>SUM(BU110:BY110)</f>
        <v>972</v>
      </c>
      <c r="BU110" s="122">
        <f t="shared" ref="BU110:BY110" si="399">BU11+BU27+BU93</f>
        <v>247</v>
      </c>
      <c r="BV110" s="122">
        <f t="shared" si="399"/>
        <v>366</v>
      </c>
      <c r="BW110" s="122">
        <f t="shared" si="399"/>
        <v>35</v>
      </c>
      <c r="BX110" s="122">
        <f t="shared" si="399"/>
        <v>0</v>
      </c>
      <c r="BY110" s="122">
        <f t="shared" si="399"/>
        <v>324</v>
      </c>
      <c r="BZ110" s="118"/>
      <c r="CA110" s="118"/>
    </row>
    <row r="111" spans="1:129" s="95" customFormat="1" ht="12.75" customHeight="1" x14ac:dyDescent="0.2">
      <c r="A111" s="69"/>
      <c r="B111" s="726" t="s">
        <v>274</v>
      </c>
      <c r="C111" s="727"/>
      <c r="D111" s="727"/>
      <c r="E111" s="727"/>
      <c r="F111" s="727"/>
      <c r="G111" s="727"/>
      <c r="H111" s="728"/>
      <c r="I111" s="120">
        <f t="shared" ref="I111:Q111" si="400">I96+I101</f>
        <v>0</v>
      </c>
      <c r="J111" s="120">
        <f t="shared" si="400"/>
        <v>0</v>
      </c>
      <c r="K111" s="121">
        <f t="shared" si="400"/>
        <v>1980</v>
      </c>
      <c r="L111" s="121">
        <f t="shared" si="400"/>
        <v>1980</v>
      </c>
      <c r="M111" s="121">
        <f t="shared" si="400"/>
        <v>0</v>
      </c>
      <c r="N111" s="121">
        <f t="shared" si="400"/>
        <v>0</v>
      </c>
      <c r="O111" s="121">
        <f t="shared" si="400"/>
        <v>0</v>
      </c>
      <c r="P111" s="121">
        <f t="shared" si="400"/>
        <v>1980</v>
      </c>
      <c r="Q111" s="574">
        <f t="shared" si="400"/>
        <v>0</v>
      </c>
      <c r="R111" s="569">
        <f>SUM(S111:W111)</f>
        <v>0</v>
      </c>
      <c r="S111" s="122">
        <f t="shared" ref="S111:W111" si="401">S96+S101</f>
        <v>0</v>
      </c>
      <c r="T111" s="122">
        <f t="shared" si="401"/>
        <v>0</v>
      </c>
      <c r="U111" s="122">
        <f t="shared" si="401"/>
        <v>0</v>
      </c>
      <c r="V111" s="122">
        <f t="shared" si="401"/>
        <v>0</v>
      </c>
      <c r="W111" s="125">
        <f t="shared" si="401"/>
        <v>0</v>
      </c>
      <c r="X111" s="571">
        <f>SUM(Y111:AC111)</f>
        <v>0</v>
      </c>
      <c r="Y111" s="122">
        <f t="shared" ref="Y111:AC111" si="402">Y96+Y101</f>
        <v>0</v>
      </c>
      <c r="Z111" s="122">
        <f t="shared" si="402"/>
        <v>0</v>
      </c>
      <c r="AA111" s="122">
        <f t="shared" si="402"/>
        <v>0</v>
      </c>
      <c r="AB111" s="122">
        <f t="shared" si="402"/>
        <v>0</v>
      </c>
      <c r="AC111" s="123">
        <f t="shared" si="402"/>
        <v>0</v>
      </c>
      <c r="AD111" s="569">
        <f>SUM(AE111:AI111)</f>
        <v>0</v>
      </c>
      <c r="AE111" s="122">
        <f t="shared" ref="AE111:AI111" si="403">AE96+AE101</f>
        <v>0</v>
      </c>
      <c r="AF111" s="122">
        <f t="shared" si="403"/>
        <v>0</v>
      </c>
      <c r="AG111" s="122">
        <f t="shared" si="403"/>
        <v>0</v>
      </c>
      <c r="AH111" s="122">
        <f t="shared" si="403"/>
        <v>0</v>
      </c>
      <c r="AI111" s="125">
        <f t="shared" si="403"/>
        <v>0</v>
      </c>
      <c r="AJ111" s="569">
        <f>SUM(AK111:AO111)</f>
        <v>324</v>
      </c>
      <c r="AK111" s="122">
        <f t="shared" ref="AK111:AO111" si="404">AK96+AK101</f>
        <v>0</v>
      </c>
      <c r="AL111" s="122">
        <f t="shared" si="404"/>
        <v>0</v>
      </c>
      <c r="AM111" s="122">
        <f t="shared" si="404"/>
        <v>0</v>
      </c>
      <c r="AN111" s="122">
        <f t="shared" si="404"/>
        <v>324</v>
      </c>
      <c r="AO111" s="125">
        <f t="shared" si="404"/>
        <v>0</v>
      </c>
      <c r="AP111" s="571">
        <f>SUM(AQ111:AU111)</f>
        <v>0</v>
      </c>
      <c r="AQ111" s="122">
        <f t="shared" ref="AQ111:AU111" si="405">AQ96+AQ101</f>
        <v>0</v>
      </c>
      <c r="AR111" s="122">
        <f t="shared" si="405"/>
        <v>0</v>
      </c>
      <c r="AS111" s="122">
        <f t="shared" si="405"/>
        <v>0</v>
      </c>
      <c r="AT111" s="122">
        <f t="shared" si="405"/>
        <v>0</v>
      </c>
      <c r="AU111" s="123">
        <f t="shared" si="405"/>
        <v>0</v>
      </c>
      <c r="AV111" s="569">
        <f>SUM(AW111:BA111)</f>
        <v>540</v>
      </c>
      <c r="AW111" s="122">
        <f t="shared" ref="AW111:BA111" si="406">AW96+AW101</f>
        <v>0</v>
      </c>
      <c r="AX111" s="122">
        <f t="shared" si="406"/>
        <v>0</v>
      </c>
      <c r="AY111" s="122">
        <f t="shared" si="406"/>
        <v>0</v>
      </c>
      <c r="AZ111" s="122">
        <f t="shared" si="406"/>
        <v>540</v>
      </c>
      <c r="BA111" s="125">
        <f t="shared" si="406"/>
        <v>0</v>
      </c>
      <c r="BB111" s="571">
        <f>SUM(BC111:BG111)</f>
        <v>216</v>
      </c>
      <c r="BC111" s="122">
        <f t="shared" ref="BC111:BG111" si="407">BC96+BC101</f>
        <v>0</v>
      </c>
      <c r="BD111" s="122">
        <f t="shared" si="407"/>
        <v>0</v>
      </c>
      <c r="BE111" s="122">
        <f t="shared" si="407"/>
        <v>0</v>
      </c>
      <c r="BF111" s="122">
        <f t="shared" si="407"/>
        <v>216</v>
      </c>
      <c r="BG111" s="123">
        <f t="shared" si="407"/>
        <v>0</v>
      </c>
      <c r="BH111" s="569">
        <f>SUM(BI111:BM111)</f>
        <v>540</v>
      </c>
      <c r="BI111" s="122">
        <f t="shared" ref="BI111:BM111" si="408">BI96+BI101</f>
        <v>0</v>
      </c>
      <c r="BJ111" s="122">
        <f t="shared" si="408"/>
        <v>0</v>
      </c>
      <c r="BK111" s="122">
        <f t="shared" si="408"/>
        <v>0</v>
      </c>
      <c r="BL111" s="122">
        <f t="shared" si="408"/>
        <v>540</v>
      </c>
      <c r="BM111" s="125">
        <f t="shared" si="408"/>
        <v>0</v>
      </c>
      <c r="BN111" s="571">
        <f>SUM(BO111:BS111)</f>
        <v>360</v>
      </c>
      <c r="BO111" s="122">
        <f t="shared" ref="BO111:BS111" si="409">BO96+BO101</f>
        <v>0</v>
      </c>
      <c r="BP111" s="122">
        <f t="shared" si="409"/>
        <v>0</v>
      </c>
      <c r="BQ111" s="122">
        <f t="shared" si="409"/>
        <v>0</v>
      </c>
      <c r="BR111" s="122">
        <f t="shared" si="409"/>
        <v>360</v>
      </c>
      <c r="BS111" s="123">
        <f t="shared" si="409"/>
        <v>0</v>
      </c>
      <c r="BT111" s="569">
        <f>SUM(BU111:BY111)</f>
        <v>0</v>
      </c>
      <c r="BU111" s="122">
        <f t="shared" ref="BU111:BY111" si="410">BU96+BU101</f>
        <v>0</v>
      </c>
      <c r="BV111" s="122">
        <f t="shared" si="410"/>
        <v>0</v>
      </c>
      <c r="BW111" s="122">
        <f t="shared" si="410"/>
        <v>0</v>
      </c>
      <c r="BX111" s="122">
        <f t="shared" si="410"/>
        <v>0</v>
      </c>
      <c r="BY111" s="125">
        <f t="shared" si="410"/>
        <v>0</v>
      </c>
      <c r="BZ111" s="118"/>
      <c r="CA111" s="118"/>
    </row>
    <row r="112" spans="1:129" s="95" customFormat="1" ht="12.75" customHeight="1" x14ac:dyDescent="0.2">
      <c r="A112" s="69"/>
      <c r="B112" s="726" t="s">
        <v>604</v>
      </c>
      <c r="C112" s="727"/>
      <c r="D112" s="727"/>
      <c r="E112" s="727"/>
      <c r="F112" s="727"/>
      <c r="G112" s="727"/>
      <c r="H112" s="728"/>
      <c r="I112" s="120">
        <f>I104</f>
        <v>216</v>
      </c>
      <c r="J112" s="120">
        <f>J104</f>
        <v>0</v>
      </c>
      <c r="K112" s="121">
        <f>K104</f>
        <v>216</v>
      </c>
      <c r="L112" s="121">
        <f t="shared" ref="L112:P112" si="411">L104</f>
        <v>0</v>
      </c>
      <c r="M112" s="121">
        <f t="shared" si="411"/>
        <v>0</v>
      </c>
      <c r="N112" s="121">
        <f t="shared" si="411"/>
        <v>0</v>
      </c>
      <c r="O112" s="121">
        <f t="shared" si="411"/>
        <v>0</v>
      </c>
      <c r="P112" s="121">
        <f t="shared" si="411"/>
        <v>0</v>
      </c>
      <c r="Q112" s="574">
        <f>Q104</f>
        <v>216</v>
      </c>
      <c r="R112" s="569">
        <f>SUM(S112:W112)</f>
        <v>0</v>
      </c>
      <c r="S112" s="122">
        <f t="shared" ref="S112:W112" si="412">S104</f>
        <v>0</v>
      </c>
      <c r="T112" s="122">
        <f t="shared" si="412"/>
        <v>0</v>
      </c>
      <c r="U112" s="122">
        <f t="shared" si="412"/>
        <v>0</v>
      </c>
      <c r="V112" s="122">
        <f t="shared" si="412"/>
        <v>0</v>
      </c>
      <c r="W112" s="125">
        <f t="shared" si="412"/>
        <v>0</v>
      </c>
      <c r="X112" s="571">
        <f t="shared" ref="X112:AC112" si="413">X104</f>
        <v>0</v>
      </c>
      <c r="Y112" s="122">
        <f t="shared" si="413"/>
        <v>0</v>
      </c>
      <c r="Z112" s="122">
        <f t="shared" si="413"/>
        <v>0</v>
      </c>
      <c r="AA112" s="122">
        <f t="shared" si="413"/>
        <v>0</v>
      </c>
      <c r="AB112" s="122">
        <f t="shared" si="413"/>
        <v>0</v>
      </c>
      <c r="AC112" s="123">
        <f t="shared" si="413"/>
        <v>0</v>
      </c>
      <c r="AD112" s="569">
        <f t="shared" ref="AD112:AI112" si="414">AD104</f>
        <v>0</v>
      </c>
      <c r="AE112" s="122">
        <f t="shared" si="414"/>
        <v>0</v>
      </c>
      <c r="AF112" s="122">
        <f t="shared" si="414"/>
        <v>0</v>
      </c>
      <c r="AG112" s="122">
        <f t="shared" si="414"/>
        <v>0</v>
      </c>
      <c r="AH112" s="122">
        <f t="shared" si="414"/>
        <v>0</v>
      </c>
      <c r="AI112" s="125">
        <f t="shared" si="414"/>
        <v>0</v>
      </c>
      <c r="AJ112" s="569">
        <f t="shared" ref="AJ112:AO112" si="415">AJ104</f>
        <v>0</v>
      </c>
      <c r="AK112" s="122">
        <f t="shared" si="415"/>
        <v>0</v>
      </c>
      <c r="AL112" s="122">
        <f t="shared" si="415"/>
        <v>0</v>
      </c>
      <c r="AM112" s="122">
        <f t="shared" si="415"/>
        <v>0</v>
      </c>
      <c r="AN112" s="122">
        <f t="shared" si="415"/>
        <v>0</v>
      </c>
      <c r="AO112" s="125">
        <f t="shared" si="415"/>
        <v>0</v>
      </c>
      <c r="AP112" s="571">
        <f t="shared" ref="AP112:AU112" si="416">AP104</f>
        <v>0</v>
      </c>
      <c r="AQ112" s="122">
        <f t="shared" si="416"/>
        <v>0</v>
      </c>
      <c r="AR112" s="122">
        <f t="shared" si="416"/>
        <v>0</v>
      </c>
      <c r="AS112" s="122">
        <f t="shared" si="416"/>
        <v>0</v>
      </c>
      <c r="AT112" s="122">
        <f t="shared" si="416"/>
        <v>0</v>
      </c>
      <c r="AU112" s="123">
        <f t="shared" si="416"/>
        <v>0</v>
      </c>
      <c r="AV112" s="569">
        <f t="shared" ref="AV112:BA112" si="417">AV104</f>
        <v>0</v>
      </c>
      <c r="AW112" s="122">
        <f t="shared" si="417"/>
        <v>0</v>
      </c>
      <c r="AX112" s="122">
        <f t="shared" si="417"/>
        <v>0</v>
      </c>
      <c r="AY112" s="122">
        <f t="shared" si="417"/>
        <v>0</v>
      </c>
      <c r="AZ112" s="122">
        <f t="shared" si="417"/>
        <v>0</v>
      </c>
      <c r="BA112" s="125">
        <f t="shared" si="417"/>
        <v>0</v>
      </c>
      <c r="BB112" s="571">
        <f t="shared" ref="BB112:BG112" si="418">BB104</f>
        <v>0</v>
      </c>
      <c r="BC112" s="122">
        <f t="shared" si="418"/>
        <v>0</v>
      </c>
      <c r="BD112" s="122">
        <f t="shared" si="418"/>
        <v>0</v>
      </c>
      <c r="BE112" s="122">
        <f t="shared" si="418"/>
        <v>0</v>
      </c>
      <c r="BF112" s="122">
        <f t="shared" si="418"/>
        <v>0</v>
      </c>
      <c r="BG112" s="123">
        <f t="shared" si="418"/>
        <v>0</v>
      </c>
      <c r="BH112" s="569">
        <f t="shared" ref="BH112:BM112" si="419">BH104</f>
        <v>0</v>
      </c>
      <c r="BI112" s="122">
        <f t="shared" si="419"/>
        <v>0</v>
      </c>
      <c r="BJ112" s="122">
        <f t="shared" si="419"/>
        <v>0</v>
      </c>
      <c r="BK112" s="122">
        <f t="shared" si="419"/>
        <v>0</v>
      </c>
      <c r="BL112" s="122">
        <f t="shared" si="419"/>
        <v>0</v>
      </c>
      <c r="BM112" s="125">
        <f t="shared" si="419"/>
        <v>0</v>
      </c>
      <c r="BN112" s="571">
        <f t="shared" ref="BN112:BS112" si="420">BN104</f>
        <v>0</v>
      </c>
      <c r="BO112" s="122">
        <f t="shared" si="420"/>
        <v>0</v>
      </c>
      <c r="BP112" s="122">
        <f t="shared" si="420"/>
        <v>0</v>
      </c>
      <c r="BQ112" s="122">
        <f t="shared" si="420"/>
        <v>0</v>
      </c>
      <c r="BR112" s="122">
        <f t="shared" si="420"/>
        <v>0</v>
      </c>
      <c r="BS112" s="123">
        <f t="shared" si="420"/>
        <v>0</v>
      </c>
      <c r="BT112" s="569">
        <f t="shared" ref="BT112:BY112" si="421">BT104</f>
        <v>216</v>
      </c>
      <c r="BU112" s="122">
        <f t="shared" si="421"/>
        <v>0</v>
      </c>
      <c r="BV112" s="122">
        <f t="shared" si="421"/>
        <v>0</v>
      </c>
      <c r="BW112" s="122">
        <f t="shared" si="421"/>
        <v>0</v>
      </c>
      <c r="BX112" s="122">
        <f t="shared" si="421"/>
        <v>0</v>
      </c>
      <c r="BY112" s="125">
        <f t="shared" si="421"/>
        <v>216</v>
      </c>
      <c r="BZ112" s="118"/>
      <c r="CA112" s="118"/>
    </row>
    <row r="113" spans="1:79" s="127" customFormat="1" ht="12.75" hidden="1" customHeight="1" x14ac:dyDescent="0.2">
      <c r="A113" s="70"/>
      <c r="B113" s="729" t="s">
        <v>316</v>
      </c>
      <c r="C113" s="730"/>
      <c r="D113" s="730"/>
      <c r="E113" s="730"/>
      <c r="F113" s="730"/>
      <c r="G113" s="730"/>
      <c r="H113" s="731"/>
      <c r="I113" s="124">
        <f>I106</f>
        <v>0</v>
      </c>
      <c r="J113" s="124">
        <f>J106</f>
        <v>0</v>
      </c>
      <c r="K113" s="125">
        <f>K106</f>
        <v>0</v>
      </c>
      <c r="L113" s="125">
        <f t="shared" ref="L113:P113" si="422">L106</f>
        <v>0</v>
      </c>
      <c r="M113" s="125">
        <f t="shared" si="422"/>
        <v>0</v>
      </c>
      <c r="N113" s="125">
        <f t="shared" si="422"/>
        <v>0</v>
      </c>
      <c r="O113" s="125">
        <f t="shared" si="422"/>
        <v>0</v>
      </c>
      <c r="P113" s="125">
        <f t="shared" si="422"/>
        <v>0</v>
      </c>
      <c r="Q113" s="123">
        <f>Q106</f>
        <v>0</v>
      </c>
      <c r="R113" s="570">
        <f t="shared" ref="R113:W113" si="423">R106</f>
        <v>0</v>
      </c>
      <c r="S113" s="122">
        <f t="shared" si="423"/>
        <v>0</v>
      </c>
      <c r="T113" s="122">
        <f t="shared" si="423"/>
        <v>0</v>
      </c>
      <c r="U113" s="122">
        <f t="shared" si="423"/>
        <v>0</v>
      </c>
      <c r="V113" s="122">
        <f t="shared" si="423"/>
        <v>0</v>
      </c>
      <c r="W113" s="125">
        <f t="shared" si="423"/>
        <v>0</v>
      </c>
      <c r="X113" s="572">
        <f t="shared" ref="X113:AC113" si="424">X106</f>
        <v>0</v>
      </c>
      <c r="Y113" s="122">
        <f t="shared" si="424"/>
        <v>0</v>
      </c>
      <c r="Z113" s="122">
        <f t="shared" si="424"/>
        <v>0</v>
      </c>
      <c r="AA113" s="122">
        <f t="shared" si="424"/>
        <v>0</v>
      </c>
      <c r="AB113" s="122">
        <f t="shared" si="424"/>
        <v>0</v>
      </c>
      <c r="AC113" s="123">
        <f t="shared" si="424"/>
        <v>0</v>
      </c>
      <c r="AD113" s="570" t="e">
        <f t="shared" ref="AD113:AI113" si="425">AD106</f>
        <v>#REF!</v>
      </c>
      <c r="AE113" s="122">
        <f t="shared" si="425"/>
        <v>0</v>
      </c>
      <c r="AF113" s="122">
        <f t="shared" si="425"/>
        <v>0</v>
      </c>
      <c r="AG113" s="122">
        <f t="shared" si="425"/>
        <v>0</v>
      </c>
      <c r="AH113" s="122">
        <f t="shared" si="425"/>
        <v>0</v>
      </c>
      <c r="AI113" s="125">
        <f t="shared" si="425"/>
        <v>0</v>
      </c>
      <c r="AJ113" s="570">
        <f t="shared" ref="AJ113:AO113" si="426">AJ106</f>
        <v>0</v>
      </c>
      <c r="AK113" s="122">
        <f t="shared" si="426"/>
        <v>0</v>
      </c>
      <c r="AL113" s="122">
        <f t="shared" si="426"/>
        <v>0</v>
      </c>
      <c r="AM113" s="122">
        <f t="shared" si="426"/>
        <v>0</v>
      </c>
      <c r="AN113" s="122">
        <f t="shared" si="426"/>
        <v>0</v>
      </c>
      <c r="AO113" s="125">
        <f t="shared" si="426"/>
        <v>0</v>
      </c>
      <c r="AP113" s="572">
        <f t="shared" ref="AP113:AU113" si="427">AP106</f>
        <v>0</v>
      </c>
      <c r="AQ113" s="122">
        <f t="shared" si="427"/>
        <v>0</v>
      </c>
      <c r="AR113" s="122">
        <f t="shared" si="427"/>
        <v>0</v>
      </c>
      <c r="AS113" s="122">
        <f t="shared" si="427"/>
        <v>0</v>
      </c>
      <c r="AT113" s="122">
        <f t="shared" si="427"/>
        <v>0</v>
      </c>
      <c r="AU113" s="123">
        <f t="shared" si="427"/>
        <v>0</v>
      </c>
      <c r="AV113" s="570">
        <f t="shared" ref="AV113:BA113" si="428">AV106</f>
        <v>0</v>
      </c>
      <c r="AW113" s="122">
        <f t="shared" si="428"/>
        <v>0</v>
      </c>
      <c r="AX113" s="122">
        <f t="shared" si="428"/>
        <v>0</v>
      </c>
      <c r="AY113" s="122">
        <f t="shared" si="428"/>
        <v>0</v>
      </c>
      <c r="AZ113" s="122">
        <f t="shared" si="428"/>
        <v>0</v>
      </c>
      <c r="BA113" s="125">
        <f t="shared" si="428"/>
        <v>0</v>
      </c>
      <c r="BB113" s="572">
        <f t="shared" ref="BB113:BG113" si="429">BB106</f>
        <v>0</v>
      </c>
      <c r="BC113" s="122">
        <f t="shared" si="429"/>
        <v>0</v>
      </c>
      <c r="BD113" s="122">
        <f t="shared" si="429"/>
        <v>0</v>
      </c>
      <c r="BE113" s="122">
        <f t="shared" si="429"/>
        <v>0</v>
      </c>
      <c r="BF113" s="122">
        <f t="shared" si="429"/>
        <v>0</v>
      </c>
      <c r="BG113" s="123">
        <f t="shared" si="429"/>
        <v>0</v>
      </c>
      <c r="BH113" s="570">
        <f t="shared" ref="BH113:BM113" si="430">BH106</f>
        <v>0</v>
      </c>
      <c r="BI113" s="122">
        <f t="shared" si="430"/>
        <v>0</v>
      </c>
      <c r="BJ113" s="122">
        <f t="shared" si="430"/>
        <v>0</v>
      </c>
      <c r="BK113" s="122">
        <f t="shared" si="430"/>
        <v>0</v>
      </c>
      <c r="BL113" s="122">
        <f t="shared" si="430"/>
        <v>0</v>
      </c>
      <c r="BM113" s="125">
        <f t="shared" si="430"/>
        <v>0</v>
      </c>
      <c r="BN113" s="572">
        <f t="shared" ref="BN113:BS113" si="431">BN106</f>
        <v>0</v>
      </c>
      <c r="BO113" s="122">
        <f t="shared" si="431"/>
        <v>0</v>
      </c>
      <c r="BP113" s="122">
        <f t="shared" si="431"/>
        <v>0</v>
      </c>
      <c r="BQ113" s="122">
        <f t="shared" si="431"/>
        <v>0</v>
      </c>
      <c r="BR113" s="122">
        <f t="shared" si="431"/>
        <v>0</v>
      </c>
      <c r="BS113" s="123">
        <f t="shared" si="431"/>
        <v>0</v>
      </c>
      <c r="BT113" s="570">
        <f t="shared" ref="BT113:BY113" si="432">BT106</f>
        <v>0</v>
      </c>
      <c r="BU113" s="122">
        <f t="shared" si="432"/>
        <v>0</v>
      </c>
      <c r="BV113" s="122">
        <f t="shared" si="432"/>
        <v>0</v>
      </c>
      <c r="BW113" s="122">
        <f t="shared" si="432"/>
        <v>0</v>
      </c>
      <c r="BX113" s="122">
        <f t="shared" si="432"/>
        <v>0</v>
      </c>
      <c r="BY113" s="125">
        <f t="shared" si="432"/>
        <v>0</v>
      </c>
      <c r="BZ113" s="126"/>
      <c r="CA113" s="126"/>
    </row>
    <row r="114" spans="1:79" s="95" customFormat="1" x14ac:dyDescent="0.2">
      <c r="A114" s="128"/>
      <c r="B114" s="726" t="s">
        <v>233</v>
      </c>
      <c r="C114" s="727"/>
      <c r="D114" s="727"/>
      <c r="E114" s="727"/>
      <c r="F114" s="727"/>
      <c r="G114" s="727"/>
      <c r="H114" s="728"/>
      <c r="I114" s="129">
        <f>SUM(I110:I112)</f>
        <v>7938</v>
      </c>
      <c r="J114" s="129">
        <f>SUM(J110:J112)</f>
        <v>5148</v>
      </c>
      <c r="K114" s="130">
        <f>SUM(K110:K112)</f>
        <v>9918</v>
      </c>
      <c r="L114" s="130">
        <f t="shared" ref="L114:P114" si="433">SUM(L110:L112)</f>
        <v>7128</v>
      </c>
      <c r="M114" s="130">
        <f t="shared" si="433"/>
        <v>3793</v>
      </c>
      <c r="N114" s="130">
        <f t="shared" si="433"/>
        <v>1265</v>
      </c>
      <c r="O114" s="130">
        <f t="shared" si="433"/>
        <v>90</v>
      </c>
      <c r="P114" s="130">
        <f t="shared" si="433"/>
        <v>1980</v>
      </c>
      <c r="Q114" s="574">
        <f>SUM(Q110:Q112)</f>
        <v>2790</v>
      </c>
      <c r="R114" s="569">
        <f t="shared" ref="R114:AC114" si="434">SUM(R110:R112)</f>
        <v>918</v>
      </c>
      <c r="S114" s="122">
        <f t="shared" si="434"/>
        <v>525</v>
      </c>
      <c r="T114" s="122">
        <f t="shared" si="434"/>
        <v>87</v>
      </c>
      <c r="U114" s="122">
        <f t="shared" si="434"/>
        <v>0</v>
      </c>
      <c r="V114" s="122">
        <f t="shared" si="434"/>
        <v>0</v>
      </c>
      <c r="W114" s="122">
        <f t="shared" si="434"/>
        <v>306</v>
      </c>
      <c r="X114" s="571">
        <f t="shared" si="434"/>
        <v>1188</v>
      </c>
      <c r="Y114" s="122">
        <f t="shared" si="434"/>
        <v>664</v>
      </c>
      <c r="Z114" s="122">
        <f t="shared" si="434"/>
        <v>128</v>
      </c>
      <c r="AA114" s="122">
        <f t="shared" si="434"/>
        <v>0</v>
      </c>
      <c r="AB114" s="122">
        <f t="shared" si="434"/>
        <v>0</v>
      </c>
      <c r="AC114" s="131">
        <f t="shared" si="434"/>
        <v>396</v>
      </c>
      <c r="AD114" s="569">
        <f t="shared" ref="AD114:AO114" si="435">SUM(AD110:AD112)</f>
        <v>864</v>
      </c>
      <c r="AE114" s="122">
        <f t="shared" si="435"/>
        <v>456</v>
      </c>
      <c r="AF114" s="122">
        <f t="shared" si="435"/>
        <v>120</v>
      </c>
      <c r="AG114" s="122">
        <f t="shared" si="435"/>
        <v>0</v>
      </c>
      <c r="AH114" s="122">
        <f t="shared" si="435"/>
        <v>0</v>
      </c>
      <c r="AI114" s="122">
        <f t="shared" si="435"/>
        <v>288</v>
      </c>
      <c r="AJ114" s="569">
        <f t="shared" si="435"/>
        <v>1242</v>
      </c>
      <c r="AK114" s="122">
        <f t="shared" si="435"/>
        <v>514</v>
      </c>
      <c r="AL114" s="122">
        <f t="shared" si="435"/>
        <v>98</v>
      </c>
      <c r="AM114" s="122">
        <f t="shared" si="435"/>
        <v>0</v>
      </c>
      <c r="AN114" s="122">
        <f t="shared" si="435"/>
        <v>324</v>
      </c>
      <c r="AO114" s="122">
        <f t="shared" si="435"/>
        <v>306</v>
      </c>
      <c r="AP114" s="571">
        <f t="shared" ref="AP114:BA114" si="436">SUM(AP110:AP112)</f>
        <v>864</v>
      </c>
      <c r="AQ114" s="122">
        <f t="shared" si="436"/>
        <v>454</v>
      </c>
      <c r="AR114" s="122">
        <f t="shared" si="436"/>
        <v>122</v>
      </c>
      <c r="AS114" s="122">
        <f t="shared" si="436"/>
        <v>0</v>
      </c>
      <c r="AT114" s="122">
        <f t="shared" si="436"/>
        <v>0</v>
      </c>
      <c r="AU114" s="131">
        <f t="shared" si="436"/>
        <v>288</v>
      </c>
      <c r="AV114" s="569">
        <f t="shared" si="436"/>
        <v>1134</v>
      </c>
      <c r="AW114" s="122">
        <f t="shared" si="436"/>
        <v>255</v>
      </c>
      <c r="AX114" s="122">
        <f t="shared" si="436"/>
        <v>141</v>
      </c>
      <c r="AY114" s="122">
        <f t="shared" si="436"/>
        <v>0</v>
      </c>
      <c r="AZ114" s="122">
        <f t="shared" si="436"/>
        <v>540</v>
      </c>
      <c r="BA114" s="122">
        <f t="shared" si="436"/>
        <v>198</v>
      </c>
      <c r="BB114" s="571">
        <f t="shared" ref="BB114:BM114" si="437">SUM(BB110:BB112)</f>
        <v>810</v>
      </c>
      <c r="BC114" s="122">
        <f t="shared" si="437"/>
        <v>290</v>
      </c>
      <c r="BD114" s="122">
        <f t="shared" si="437"/>
        <v>106</v>
      </c>
      <c r="BE114" s="122">
        <f t="shared" si="437"/>
        <v>0</v>
      </c>
      <c r="BF114" s="122">
        <f t="shared" si="437"/>
        <v>216</v>
      </c>
      <c r="BG114" s="131">
        <f t="shared" si="437"/>
        <v>198</v>
      </c>
      <c r="BH114" s="569">
        <f t="shared" si="437"/>
        <v>1134</v>
      </c>
      <c r="BI114" s="122">
        <f t="shared" si="437"/>
        <v>308</v>
      </c>
      <c r="BJ114" s="122">
        <f t="shared" si="437"/>
        <v>33</v>
      </c>
      <c r="BK114" s="122">
        <f t="shared" si="437"/>
        <v>55</v>
      </c>
      <c r="BL114" s="122">
        <f t="shared" si="437"/>
        <v>540</v>
      </c>
      <c r="BM114" s="122">
        <f t="shared" si="437"/>
        <v>198</v>
      </c>
      <c r="BN114" s="571">
        <f t="shared" ref="BN114:BY114" si="438">SUM(BN110:BN112)</f>
        <v>576</v>
      </c>
      <c r="BO114" s="122">
        <f t="shared" si="438"/>
        <v>80</v>
      </c>
      <c r="BP114" s="122">
        <f t="shared" si="438"/>
        <v>64</v>
      </c>
      <c r="BQ114" s="122">
        <f t="shared" si="438"/>
        <v>0</v>
      </c>
      <c r="BR114" s="122">
        <f t="shared" si="438"/>
        <v>360</v>
      </c>
      <c r="BS114" s="131">
        <f t="shared" si="438"/>
        <v>72</v>
      </c>
      <c r="BT114" s="569">
        <f t="shared" si="438"/>
        <v>1188</v>
      </c>
      <c r="BU114" s="122">
        <f t="shared" si="438"/>
        <v>247</v>
      </c>
      <c r="BV114" s="122">
        <f t="shared" si="438"/>
        <v>366</v>
      </c>
      <c r="BW114" s="122">
        <f t="shared" si="438"/>
        <v>35</v>
      </c>
      <c r="BX114" s="122">
        <f t="shared" si="438"/>
        <v>0</v>
      </c>
      <c r="BY114" s="122">
        <f t="shared" si="438"/>
        <v>540</v>
      </c>
      <c r="BZ114" s="118"/>
      <c r="CA114" s="118"/>
    </row>
    <row r="115" spans="1:79" s="95" customFormat="1" x14ac:dyDescent="0.2">
      <c r="A115" s="128"/>
      <c r="B115" s="729" t="s">
        <v>275</v>
      </c>
      <c r="C115" s="730"/>
      <c r="D115" s="730"/>
      <c r="E115" s="730"/>
      <c r="F115" s="730"/>
      <c r="G115" s="730"/>
      <c r="H115" s="730"/>
      <c r="I115" s="730"/>
      <c r="J115" s="731"/>
      <c r="K115" s="720">
        <f>COUNTIF(K13:K19,"&gt;0")+COUNTIF(K21:K26,"&gt;0")+COUNTIF(K29:K33,"&gt;0")+COUNTIF(K35:K37,"&gt;0")+COUNTIF(K40:K46,"&gt;0")+COUNTIF(K50:K54,"&gt;0")+COUNTIF(K56:K61,"&gt;0")+COUNTIF(K63:K68,"&gt;0")+COUNTIF(K70:K72,"&gt;0")+COUNTIF(K77:K79,"&gt;0")+COUNTIF(K83:K84,"&gt;0")+COUNTIF(K87,"&gt;0")+COUNTIF(K91,"&gt;0")+COUNTIF(K94:K95,"&gt;0")</f>
        <v>57</v>
      </c>
      <c r="L115" s="721"/>
      <c r="M115" s="721"/>
      <c r="N115" s="721"/>
      <c r="O115" s="721"/>
      <c r="P115" s="721"/>
      <c r="Q115" s="721"/>
      <c r="R115" s="702">
        <f>COUNTIF(R13:R20,"&gt;0")+COUNTIF(R22:R26,"&gt;0")+COUNTIF(R29:R33,"&gt;0")+COUNTIF(R35:R37,"&gt;0")+COUNTIF(R40:R46,"&gt;0")+COUNTIF(R52:R54,"&gt;0")+COUNTIF(R56:R61,"&gt;0")+COUNTIF(R63:R68,"&gt;0")+COUNTIF(R40:R46,"&gt;0")+COUNTIF(R70:R72,"&gt;0")+COUNTIF(R76:R79,"&gt;0")+COUNTIF(R83:R84,"&gt;0")+COUNTIF(R87,"&gt;0")+COUNTIF(R91:R91,"&gt;0")</f>
        <v>12</v>
      </c>
      <c r="S115" s="701"/>
      <c r="T115" s="701"/>
      <c r="U115" s="701"/>
      <c r="V115" s="701"/>
      <c r="W115" s="703"/>
      <c r="X115" s="701">
        <f>COUNTIF(X13:X20,"&gt;0")+COUNTIF(X22:X26,"&gt;0")+COUNTIF(X29:X33,"&gt;0")+COUNTIF(X35:X37,"&gt;0")+COUNTIF(X40:X46,"&gt;0")+COUNTIF(X52:X54,"&gt;0")+COUNTIF(X56:X61,"&gt;0")+COUNTIF(X63:X68,"&gt;0")+COUNTIF(X40:X46,"&gt;0")+COUNTIF(X70:X72,"&gt;0")+COUNTIF(X76:X79,"&gt;0")+COUNTIF(X83:X84,"&gt;0")+COUNTIF(X87,"&gt;0")+COUNTIF(X91:X91,"&gt;0")</f>
        <v>11</v>
      </c>
      <c r="Y115" s="701"/>
      <c r="Z115" s="701"/>
      <c r="AA115" s="701"/>
      <c r="AB115" s="701"/>
      <c r="AC115" s="701"/>
      <c r="AD115" s="702">
        <f>COUNTIF(AD13:AD20,"&gt;0")+COUNTIF(AD22:AD26,"&gt;0")+COUNTIF(AD29:AD33,"&gt;0")+COUNTIF(AD35:AD37,"&gt;0")+COUNTIF(AD40:AD46,"&gt;0")+COUNTIF(AD52:AD54,"&gt;0")+COUNTIF(AD56:AD61,"&gt;0")+COUNTIF(AD63:AD68,"&gt;0")+COUNTIF(AD40:AD46,"&gt;0")+COUNTIF(AD70:AD72,"&gt;0")+COUNTIF(AD76:AD79,"&gt;0")+COUNTIF(AD83:AD84,"&gt;0")+COUNTIF(AD87,"&gt;0")+COUNTIF(AD91:AD91,"&gt;0")</f>
        <v>18</v>
      </c>
      <c r="AE115" s="701"/>
      <c r="AF115" s="701"/>
      <c r="AG115" s="701"/>
      <c r="AH115" s="701"/>
      <c r="AI115" s="703"/>
      <c r="AJ115" s="702">
        <f>COUNTIF(AJ13:AJ20,"&gt;0")+COUNTIF(AJ22:AJ26,"&gt;0")+COUNTIF(AJ29:AJ33,"&gt;0")+COUNTIF(AJ35:AJ37,"&gt;0")+COUNTIF(AJ40:AJ46,"&gt;0")+COUNTIF(AJ52:AJ54,"&gt;0")+COUNTIF(AJ56:AJ61,"&gt;0")+COUNTIF(AJ63:AJ68,"&gt;0")+COUNTIF(AJ40:AJ46,"&gt;0")+COUNTIF(AJ70:AJ72,"&gt;0")+COUNTIF(AJ76:AJ79,"&gt;0")+COUNTIF(AJ83:AJ84,"&gt;0")+COUNTIF(AJ87,"&gt;0")+COUNTIF(AJ91:AJ91,"&gt;0")</f>
        <v>15</v>
      </c>
      <c r="AK115" s="701"/>
      <c r="AL115" s="701"/>
      <c r="AM115" s="701"/>
      <c r="AN115" s="701"/>
      <c r="AO115" s="703"/>
      <c r="AP115" s="701">
        <f>COUNTIF(AP13:AP20,"&gt;0")+COUNTIF(AP22:AP26,"&gt;0")+COUNTIF(AP29:AP33,"&gt;0")+COUNTIF(AP35:AP37,"&gt;0")+COUNTIF(AP40:AP46,"&gt;0")+COUNTIF(AP52:AP54,"&gt;0")+COUNTIF(AP56:AP61,"&gt;0")+COUNTIF(AP63:AP68,"&gt;0")+COUNTIF(AP40:AP46,"&gt;0")+COUNTIF(AP70:AP72,"&gt;0")+COUNTIF(AP76:AP79,"&gt;0")+COUNTIF(AP83:AP84,"&gt;0")+COUNTIF(AP87,"&gt;0")+COUNTIF(AP91:AP91,"&gt;0")</f>
        <v>13</v>
      </c>
      <c r="AQ115" s="701"/>
      <c r="AR115" s="701"/>
      <c r="AS115" s="701"/>
      <c r="AT115" s="701"/>
      <c r="AU115" s="701"/>
      <c r="AV115" s="702">
        <f>COUNTIF(AV13:AV20,"&gt;0")+COUNTIF(AV22:AV26,"&gt;0")+COUNTIF(AV29:AV33,"&gt;0")+COUNTIF(AV35:AV37,"&gt;0")+COUNTIF(AV40:AV46,"&gt;0")+COUNTIF(AV52:AV54,"&gt;0")+COUNTIF(AV56:AV61,"&gt;0")+COUNTIF(AV63:AV68,"&gt;0")+COUNTIF(AV40:AV46,"&gt;0")+COUNTIF(AV70:AV72,"&gt;0")+COUNTIF(AV76:AV79,"&gt;0")+COUNTIF(AV83:AV84,"&gt;0")+COUNTIF(AV87,"&gt;0")+COUNTIF(AV91:AV91,"&gt;0")</f>
        <v>11</v>
      </c>
      <c r="AW115" s="701"/>
      <c r="AX115" s="701"/>
      <c r="AY115" s="701"/>
      <c r="AZ115" s="701"/>
      <c r="BA115" s="703"/>
      <c r="BB115" s="701">
        <f>COUNTIF(BB13:BB20,"&gt;0")+COUNTIF(BB22:BB26,"&gt;0")+COUNTIF(BB29:BB33,"&gt;0")+COUNTIF(BB35:BB37,"&gt;0")+COUNTIF(BB40:BB46,"&gt;0")+COUNTIF(BB52:BB54,"&gt;0")+COUNTIF(BB56:BB61,"&gt;0")+COUNTIF(BB63:BB68,"&gt;0")+COUNTIF(BB40:BB46,"&gt;0")+COUNTIF(BB70:BB72,"&gt;0")+COUNTIF(BB76:BB79,"&gt;0")+COUNTIF(BB83:BB84,"&gt;0")+COUNTIF(BB87,"&gt;0")+COUNTIF(BB91:BB91,"&gt;0")</f>
        <v>14</v>
      </c>
      <c r="BC115" s="701"/>
      <c r="BD115" s="701"/>
      <c r="BE115" s="701"/>
      <c r="BF115" s="701"/>
      <c r="BG115" s="701"/>
      <c r="BH115" s="702">
        <f>COUNTIF(BH13:BH20,"&gt;0")+COUNTIF(BH22:BH26,"&gt;0")+COUNTIF(BH29:BH33,"&gt;0")+COUNTIF(BH35:BH37,"&gt;0")+COUNTIF(BH40:BH46,"&gt;0")+COUNTIF(BH52:BH54,"&gt;0")+COUNTIF(BH56:BH61,"&gt;0")+COUNTIF(BH63:BH68,"&gt;0")+COUNTIF(BH40:BH46,"&gt;0")+COUNTIF(BH70:BH72,"&gt;0")+COUNTIF(BH76:BH79,"&gt;0")+COUNTIF(BH83:BH84,"&gt;0")+COUNTIF(BH87,"&gt;0")+COUNTIF(BH91:BH91,"&gt;0")</f>
        <v>12</v>
      </c>
      <c r="BI115" s="701"/>
      <c r="BJ115" s="701"/>
      <c r="BK115" s="701"/>
      <c r="BL115" s="701"/>
      <c r="BM115" s="703"/>
      <c r="BN115" s="701">
        <f>COUNTIF(BN13:BN20,"&gt;0")+COUNTIF(BN22:BN26,"&gt;0")+COUNTIF(BN29:BN33,"&gt;0")+COUNTIF(BN35:BN37,"&gt;0")+COUNTIF(BN40:BN46,"&gt;0")+COUNTIF(BN52:BN54,"&gt;0")+COUNTIF(BN56:BN61,"&gt;0")+COUNTIF(BN63:BN68,"&gt;0")+COUNTIF(BN40:BN46,"&gt;0")+COUNTIF(BN70:BN72,"&gt;0")+COUNTIF(BN76:BN79,"&gt;0")+COUNTIF(BN83:BN84,"&gt;0")+COUNTIF(BN87,"&gt;0")+COUNTIF(BN91:BN91,"&gt;0")</f>
        <v>7</v>
      </c>
      <c r="BO115" s="701"/>
      <c r="BP115" s="701"/>
      <c r="BQ115" s="701"/>
      <c r="BR115" s="701"/>
      <c r="BS115" s="701"/>
      <c r="BT115" s="702">
        <f>COUNTIF(BT13:BT20,"&gt;0")+COUNTIF(BT22:BT26,"&gt;0")+COUNTIF(BT29:BT33,"&gt;0")+COUNTIF(BT35:BT37,"&gt;0")+COUNTIF(BT40:BT46,"&gt;0")+COUNTIF(BT52:BT54,"&gt;0")+COUNTIF(BT56:BT61,"&gt;0")+COUNTIF(BT63:BT68,"&gt;0")+COUNTIF(BT40:BT46,"&gt;0")+COUNTIF(BT70:BT72,"&gt;0")+COUNTIF(BT76:BT79,"&gt;0")+COUNTIF(BT83:BT84,"&gt;0")+COUNTIF(BT87,"&gt;0")+COUNTIF(BT91:BT91,"&gt;0")</f>
        <v>8</v>
      </c>
      <c r="BU115" s="701"/>
      <c r="BV115" s="701"/>
      <c r="BW115" s="701"/>
      <c r="BX115" s="701"/>
      <c r="BY115" s="703"/>
      <c r="BZ115" s="118"/>
      <c r="CA115" s="118"/>
    </row>
    <row r="116" spans="1:79" s="95" customFormat="1" x14ac:dyDescent="0.2">
      <c r="A116" s="128"/>
      <c r="B116" s="729" t="s">
        <v>88</v>
      </c>
      <c r="C116" s="730"/>
      <c r="D116" s="730"/>
      <c r="E116" s="730"/>
      <c r="F116" s="730"/>
      <c r="G116" s="730"/>
      <c r="H116" s="730"/>
      <c r="I116" s="730"/>
      <c r="J116" s="731"/>
      <c r="K116" s="717">
        <f>COUNTIF(K97:K100,"&gt;0")+COUNTIF(K102:K103,"&gt;0")</f>
        <v>6</v>
      </c>
      <c r="L116" s="718"/>
      <c r="M116" s="718"/>
      <c r="N116" s="718"/>
      <c r="O116" s="718"/>
      <c r="P116" s="718"/>
      <c r="Q116" s="719"/>
      <c r="R116" s="712">
        <f>COUNTIF(R97:R100,"&gt;0")+COUNTIF(R102:R103,"&gt;0")</f>
        <v>0</v>
      </c>
      <c r="S116" s="713"/>
      <c r="T116" s="713"/>
      <c r="U116" s="713"/>
      <c r="V116" s="713"/>
      <c r="W116" s="714"/>
      <c r="X116" s="715">
        <f>COUNTIF(X97:X100,"&gt;0")+COUNTIF(X102:X103,"&gt;0")</f>
        <v>0</v>
      </c>
      <c r="Y116" s="713"/>
      <c r="Z116" s="713"/>
      <c r="AA116" s="713"/>
      <c r="AB116" s="713"/>
      <c r="AC116" s="716"/>
      <c r="AD116" s="712">
        <f>COUNTIF(AD97:AD100,"&gt;0")+COUNTIF(AD102:AD103,"&gt;0")</f>
        <v>0</v>
      </c>
      <c r="AE116" s="713"/>
      <c r="AF116" s="713"/>
      <c r="AG116" s="713"/>
      <c r="AH116" s="713"/>
      <c r="AI116" s="714"/>
      <c r="AJ116" s="712">
        <f>COUNTIF(AJ96,"&gt;0")+COUNTIF(AJ102:AJ103,"&gt;0")</f>
        <v>1</v>
      </c>
      <c r="AK116" s="713"/>
      <c r="AL116" s="713"/>
      <c r="AM116" s="713"/>
      <c r="AN116" s="713"/>
      <c r="AO116" s="714"/>
      <c r="AP116" s="715">
        <f>COUNTIF(AP97:AP100,"&gt;0")+COUNTIF(AP102:AP103,"&gt;0")</f>
        <v>0</v>
      </c>
      <c r="AQ116" s="713"/>
      <c r="AR116" s="713"/>
      <c r="AS116" s="713"/>
      <c r="AT116" s="713"/>
      <c r="AU116" s="716"/>
      <c r="AV116" s="712">
        <f>COUNTIF(AV97:AV100,"&gt;0")+COUNTIF(AV102:AV103,"&gt;0")</f>
        <v>1</v>
      </c>
      <c r="AW116" s="713"/>
      <c r="AX116" s="713"/>
      <c r="AY116" s="713"/>
      <c r="AZ116" s="713"/>
      <c r="BA116" s="714"/>
      <c r="BB116" s="715">
        <f>COUNTIF(BB97:BB100,"&gt;0")+COUNTIF(BB102:BB103,"&gt;0")</f>
        <v>1</v>
      </c>
      <c r="BC116" s="713"/>
      <c r="BD116" s="713"/>
      <c r="BE116" s="713"/>
      <c r="BF116" s="713"/>
      <c r="BG116" s="716"/>
      <c r="BH116" s="712">
        <f>COUNTIF(BH97:BH100,"&gt;0")+COUNTIF(BH102:BH103,"&gt;0")</f>
        <v>1</v>
      </c>
      <c r="BI116" s="713"/>
      <c r="BJ116" s="713"/>
      <c r="BK116" s="713"/>
      <c r="BL116" s="713"/>
      <c r="BM116" s="714"/>
      <c r="BN116" s="715">
        <f>COUNTIF(BN97:BN100,"&gt;0")+COUNTIF(BN102:BN103,"&gt;0")</f>
        <v>2</v>
      </c>
      <c r="BO116" s="713"/>
      <c r="BP116" s="713"/>
      <c r="BQ116" s="713"/>
      <c r="BR116" s="713"/>
      <c r="BS116" s="716"/>
      <c r="BT116" s="712">
        <f>COUNTIF(BT97:BT100,"&gt;0")+COUNTIF(BT102:BT103,"&gt;0")</f>
        <v>0</v>
      </c>
      <c r="BU116" s="713"/>
      <c r="BV116" s="713"/>
      <c r="BW116" s="713"/>
      <c r="BX116" s="713"/>
      <c r="BY116" s="714"/>
      <c r="BZ116" s="118"/>
      <c r="CA116" s="118"/>
    </row>
    <row r="117" spans="1:79" s="95" customFormat="1" ht="12.75" customHeight="1" x14ac:dyDescent="0.2">
      <c r="A117" s="132"/>
      <c r="B117" s="735" t="s">
        <v>615</v>
      </c>
      <c r="C117" s="730"/>
      <c r="D117" s="730"/>
      <c r="E117" s="730"/>
      <c r="F117" s="730"/>
      <c r="G117" s="730"/>
      <c r="H117" s="730"/>
      <c r="I117" s="730"/>
      <c r="J117" s="731"/>
      <c r="K117" s="704">
        <v>54</v>
      </c>
      <c r="L117" s="705"/>
      <c r="M117" s="705"/>
      <c r="N117" s="705"/>
      <c r="O117" s="705"/>
      <c r="P117" s="705"/>
      <c r="Q117" s="706"/>
      <c r="R117" s="707">
        <f t="shared" ref="R117" si="439">R110/V5</f>
        <v>54</v>
      </c>
      <c r="S117" s="708"/>
      <c r="T117" s="708"/>
      <c r="U117" s="708"/>
      <c r="V117" s="708"/>
      <c r="W117" s="709"/>
      <c r="X117" s="710">
        <f t="shared" ref="X117" si="440">X110/AB5</f>
        <v>54</v>
      </c>
      <c r="Y117" s="708"/>
      <c r="Z117" s="708"/>
      <c r="AA117" s="708"/>
      <c r="AB117" s="708"/>
      <c r="AC117" s="711"/>
      <c r="AD117" s="707">
        <f t="shared" ref="AD117" si="441">AD110/AH5</f>
        <v>54</v>
      </c>
      <c r="AE117" s="708"/>
      <c r="AF117" s="708"/>
      <c r="AG117" s="708"/>
      <c r="AH117" s="708"/>
      <c r="AI117" s="709"/>
      <c r="AJ117" s="707">
        <f t="shared" ref="AJ117" si="442">AJ110/AN5</f>
        <v>54</v>
      </c>
      <c r="AK117" s="708"/>
      <c r="AL117" s="708"/>
      <c r="AM117" s="708"/>
      <c r="AN117" s="708"/>
      <c r="AO117" s="709"/>
      <c r="AP117" s="710">
        <f t="shared" ref="AP117" si="443">AP110/AT5</f>
        <v>54</v>
      </c>
      <c r="AQ117" s="708"/>
      <c r="AR117" s="708"/>
      <c r="AS117" s="708"/>
      <c r="AT117" s="708"/>
      <c r="AU117" s="711"/>
      <c r="AV117" s="707">
        <f t="shared" ref="AV117" si="444">AV110/AZ5</f>
        <v>54</v>
      </c>
      <c r="AW117" s="708"/>
      <c r="AX117" s="708"/>
      <c r="AY117" s="708"/>
      <c r="AZ117" s="708"/>
      <c r="BA117" s="709"/>
      <c r="BB117" s="710">
        <f t="shared" ref="BB117" si="445">BB110/BF5</f>
        <v>54</v>
      </c>
      <c r="BC117" s="708"/>
      <c r="BD117" s="708"/>
      <c r="BE117" s="708"/>
      <c r="BF117" s="708"/>
      <c r="BG117" s="711"/>
      <c r="BH117" s="707">
        <f t="shared" ref="BH117" si="446">BH110/BL5</f>
        <v>54</v>
      </c>
      <c r="BI117" s="708"/>
      <c r="BJ117" s="708"/>
      <c r="BK117" s="708"/>
      <c r="BL117" s="708"/>
      <c r="BM117" s="709"/>
      <c r="BN117" s="710">
        <f t="shared" ref="BN117" si="447">BN110/BR5</f>
        <v>54</v>
      </c>
      <c r="BO117" s="708"/>
      <c r="BP117" s="708"/>
      <c r="BQ117" s="708"/>
      <c r="BR117" s="708"/>
      <c r="BS117" s="711"/>
      <c r="BT117" s="707">
        <f>BT110/BX5</f>
        <v>54</v>
      </c>
      <c r="BU117" s="708"/>
      <c r="BV117" s="708"/>
      <c r="BW117" s="708"/>
      <c r="BX117" s="708"/>
      <c r="BY117" s="709"/>
      <c r="BZ117" s="118"/>
      <c r="CA117" s="118"/>
    </row>
    <row r="118" spans="1:79" s="95" customFormat="1" ht="12.75" customHeight="1" x14ac:dyDescent="0.2">
      <c r="A118" s="133"/>
      <c r="B118" s="729" t="s">
        <v>273</v>
      </c>
      <c r="C118" s="730"/>
      <c r="D118" s="730"/>
      <c r="E118" s="730"/>
      <c r="F118" s="730"/>
      <c r="G118" s="730"/>
      <c r="H118" s="730"/>
      <c r="I118" s="730"/>
      <c r="J118" s="731"/>
      <c r="K118" s="704">
        <f>IF('Титульный лист'!BD29=0,0,IF(L110=0,0,L110/(V5+AB5+AH5+AN5+AT5+AZ5+BF5+BL5+BR5+BX5)))</f>
        <v>36</v>
      </c>
      <c r="L118" s="705"/>
      <c r="M118" s="705"/>
      <c r="N118" s="705"/>
      <c r="O118" s="705"/>
      <c r="P118" s="705"/>
      <c r="Q118" s="706"/>
      <c r="R118" s="707">
        <f>IF(V5=0,0,IF(SUM(S110:V110)=0,0,SUM(S110:V110)/V5))</f>
        <v>36</v>
      </c>
      <c r="S118" s="708"/>
      <c r="T118" s="708"/>
      <c r="U118" s="708"/>
      <c r="V118" s="708"/>
      <c r="W118" s="709"/>
      <c r="X118" s="710">
        <f>IF(AB5=0,0,IF(SUM(Y110:AB110)=0,0,SUM(Y110:AB110)/AB5))</f>
        <v>36</v>
      </c>
      <c r="Y118" s="708"/>
      <c r="Z118" s="708"/>
      <c r="AA118" s="708"/>
      <c r="AB118" s="708"/>
      <c r="AC118" s="711"/>
      <c r="AD118" s="707">
        <f>IF(AH5=0,0,IF(SUM(AE110:AH110)=0,0,SUM(AE110:AH110)/AH5))</f>
        <v>36</v>
      </c>
      <c r="AE118" s="708"/>
      <c r="AF118" s="708"/>
      <c r="AG118" s="708"/>
      <c r="AH118" s="708"/>
      <c r="AI118" s="709"/>
      <c r="AJ118" s="707">
        <f>IF(AN5=0,0,IF(SUM(AK110:AN110)=0,0,SUM(AK110:AN110)/AN5))</f>
        <v>36</v>
      </c>
      <c r="AK118" s="708"/>
      <c r="AL118" s="708"/>
      <c r="AM118" s="708"/>
      <c r="AN118" s="708"/>
      <c r="AO118" s="709"/>
      <c r="AP118" s="710">
        <f>IF(AT5=0,0,IF(SUM(AQ110:AT110)=0,0,SUM(AQ110:AT110)/AT5))</f>
        <v>36</v>
      </c>
      <c r="AQ118" s="708"/>
      <c r="AR118" s="708"/>
      <c r="AS118" s="708"/>
      <c r="AT118" s="708"/>
      <c r="AU118" s="711"/>
      <c r="AV118" s="707">
        <f>IF(AZ5=0,0,IF(SUM(AW110:AZ110)=0,0,SUM(AW110:AZ110)/AZ5))</f>
        <v>36</v>
      </c>
      <c r="AW118" s="708"/>
      <c r="AX118" s="708"/>
      <c r="AY118" s="708"/>
      <c r="AZ118" s="708"/>
      <c r="BA118" s="709"/>
      <c r="BB118" s="710">
        <f>IF(BF5=0,0,IF(SUM(BC110:BF110)=0,0,SUM(BC110:BF110)/BF5))</f>
        <v>36</v>
      </c>
      <c r="BC118" s="708"/>
      <c r="BD118" s="708"/>
      <c r="BE118" s="708"/>
      <c r="BF118" s="708"/>
      <c r="BG118" s="711"/>
      <c r="BH118" s="707">
        <f>IF(BL5=0,0,IF(SUM(BI110:BL110)=0,0,SUM(BI110:BL110)/BL5))</f>
        <v>36</v>
      </c>
      <c r="BI118" s="708"/>
      <c r="BJ118" s="708"/>
      <c r="BK118" s="708"/>
      <c r="BL118" s="708"/>
      <c r="BM118" s="709"/>
      <c r="BN118" s="710">
        <f>IF(BR5=0,0,IF(SUM(BO110:BR110)=0,0,SUM(BO110:BR110)/BR5))</f>
        <v>36</v>
      </c>
      <c r="BO118" s="708"/>
      <c r="BP118" s="708"/>
      <c r="BQ118" s="708"/>
      <c r="BR118" s="708"/>
      <c r="BS118" s="711"/>
      <c r="BT118" s="707">
        <f>IF(BX5=0,0,IF(SUM(BU110:BX110)=0,0,SUM(BU110:BX110)/BX5))</f>
        <v>36</v>
      </c>
      <c r="BU118" s="708"/>
      <c r="BV118" s="708"/>
      <c r="BW118" s="708"/>
      <c r="BX118" s="708"/>
      <c r="BY118" s="709"/>
      <c r="BZ118" s="118"/>
      <c r="CA118" s="118"/>
    </row>
    <row r="119" spans="1:79" s="95" customFormat="1" ht="12.75" customHeight="1" x14ac:dyDescent="0.2">
      <c r="A119" s="133"/>
      <c r="B119" s="729" t="s">
        <v>272</v>
      </c>
      <c r="C119" s="730"/>
      <c r="D119" s="730"/>
      <c r="E119" s="730"/>
      <c r="F119" s="730"/>
      <c r="G119" s="730"/>
      <c r="H119" s="730"/>
      <c r="I119" s="730"/>
      <c r="J119" s="731"/>
      <c r="K119" s="720">
        <f>R119+X119+AD119+AJ119+AP119+AV119+BB119+BH119+BN119+BT119</f>
        <v>17</v>
      </c>
      <c r="L119" s="721"/>
      <c r="M119" s="721" t="s">
        <v>300</v>
      </c>
      <c r="N119" s="721"/>
      <c r="O119" s="721"/>
      <c r="P119" s="721">
        <f>V119+AB119+AH119+AN119+AT119+AZ119+BF119+BL119+BR119+BX119</f>
        <v>17</v>
      </c>
      <c r="Q119" s="721"/>
      <c r="R119" s="702">
        <f>COUNTIF($D$11:$D$96,"*1*")</f>
        <v>0</v>
      </c>
      <c r="S119" s="701"/>
      <c r="T119" s="701" t="s">
        <v>300</v>
      </c>
      <c r="U119" s="701"/>
      <c r="V119" s="701">
        <f>COUNTIF($D$11:$D$95,"*1*")-DCOUNTA($A$10:$H$96,"5",E126:G127)</f>
        <v>0</v>
      </c>
      <c r="W119" s="703"/>
      <c r="X119" s="701">
        <f>COUNTIF($D$11:$D$96,"*2*")</f>
        <v>4</v>
      </c>
      <c r="Y119" s="701"/>
      <c r="Z119" s="701" t="s">
        <v>300</v>
      </c>
      <c r="AA119" s="701"/>
      <c r="AB119" s="701">
        <f>COUNTIF($D$11:$D$93,"*2*")-DCOUNTA($A$10:$H$96,"5",E128:G129)</f>
        <v>4</v>
      </c>
      <c r="AC119" s="701"/>
      <c r="AD119" s="702">
        <f>COUNTIF($D$11:$D$95,"*3*")</f>
        <v>2</v>
      </c>
      <c r="AE119" s="701"/>
      <c r="AF119" s="701" t="s">
        <v>300</v>
      </c>
      <c r="AG119" s="701"/>
      <c r="AH119" s="701">
        <f>COUNTIF($D$11:$D$95,"*3*")-DCOUNTA($A$10:$G$95,"5",E130:G131)</f>
        <v>2</v>
      </c>
      <c r="AI119" s="703"/>
      <c r="AJ119" s="702">
        <f>COUNTIF($D$11:$D$95,"*4*")</f>
        <v>2</v>
      </c>
      <c r="AK119" s="701"/>
      <c r="AL119" s="701" t="s">
        <v>300</v>
      </c>
      <c r="AM119" s="701"/>
      <c r="AN119" s="701">
        <f>COUNTIF($D$11:$D$95,"*4*")-DCOUNTA($A$10:$G$91,"5",E132:G133)</f>
        <v>2</v>
      </c>
      <c r="AO119" s="703"/>
      <c r="AP119" s="701">
        <f>COUNTIF($D$11:$D$95,"*5*")</f>
        <v>2</v>
      </c>
      <c r="AQ119" s="701"/>
      <c r="AR119" s="701" t="s">
        <v>300</v>
      </c>
      <c r="AS119" s="701"/>
      <c r="AT119" s="701">
        <f>COUNTIF($D$11:$D$95,"*5*")-DCOUNTA($A$10:$H$95,"5",E134:G135)</f>
        <v>2</v>
      </c>
      <c r="AU119" s="701"/>
      <c r="AV119" s="702">
        <f>COUNTIF($D$11:$D$95,"*6*")</f>
        <v>2</v>
      </c>
      <c r="AW119" s="701"/>
      <c r="AX119" s="701" t="s">
        <v>300</v>
      </c>
      <c r="AY119" s="701"/>
      <c r="AZ119" s="701">
        <f>COUNTIF($D$11:$D$95,"*6*")-DCOUNTA($A$10:$H$95,"5",E136:G137)</f>
        <v>2</v>
      </c>
      <c r="BA119" s="703"/>
      <c r="BB119" s="701">
        <f>COUNTIF($D$11:$D$95,"*7*")</f>
        <v>0</v>
      </c>
      <c r="BC119" s="701"/>
      <c r="BD119" s="701" t="s">
        <v>300</v>
      </c>
      <c r="BE119" s="701"/>
      <c r="BF119" s="701">
        <f>COUNTIF($D$11:$D$95,"*7*")-DCOUNTA($A$10:$H$95,"5",E138:G139)</f>
        <v>0</v>
      </c>
      <c r="BG119" s="701"/>
      <c r="BH119" s="702">
        <f>COUNTIF($D$11:$D$95,"*8*")</f>
        <v>2</v>
      </c>
      <c r="BI119" s="701"/>
      <c r="BJ119" s="701" t="s">
        <v>300</v>
      </c>
      <c r="BK119" s="701"/>
      <c r="BL119" s="701">
        <f>COUNTIF($D$11:$D$95,"*8*")-DCOUNTA($A$10:$H$95,"5",E140:G141)</f>
        <v>2</v>
      </c>
      <c r="BM119" s="703"/>
      <c r="BN119" s="701">
        <f>COUNTIF($D$11:$D$95,"*9*")</f>
        <v>0</v>
      </c>
      <c r="BO119" s="701"/>
      <c r="BP119" s="701" t="s">
        <v>300</v>
      </c>
      <c r="BQ119" s="701"/>
      <c r="BR119" s="701">
        <f>COUNTIF($D$11:$D$95,"*9*")-DCOUNTA($A$10:$H$95,"5",E142:G143)</f>
        <v>0</v>
      </c>
      <c r="BS119" s="701"/>
      <c r="BT119" s="702">
        <f>COUNTIF($D$11:$D$95,"*Х*")</f>
        <v>3</v>
      </c>
      <c r="BU119" s="701"/>
      <c r="BV119" s="701" t="s">
        <v>300</v>
      </c>
      <c r="BW119" s="701"/>
      <c r="BX119" s="701">
        <f>COUNTIF($D$11:$D$95,"*Х*")-DCOUNTA($A$10:$H$95,"5",E144:G145)</f>
        <v>3</v>
      </c>
      <c r="BY119" s="703"/>
      <c r="BZ119" s="118"/>
      <c r="CA119" s="118"/>
    </row>
    <row r="120" spans="1:79" s="95" customFormat="1" ht="12.75" customHeight="1" x14ac:dyDescent="0.2">
      <c r="A120" s="128"/>
      <c r="B120" s="729" t="s">
        <v>271</v>
      </c>
      <c r="C120" s="730"/>
      <c r="D120" s="730"/>
      <c r="E120" s="730"/>
      <c r="F120" s="730"/>
      <c r="G120" s="730"/>
      <c r="H120" s="730"/>
      <c r="I120" s="730"/>
      <c r="J120" s="731"/>
      <c r="K120" s="720">
        <f>R120+X120+AD120+AJ120+AP120+AV120+BB120+BH120+BN120+BT120</f>
        <v>58</v>
      </c>
      <c r="L120" s="721"/>
      <c r="M120" s="721" t="s">
        <v>300</v>
      </c>
      <c r="N120" s="721"/>
      <c r="O120" s="721"/>
      <c r="P120" s="721">
        <f>V120+AB120+AH120+AN120+AT120+AZ120+BF120+BL120+BR120+BX120</f>
        <v>48</v>
      </c>
      <c r="Q120" s="721"/>
      <c r="R120" s="702">
        <f>COUNTIF($E$11:$E$93,"*1*")</f>
        <v>5</v>
      </c>
      <c r="S120" s="701"/>
      <c r="T120" s="701" t="s">
        <v>300</v>
      </c>
      <c r="U120" s="701"/>
      <c r="V120" s="701">
        <f>COUNTIF($E$11:$F$95,"*1*")-DCOUNTA($A$10:$H$96,"5",C126:D127)</f>
        <v>4</v>
      </c>
      <c r="W120" s="703"/>
      <c r="X120" s="701">
        <f>COUNTIF($E$11:$F$95,"*2*")</f>
        <v>7</v>
      </c>
      <c r="Y120" s="701"/>
      <c r="Z120" s="701" t="s">
        <v>300</v>
      </c>
      <c r="AA120" s="701"/>
      <c r="AB120" s="701">
        <f>COUNTIF($E$11:$F$95,"*2*")-DCOUNTA($A$10:$H$96,"5",C128:D129)</f>
        <v>6</v>
      </c>
      <c r="AC120" s="701"/>
      <c r="AD120" s="702">
        <f>COUNTIF($E$11:$F$95,"*3*")</f>
        <v>7</v>
      </c>
      <c r="AE120" s="701"/>
      <c r="AF120" s="701" t="s">
        <v>300</v>
      </c>
      <c r="AG120" s="701"/>
      <c r="AH120" s="701">
        <f>COUNTIF($E$11:$F$95,"*3*")-DCOUNTA($A$10:$H$95,"6",C130:D131)</f>
        <v>6</v>
      </c>
      <c r="AI120" s="703"/>
      <c r="AJ120" s="702">
        <f>COUNTIF($E$11:$F$95,"*4*")</f>
        <v>4</v>
      </c>
      <c r="AK120" s="701"/>
      <c r="AL120" s="701" t="s">
        <v>300</v>
      </c>
      <c r="AM120" s="701"/>
      <c r="AN120" s="701">
        <f>COUNTIF($E$11:$F$95,"*4*")-DCOUNTA($A$10:$G$95,"6",C132:D133)</f>
        <v>3</v>
      </c>
      <c r="AO120" s="703"/>
      <c r="AP120" s="701">
        <f>COUNTIF($E$11:$F$95,"*5*")</f>
        <v>7</v>
      </c>
      <c r="AQ120" s="701"/>
      <c r="AR120" s="701" t="s">
        <v>300</v>
      </c>
      <c r="AS120" s="701"/>
      <c r="AT120" s="701">
        <f>COUNTIF($E$11:$F$95,"*5*")-DCOUNTA($A$10:$H$95,"6",C134:D135)</f>
        <v>6</v>
      </c>
      <c r="AU120" s="701"/>
      <c r="AV120" s="702">
        <f>COUNTIF($E$11:$F$95,"*6*")</f>
        <v>5</v>
      </c>
      <c r="AW120" s="701"/>
      <c r="AX120" s="701" t="s">
        <v>300</v>
      </c>
      <c r="AY120" s="701"/>
      <c r="AZ120" s="701">
        <f>COUNTIF($E$11:$F$95,"*6*")-DCOUNTA($A$10:$H$95,"6",C136:D137)</f>
        <v>4</v>
      </c>
      <c r="BA120" s="703"/>
      <c r="BB120" s="701">
        <f>COUNTIF($E$11:$F$95,"*7*")</f>
        <v>5</v>
      </c>
      <c r="BC120" s="701"/>
      <c r="BD120" s="701" t="s">
        <v>300</v>
      </c>
      <c r="BE120" s="701"/>
      <c r="BF120" s="701">
        <f>COUNTIF($E$11:$F$95,"*7*")-DCOUNTA($A$10:$H$95,"6",C138:D139)</f>
        <v>4</v>
      </c>
      <c r="BG120" s="701"/>
      <c r="BH120" s="702">
        <f>COUNTIF($E$11:$F$95,"*8*")</f>
        <v>7</v>
      </c>
      <c r="BI120" s="701"/>
      <c r="BJ120" s="701" t="s">
        <v>300</v>
      </c>
      <c r="BK120" s="701"/>
      <c r="BL120" s="701">
        <f>COUNTIF($E$11:$F$95,"*8*")-DCOUNTA($A$10:$H$95,"6",C140:D141)</f>
        <v>6</v>
      </c>
      <c r="BM120" s="703"/>
      <c r="BN120" s="701">
        <f>COUNTIF($E$11:$F$95,"*9*")</f>
        <v>1</v>
      </c>
      <c r="BO120" s="701"/>
      <c r="BP120" s="701" t="s">
        <v>300</v>
      </c>
      <c r="BQ120" s="701"/>
      <c r="BR120" s="701">
        <f>COUNTIF($E$11:$F$95,"*9*")-DCOUNTA($A$10:$H$95,"6",C142:D143)</f>
        <v>0</v>
      </c>
      <c r="BS120" s="701"/>
      <c r="BT120" s="702">
        <f>COUNTIF($E$11:$F$95,"*Х*")</f>
        <v>10</v>
      </c>
      <c r="BU120" s="701"/>
      <c r="BV120" s="701" t="s">
        <v>300</v>
      </c>
      <c r="BW120" s="701"/>
      <c r="BX120" s="701">
        <f>COUNTIF($E$11:$F$95,"*Х*")-DCOUNTA($A$10:$H$95,"6",C144:D145)</f>
        <v>9</v>
      </c>
      <c r="BY120" s="703"/>
      <c r="BZ120" s="118"/>
      <c r="CA120" s="118"/>
    </row>
    <row r="121" spans="1:79" s="95" customFormat="1" ht="12.75" customHeight="1" x14ac:dyDescent="0.2">
      <c r="A121" s="128"/>
      <c r="B121" s="735" t="s">
        <v>603</v>
      </c>
      <c r="C121" s="730"/>
      <c r="D121" s="730"/>
      <c r="E121" s="730"/>
      <c r="F121" s="730"/>
      <c r="G121" s="730"/>
      <c r="H121" s="730"/>
      <c r="I121" s="730"/>
      <c r="J121" s="731"/>
      <c r="K121" s="720">
        <f>R121+X121+AD121+AJ121+AP121+AV121+BB121+BH121+BN121+BT121</f>
        <v>3</v>
      </c>
      <c r="L121" s="721"/>
      <c r="M121" s="721"/>
      <c r="N121" s="721"/>
      <c r="O121" s="721"/>
      <c r="P121" s="721"/>
      <c r="Q121" s="721"/>
      <c r="R121" s="702">
        <f>COUNTIF($G$11:$G$93,"*1*")</f>
        <v>0</v>
      </c>
      <c r="S121" s="701"/>
      <c r="T121" s="701"/>
      <c r="U121" s="701"/>
      <c r="V121" s="701"/>
      <c r="W121" s="703"/>
      <c r="X121" s="701">
        <f>COUNTIF($G$11:$G$93,"*2*")</f>
        <v>0</v>
      </c>
      <c r="Y121" s="701"/>
      <c r="Z121" s="701"/>
      <c r="AA121" s="701"/>
      <c r="AB121" s="701"/>
      <c r="AC121" s="701"/>
      <c r="AD121" s="702">
        <f>COUNTIF($G$11:$G$93,"*3*")</f>
        <v>0</v>
      </c>
      <c r="AE121" s="701"/>
      <c r="AF121" s="701"/>
      <c r="AG121" s="701"/>
      <c r="AH121" s="701"/>
      <c r="AI121" s="703"/>
      <c r="AJ121" s="702">
        <f>COUNTIF($G$11:$G$93,"*4*")</f>
        <v>0</v>
      </c>
      <c r="AK121" s="701"/>
      <c r="AL121" s="701"/>
      <c r="AM121" s="701"/>
      <c r="AN121" s="701"/>
      <c r="AO121" s="703"/>
      <c r="AP121" s="701">
        <f>COUNTIF($G$11:$G$93,"*5*")</f>
        <v>0</v>
      </c>
      <c r="AQ121" s="701"/>
      <c r="AR121" s="701"/>
      <c r="AS121" s="701"/>
      <c r="AT121" s="701"/>
      <c r="AU121" s="701"/>
      <c r="AV121" s="702">
        <f>COUNTIF($G$11:$G$93,"*6*")</f>
        <v>0</v>
      </c>
      <c r="AW121" s="701"/>
      <c r="AX121" s="701"/>
      <c r="AY121" s="701"/>
      <c r="AZ121" s="701"/>
      <c r="BA121" s="703"/>
      <c r="BB121" s="701">
        <f>COUNTIF($G$11:$G$95,"*7*")</f>
        <v>0</v>
      </c>
      <c r="BC121" s="701"/>
      <c r="BD121" s="701"/>
      <c r="BE121" s="701"/>
      <c r="BF121" s="701"/>
      <c r="BG121" s="701"/>
      <c r="BH121" s="702">
        <f>COUNTIF($G$11:$G$95,"*8*")</f>
        <v>2</v>
      </c>
      <c r="BI121" s="701"/>
      <c r="BJ121" s="701"/>
      <c r="BK121" s="701"/>
      <c r="BL121" s="701"/>
      <c r="BM121" s="703"/>
      <c r="BN121" s="701">
        <f>COUNTIF($G$11:$G$93,"*9*")</f>
        <v>0</v>
      </c>
      <c r="BO121" s="701"/>
      <c r="BP121" s="701"/>
      <c r="BQ121" s="701"/>
      <c r="BR121" s="701"/>
      <c r="BS121" s="701"/>
      <c r="BT121" s="702">
        <f>COUNTIF($G$11:$G$93,"*Х*")</f>
        <v>1</v>
      </c>
      <c r="BU121" s="701"/>
      <c r="BV121" s="701"/>
      <c r="BW121" s="701"/>
      <c r="BX121" s="701"/>
      <c r="BY121" s="703"/>
      <c r="BZ121" s="118"/>
      <c r="CA121" s="118"/>
    </row>
    <row r="122" spans="1:79" s="95" customFormat="1" ht="12.75" customHeight="1" x14ac:dyDescent="0.2">
      <c r="A122" s="134"/>
      <c r="B122" s="735" t="s">
        <v>605</v>
      </c>
      <c r="C122" s="730"/>
      <c r="D122" s="730"/>
      <c r="E122" s="730"/>
      <c r="F122" s="730"/>
      <c r="G122" s="730"/>
      <c r="H122" s="730"/>
      <c r="I122" s="730"/>
      <c r="J122" s="731"/>
      <c r="K122" s="720">
        <f>R122+X122+AD122+AJ122+AP122+AV122+BB122+BH122+BN122+BT122</f>
        <v>41</v>
      </c>
      <c r="L122" s="721"/>
      <c r="M122" s="721"/>
      <c r="N122" s="721"/>
      <c r="O122" s="721"/>
      <c r="P122" s="721"/>
      <c r="Q122" s="721"/>
      <c r="R122" s="702">
        <f>COUNTIF($H$10:$H$95,"*1*")</f>
        <v>0</v>
      </c>
      <c r="S122" s="701"/>
      <c r="T122" s="701"/>
      <c r="U122" s="701"/>
      <c r="V122" s="701"/>
      <c r="W122" s="703"/>
      <c r="X122" s="701">
        <f>COUNTIF($H$10:$H$95,"*2*")</f>
        <v>0</v>
      </c>
      <c r="Y122" s="701"/>
      <c r="Z122" s="701"/>
      <c r="AA122" s="701"/>
      <c r="AB122" s="701"/>
      <c r="AC122" s="701"/>
      <c r="AD122" s="702">
        <f>COUNTIF($H$10:$H$95,"*3*")</f>
        <v>4</v>
      </c>
      <c r="AE122" s="701"/>
      <c r="AF122" s="701"/>
      <c r="AG122" s="701"/>
      <c r="AH122" s="701"/>
      <c r="AI122" s="703"/>
      <c r="AJ122" s="702">
        <f>COUNTIF($H$10:$H$95,"*4*")</f>
        <v>7</v>
      </c>
      <c r="AK122" s="701"/>
      <c r="AL122" s="701"/>
      <c r="AM122" s="701"/>
      <c r="AN122" s="701"/>
      <c r="AO122" s="703"/>
      <c r="AP122" s="701">
        <f>COUNTIF($H$10:$H$95,"*5*")</f>
        <v>6</v>
      </c>
      <c r="AQ122" s="701"/>
      <c r="AR122" s="701"/>
      <c r="AS122" s="701"/>
      <c r="AT122" s="701"/>
      <c r="AU122" s="701"/>
      <c r="AV122" s="702">
        <f>COUNTIF($H$10:$H$95,"*6*")</f>
        <v>5</v>
      </c>
      <c r="AW122" s="701"/>
      <c r="AX122" s="701"/>
      <c r="AY122" s="701"/>
      <c r="AZ122" s="701"/>
      <c r="BA122" s="703"/>
      <c r="BB122" s="701">
        <f>COUNTIF($H$10:$H$95,"*7*")</f>
        <v>9</v>
      </c>
      <c r="BC122" s="701"/>
      <c r="BD122" s="701"/>
      <c r="BE122" s="701"/>
      <c r="BF122" s="701"/>
      <c r="BG122" s="701"/>
      <c r="BH122" s="702">
        <f>COUNTIF($H$10:$H$95,"*8*")</f>
        <v>3</v>
      </c>
      <c r="BI122" s="701"/>
      <c r="BJ122" s="701"/>
      <c r="BK122" s="701"/>
      <c r="BL122" s="701"/>
      <c r="BM122" s="703"/>
      <c r="BN122" s="701">
        <f>COUNTIF($H$10:$H$95,"*9*")</f>
        <v>7</v>
      </c>
      <c r="BO122" s="701"/>
      <c r="BP122" s="701"/>
      <c r="BQ122" s="701"/>
      <c r="BR122" s="701"/>
      <c r="BS122" s="701"/>
      <c r="BT122" s="702">
        <f>COUNTIF($H$10:$H$95,"*Х*")</f>
        <v>0</v>
      </c>
      <c r="BU122" s="701"/>
      <c r="BV122" s="701"/>
      <c r="BW122" s="701"/>
      <c r="BX122" s="701"/>
      <c r="BY122" s="703"/>
      <c r="BZ122" s="118"/>
      <c r="CA122" s="118"/>
    </row>
    <row r="123" spans="1:79" s="95" customFormat="1" x14ac:dyDescent="0.2">
      <c r="A123" s="351"/>
      <c r="B123" s="351"/>
      <c r="C123" s="351"/>
      <c r="D123" s="352"/>
      <c r="E123" s="352"/>
      <c r="F123" s="352"/>
      <c r="G123" s="352"/>
      <c r="H123" s="352"/>
      <c r="I123" s="353"/>
      <c r="J123" s="353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  <c r="AS123" s="351"/>
      <c r="AT123" s="351"/>
      <c r="AU123" s="351"/>
      <c r="AV123" s="351"/>
      <c r="AW123" s="351"/>
      <c r="AX123" s="351"/>
      <c r="AY123" s="351"/>
      <c r="AZ123" s="351"/>
      <c r="BA123" s="351"/>
      <c r="BB123" s="351"/>
      <c r="BC123" s="351"/>
      <c r="BD123" s="351"/>
      <c r="BE123" s="351"/>
      <c r="BF123" s="351"/>
      <c r="BG123" s="351"/>
      <c r="BH123" s="351"/>
      <c r="BI123" s="351"/>
      <c r="BJ123" s="351"/>
      <c r="BK123" s="351"/>
      <c r="BL123" s="351"/>
      <c r="BM123" s="351"/>
      <c r="BN123" s="351"/>
      <c r="BO123" s="351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351"/>
      <c r="BZ123" s="118"/>
      <c r="CA123" s="118"/>
    </row>
    <row r="125" spans="1:79" ht="12.75" hidden="1" customHeight="1" x14ac:dyDescent="0.2">
      <c r="A125" s="768" t="s">
        <v>298</v>
      </c>
      <c r="B125" s="768"/>
      <c r="C125" s="767" t="s">
        <v>299</v>
      </c>
      <c r="D125" s="767"/>
      <c r="E125" s="767" t="s">
        <v>320</v>
      </c>
      <c r="F125" s="767"/>
      <c r="G125" s="767"/>
    </row>
    <row r="126" spans="1:79" hidden="1" x14ac:dyDescent="0.2">
      <c r="A126" s="73">
        <v>1</v>
      </c>
      <c r="B126" s="73">
        <v>11</v>
      </c>
      <c r="C126" s="74">
        <v>2</v>
      </c>
      <c r="D126" s="75" t="s">
        <v>41</v>
      </c>
      <c r="E126" s="74">
        <v>2</v>
      </c>
      <c r="F126" s="74"/>
      <c r="G126" s="75" t="s">
        <v>40</v>
      </c>
    </row>
    <row r="127" spans="1:79" ht="51" hidden="1" x14ac:dyDescent="0.2">
      <c r="A127" s="73" t="s">
        <v>278</v>
      </c>
      <c r="B127" s="73" t="s">
        <v>155</v>
      </c>
      <c r="C127" s="73" t="s">
        <v>7</v>
      </c>
      <c r="D127" s="76" t="s">
        <v>301</v>
      </c>
      <c r="E127" s="73" t="s">
        <v>7</v>
      </c>
      <c r="F127" s="73"/>
      <c r="G127" s="76" t="s">
        <v>301</v>
      </c>
    </row>
    <row r="128" spans="1:79" hidden="1" x14ac:dyDescent="0.2">
      <c r="A128" s="73">
        <v>1</v>
      </c>
      <c r="B128" s="73">
        <v>21</v>
      </c>
      <c r="C128" s="74">
        <v>2</v>
      </c>
      <c r="D128" s="75" t="s">
        <v>41</v>
      </c>
      <c r="E128" s="74">
        <v>2</v>
      </c>
      <c r="F128" s="74"/>
      <c r="G128" s="75" t="s">
        <v>40</v>
      </c>
    </row>
    <row r="129" spans="1:7" ht="51" hidden="1" x14ac:dyDescent="0.2">
      <c r="A129" s="73" t="s">
        <v>278</v>
      </c>
      <c r="B129" s="73" t="s">
        <v>155</v>
      </c>
      <c r="C129" s="73" t="s">
        <v>7</v>
      </c>
      <c r="D129" s="76" t="s">
        <v>302</v>
      </c>
      <c r="E129" s="73" t="s">
        <v>7</v>
      </c>
      <c r="F129" s="73"/>
      <c r="G129" s="76" t="s">
        <v>302</v>
      </c>
    </row>
    <row r="130" spans="1:7" hidden="1" x14ac:dyDescent="0.2">
      <c r="A130" s="73">
        <v>1</v>
      </c>
      <c r="B130" s="73">
        <v>30</v>
      </c>
      <c r="C130" s="74">
        <v>2</v>
      </c>
      <c r="D130" s="75" t="s">
        <v>42</v>
      </c>
      <c r="E130" s="74">
        <v>2</v>
      </c>
      <c r="F130" s="74"/>
      <c r="G130" s="75" t="s">
        <v>40</v>
      </c>
    </row>
    <row r="131" spans="1:7" ht="51" hidden="1" x14ac:dyDescent="0.2">
      <c r="A131" s="73" t="s">
        <v>278</v>
      </c>
      <c r="B131" s="73" t="s">
        <v>155</v>
      </c>
      <c r="C131" s="73" t="s">
        <v>7</v>
      </c>
      <c r="D131" s="76" t="s">
        <v>303</v>
      </c>
      <c r="E131" s="73" t="s">
        <v>7</v>
      </c>
      <c r="F131" s="73"/>
      <c r="G131" s="76" t="s">
        <v>303</v>
      </c>
    </row>
    <row r="132" spans="1:7" hidden="1" x14ac:dyDescent="0.2">
      <c r="A132" s="73">
        <v>1</v>
      </c>
      <c r="B132" s="73">
        <v>39</v>
      </c>
      <c r="C132" s="74">
        <v>2</v>
      </c>
      <c r="D132" s="75" t="s">
        <v>42</v>
      </c>
      <c r="E132" s="74">
        <v>2</v>
      </c>
      <c r="F132" s="74"/>
      <c r="G132" s="75" t="s">
        <v>40</v>
      </c>
    </row>
    <row r="133" spans="1:7" ht="51" hidden="1" x14ac:dyDescent="0.2">
      <c r="A133" s="73" t="s">
        <v>278</v>
      </c>
      <c r="B133" s="73" t="s">
        <v>155</v>
      </c>
      <c r="C133" s="73" t="s">
        <v>7</v>
      </c>
      <c r="D133" s="76" t="s">
        <v>304</v>
      </c>
      <c r="E133" s="73" t="s">
        <v>7</v>
      </c>
      <c r="F133" s="73"/>
      <c r="G133" s="76" t="s">
        <v>304</v>
      </c>
    </row>
    <row r="134" spans="1:7" hidden="1" x14ac:dyDescent="0.2">
      <c r="A134" s="73">
        <v>1</v>
      </c>
      <c r="B134" s="73">
        <v>48</v>
      </c>
      <c r="C134" s="74">
        <v>2</v>
      </c>
      <c r="D134" s="75" t="s">
        <v>42</v>
      </c>
      <c r="E134" s="74">
        <v>2</v>
      </c>
      <c r="F134" s="74"/>
      <c r="G134" s="75" t="s">
        <v>40</v>
      </c>
    </row>
    <row r="135" spans="1:7" ht="51" hidden="1" x14ac:dyDescent="0.2">
      <c r="A135" s="73" t="s">
        <v>278</v>
      </c>
      <c r="B135" s="73" t="s">
        <v>155</v>
      </c>
      <c r="C135" s="73" t="s">
        <v>7</v>
      </c>
      <c r="D135" s="76" t="s">
        <v>305</v>
      </c>
      <c r="E135" s="73" t="s">
        <v>7</v>
      </c>
      <c r="F135" s="73"/>
      <c r="G135" s="76" t="s">
        <v>305</v>
      </c>
    </row>
    <row r="136" spans="1:7" hidden="1" x14ac:dyDescent="0.2">
      <c r="A136" s="73">
        <v>1</v>
      </c>
      <c r="B136" s="73">
        <v>57</v>
      </c>
      <c r="C136" s="74">
        <v>2</v>
      </c>
      <c r="D136" s="75" t="s">
        <v>42</v>
      </c>
      <c r="E136" s="74">
        <v>2</v>
      </c>
      <c r="F136" s="74"/>
      <c r="G136" s="75" t="s">
        <v>40</v>
      </c>
    </row>
    <row r="137" spans="1:7" ht="51" hidden="1" x14ac:dyDescent="0.2">
      <c r="A137" s="73" t="s">
        <v>278</v>
      </c>
      <c r="B137" s="73" t="s">
        <v>155</v>
      </c>
      <c r="C137" s="73" t="s">
        <v>7</v>
      </c>
      <c r="D137" s="76" t="s">
        <v>306</v>
      </c>
      <c r="E137" s="73" t="s">
        <v>7</v>
      </c>
      <c r="F137" s="73"/>
      <c r="G137" s="76" t="s">
        <v>306</v>
      </c>
    </row>
    <row r="138" spans="1:7" hidden="1" x14ac:dyDescent="0.2">
      <c r="A138" s="73">
        <v>1</v>
      </c>
      <c r="B138" s="73">
        <v>66</v>
      </c>
      <c r="C138" s="74">
        <v>2</v>
      </c>
      <c r="D138" s="75" t="s">
        <v>42</v>
      </c>
      <c r="E138" s="74">
        <v>2</v>
      </c>
      <c r="F138" s="74"/>
      <c r="G138" s="75" t="s">
        <v>40</v>
      </c>
    </row>
    <row r="139" spans="1:7" ht="51" hidden="1" x14ac:dyDescent="0.2">
      <c r="A139" s="73" t="s">
        <v>278</v>
      </c>
      <c r="B139" s="73" t="s">
        <v>155</v>
      </c>
      <c r="C139" s="73" t="s">
        <v>7</v>
      </c>
      <c r="D139" s="76" t="s">
        <v>307</v>
      </c>
      <c r="E139" s="73" t="s">
        <v>7</v>
      </c>
      <c r="F139" s="73"/>
      <c r="G139" s="76" t="s">
        <v>307</v>
      </c>
    </row>
    <row r="140" spans="1:7" hidden="1" x14ac:dyDescent="0.2">
      <c r="A140" s="73">
        <v>1</v>
      </c>
      <c r="B140" s="73">
        <v>75</v>
      </c>
      <c r="C140" s="74">
        <v>2</v>
      </c>
      <c r="D140" s="75" t="s">
        <v>42</v>
      </c>
      <c r="E140" s="74">
        <v>2</v>
      </c>
      <c r="F140" s="74"/>
      <c r="G140" s="75" t="s">
        <v>40</v>
      </c>
    </row>
    <row r="141" spans="1:7" ht="51" hidden="1" x14ac:dyDescent="0.2">
      <c r="A141" s="73" t="s">
        <v>278</v>
      </c>
      <c r="B141" s="73" t="s">
        <v>155</v>
      </c>
      <c r="C141" s="73" t="s">
        <v>7</v>
      </c>
      <c r="D141" s="76" t="s">
        <v>308</v>
      </c>
      <c r="E141" s="73" t="s">
        <v>7</v>
      </c>
      <c r="F141" s="73"/>
      <c r="G141" s="76" t="s">
        <v>308</v>
      </c>
    </row>
    <row r="142" spans="1:7" hidden="1" x14ac:dyDescent="0.2">
      <c r="A142" s="73">
        <v>1</v>
      </c>
      <c r="B142" s="73">
        <v>84</v>
      </c>
      <c r="C142" s="74">
        <v>2</v>
      </c>
      <c r="D142" s="75" t="s">
        <v>42</v>
      </c>
      <c r="E142" s="74">
        <v>2</v>
      </c>
      <c r="F142" s="74"/>
      <c r="G142" s="75" t="s">
        <v>40</v>
      </c>
    </row>
    <row r="143" spans="1:7" ht="51" hidden="1" x14ac:dyDescent="0.2">
      <c r="A143" s="73" t="s">
        <v>278</v>
      </c>
      <c r="B143" s="73" t="s">
        <v>155</v>
      </c>
      <c r="C143" s="73" t="s">
        <v>7</v>
      </c>
      <c r="D143" s="76" t="s">
        <v>309</v>
      </c>
      <c r="E143" s="73" t="s">
        <v>7</v>
      </c>
      <c r="F143" s="73"/>
      <c r="G143" s="76" t="s">
        <v>309</v>
      </c>
    </row>
    <row r="144" spans="1:7" hidden="1" x14ac:dyDescent="0.2">
      <c r="A144" s="73">
        <v>1</v>
      </c>
      <c r="B144" s="73">
        <v>93</v>
      </c>
      <c r="C144" s="74">
        <v>2</v>
      </c>
      <c r="D144" s="75" t="s">
        <v>42</v>
      </c>
      <c r="E144" s="74">
        <v>2</v>
      </c>
      <c r="F144" s="74"/>
      <c r="G144" s="75" t="s">
        <v>40</v>
      </c>
    </row>
    <row r="145" spans="1:11" ht="51" hidden="1" x14ac:dyDescent="0.2">
      <c r="A145" s="73" t="s">
        <v>278</v>
      </c>
      <c r="B145" s="73" t="s">
        <v>155</v>
      </c>
      <c r="C145" s="73" t="s">
        <v>7</v>
      </c>
      <c r="D145" s="76" t="s">
        <v>310</v>
      </c>
      <c r="E145" s="73" t="s">
        <v>7</v>
      </c>
      <c r="F145" s="73"/>
      <c r="G145" s="76" t="s">
        <v>310</v>
      </c>
    </row>
    <row r="146" spans="1:11" hidden="1" x14ac:dyDescent="0.2">
      <c r="A146" s="73">
        <v>1</v>
      </c>
      <c r="B146" s="73">
        <v>102</v>
      </c>
      <c r="C146" s="71"/>
    </row>
    <row r="147" spans="1:11" hidden="1" x14ac:dyDescent="0.2">
      <c r="A147" s="73" t="s">
        <v>278</v>
      </c>
      <c r="B147" s="73" t="s">
        <v>155</v>
      </c>
      <c r="C147" s="71"/>
    </row>
    <row r="149" spans="1:11" ht="25.5" hidden="1" x14ac:dyDescent="0.2">
      <c r="G149" s="71" t="s">
        <v>472</v>
      </c>
      <c r="H149" s="71" t="s">
        <v>80</v>
      </c>
      <c r="I149" s="72">
        <v>90</v>
      </c>
      <c r="K149" s="40">
        <f>S110*3+T110*6+Y110*3+Z110*6</f>
        <v>4857</v>
      </c>
    </row>
    <row r="150" spans="1:11" ht="25.5" hidden="1" x14ac:dyDescent="0.2">
      <c r="G150" s="71" t="s">
        <v>472</v>
      </c>
      <c r="H150" s="71" t="s">
        <v>81</v>
      </c>
      <c r="I150" s="72">
        <v>90</v>
      </c>
      <c r="K150" s="40">
        <f>AE110*3+AF110*6+AK110*3+AL110*6+(SUM(AK97:AK98,AK100))*6+AK99*3</f>
        <v>4218</v>
      </c>
    </row>
    <row r="151" spans="1:11" ht="25.5" hidden="1" x14ac:dyDescent="0.2">
      <c r="G151" s="71" t="s">
        <v>473</v>
      </c>
      <c r="H151" s="71" t="s">
        <v>82</v>
      </c>
      <c r="I151" s="72">
        <v>75</v>
      </c>
      <c r="K151" s="40">
        <f>AQ110*3+AW110*3+AR110*5+AX110*5</f>
        <v>3442</v>
      </c>
    </row>
    <row r="152" spans="1:11" ht="25.5" hidden="1" x14ac:dyDescent="0.2">
      <c r="G152" s="71" t="s">
        <v>473</v>
      </c>
      <c r="H152" s="71" t="s">
        <v>83</v>
      </c>
      <c r="I152" s="72">
        <v>75</v>
      </c>
      <c r="K152" s="40">
        <f>BC110*3+BI110*3+BD110*5+BJ110*5</f>
        <v>2489</v>
      </c>
    </row>
    <row r="153" spans="1:11" ht="25.5" hidden="1" x14ac:dyDescent="0.2">
      <c r="G153" s="71" t="s">
        <v>473</v>
      </c>
      <c r="H153" s="71" t="s">
        <v>84</v>
      </c>
      <c r="I153" s="72">
        <v>60</v>
      </c>
      <c r="K153" s="40">
        <f>BO110*3+BP110*5+BU110*3+BV110*5</f>
        <v>3131</v>
      </c>
    </row>
    <row r="154" spans="1:11" hidden="1" x14ac:dyDescent="0.2"/>
    <row r="155" spans="1:11" hidden="1" x14ac:dyDescent="0.2">
      <c r="B155" s="208" t="s">
        <v>474</v>
      </c>
      <c r="K155" s="40">
        <f>SUM(K149:K153)</f>
        <v>18137</v>
      </c>
    </row>
    <row r="156" spans="1:11" hidden="1" x14ac:dyDescent="0.2"/>
    <row r="157" spans="1:11" hidden="1" x14ac:dyDescent="0.2">
      <c r="B157" s="206" t="s">
        <v>475</v>
      </c>
      <c r="K157" s="209">
        <f>K155/720</f>
        <v>25.19</v>
      </c>
    </row>
    <row r="158" spans="1:11" hidden="1" x14ac:dyDescent="0.2">
      <c r="B158" s="206" t="s">
        <v>476</v>
      </c>
      <c r="I158" s="72">
        <f>SUM(I149:I153)</f>
        <v>390</v>
      </c>
    </row>
    <row r="159" spans="1:11" hidden="1" x14ac:dyDescent="0.2"/>
    <row r="160" spans="1:11" hidden="1" x14ac:dyDescent="0.2">
      <c r="B160" s="206" t="s">
        <v>477</v>
      </c>
      <c r="I160" s="209">
        <f>I158/K157</f>
        <v>15.481999999999999</v>
      </c>
    </row>
    <row r="162" spans="1:79" ht="38.25" hidden="1" customHeight="1" x14ac:dyDescent="0.2">
      <c r="A162" s="211"/>
      <c r="B162" s="212" t="s">
        <v>481</v>
      </c>
      <c r="C162" s="212"/>
      <c r="D162" s="213">
        <f>SUM(S162:BL162)</f>
        <v>345</v>
      </c>
      <c r="K162" s="211"/>
      <c r="L162" s="211"/>
      <c r="M162" s="211"/>
      <c r="N162" s="211"/>
      <c r="O162" s="211"/>
      <c r="P162" s="211"/>
      <c r="Q162" s="211"/>
      <c r="R162" s="211"/>
      <c r="S162" s="72">
        <v>90</v>
      </c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72">
        <v>90</v>
      </c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72">
        <v>85</v>
      </c>
      <c r="AR162" s="211"/>
      <c r="AS162" s="211"/>
      <c r="AT162" s="211"/>
      <c r="AU162" s="211"/>
      <c r="AV162" s="211"/>
      <c r="AW162" s="211"/>
      <c r="AX162" s="211"/>
      <c r="AY162" s="211"/>
      <c r="AZ162" s="215"/>
      <c r="BA162" s="211"/>
      <c r="BB162" s="211"/>
      <c r="BC162" s="72">
        <v>80</v>
      </c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>
        <v>70</v>
      </c>
      <c r="BP162" s="211"/>
      <c r="BQ162" s="211"/>
      <c r="BR162" s="211"/>
      <c r="BS162" s="44"/>
      <c r="BT162" s="41"/>
      <c r="BU162" s="41"/>
      <c r="BV162" s="41"/>
      <c r="BW162" s="41"/>
      <c r="BX162" s="41"/>
      <c r="BY162" s="41"/>
      <c r="BZ162" s="41"/>
      <c r="CA162" s="41"/>
    </row>
    <row r="163" spans="1:79" hidden="1" x14ac:dyDescent="0.2">
      <c r="A163" s="211"/>
      <c r="B163" s="211"/>
      <c r="C163" s="211"/>
      <c r="K163" s="211"/>
      <c r="L163" s="211"/>
      <c r="M163" s="211"/>
      <c r="N163" s="211"/>
      <c r="O163" s="211"/>
      <c r="P163" s="211"/>
      <c r="Q163" s="211"/>
      <c r="R163" s="211"/>
      <c r="S163" s="214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4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4"/>
      <c r="AR163" s="211"/>
      <c r="AS163" s="211"/>
      <c r="AT163" s="211"/>
      <c r="AU163" s="211"/>
      <c r="AV163" s="211"/>
      <c r="AW163" s="211"/>
      <c r="AX163" s="211"/>
      <c r="AY163" s="211"/>
      <c r="AZ163" s="215"/>
      <c r="BA163" s="211"/>
      <c r="BB163" s="211"/>
      <c r="BC163" s="214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44"/>
      <c r="BT163" s="41"/>
      <c r="BU163" s="41"/>
      <c r="BV163" s="41"/>
      <c r="BW163" s="41"/>
      <c r="BX163" s="41"/>
      <c r="BY163" s="41"/>
      <c r="BZ163" s="41"/>
      <c r="CA163" s="41"/>
    </row>
    <row r="164" spans="1:79" hidden="1" x14ac:dyDescent="0.2">
      <c r="A164" s="211"/>
      <c r="B164" s="211"/>
      <c r="C164" s="211"/>
      <c r="K164" s="211"/>
      <c r="L164" s="211"/>
      <c r="M164" s="211"/>
      <c r="N164" s="211"/>
      <c r="O164" s="211"/>
      <c r="P164" s="211"/>
      <c r="Q164" s="211"/>
      <c r="R164" s="211"/>
      <c r="S164" s="214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4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4"/>
      <c r="AR164" s="211"/>
      <c r="AS164" s="211"/>
      <c r="AT164" s="211"/>
      <c r="AU164" s="211"/>
      <c r="AV164" s="211"/>
      <c r="AW164" s="211"/>
      <c r="AX164" s="211"/>
      <c r="AY164" s="211"/>
      <c r="AZ164" s="215"/>
      <c r="BA164" s="211"/>
      <c r="BB164" s="211"/>
      <c r="BC164" s="214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1"/>
      <c r="BS164" s="44"/>
      <c r="BT164" s="41"/>
      <c r="BU164" s="41"/>
      <c r="BV164" s="41"/>
      <c r="BW164" s="41"/>
      <c r="BX164" s="41"/>
      <c r="BY164" s="41"/>
      <c r="BZ164" s="41"/>
      <c r="CA164" s="41"/>
    </row>
    <row r="165" spans="1:79" hidden="1" x14ac:dyDescent="0.2">
      <c r="A165" s="211"/>
      <c r="B165" s="211"/>
      <c r="C165" s="211"/>
      <c r="K165" s="211"/>
      <c r="L165" s="211"/>
      <c r="M165" s="211"/>
      <c r="N165" s="211"/>
      <c r="O165" s="211"/>
      <c r="P165" s="211"/>
      <c r="Q165" s="211"/>
      <c r="R165" s="211"/>
      <c r="S165" s="214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4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4"/>
      <c r="AR165" s="211"/>
      <c r="AS165" s="211"/>
      <c r="AT165" s="211"/>
      <c r="AU165" s="211"/>
      <c r="AV165" s="211"/>
      <c r="AW165" s="211"/>
      <c r="AX165" s="211"/>
      <c r="AY165" s="211"/>
      <c r="AZ165" s="215"/>
      <c r="BA165" s="211"/>
      <c r="BB165" s="211"/>
      <c r="BC165" s="214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11"/>
      <c r="BO165" s="211"/>
      <c r="BP165" s="211"/>
      <c r="BQ165" s="211"/>
      <c r="BR165" s="211"/>
      <c r="BS165" s="44"/>
      <c r="BT165" s="41"/>
      <c r="BU165" s="41"/>
      <c r="BV165" s="41"/>
      <c r="BW165" s="41"/>
      <c r="BX165" s="41"/>
      <c r="BY165" s="41"/>
      <c r="BZ165" s="41"/>
      <c r="CA165" s="41"/>
    </row>
    <row r="166" spans="1:79" ht="15.75" hidden="1" x14ac:dyDescent="0.2">
      <c r="A166" s="211"/>
      <c r="B166" s="216" t="s">
        <v>482</v>
      </c>
      <c r="C166" s="211"/>
      <c r="K166" s="211"/>
      <c r="L166" s="211"/>
      <c r="M166" s="211"/>
      <c r="N166" s="211"/>
      <c r="O166" s="211"/>
      <c r="P166" s="211"/>
      <c r="Q166" s="211"/>
      <c r="R166" s="211"/>
      <c r="S166" s="214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4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4"/>
      <c r="AR166" s="211"/>
      <c r="AS166" s="211"/>
      <c r="AT166" s="217"/>
      <c r="AU166" s="211"/>
      <c r="AV166" s="211"/>
      <c r="AW166" s="211"/>
      <c r="AX166" s="211"/>
      <c r="AY166" s="211"/>
      <c r="AZ166" s="218"/>
      <c r="BA166" s="211"/>
      <c r="BB166" s="211"/>
      <c r="BC166" s="214"/>
      <c r="BD166" s="217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1"/>
      <c r="BS166" s="44"/>
      <c r="BT166" s="41"/>
      <c r="BU166" s="41"/>
      <c r="BV166" s="41"/>
      <c r="BW166" s="41"/>
      <c r="BX166" s="41"/>
      <c r="BY166" s="41"/>
      <c r="BZ166" s="41"/>
      <c r="CA166" s="41"/>
    </row>
    <row r="167" spans="1:79" ht="15.75" hidden="1" x14ac:dyDescent="0.2">
      <c r="A167" s="211"/>
      <c r="B167" s="216" t="s">
        <v>483</v>
      </c>
      <c r="C167" s="211"/>
      <c r="K167" s="211"/>
      <c r="L167" s="211"/>
      <c r="M167" s="211"/>
      <c r="N167" s="211"/>
      <c r="O167" s="211"/>
      <c r="P167" s="211"/>
      <c r="Q167" s="211"/>
      <c r="R167" s="211"/>
      <c r="S167" s="214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4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4"/>
      <c r="AR167" s="211"/>
      <c r="AS167" s="211"/>
      <c r="AT167" s="217"/>
      <c r="AU167" s="211"/>
      <c r="AV167" s="211"/>
      <c r="AW167" s="211"/>
      <c r="AX167" s="211"/>
      <c r="AY167" s="211"/>
      <c r="AZ167" s="218"/>
      <c r="BA167" s="211"/>
      <c r="BB167" s="211"/>
      <c r="BC167" s="214"/>
      <c r="BD167" s="217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44"/>
      <c r="BT167" s="41"/>
      <c r="BU167" s="41"/>
      <c r="BV167" s="41"/>
      <c r="BW167" s="41"/>
      <c r="BX167" s="41"/>
      <c r="BY167" s="41"/>
      <c r="BZ167" s="41"/>
      <c r="CA167" s="41"/>
    </row>
    <row r="168" spans="1:79" ht="25.5" hidden="1" x14ac:dyDescent="0.2">
      <c r="A168" s="211"/>
      <c r="B168" s="216" t="s">
        <v>484</v>
      </c>
      <c r="C168" s="211"/>
      <c r="K168" s="211"/>
      <c r="L168" s="211"/>
      <c r="M168" s="211"/>
      <c r="N168" s="211"/>
      <c r="O168" s="211"/>
      <c r="P168" s="211"/>
      <c r="Q168" s="211"/>
      <c r="R168" s="211"/>
      <c r="S168" s="214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4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4"/>
      <c r="AR168" s="211"/>
      <c r="AS168" s="211"/>
      <c r="AT168" s="217"/>
      <c r="AU168" s="211"/>
      <c r="AV168" s="211"/>
      <c r="AW168" s="211"/>
      <c r="AX168" s="211"/>
      <c r="AY168" s="211"/>
      <c r="AZ168" s="219"/>
      <c r="BA168" s="211"/>
      <c r="BB168" s="211"/>
      <c r="BC168" s="214"/>
      <c r="BD168" s="217"/>
      <c r="BE168" s="211"/>
      <c r="BF168" s="211"/>
      <c r="BG168" s="211"/>
      <c r="BH168" s="211"/>
      <c r="BI168" s="211"/>
      <c r="BJ168" s="211"/>
      <c r="BK168" s="211"/>
      <c r="BL168" s="211"/>
      <c r="BM168" s="211"/>
      <c r="BN168" s="211"/>
      <c r="BO168" s="211"/>
      <c r="BP168" s="211"/>
      <c r="BQ168" s="211"/>
      <c r="BR168" s="211"/>
      <c r="BS168" s="44"/>
      <c r="BT168" s="41"/>
      <c r="BU168" s="41"/>
      <c r="BV168" s="41"/>
      <c r="BW168" s="41"/>
      <c r="BX168" s="41"/>
      <c r="BY168" s="41"/>
      <c r="BZ168" s="41"/>
      <c r="CA168" s="41"/>
    </row>
    <row r="169" spans="1:79" ht="15.75" hidden="1" x14ac:dyDescent="0.2">
      <c r="A169" s="211"/>
      <c r="B169" s="211"/>
      <c r="C169" s="211"/>
      <c r="K169" s="211"/>
      <c r="L169" s="211"/>
      <c r="M169" s="211"/>
      <c r="N169" s="211"/>
      <c r="O169" s="211"/>
      <c r="P169" s="211"/>
      <c r="Q169" s="211"/>
      <c r="R169" s="211"/>
      <c r="S169" s="214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7"/>
      <c r="AU169" s="211"/>
      <c r="AV169" s="211"/>
      <c r="AW169" s="211"/>
      <c r="AX169" s="211"/>
      <c r="AY169" s="211"/>
      <c r="AZ169" s="217"/>
      <c r="BA169" s="211"/>
      <c r="BB169" s="211"/>
      <c r="BC169" s="211"/>
      <c r="BD169" s="217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44"/>
      <c r="BT169" s="41"/>
      <c r="BU169" s="41"/>
      <c r="BV169" s="41"/>
      <c r="BW169" s="41"/>
      <c r="BX169" s="41"/>
      <c r="BY169" s="41"/>
      <c r="BZ169" s="41"/>
      <c r="CA169" s="41"/>
    </row>
    <row r="170" spans="1:79" ht="15.75" hidden="1" x14ac:dyDescent="0.2">
      <c r="A170" s="211"/>
      <c r="B170" s="211"/>
      <c r="C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7"/>
      <c r="AU170" s="211"/>
      <c r="AV170" s="211"/>
      <c r="AW170" s="211"/>
      <c r="AX170" s="211"/>
      <c r="AY170" s="211"/>
      <c r="AZ170" s="217"/>
      <c r="BA170" s="211"/>
      <c r="BB170" s="211"/>
      <c r="BC170" s="211"/>
      <c r="BD170" s="217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44"/>
      <c r="BT170" s="41"/>
      <c r="BU170" s="41"/>
      <c r="BV170" s="41"/>
      <c r="BW170" s="41"/>
      <c r="BX170" s="41"/>
      <c r="BY170" s="41"/>
      <c r="BZ170" s="41"/>
      <c r="CA170" s="41"/>
    </row>
    <row r="171" spans="1:79" hidden="1" x14ac:dyDescent="0.2">
      <c r="A171" s="211"/>
      <c r="B171" s="211"/>
      <c r="C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1"/>
      <c r="BR171" s="211"/>
      <c r="BS171" s="44"/>
      <c r="BT171" s="41"/>
      <c r="BU171" s="41"/>
      <c r="BV171" s="41"/>
      <c r="BW171" s="41"/>
      <c r="BX171" s="41"/>
      <c r="BY171" s="41"/>
      <c r="BZ171" s="41"/>
      <c r="CA171" s="41"/>
    </row>
    <row r="172" spans="1:79" hidden="1" x14ac:dyDescent="0.2">
      <c r="A172" s="211"/>
      <c r="B172" s="211"/>
      <c r="C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1"/>
      <c r="BQ172" s="211"/>
      <c r="BR172" s="211"/>
      <c r="BS172" s="44"/>
      <c r="BT172" s="41"/>
      <c r="BU172" s="41"/>
      <c r="BV172" s="41"/>
      <c r="BW172" s="41"/>
      <c r="BX172" s="41"/>
      <c r="BY172" s="41"/>
      <c r="BZ172" s="41"/>
      <c r="CA172" s="41"/>
    </row>
    <row r="173" spans="1:79" hidden="1" x14ac:dyDescent="0.2">
      <c r="A173" s="211"/>
      <c r="B173" s="212" t="s">
        <v>485</v>
      </c>
      <c r="C173" s="212"/>
      <c r="D173" s="220">
        <f>SUM(R166:BL166)</f>
        <v>0</v>
      </c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1"/>
      <c r="BQ173" s="211"/>
      <c r="BR173" s="211"/>
      <c r="BS173" s="44"/>
      <c r="BT173" s="41"/>
      <c r="BU173" s="41"/>
      <c r="BV173" s="41"/>
      <c r="BW173" s="41"/>
      <c r="BX173" s="41"/>
      <c r="BY173" s="41"/>
      <c r="BZ173" s="41"/>
      <c r="CA173" s="41"/>
    </row>
    <row r="174" spans="1:79" hidden="1" x14ac:dyDescent="0.2">
      <c r="A174" s="211"/>
      <c r="B174" s="212" t="s">
        <v>486</v>
      </c>
      <c r="C174" s="212"/>
      <c r="D174" s="220">
        <f>D173/720</f>
        <v>0</v>
      </c>
      <c r="E174" s="214">
        <f>SUM(R167:CA167,BM167)</f>
        <v>0</v>
      </c>
      <c r="F174" s="214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44"/>
      <c r="BT174" s="41"/>
      <c r="BU174" s="41"/>
      <c r="BV174" s="41"/>
      <c r="BW174" s="41"/>
      <c r="BX174" s="41"/>
      <c r="BY174" s="41"/>
      <c r="BZ174" s="41"/>
      <c r="CA174" s="41"/>
    </row>
    <row r="175" spans="1:79" hidden="1" x14ac:dyDescent="0.2">
      <c r="A175" s="211"/>
      <c r="B175" s="212"/>
      <c r="C175" s="212"/>
      <c r="D175" s="22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1"/>
      <c r="BQ175" s="211"/>
      <c r="BR175" s="211"/>
      <c r="BS175" s="44"/>
      <c r="BT175" s="41"/>
      <c r="BU175" s="41"/>
      <c r="BV175" s="41"/>
      <c r="BW175" s="41"/>
      <c r="BX175" s="41"/>
      <c r="BY175" s="41"/>
      <c r="BZ175" s="41"/>
      <c r="CA175" s="41"/>
    </row>
    <row r="176" spans="1:79" ht="25.5" hidden="1" x14ac:dyDescent="0.2">
      <c r="A176" s="211"/>
      <c r="B176" s="212" t="s">
        <v>484</v>
      </c>
      <c r="C176" s="212"/>
      <c r="D176" s="222" t="e">
        <f>D162/D174</f>
        <v>#DIV/0!</v>
      </c>
      <c r="E176" s="214" t="e">
        <f>D162/E174</f>
        <v>#DIV/0!</v>
      </c>
      <c r="F176" s="214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44"/>
      <c r="BT176" s="41"/>
      <c r="BU176" s="41"/>
      <c r="BV176" s="41"/>
      <c r="BW176" s="41"/>
      <c r="BX176" s="41"/>
      <c r="BY176" s="41"/>
      <c r="BZ176" s="41"/>
      <c r="CA176" s="41"/>
    </row>
    <row r="177" hidden="1" x14ac:dyDescent="0.2"/>
    <row r="178" hidden="1" x14ac:dyDescent="0.2"/>
    <row r="179" hidden="1" x14ac:dyDescent="0.2"/>
  </sheetData>
  <sheetProtection password="CF70" sheet="1" objects="1" scenarios="1" selectLockedCells="1" sort="0" autoFilter="0" pivotTables="0" selectUnlockedCells="1"/>
  <autoFilter ref="A10:CA106"/>
  <dataConsolidate/>
  <mergeCells count="256">
    <mergeCell ref="BT120:BU120"/>
    <mergeCell ref="M5:P5"/>
    <mergeCell ref="BL119:BM119"/>
    <mergeCell ref="BN119:BO119"/>
    <mergeCell ref="BD119:BE119"/>
    <mergeCell ref="BF119:BG119"/>
    <mergeCell ref="AN119:AO119"/>
    <mergeCell ref="AJ118:AO118"/>
    <mergeCell ref="BB115:BG115"/>
    <mergeCell ref="AV118:BA118"/>
    <mergeCell ref="BT116:BY116"/>
    <mergeCell ref="BT118:BY118"/>
    <mergeCell ref="BT119:BU119"/>
    <mergeCell ref="BV119:BW119"/>
    <mergeCell ref="BX119:BY119"/>
    <mergeCell ref="AZ119:BA119"/>
    <mergeCell ref="BN117:BS117"/>
    <mergeCell ref="X6:Y6"/>
    <mergeCell ref="R90:V90"/>
    <mergeCell ref="W90:Y90"/>
    <mergeCell ref="Z90:AC90"/>
    <mergeCell ref="AD90:AH90"/>
    <mergeCell ref="AP90:AT90"/>
    <mergeCell ref="AI90:AK90"/>
    <mergeCell ref="B11:G11"/>
    <mergeCell ref="C125:D125"/>
    <mergeCell ref="T120:U120"/>
    <mergeCell ref="R120:S120"/>
    <mergeCell ref="E125:G125"/>
    <mergeCell ref="B121:J121"/>
    <mergeCell ref="K120:L120"/>
    <mergeCell ref="P120:Q120"/>
    <mergeCell ref="A125:B125"/>
    <mergeCell ref="B122:J122"/>
    <mergeCell ref="M120:O120"/>
    <mergeCell ref="B120:J120"/>
    <mergeCell ref="K122:Q122"/>
    <mergeCell ref="R122:W122"/>
    <mergeCell ref="R121:W121"/>
    <mergeCell ref="K121:Q121"/>
    <mergeCell ref="R118:W118"/>
    <mergeCell ref="B90:G90"/>
    <mergeCell ref="B86:G86"/>
    <mergeCell ref="B34:G34"/>
    <mergeCell ref="B39:G39"/>
    <mergeCell ref="B47:G47"/>
    <mergeCell ref="B19:H19"/>
    <mergeCell ref="B12:C12"/>
    <mergeCell ref="A1:CA1"/>
    <mergeCell ref="BZ3:BZ9"/>
    <mergeCell ref="A3:A9"/>
    <mergeCell ref="L4:Q4"/>
    <mergeCell ref="Q5:Q9"/>
    <mergeCell ref="CA3:CA9"/>
    <mergeCell ref="BN6:BO6"/>
    <mergeCell ref="BT5:BU5"/>
    <mergeCell ref="BT6:BU6"/>
    <mergeCell ref="N6:N9"/>
    <mergeCell ref="BN4:BY4"/>
    <mergeCell ref="H5:H9"/>
    <mergeCell ref="L5:L9"/>
    <mergeCell ref="B3:B9"/>
    <mergeCell ref="E5:E9"/>
    <mergeCell ref="BB6:BC6"/>
    <mergeCell ref="AD6:AE6"/>
    <mergeCell ref="AP5:AQ5"/>
    <mergeCell ref="AP6:AQ6"/>
    <mergeCell ref="AD5:AE5"/>
    <mergeCell ref="I3:J8"/>
    <mergeCell ref="M6:M9"/>
    <mergeCell ref="P6:P9"/>
    <mergeCell ref="K4:K9"/>
    <mergeCell ref="BT122:BY122"/>
    <mergeCell ref="BN5:BO5"/>
    <mergeCell ref="BB5:BC5"/>
    <mergeCell ref="BH5:BI5"/>
    <mergeCell ref="BH122:BM122"/>
    <mergeCell ref="BR119:BS119"/>
    <mergeCell ref="BH116:BM116"/>
    <mergeCell ref="BB116:BG116"/>
    <mergeCell ref="BP119:BQ119"/>
    <mergeCell ref="BN116:BS116"/>
    <mergeCell ref="BP120:BQ120"/>
    <mergeCell ref="BH120:BI120"/>
    <mergeCell ref="BJ120:BK120"/>
    <mergeCell ref="BH119:BI119"/>
    <mergeCell ref="BJ119:BK119"/>
    <mergeCell ref="BV120:BW120"/>
    <mergeCell ref="BL120:BM120"/>
    <mergeCell ref="BN120:BO120"/>
    <mergeCell ref="BH118:BM118"/>
    <mergeCell ref="BT121:BY121"/>
    <mergeCell ref="BX120:BY120"/>
    <mergeCell ref="BB120:BC120"/>
    <mergeCell ref="BD120:BE120"/>
    <mergeCell ref="BF120:BG120"/>
    <mergeCell ref="AV122:BA122"/>
    <mergeCell ref="AP122:AU122"/>
    <mergeCell ref="X122:AC122"/>
    <mergeCell ref="AD122:AI122"/>
    <mergeCell ref="AJ122:AO122"/>
    <mergeCell ref="M119:O119"/>
    <mergeCell ref="P119:Q119"/>
    <mergeCell ref="AX119:AY119"/>
    <mergeCell ref="X119:Y119"/>
    <mergeCell ref="Z119:AA119"/>
    <mergeCell ref="AJ121:AO121"/>
    <mergeCell ref="AP121:AU121"/>
    <mergeCell ref="AR119:AS119"/>
    <mergeCell ref="AB119:AC119"/>
    <mergeCell ref="AT119:AU119"/>
    <mergeCell ref="V120:W120"/>
    <mergeCell ref="AD121:AI121"/>
    <mergeCell ref="AD120:AE120"/>
    <mergeCell ref="AF120:AG120"/>
    <mergeCell ref="A108:C108"/>
    <mergeCell ref="N90:Q90"/>
    <mergeCell ref="B107:Q107"/>
    <mergeCell ref="B112:H112"/>
    <mergeCell ref="B113:H113"/>
    <mergeCell ref="K119:L119"/>
    <mergeCell ref="X120:Y120"/>
    <mergeCell ref="B110:H110"/>
    <mergeCell ref="A109:C109"/>
    <mergeCell ref="B111:H111"/>
    <mergeCell ref="B119:J119"/>
    <mergeCell ref="K118:Q118"/>
    <mergeCell ref="B104:C104"/>
    <mergeCell ref="B101:C101"/>
    <mergeCell ref="B118:J118"/>
    <mergeCell ref="R119:S119"/>
    <mergeCell ref="T119:U119"/>
    <mergeCell ref="V119:W119"/>
    <mergeCell ref="B117:J117"/>
    <mergeCell ref="R115:W115"/>
    <mergeCell ref="B114:H114"/>
    <mergeCell ref="B116:J116"/>
    <mergeCell ref="B115:J115"/>
    <mergeCell ref="X118:AC118"/>
    <mergeCell ref="BN122:BS122"/>
    <mergeCell ref="BB122:BG122"/>
    <mergeCell ref="BH121:BM121"/>
    <mergeCell ref="BN121:BS121"/>
    <mergeCell ref="AL120:AM120"/>
    <mergeCell ref="AJ119:AK119"/>
    <mergeCell ref="Z120:AA120"/>
    <mergeCell ref="AB120:AC120"/>
    <mergeCell ref="AN120:AO120"/>
    <mergeCell ref="AJ120:AK120"/>
    <mergeCell ref="AH119:AI119"/>
    <mergeCell ref="AF119:AG119"/>
    <mergeCell ref="AH120:AI120"/>
    <mergeCell ref="AP119:AQ119"/>
    <mergeCell ref="AT120:AU120"/>
    <mergeCell ref="AZ120:BA120"/>
    <mergeCell ref="AV119:AW119"/>
    <mergeCell ref="AL119:AM119"/>
    <mergeCell ref="AP120:AQ120"/>
    <mergeCell ref="AR120:AS120"/>
    <mergeCell ref="AV120:AW120"/>
    <mergeCell ref="AX120:AY120"/>
    <mergeCell ref="BB119:BC119"/>
    <mergeCell ref="BR120:BS120"/>
    <mergeCell ref="AJ5:AK5"/>
    <mergeCell ref="X5:Y5"/>
    <mergeCell ref="AP7:AQ7"/>
    <mergeCell ref="AP8:AR8"/>
    <mergeCell ref="AJ7:AK7"/>
    <mergeCell ref="AJ8:AL8"/>
    <mergeCell ref="AD7:AE7"/>
    <mergeCell ref="AD8:AF8"/>
    <mergeCell ref="X7:Y7"/>
    <mergeCell ref="BT117:BY117"/>
    <mergeCell ref="AD118:AI118"/>
    <mergeCell ref="BB117:BG117"/>
    <mergeCell ref="BN118:BS118"/>
    <mergeCell ref="AP118:AU118"/>
    <mergeCell ref="AV116:BA116"/>
    <mergeCell ref="AD115:AI115"/>
    <mergeCell ref="AP115:AU115"/>
    <mergeCell ref="AV115:BA115"/>
    <mergeCell ref="BH117:BM117"/>
    <mergeCell ref="BB118:BG118"/>
    <mergeCell ref="AD116:AI116"/>
    <mergeCell ref="BT115:BY115"/>
    <mergeCell ref="BN115:BS115"/>
    <mergeCell ref="BH115:BM115"/>
    <mergeCell ref="K117:Q117"/>
    <mergeCell ref="AJ117:AO117"/>
    <mergeCell ref="AV117:BA117"/>
    <mergeCell ref="X117:AC117"/>
    <mergeCell ref="AJ116:AO116"/>
    <mergeCell ref="X116:AC116"/>
    <mergeCell ref="AJ115:AO115"/>
    <mergeCell ref="K116:Q116"/>
    <mergeCell ref="AD117:AI117"/>
    <mergeCell ref="K115:Q115"/>
    <mergeCell ref="R116:W116"/>
    <mergeCell ref="X115:AC115"/>
    <mergeCell ref="R117:W117"/>
    <mergeCell ref="AP117:AU117"/>
    <mergeCell ref="AP116:AU116"/>
    <mergeCell ref="BB121:BG121"/>
    <mergeCell ref="AV121:BA121"/>
    <mergeCell ref="AD119:AE119"/>
    <mergeCell ref="X121:AC121"/>
    <mergeCell ref="AU90:AW90"/>
    <mergeCell ref="AX90:BA90"/>
    <mergeCell ref="BB90:BF90"/>
    <mergeCell ref="BG90:BI90"/>
    <mergeCell ref="BN7:BO7"/>
    <mergeCell ref="BN8:BP8"/>
    <mergeCell ref="BH7:BI7"/>
    <mergeCell ref="BH8:BJ8"/>
    <mergeCell ref="BB7:BC7"/>
    <mergeCell ref="BB8:BD8"/>
    <mergeCell ref="AV7:AW7"/>
    <mergeCell ref="AV8:AX8"/>
    <mergeCell ref="BJ90:BM90"/>
    <mergeCell ref="BN90:BR90"/>
    <mergeCell ref="AL90:AO90"/>
    <mergeCell ref="B93:G93"/>
    <mergeCell ref="B62:H62"/>
    <mergeCell ref="B55:H55"/>
    <mergeCell ref="B49:H49"/>
    <mergeCell ref="B48:H48"/>
    <mergeCell ref="B75:G75"/>
    <mergeCell ref="B74:G74"/>
    <mergeCell ref="B81:G81"/>
    <mergeCell ref="B38:C38"/>
    <mergeCell ref="B69:G69"/>
    <mergeCell ref="B89:G89"/>
    <mergeCell ref="C3:C9"/>
    <mergeCell ref="G5:G9"/>
    <mergeCell ref="D3:H4"/>
    <mergeCell ref="D5:D9"/>
    <mergeCell ref="AD4:AO4"/>
    <mergeCell ref="X8:Z8"/>
    <mergeCell ref="R7:S7"/>
    <mergeCell ref="R8:T8"/>
    <mergeCell ref="I90:M90"/>
    <mergeCell ref="K3:Q3"/>
    <mergeCell ref="O6:O9"/>
    <mergeCell ref="R6:S6"/>
    <mergeCell ref="T6:V6"/>
    <mergeCell ref="S3:BY3"/>
    <mergeCell ref="R4:AC4"/>
    <mergeCell ref="AP4:BA4"/>
    <mergeCell ref="R5:S5"/>
    <mergeCell ref="BB4:BM4"/>
    <mergeCell ref="BH6:BI6"/>
    <mergeCell ref="AV5:AW5"/>
    <mergeCell ref="BT7:BU7"/>
    <mergeCell ref="BT8:BV8"/>
    <mergeCell ref="AV6:AW6"/>
    <mergeCell ref="AJ6:AK6"/>
  </mergeCells>
  <phoneticPr fontId="0" type="noConversion"/>
  <conditionalFormatting sqref="BZ35:BZ37 BZ40:BZ46 BZ102:BZ103 BZ73 BZ88 BZ105 BZ83:BZ85 BZ29:BZ33 BZ97:BZ100 BZ50:BZ53 BZ56:BZ58 BZ91:BZ92 BZ76:BZ80">
    <cfRule type="expression" dxfId="121" priority="188" stopIfTrue="1">
      <formula>AND(K29&gt;0,BZ29=0)</formula>
    </cfRule>
    <cfRule type="expression" dxfId="120" priority="189" stopIfTrue="1">
      <formula>AND(K29=0,BZ29&lt;&gt;0)</formula>
    </cfRule>
  </conditionalFormatting>
  <conditionalFormatting sqref="BZ87">
    <cfRule type="expression" dxfId="119" priority="183" stopIfTrue="1">
      <formula>AND(K87&gt;0,BZ87=0)</formula>
    </cfRule>
    <cfRule type="expression" dxfId="118" priority="184" stopIfTrue="1">
      <formula>AND(K87=0,BZ87&lt;&gt;0)</formula>
    </cfRule>
  </conditionalFormatting>
  <conditionalFormatting sqref="BZ35:BZ37">
    <cfRule type="expression" dxfId="117" priority="171" stopIfTrue="1">
      <formula>AND(K35&gt;0,BZ35=0)</formula>
    </cfRule>
    <cfRule type="expression" dxfId="116" priority="172" stopIfTrue="1">
      <formula>AND(K35=0,BZ35&lt;&gt;0)</formula>
    </cfRule>
  </conditionalFormatting>
  <conditionalFormatting sqref="BZ40:BZ46">
    <cfRule type="expression" dxfId="115" priority="169" stopIfTrue="1">
      <formula>AND(K40&gt;0,BZ40=0)</formula>
    </cfRule>
    <cfRule type="expression" dxfId="114" priority="170" stopIfTrue="1">
      <formula>AND(K40=0,BZ40&lt;&gt;0)</formula>
    </cfRule>
  </conditionalFormatting>
  <conditionalFormatting sqref="BZ50:BZ53">
    <cfRule type="expression" dxfId="113" priority="167" stopIfTrue="1">
      <formula>AND(K50&gt;0,BZ50=0)</formula>
    </cfRule>
    <cfRule type="expression" dxfId="112" priority="168" stopIfTrue="1">
      <formula>AND(K50=0,BZ50&lt;&gt;0)</formula>
    </cfRule>
  </conditionalFormatting>
  <conditionalFormatting sqref="BZ54">
    <cfRule type="expression" dxfId="111" priority="165" stopIfTrue="1">
      <formula>AND(K54&gt;0,BZ54=0)</formula>
    </cfRule>
    <cfRule type="expression" dxfId="110" priority="166" stopIfTrue="1">
      <formula>AND(K54=0,BZ54&lt;&gt;0)</formula>
    </cfRule>
  </conditionalFormatting>
  <conditionalFormatting sqref="BZ56:BZ58">
    <cfRule type="expression" dxfId="109" priority="163" stopIfTrue="1">
      <formula>AND(K56&gt;0,BZ56=0)</formula>
    </cfRule>
    <cfRule type="expression" dxfId="108" priority="164" stopIfTrue="1">
      <formula>AND(K56=0,BZ56&lt;&gt;0)</formula>
    </cfRule>
  </conditionalFormatting>
  <conditionalFormatting sqref="BZ59:BZ60">
    <cfRule type="expression" dxfId="107" priority="161" stopIfTrue="1">
      <formula>AND(K59&gt;0,BZ59=0)</formula>
    </cfRule>
    <cfRule type="expression" dxfId="106" priority="162" stopIfTrue="1">
      <formula>AND(K59=0,BZ59&lt;&gt;0)</formula>
    </cfRule>
  </conditionalFormatting>
  <conditionalFormatting sqref="BZ61">
    <cfRule type="expression" dxfId="105" priority="159" stopIfTrue="1">
      <formula>AND(K61&gt;0,BZ61=0)</formula>
    </cfRule>
    <cfRule type="expression" dxfId="104" priority="160" stopIfTrue="1">
      <formula>AND(K61=0,BZ61&lt;&gt;0)</formula>
    </cfRule>
  </conditionalFormatting>
  <conditionalFormatting sqref="BZ67:BZ68">
    <cfRule type="expression" dxfId="103" priority="157" stopIfTrue="1">
      <formula>AND(K67&gt;0,BZ67=0)</formula>
    </cfRule>
    <cfRule type="expression" dxfId="102" priority="158" stopIfTrue="1">
      <formula>AND(K67=0,BZ67&lt;&gt;0)</formula>
    </cfRule>
  </conditionalFormatting>
  <conditionalFormatting sqref="BZ63">
    <cfRule type="expression" dxfId="101" priority="155" stopIfTrue="1">
      <formula>AND(K63&gt;0,BZ63=0)</formula>
    </cfRule>
    <cfRule type="expression" dxfId="100" priority="156" stopIfTrue="1">
      <formula>AND(K63=0,BZ63&lt;&gt;0)</formula>
    </cfRule>
  </conditionalFormatting>
  <conditionalFormatting sqref="BZ64">
    <cfRule type="expression" dxfId="99" priority="153" stopIfTrue="1">
      <formula>AND(K64&gt;0,BZ64=0)</formula>
    </cfRule>
    <cfRule type="expression" dxfId="98" priority="154" stopIfTrue="1">
      <formula>AND(K64=0,BZ64&lt;&gt;0)</formula>
    </cfRule>
  </conditionalFormatting>
  <conditionalFormatting sqref="BZ65">
    <cfRule type="expression" dxfId="97" priority="151" stopIfTrue="1">
      <formula>AND(K65&gt;0,BZ65=0)</formula>
    </cfRule>
    <cfRule type="expression" dxfId="96" priority="152" stopIfTrue="1">
      <formula>AND(K65=0,BZ65&lt;&gt;0)</formula>
    </cfRule>
  </conditionalFormatting>
  <conditionalFormatting sqref="BZ66">
    <cfRule type="expression" dxfId="95" priority="149" stopIfTrue="1">
      <formula>AND(K66&gt;0,BZ66=0)</formula>
    </cfRule>
    <cfRule type="expression" dxfId="94" priority="150" stopIfTrue="1">
      <formula>AND(K66=0,BZ66&lt;&gt;0)</formula>
    </cfRule>
  </conditionalFormatting>
  <conditionalFormatting sqref="BZ70">
    <cfRule type="expression" dxfId="93" priority="147" stopIfTrue="1">
      <formula>AND(K70&gt;0,BZ70=0)</formula>
    </cfRule>
    <cfRule type="expression" dxfId="92" priority="148" stopIfTrue="1">
      <formula>AND(K70=0,BZ70&lt;&gt;0)</formula>
    </cfRule>
  </conditionalFormatting>
  <conditionalFormatting sqref="BZ71">
    <cfRule type="expression" dxfId="91" priority="145" stopIfTrue="1">
      <formula>AND(K71&gt;0,BZ71=0)</formula>
    </cfRule>
    <cfRule type="expression" dxfId="90" priority="146" stopIfTrue="1">
      <formula>AND(K71=0,BZ71&lt;&gt;0)</formula>
    </cfRule>
  </conditionalFormatting>
  <conditionalFormatting sqref="BZ72">
    <cfRule type="expression" dxfId="89" priority="143" stopIfTrue="1">
      <formula>AND(K72&gt;0,BZ72=0)</formula>
    </cfRule>
    <cfRule type="expression" dxfId="88" priority="144" stopIfTrue="1">
      <formula>AND(K72=0,BZ72&lt;&gt;0)</formula>
    </cfRule>
  </conditionalFormatting>
  <conditionalFormatting sqref="BZ70">
    <cfRule type="expression" dxfId="87" priority="141" stopIfTrue="1">
      <formula>AND(K70&gt;0,BZ70=0)</formula>
    </cfRule>
    <cfRule type="expression" dxfId="86" priority="142" stopIfTrue="1">
      <formula>AND(K70=0,BZ70&lt;&gt;0)</formula>
    </cfRule>
  </conditionalFormatting>
  <conditionalFormatting sqref="BZ71">
    <cfRule type="expression" dxfId="85" priority="139" stopIfTrue="1">
      <formula>AND(K71&gt;0,BZ71=0)</formula>
    </cfRule>
    <cfRule type="expression" dxfId="84" priority="140" stopIfTrue="1">
      <formula>AND(K71=0,BZ71&lt;&gt;0)</formula>
    </cfRule>
  </conditionalFormatting>
  <conditionalFormatting sqref="BZ72">
    <cfRule type="expression" dxfId="83" priority="137" stopIfTrue="1">
      <formula>AND(K72&gt;0,BZ72=0)</formula>
    </cfRule>
    <cfRule type="expression" dxfId="82" priority="138" stopIfTrue="1">
      <formula>AND(K72=0,BZ72&lt;&gt;0)</formula>
    </cfRule>
  </conditionalFormatting>
  <conditionalFormatting sqref="BZ70">
    <cfRule type="expression" dxfId="81" priority="135" stopIfTrue="1">
      <formula>AND(K70&gt;0,BZ70=0)</formula>
    </cfRule>
    <cfRule type="expression" dxfId="80" priority="136" stopIfTrue="1">
      <formula>AND(K70=0,BZ70&lt;&gt;0)</formula>
    </cfRule>
  </conditionalFormatting>
  <conditionalFormatting sqref="BZ71">
    <cfRule type="expression" dxfId="79" priority="133" stopIfTrue="1">
      <formula>AND(K71&gt;0,BZ71=0)</formula>
    </cfRule>
    <cfRule type="expression" dxfId="78" priority="134" stopIfTrue="1">
      <formula>AND(K71=0,BZ71&lt;&gt;0)</formula>
    </cfRule>
  </conditionalFormatting>
  <conditionalFormatting sqref="BZ72">
    <cfRule type="expression" dxfId="77" priority="131" stopIfTrue="1">
      <formula>AND(K72&gt;0,BZ72=0)</formula>
    </cfRule>
    <cfRule type="expression" dxfId="76" priority="132" stopIfTrue="1">
      <formula>AND(K72=0,BZ72&lt;&gt;0)</formula>
    </cfRule>
  </conditionalFormatting>
  <conditionalFormatting sqref="BZ77">
    <cfRule type="expression" dxfId="75" priority="129" stopIfTrue="1">
      <formula>AND(K77&gt;0,BZ77=0)</formula>
    </cfRule>
    <cfRule type="expression" dxfId="74" priority="130" stopIfTrue="1">
      <formula>AND(K77=0,BZ77&lt;&gt;0)</formula>
    </cfRule>
  </conditionalFormatting>
  <conditionalFormatting sqref="BZ78">
    <cfRule type="expression" dxfId="73" priority="127" stopIfTrue="1">
      <formula>AND(K78&gt;0,BZ78=0)</formula>
    </cfRule>
    <cfRule type="expression" dxfId="72" priority="128" stopIfTrue="1">
      <formula>AND(K78=0,BZ78&lt;&gt;0)</formula>
    </cfRule>
  </conditionalFormatting>
  <conditionalFormatting sqref="BZ79">
    <cfRule type="expression" dxfId="71" priority="125" stopIfTrue="1">
      <formula>AND(K79&gt;0,BZ79=0)</formula>
    </cfRule>
    <cfRule type="expression" dxfId="70" priority="126" stopIfTrue="1">
      <formula>AND(K79=0,BZ79&lt;&gt;0)</formula>
    </cfRule>
  </conditionalFormatting>
  <conditionalFormatting sqref="BZ83">
    <cfRule type="expression" dxfId="69" priority="123" stopIfTrue="1">
      <formula>AND(K83&gt;0,BZ83=0)</formula>
    </cfRule>
    <cfRule type="expression" dxfId="68" priority="124" stopIfTrue="1">
      <formula>AND(K83=0,BZ83&lt;&gt;0)</formula>
    </cfRule>
  </conditionalFormatting>
  <conditionalFormatting sqref="BZ84">
    <cfRule type="expression" dxfId="67" priority="121" stopIfTrue="1">
      <formula>AND(K84&gt;0,BZ84=0)</formula>
    </cfRule>
    <cfRule type="expression" dxfId="66" priority="122" stopIfTrue="1">
      <formula>AND(K84=0,BZ84&lt;&gt;0)</formula>
    </cfRule>
  </conditionalFormatting>
  <conditionalFormatting sqref="BZ87">
    <cfRule type="expression" dxfId="65" priority="119" stopIfTrue="1">
      <formula>AND(K87&gt;0,BZ87=0)</formula>
    </cfRule>
    <cfRule type="expression" dxfId="64" priority="120" stopIfTrue="1">
      <formula>AND(K87=0,BZ87&lt;&gt;0)</formula>
    </cfRule>
  </conditionalFormatting>
  <conditionalFormatting sqref="BZ91">
    <cfRule type="expression" dxfId="63" priority="117" stopIfTrue="1">
      <formula>AND(K91&gt;0,BZ91=0)</formula>
    </cfRule>
    <cfRule type="expression" dxfId="62" priority="118" stopIfTrue="1">
      <formula>AND(K91=0,BZ91&lt;&gt;0)</formula>
    </cfRule>
  </conditionalFormatting>
  <conditionalFormatting sqref="BZ99">
    <cfRule type="expression" dxfId="61" priority="115" stopIfTrue="1">
      <formula>AND(K99&gt;0,BZ99=0)</formula>
    </cfRule>
    <cfRule type="expression" dxfId="60" priority="116" stopIfTrue="1">
      <formula>AND(K99=0,BZ99&lt;&gt;0)</formula>
    </cfRule>
  </conditionalFormatting>
  <conditionalFormatting sqref="BZ97">
    <cfRule type="expression" dxfId="59" priority="113" stopIfTrue="1">
      <formula>AND(K97&gt;0,BZ97=0)</formula>
    </cfRule>
    <cfRule type="expression" dxfId="58" priority="114" stopIfTrue="1">
      <formula>AND(K97=0,BZ97&lt;&gt;0)</formula>
    </cfRule>
  </conditionalFormatting>
  <conditionalFormatting sqref="BZ98">
    <cfRule type="expression" dxfId="57" priority="111" stopIfTrue="1">
      <formula>AND(K98&gt;0,BZ98=0)</formula>
    </cfRule>
    <cfRule type="expression" dxfId="56" priority="112" stopIfTrue="1">
      <formula>AND(K98=0,BZ98&lt;&gt;0)</formula>
    </cfRule>
  </conditionalFormatting>
  <conditionalFormatting sqref="BZ100">
    <cfRule type="expression" dxfId="55" priority="109" stopIfTrue="1">
      <formula>AND(K100&gt;0,BZ100=0)</formula>
    </cfRule>
    <cfRule type="expression" dxfId="54" priority="110" stopIfTrue="1">
      <formula>AND(K100=0,BZ100&lt;&gt;0)</formula>
    </cfRule>
  </conditionalFormatting>
  <conditionalFormatting sqref="BZ102:BZ103">
    <cfRule type="expression" dxfId="53" priority="107" stopIfTrue="1">
      <formula>AND(K102&gt;0,BZ102=0)</formula>
    </cfRule>
    <cfRule type="expression" dxfId="52" priority="108" stopIfTrue="1">
      <formula>AND(K102=0,BZ102&lt;&gt;0)</formula>
    </cfRule>
  </conditionalFormatting>
  <conditionalFormatting sqref="BZ105">
    <cfRule type="expression" dxfId="51" priority="105" stopIfTrue="1">
      <formula>AND(K105&gt;0,BZ105=0)</formula>
    </cfRule>
    <cfRule type="expression" dxfId="50" priority="106" stopIfTrue="1">
      <formula>AND(K105=0,BZ105&lt;&gt;0)</formula>
    </cfRule>
  </conditionalFormatting>
  <conditionalFormatting sqref="BZ94:BZ95">
    <cfRule type="expression" dxfId="49" priority="101" stopIfTrue="1">
      <formula>AND(K94&gt;0,BZ94=0)</formula>
    </cfRule>
    <cfRule type="expression" dxfId="48" priority="102" stopIfTrue="1">
      <formula>AND(K94=0,BZ94&lt;&gt;0)</formula>
    </cfRule>
  </conditionalFormatting>
  <conditionalFormatting sqref="BZ95">
    <cfRule type="expression" dxfId="47" priority="99" stopIfTrue="1">
      <formula>AND(K95&gt;0,BZ95=0)</formula>
    </cfRule>
    <cfRule type="expression" dxfId="46" priority="100" stopIfTrue="1">
      <formula>AND(K95=0,BZ95&lt;&gt;0)</formula>
    </cfRule>
  </conditionalFormatting>
  <conditionalFormatting sqref="BZ95">
    <cfRule type="expression" dxfId="45" priority="97" stopIfTrue="1">
      <formula>AND(K95&gt;0,BZ95=0)</formula>
    </cfRule>
    <cfRule type="expression" dxfId="44" priority="98" stopIfTrue="1">
      <formula>AND(K95=0,BZ95&lt;&gt;0)</formula>
    </cfRule>
  </conditionalFormatting>
  <conditionalFormatting sqref="CB13:CB20 CB22:CB26">
    <cfRule type="expression" dxfId="43" priority="71" stopIfTrue="1">
      <formula>AND(K13&gt;0,CB13=0)</formula>
    </cfRule>
    <cfRule type="expression" dxfId="42" priority="72" stopIfTrue="1">
      <formula>AND(K13=0,CB13&lt;&gt;0)</formula>
    </cfRule>
  </conditionalFormatting>
  <conditionalFormatting sqref="CB15">
    <cfRule type="expression" dxfId="41" priority="61" stopIfTrue="1">
      <formula>AND(K15&gt;0,CB15=0)</formula>
    </cfRule>
    <cfRule type="expression" dxfId="40" priority="62" stopIfTrue="1">
      <formula>AND(K15=0,CB15&lt;&gt;0)</formula>
    </cfRule>
  </conditionalFormatting>
  <conditionalFormatting sqref="CB13:CB19">
    <cfRule type="expression" dxfId="39" priority="59" stopIfTrue="1">
      <formula>AND(K13&gt;0,CB13=0)</formula>
    </cfRule>
    <cfRule type="expression" dxfId="38" priority="60" stopIfTrue="1">
      <formula>AND(K13=0,CB13&lt;&gt;0)</formula>
    </cfRule>
  </conditionalFormatting>
  <conditionalFormatting sqref="CB15">
    <cfRule type="expression" dxfId="37" priority="57" stopIfTrue="1">
      <formula>AND(K15&gt;0,CB15=0)</formula>
    </cfRule>
    <cfRule type="expression" dxfId="36" priority="58" stopIfTrue="1">
      <formula>AND(K15=0,CB15&lt;&gt;0)</formula>
    </cfRule>
  </conditionalFormatting>
  <conditionalFormatting sqref="CB15">
    <cfRule type="expression" dxfId="35" priority="55" stopIfTrue="1">
      <formula>AND(K15&gt;0,CB15=0)</formula>
    </cfRule>
    <cfRule type="expression" dxfId="34" priority="56" stopIfTrue="1">
      <formula>AND(K15=0,CB15&lt;&gt;0)</formula>
    </cfRule>
  </conditionalFormatting>
  <conditionalFormatting sqref="CB15">
    <cfRule type="expression" dxfId="33" priority="53" stopIfTrue="1">
      <formula>AND(K15&gt;0,CB15=0)</formula>
    </cfRule>
    <cfRule type="expression" dxfId="32" priority="54" stopIfTrue="1">
      <formula>AND(K15=0,CB15&lt;&gt;0)</formula>
    </cfRule>
  </conditionalFormatting>
  <conditionalFormatting sqref="CB15">
    <cfRule type="expression" dxfId="31" priority="51" stopIfTrue="1">
      <formula>AND(K15&gt;0,CB15=0)</formula>
    </cfRule>
    <cfRule type="expression" dxfId="30" priority="52" stopIfTrue="1">
      <formula>AND(K15=0,CB15&lt;&gt;0)</formula>
    </cfRule>
  </conditionalFormatting>
  <conditionalFormatting sqref="CB15">
    <cfRule type="expression" dxfId="29" priority="49" stopIfTrue="1">
      <formula>AND(K15&gt;0,CB15=0)</formula>
    </cfRule>
    <cfRule type="expression" dxfId="28" priority="50" stopIfTrue="1">
      <formula>AND(K15=0,CB15&lt;&gt;0)</formula>
    </cfRule>
  </conditionalFormatting>
  <conditionalFormatting sqref="CB22">
    <cfRule type="expression" dxfId="27" priority="47" stopIfTrue="1">
      <formula>AND(K22&gt;0,CB22=0)</formula>
    </cfRule>
    <cfRule type="expression" dxfId="26" priority="48" stopIfTrue="1">
      <formula>AND(K22=0,CB22&lt;&gt;0)</formula>
    </cfRule>
  </conditionalFormatting>
  <conditionalFormatting sqref="CB22">
    <cfRule type="expression" dxfId="25" priority="45" stopIfTrue="1">
      <formula>AND(K22&gt;0,CB22=0)</formula>
    </cfRule>
    <cfRule type="expression" dxfId="24" priority="46" stopIfTrue="1">
      <formula>AND(K22=0,CB22&lt;&gt;0)</formula>
    </cfRule>
  </conditionalFormatting>
  <conditionalFormatting sqref="CB23">
    <cfRule type="expression" dxfId="23" priority="43" stopIfTrue="1">
      <formula>AND(K23&gt;0,CB23=0)</formula>
    </cfRule>
    <cfRule type="expression" dxfId="22" priority="44" stopIfTrue="1">
      <formula>AND(K23=0,CB23&lt;&gt;0)</formula>
    </cfRule>
  </conditionalFormatting>
  <conditionalFormatting sqref="CB23">
    <cfRule type="expression" dxfId="21" priority="41" stopIfTrue="1">
      <formula>AND(K23&gt;0,CB23=0)</formula>
    </cfRule>
    <cfRule type="expression" dxfId="20" priority="42" stopIfTrue="1">
      <formula>AND(K23=0,CB23&lt;&gt;0)</formula>
    </cfRule>
  </conditionalFormatting>
  <conditionalFormatting sqref="BZ60">
    <cfRule type="expression" dxfId="19" priority="1" stopIfTrue="1">
      <formula>AND(K60&gt;0,BZ60=0)</formula>
    </cfRule>
    <cfRule type="expression" dxfId="18" priority="2" stopIfTrue="1">
      <formula>AND(K60=0,BZ60&lt;&gt;0)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15" fitToHeight="100" orientation="landscape" r:id="rId1"/>
  <headerFooter alignWithMargins="0">
    <oddFooter>&amp;L&amp;F&amp;C&amp;9&amp;A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showZeros="0" tabSelected="1" zoomScale="85" zoomScaleNormal="85" workbookViewId="0">
      <selection activeCell="AB19" sqref="AB19:AE20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59" width="3.33203125" style="6" customWidth="1"/>
    <col min="60" max="60" width="4.5" style="6" customWidth="1"/>
    <col min="61" max="61" width="4" style="6" customWidth="1"/>
    <col min="62" max="65" width="3.33203125" style="6" customWidth="1"/>
    <col min="66" max="66" width="5" style="6" customWidth="1"/>
    <col min="67" max="16384" width="2.83203125" style="6"/>
  </cols>
  <sheetData>
    <row r="1" spans="1:67" ht="15.75" customHeight="1" x14ac:dyDescent="0.2">
      <c r="A1" s="204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622" t="s">
        <v>34</v>
      </c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</row>
    <row r="2" spans="1:67" ht="15.75" customHeight="1" x14ac:dyDescent="0.2">
      <c r="A2" s="780" t="s">
        <v>453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623" t="s">
        <v>360</v>
      </c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623"/>
      <c r="BC2" s="634" t="s">
        <v>47</v>
      </c>
      <c r="BD2" s="634"/>
      <c r="BE2" s="634"/>
      <c r="BF2" s="634"/>
      <c r="BG2" s="634"/>
      <c r="BH2" s="634"/>
      <c r="BI2" s="634"/>
      <c r="BJ2" s="634"/>
      <c r="BK2" s="634"/>
      <c r="BL2" s="634"/>
      <c r="BM2" s="634"/>
      <c r="BN2" s="634"/>
    </row>
    <row r="3" spans="1:67" ht="15.75" customHeight="1" x14ac:dyDescent="0.2">
      <c r="A3" s="637">
        <v>42817</v>
      </c>
      <c r="B3" s="637"/>
      <c r="C3" s="637"/>
      <c r="D3" s="637"/>
      <c r="E3" s="637"/>
      <c r="F3" s="637"/>
      <c r="G3" s="637"/>
      <c r="H3" s="637" t="s">
        <v>425</v>
      </c>
      <c r="I3" s="637"/>
      <c r="J3" s="637"/>
      <c r="K3" s="637"/>
      <c r="L3" s="637"/>
      <c r="M3" s="637"/>
      <c r="N3" s="637"/>
      <c r="O3" s="623" t="s">
        <v>361</v>
      </c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36" t="s">
        <v>367</v>
      </c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</row>
    <row r="4" spans="1:67" ht="15.75" customHeight="1" x14ac:dyDescent="0.2">
      <c r="A4" s="632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630" t="s">
        <v>490</v>
      </c>
      <c r="BD4" s="630"/>
      <c r="BE4" s="630"/>
      <c r="BF4" s="630"/>
      <c r="BG4" s="630"/>
      <c r="BH4" s="630"/>
      <c r="BI4" s="630"/>
      <c r="BJ4" s="630"/>
      <c r="BK4" s="630"/>
      <c r="BL4" s="630"/>
      <c r="BM4" s="630"/>
      <c r="BN4" s="630"/>
    </row>
    <row r="5" spans="1:67" ht="15.75" customHeight="1" x14ac:dyDescent="0.2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28"/>
      <c r="P5" s="228"/>
      <c r="Q5" s="228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30"/>
      <c r="BD5" s="230"/>
      <c r="BE5" s="230"/>
      <c r="BF5" s="31"/>
      <c r="BG5" s="32"/>
      <c r="BH5" s="32"/>
      <c r="BI5" s="32"/>
      <c r="BJ5" s="32"/>
      <c r="BK5" s="32"/>
      <c r="BL5" s="32"/>
      <c r="BM5" s="32"/>
      <c r="BN5" s="230"/>
    </row>
    <row r="6" spans="1:67" ht="15.75" customHeight="1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8"/>
      <c r="P6" s="228"/>
      <c r="Q6" s="228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635">
        <v>42818</v>
      </c>
      <c r="BD6" s="635"/>
      <c r="BE6" s="635"/>
      <c r="BF6" s="635"/>
      <c r="BG6" s="635"/>
      <c r="BH6" s="635"/>
      <c r="BI6" s="635"/>
      <c r="BJ6" s="635"/>
      <c r="BK6" s="635"/>
      <c r="BL6" s="635"/>
      <c r="BM6" s="635"/>
      <c r="BN6" s="635"/>
      <c r="BO6" s="635"/>
    </row>
    <row r="7" spans="1:67" ht="25.5" x14ac:dyDescent="0.2">
      <c r="A7" s="633" t="s">
        <v>380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  <c r="BM7" s="633"/>
      <c r="BN7" s="633"/>
    </row>
    <row r="8" spans="1:67" s="3" customFormat="1" ht="15.75" customHeight="1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32"/>
      <c r="P8" s="227"/>
      <c r="Q8" s="227"/>
      <c r="R8" s="227"/>
      <c r="S8" s="227"/>
      <c r="T8" s="227"/>
      <c r="U8" s="227"/>
      <c r="V8" s="227"/>
      <c r="W8" s="227"/>
      <c r="X8" s="778" t="s">
        <v>381</v>
      </c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227"/>
      <c r="AV8" s="227"/>
      <c r="AW8" s="227"/>
      <c r="AX8" s="227"/>
      <c r="AY8" s="227"/>
      <c r="AZ8" s="227"/>
      <c r="BA8" s="227"/>
      <c r="BB8" s="227"/>
      <c r="BC8" s="227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</row>
    <row r="9" spans="1:67" s="3" customFormat="1" ht="15.75" customHeight="1" x14ac:dyDescent="0.2">
      <c r="A9" s="638" t="s">
        <v>166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779" t="s">
        <v>362</v>
      </c>
      <c r="P9" s="779"/>
      <c r="Q9" s="779"/>
      <c r="R9" s="779"/>
      <c r="S9" s="779"/>
      <c r="T9" s="779"/>
      <c r="U9" s="779"/>
      <c r="V9" s="779"/>
      <c r="W9" s="779"/>
      <c r="X9" s="779"/>
      <c r="Y9" s="779"/>
      <c r="Z9" s="779"/>
      <c r="AA9" s="779"/>
      <c r="AB9" s="779"/>
      <c r="AC9" s="779"/>
      <c r="AD9" s="779"/>
      <c r="AE9" s="779"/>
      <c r="AF9" s="779"/>
      <c r="AG9" s="779"/>
      <c r="AH9" s="779"/>
      <c r="AI9" s="779"/>
      <c r="AJ9" s="779"/>
      <c r="AK9" s="779"/>
      <c r="AL9" s="779"/>
      <c r="AM9" s="779"/>
      <c r="AN9" s="779"/>
      <c r="AO9" s="779"/>
      <c r="AP9" s="779"/>
      <c r="AQ9" s="779"/>
      <c r="AR9" s="779"/>
      <c r="AS9" s="779"/>
      <c r="AT9" s="779"/>
      <c r="AU9" s="779"/>
      <c r="AV9" s="779"/>
      <c r="AW9" s="779"/>
      <c r="AX9" s="779"/>
      <c r="AY9" s="779"/>
      <c r="AZ9" s="779"/>
      <c r="BA9" s="779"/>
      <c r="BB9" s="779"/>
      <c r="BC9" s="640" t="s">
        <v>51</v>
      </c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</row>
    <row r="10" spans="1:67" s="3" customFormat="1" ht="15.75" customHeight="1" x14ac:dyDescent="0.2">
      <c r="A10" s="638" t="s">
        <v>163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42" t="s">
        <v>558</v>
      </c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40"/>
      <c r="BD10" s="640"/>
      <c r="BE10" s="640"/>
      <c r="BF10" s="640"/>
      <c r="BG10" s="640"/>
      <c r="BH10" s="640"/>
      <c r="BI10" s="640"/>
      <c r="BJ10" s="640"/>
      <c r="BK10" s="640"/>
      <c r="BL10" s="640"/>
      <c r="BM10" s="640"/>
      <c r="BN10" s="640"/>
    </row>
    <row r="11" spans="1:67" s="3" customFormat="1" ht="15.75" customHeight="1" x14ac:dyDescent="0.2">
      <c r="A11" s="638" t="s">
        <v>213</v>
      </c>
      <c r="B11" s="638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7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</row>
    <row r="12" spans="1:67" s="3" customFormat="1" ht="15.75" customHeight="1" x14ac:dyDescent="0.2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7"/>
      <c r="AS12" s="617"/>
      <c r="AT12" s="617"/>
      <c r="AU12" s="617"/>
      <c r="AV12" s="617"/>
      <c r="AW12" s="617"/>
      <c r="AX12" s="617"/>
      <c r="AY12" s="617"/>
      <c r="AZ12" s="617"/>
      <c r="BA12" s="617"/>
      <c r="BB12" s="617"/>
      <c r="BC12" s="640"/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  <c r="BN12" s="640"/>
    </row>
    <row r="13" spans="1:67" s="3" customFormat="1" ht="15.75" customHeight="1" x14ac:dyDescent="0.2">
      <c r="A13" s="638" t="s">
        <v>48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17" t="s">
        <v>165</v>
      </c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/>
      <c r="AS13" s="617"/>
      <c r="AT13" s="617"/>
      <c r="AU13" s="617"/>
      <c r="AV13" s="617"/>
      <c r="AW13" s="617"/>
      <c r="AX13" s="617"/>
      <c r="AY13" s="617"/>
      <c r="AZ13" s="617"/>
      <c r="BA13" s="617"/>
      <c r="BB13" s="617"/>
      <c r="BC13" s="776" t="s">
        <v>368</v>
      </c>
      <c r="BD13" s="777"/>
      <c r="BE13" s="777"/>
      <c r="BF13" s="777"/>
      <c r="BG13" s="777"/>
      <c r="BH13" s="777"/>
      <c r="BI13" s="777"/>
      <c r="BJ13" s="777"/>
      <c r="BK13" s="777"/>
      <c r="BL13" s="777"/>
      <c r="BM13" s="777"/>
      <c r="BN13" s="777"/>
    </row>
    <row r="14" spans="1:67" s="3" customFormat="1" ht="15.75" customHeight="1" x14ac:dyDescent="0.2">
      <c r="A14" s="638" t="s">
        <v>167</v>
      </c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17" t="s">
        <v>168</v>
      </c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17"/>
      <c r="AS14" s="617"/>
      <c r="AT14" s="617"/>
      <c r="AU14" s="617"/>
      <c r="AV14" s="617"/>
      <c r="AW14" s="617"/>
      <c r="AX14" s="617"/>
      <c r="AY14" s="617"/>
      <c r="AZ14" s="617"/>
      <c r="BA14" s="617"/>
      <c r="BB14" s="617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7" s="3" customFormat="1" ht="15.75" customHeight="1" x14ac:dyDescent="0.2">
      <c r="A15" s="638" t="s">
        <v>49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775" t="s">
        <v>118</v>
      </c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775"/>
      <c r="AX15" s="775"/>
      <c r="AY15" s="775"/>
      <c r="AZ15" s="775"/>
      <c r="BA15" s="775"/>
      <c r="BB15" s="775"/>
      <c r="BC15" s="227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</row>
    <row r="16" spans="1:67" ht="15.75" customHeight="1" x14ac:dyDescent="0.2">
      <c r="A16" s="638" t="s">
        <v>293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24">
        <v>4</v>
      </c>
      <c r="P16" s="624"/>
      <c r="Q16" s="625" t="s">
        <v>294</v>
      </c>
      <c r="R16" s="625"/>
      <c r="S16" s="625"/>
      <c r="T16" s="624">
        <v>4</v>
      </c>
      <c r="U16" s="624"/>
      <c r="V16" s="626" t="s">
        <v>295</v>
      </c>
      <c r="W16" s="626"/>
      <c r="X16" s="626"/>
      <c r="Y16" s="626"/>
      <c r="Z16" s="626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8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</row>
    <row r="17" spans="1:66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97" t="s">
        <v>50</v>
      </c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3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</row>
    <row r="18" spans="1:66" ht="9" customHeight="1" x14ac:dyDescent="0.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</row>
    <row r="19" spans="1:66" x14ac:dyDescent="0.2">
      <c r="A19" s="648" t="s">
        <v>10</v>
      </c>
      <c r="B19" s="607" t="s">
        <v>11</v>
      </c>
      <c r="C19" s="608"/>
      <c r="D19" s="608"/>
      <c r="E19" s="609"/>
      <c r="F19" s="615" t="s">
        <v>64</v>
      </c>
      <c r="G19" s="607" t="s">
        <v>25</v>
      </c>
      <c r="H19" s="608"/>
      <c r="I19" s="609"/>
      <c r="J19" s="615" t="s">
        <v>138</v>
      </c>
      <c r="K19" s="607" t="s">
        <v>12</v>
      </c>
      <c r="L19" s="608"/>
      <c r="M19" s="608"/>
      <c r="N19" s="609"/>
      <c r="O19" s="607" t="s">
        <v>13</v>
      </c>
      <c r="P19" s="608"/>
      <c r="Q19" s="608"/>
      <c r="R19" s="609"/>
      <c r="S19" s="615" t="s">
        <v>137</v>
      </c>
      <c r="T19" s="607" t="s">
        <v>14</v>
      </c>
      <c r="U19" s="608"/>
      <c r="V19" s="609"/>
      <c r="W19" s="615" t="s">
        <v>63</v>
      </c>
      <c r="X19" s="607" t="s">
        <v>15</v>
      </c>
      <c r="Y19" s="608"/>
      <c r="Z19" s="609"/>
      <c r="AA19" s="615" t="s">
        <v>133</v>
      </c>
      <c r="AB19" s="607" t="s">
        <v>16</v>
      </c>
      <c r="AC19" s="608"/>
      <c r="AD19" s="608"/>
      <c r="AE19" s="609"/>
      <c r="AF19" s="615" t="s">
        <v>62</v>
      </c>
      <c r="AG19" s="607" t="s">
        <v>17</v>
      </c>
      <c r="AH19" s="608"/>
      <c r="AI19" s="609"/>
      <c r="AJ19" s="615" t="s">
        <v>61</v>
      </c>
      <c r="AK19" s="607" t="s">
        <v>18</v>
      </c>
      <c r="AL19" s="608"/>
      <c r="AM19" s="608"/>
      <c r="AN19" s="609"/>
      <c r="AO19" s="607" t="s">
        <v>19</v>
      </c>
      <c r="AP19" s="608"/>
      <c r="AQ19" s="608"/>
      <c r="AR19" s="609"/>
      <c r="AS19" s="615" t="s">
        <v>136</v>
      </c>
      <c r="AT19" s="607" t="s">
        <v>20</v>
      </c>
      <c r="AU19" s="608"/>
      <c r="AV19" s="609"/>
      <c r="AW19" s="615" t="s">
        <v>132</v>
      </c>
      <c r="AX19" s="607" t="s">
        <v>21</v>
      </c>
      <c r="AY19" s="608"/>
      <c r="AZ19" s="608"/>
      <c r="BA19" s="609"/>
      <c r="BB19" s="627" t="s">
        <v>57</v>
      </c>
      <c r="BC19" s="628"/>
      <c r="BD19" s="628"/>
      <c r="BE19" s="628"/>
      <c r="BF19" s="628"/>
      <c r="BG19" s="628"/>
      <c r="BH19" s="628"/>
      <c r="BI19" s="628"/>
      <c r="BJ19" s="628"/>
      <c r="BK19" s="628"/>
      <c r="BL19" s="628"/>
      <c r="BM19" s="628"/>
      <c r="BN19" s="629"/>
    </row>
    <row r="20" spans="1:66" ht="15.75" customHeight="1" x14ac:dyDescent="0.2">
      <c r="A20" s="649"/>
      <c r="B20" s="610"/>
      <c r="C20" s="611"/>
      <c r="D20" s="611"/>
      <c r="E20" s="612"/>
      <c r="F20" s="616"/>
      <c r="G20" s="610"/>
      <c r="H20" s="611"/>
      <c r="I20" s="612"/>
      <c r="J20" s="616"/>
      <c r="K20" s="610"/>
      <c r="L20" s="611"/>
      <c r="M20" s="611"/>
      <c r="N20" s="612"/>
      <c r="O20" s="610"/>
      <c r="P20" s="611"/>
      <c r="Q20" s="611"/>
      <c r="R20" s="612"/>
      <c r="S20" s="616"/>
      <c r="T20" s="610"/>
      <c r="U20" s="611"/>
      <c r="V20" s="612"/>
      <c r="W20" s="616"/>
      <c r="X20" s="610"/>
      <c r="Y20" s="611"/>
      <c r="Z20" s="612"/>
      <c r="AA20" s="616"/>
      <c r="AB20" s="610"/>
      <c r="AC20" s="611"/>
      <c r="AD20" s="611"/>
      <c r="AE20" s="612"/>
      <c r="AF20" s="616"/>
      <c r="AG20" s="610"/>
      <c r="AH20" s="611"/>
      <c r="AI20" s="612"/>
      <c r="AJ20" s="616"/>
      <c r="AK20" s="610"/>
      <c r="AL20" s="611"/>
      <c r="AM20" s="611"/>
      <c r="AN20" s="612"/>
      <c r="AO20" s="610"/>
      <c r="AP20" s="611"/>
      <c r="AQ20" s="611"/>
      <c r="AR20" s="612"/>
      <c r="AS20" s="616"/>
      <c r="AT20" s="610"/>
      <c r="AU20" s="611"/>
      <c r="AV20" s="612"/>
      <c r="AW20" s="616"/>
      <c r="AX20" s="610"/>
      <c r="AY20" s="611"/>
      <c r="AZ20" s="611"/>
      <c r="BA20" s="612"/>
      <c r="BB20" s="598" t="s">
        <v>8</v>
      </c>
      <c r="BC20" s="599"/>
      <c r="BD20" s="600"/>
      <c r="BE20" s="598" t="s">
        <v>317</v>
      </c>
      <c r="BF20" s="599"/>
      <c r="BG20" s="600"/>
      <c r="BH20" s="618" t="s">
        <v>328</v>
      </c>
      <c r="BI20" s="618" t="s">
        <v>146</v>
      </c>
      <c r="BJ20" s="618" t="s">
        <v>45</v>
      </c>
      <c r="BK20" s="618" t="s">
        <v>58</v>
      </c>
      <c r="BL20" s="618" t="s">
        <v>59</v>
      </c>
      <c r="BM20" s="618" t="s">
        <v>46</v>
      </c>
      <c r="BN20" s="618" t="s">
        <v>1</v>
      </c>
    </row>
    <row r="21" spans="1:66" ht="15.75" customHeight="1" x14ac:dyDescent="0.2">
      <c r="A21" s="649"/>
      <c r="B21" s="7">
        <v>1</v>
      </c>
      <c r="C21" s="7">
        <v>8</v>
      </c>
      <c r="D21" s="7">
        <v>15</v>
      </c>
      <c r="E21" s="7">
        <v>22</v>
      </c>
      <c r="F21" s="613" t="s">
        <v>125</v>
      </c>
      <c r="G21" s="7">
        <v>6</v>
      </c>
      <c r="H21" s="7">
        <v>13</v>
      </c>
      <c r="I21" s="7">
        <v>20</v>
      </c>
      <c r="J21" s="613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3" t="s">
        <v>127</v>
      </c>
      <c r="T21" s="7">
        <v>5</v>
      </c>
      <c r="U21" s="7">
        <v>12</v>
      </c>
      <c r="V21" s="7">
        <v>19</v>
      </c>
      <c r="W21" s="613" t="s">
        <v>128</v>
      </c>
      <c r="X21" s="7">
        <v>2</v>
      </c>
      <c r="Y21" s="7">
        <v>9</v>
      </c>
      <c r="Z21" s="7">
        <v>16</v>
      </c>
      <c r="AA21" s="613" t="s">
        <v>134</v>
      </c>
      <c r="AB21" s="7">
        <v>2</v>
      </c>
      <c r="AC21" s="7">
        <v>9</v>
      </c>
      <c r="AD21" s="7">
        <v>16</v>
      </c>
      <c r="AE21" s="7">
        <v>23</v>
      </c>
      <c r="AF21" s="613" t="s">
        <v>130</v>
      </c>
      <c r="AG21" s="7">
        <v>6</v>
      </c>
      <c r="AH21" s="7">
        <v>13</v>
      </c>
      <c r="AI21" s="7">
        <v>20</v>
      </c>
      <c r="AJ21" s="613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3" t="s">
        <v>135</v>
      </c>
      <c r="AT21" s="7">
        <v>6</v>
      </c>
      <c r="AU21" s="7">
        <v>13</v>
      </c>
      <c r="AV21" s="7">
        <v>20</v>
      </c>
      <c r="AW21" s="613" t="s">
        <v>129</v>
      </c>
      <c r="AX21" s="7">
        <v>2</v>
      </c>
      <c r="AY21" s="7">
        <v>9</v>
      </c>
      <c r="AZ21" s="7">
        <v>16</v>
      </c>
      <c r="BA21" s="7">
        <v>23</v>
      </c>
      <c r="BB21" s="601"/>
      <c r="BC21" s="602"/>
      <c r="BD21" s="603"/>
      <c r="BE21" s="601"/>
      <c r="BF21" s="602"/>
      <c r="BG21" s="603"/>
      <c r="BH21" s="619"/>
      <c r="BI21" s="619"/>
      <c r="BJ21" s="619"/>
      <c r="BK21" s="619"/>
      <c r="BL21" s="619"/>
      <c r="BM21" s="619"/>
      <c r="BN21" s="619"/>
    </row>
    <row r="22" spans="1:66" ht="18" customHeight="1" x14ac:dyDescent="0.2">
      <c r="A22" s="649"/>
      <c r="B22" s="224">
        <v>7</v>
      </c>
      <c r="C22" s="224">
        <v>14</v>
      </c>
      <c r="D22" s="224">
        <v>21</v>
      </c>
      <c r="E22" s="224">
        <v>28</v>
      </c>
      <c r="F22" s="614"/>
      <c r="G22" s="224">
        <v>12</v>
      </c>
      <c r="H22" s="224">
        <v>19</v>
      </c>
      <c r="I22" s="224">
        <v>26</v>
      </c>
      <c r="J22" s="614"/>
      <c r="K22" s="224">
        <v>9</v>
      </c>
      <c r="L22" s="224">
        <v>16</v>
      </c>
      <c r="M22" s="224">
        <v>23</v>
      </c>
      <c r="N22" s="224">
        <v>30</v>
      </c>
      <c r="O22" s="224">
        <v>7</v>
      </c>
      <c r="P22" s="224">
        <v>14</v>
      </c>
      <c r="Q22" s="224">
        <v>21</v>
      </c>
      <c r="R22" s="224">
        <v>28</v>
      </c>
      <c r="S22" s="614"/>
      <c r="T22" s="224">
        <v>11</v>
      </c>
      <c r="U22" s="224">
        <v>18</v>
      </c>
      <c r="V22" s="224">
        <v>25</v>
      </c>
      <c r="W22" s="614"/>
      <c r="X22" s="224">
        <v>8</v>
      </c>
      <c r="Y22" s="224">
        <v>15</v>
      </c>
      <c r="Z22" s="224">
        <v>22</v>
      </c>
      <c r="AA22" s="614"/>
      <c r="AB22" s="224">
        <v>8</v>
      </c>
      <c r="AC22" s="224">
        <v>15</v>
      </c>
      <c r="AD22" s="224">
        <v>22</v>
      </c>
      <c r="AE22" s="224">
        <v>29</v>
      </c>
      <c r="AF22" s="614"/>
      <c r="AG22" s="224">
        <v>12</v>
      </c>
      <c r="AH22" s="224">
        <v>19</v>
      </c>
      <c r="AI22" s="224">
        <v>26</v>
      </c>
      <c r="AJ22" s="614"/>
      <c r="AK22" s="224">
        <v>10</v>
      </c>
      <c r="AL22" s="224">
        <v>17</v>
      </c>
      <c r="AM22" s="224">
        <v>24</v>
      </c>
      <c r="AN22" s="224">
        <v>31</v>
      </c>
      <c r="AO22" s="224">
        <v>7</v>
      </c>
      <c r="AP22" s="224">
        <v>14</v>
      </c>
      <c r="AQ22" s="224">
        <v>21</v>
      </c>
      <c r="AR22" s="224">
        <v>28</v>
      </c>
      <c r="AS22" s="614"/>
      <c r="AT22" s="224">
        <v>12</v>
      </c>
      <c r="AU22" s="224">
        <v>19</v>
      </c>
      <c r="AV22" s="224">
        <v>26</v>
      </c>
      <c r="AW22" s="614"/>
      <c r="AX22" s="224">
        <v>8</v>
      </c>
      <c r="AY22" s="224">
        <v>15</v>
      </c>
      <c r="AZ22" s="224">
        <v>22</v>
      </c>
      <c r="BA22" s="224">
        <v>31</v>
      </c>
      <c r="BB22" s="604"/>
      <c r="BC22" s="605"/>
      <c r="BD22" s="606"/>
      <c r="BE22" s="604"/>
      <c r="BF22" s="605"/>
      <c r="BG22" s="606"/>
      <c r="BH22" s="619"/>
      <c r="BI22" s="619"/>
      <c r="BJ22" s="619"/>
      <c r="BK22" s="619"/>
      <c r="BL22" s="619"/>
      <c r="BM22" s="619"/>
      <c r="BN22" s="619"/>
    </row>
    <row r="23" spans="1:66" ht="15.75" customHeight="1" x14ac:dyDescent="0.2">
      <c r="A23" s="650"/>
      <c r="B23" s="239">
        <v>1</v>
      </c>
      <c r="C23" s="239">
        <v>2</v>
      </c>
      <c r="D23" s="239">
        <v>3</v>
      </c>
      <c r="E23" s="239">
        <v>4</v>
      </c>
      <c r="F23" s="239">
        <v>5</v>
      </c>
      <c r="G23" s="239">
        <v>6</v>
      </c>
      <c r="H23" s="239">
        <v>7</v>
      </c>
      <c r="I23" s="239">
        <v>8</v>
      </c>
      <c r="J23" s="239">
        <v>9</v>
      </c>
      <c r="K23" s="239">
        <v>10</v>
      </c>
      <c r="L23" s="239">
        <v>11</v>
      </c>
      <c r="M23" s="239">
        <v>12</v>
      </c>
      <c r="N23" s="239">
        <v>13</v>
      </c>
      <c r="O23" s="239">
        <v>14</v>
      </c>
      <c r="P23" s="239">
        <v>15</v>
      </c>
      <c r="Q23" s="239">
        <v>16</v>
      </c>
      <c r="R23" s="239">
        <v>17</v>
      </c>
      <c r="S23" s="239">
        <v>18</v>
      </c>
      <c r="T23" s="239">
        <v>19</v>
      </c>
      <c r="U23" s="239">
        <v>20</v>
      </c>
      <c r="V23" s="239">
        <v>21</v>
      </c>
      <c r="W23" s="239">
        <v>22</v>
      </c>
      <c r="X23" s="239">
        <v>23</v>
      </c>
      <c r="Y23" s="239">
        <v>24</v>
      </c>
      <c r="Z23" s="239">
        <v>25</v>
      </c>
      <c r="AA23" s="239">
        <v>26</v>
      </c>
      <c r="AB23" s="239">
        <v>27</v>
      </c>
      <c r="AC23" s="239">
        <v>28</v>
      </c>
      <c r="AD23" s="239">
        <v>29</v>
      </c>
      <c r="AE23" s="239">
        <v>30</v>
      </c>
      <c r="AF23" s="239">
        <v>31</v>
      </c>
      <c r="AG23" s="239">
        <v>32</v>
      </c>
      <c r="AH23" s="239">
        <v>33</v>
      </c>
      <c r="AI23" s="239">
        <v>34</v>
      </c>
      <c r="AJ23" s="239">
        <v>35</v>
      </c>
      <c r="AK23" s="239">
        <v>36</v>
      </c>
      <c r="AL23" s="239">
        <v>37</v>
      </c>
      <c r="AM23" s="239">
        <v>38</v>
      </c>
      <c r="AN23" s="239">
        <v>39</v>
      </c>
      <c r="AO23" s="239">
        <v>40</v>
      </c>
      <c r="AP23" s="239">
        <v>41</v>
      </c>
      <c r="AQ23" s="239">
        <v>42</v>
      </c>
      <c r="AR23" s="239">
        <v>43</v>
      </c>
      <c r="AS23" s="239">
        <v>44</v>
      </c>
      <c r="AT23" s="239">
        <v>45</v>
      </c>
      <c r="AU23" s="239">
        <v>46</v>
      </c>
      <c r="AV23" s="239">
        <v>47</v>
      </c>
      <c r="AW23" s="239">
        <v>48</v>
      </c>
      <c r="AX23" s="239">
        <v>49</v>
      </c>
      <c r="AY23" s="239">
        <v>50</v>
      </c>
      <c r="AZ23" s="239">
        <v>51</v>
      </c>
      <c r="BA23" s="239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620"/>
      <c r="BI23" s="620"/>
      <c r="BJ23" s="620"/>
      <c r="BK23" s="620"/>
      <c r="BL23" s="620"/>
      <c r="BM23" s="620"/>
      <c r="BN23" s="620"/>
    </row>
    <row r="24" spans="1:66" ht="15.75" customHeight="1" x14ac:dyDescent="0.2">
      <c r="A24" s="8">
        <v>1</v>
      </c>
      <c r="B24" s="35" t="s">
        <v>26</v>
      </c>
      <c r="C24" s="35" t="s">
        <v>26</v>
      </c>
      <c r="D24" s="35" t="s">
        <v>26</v>
      </c>
      <c r="E24" s="35" t="s">
        <v>26</v>
      </c>
      <c r="F24" s="35" t="s">
        <v>26</v>
      </c>
      <c r="G24" s="35" t="s">
        <v>26</v>
      </c>
      <c r="H24" s="35" t="s">
        <v>26</v>
      </c>
      <c r="I24" s="35" t="s">
        <v>26</v>
      </c>
      <c r="J24" s="35" t="s">
        <v>26</v>
      </c>
      <c r="K24" s="35" t="s">
        <v>26</v>
      </c>
      <c r="L24" s="35" t="s">
        <v>26</v>
      </c>
      <c r="M24" s="35" t="s">
        <v>26</v>
      </c>
      <c r="N24" s="35" t="s">
        <v>26</v>
      </c>
      <c r="O24" s="35" t="s">
        <v>26</v>
      </c>
      <c r="P24" s="35" t="s">
        <v>26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228</v>
      </c>
      <c r="Y24" s="35" t="s">
        <v>228</v>
      </c>
      <c r="Z24" s="35" t="s">
        <v>228</v>
      </c>
      <c r="AA24" s="35" t="s">
        <v>228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33</v>
      </c>
      <c r="AR24" s="35" t="s">
        <v>33</v>
      </c>
      <c r="AS24" s="35" t="s">
        <v>33</v>
      </c>
      <c r="AT24" s="35" t="s">
        <v>33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 t="shared" ref="BB24:BB29" si="0">COUNTIF(B24:BA24,"о")</f>
        <v>2</v>
      </c>
      <c r="BC24" s="22">
        <f t="shared" ref="BC24:BC29" si="1">COUNTIF(B24:BA24,"в")</f>
        <v>22</v>
      </c>
      <c r="BD24" s="23">
        <f t="shared" ref="BD24:BD29" si="2">SUM(BB24:BC24)</f>
        <v>24</v>
      </c>
      <c r="BE24" s="22">
        <f t="shared" ref="BE24:BE29" si="3">COUNTIF(B24:BA24,$R$32)</f>
        <v>0</v>
      </c>
      <c r="BF24" s="22">
        <f t="shared" ref="BF24:BF29" si="4">COUNTIF(B24:BA24,$R$34)</f>
        <v>4</v>
      </c>
      <c r="BG24" s="23">
        <f t="shared" ref="BG24:BG29" si="5">SUM(BE24:BF24)</f>
        <v>4</v>
      </c>
      <c r="BH24" s="23">
        <f t="shared" ref="BH24:BH29" si="6">COUNTIF(B24:BA24,$AF$32)</f>
        <v>0</v>
      </c>
      <c r="BI24" s="23">
        <f t="shared" ref="BI24:BI28" si="7">COUNTIF(B24:BA24,$AF$34)</f>
        <v>0</v>
      </c>
      <c r="BJ24" s="23">
        <f t="shared" ref="BJ24:BJ29" si="8">COUNTIF(B24:BA24,$AQ$32)</f>
        <v>0</v>
      </c>
      <c r="BK24" s="23">
        <f>COUNTIF(B24:BA24,$AZ$32)</f>
        <v>0</v>
      </c>
      <c r="BL24" s="23">
        <f>COUNTIF(B24:BA24,$AQ$34)</f>
        <v>0</v>
      </c>
      <c r="BM24" s="23">
        <f>COUNTIF(B24:BA24,$AZ$34)</f>
        <v>9</v>
      </c>
      <c r="BN24" s="23">
        <f t="shared" ref="BN24:BN29" si="9">SUM(BG24:BM24)+BD24</f>
        <v>37</v>
      </c>
    </row>
    <row r="25" spans="1:66" ht="15.75" customHeight="1" x14ac:dyDescent="0.2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35" t="s">
        <v>77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228</v>
      </c>
      <c r="Y25" s="35" t="s">
        <v>228</v>
      </c>
      <c r="Z25" s="35" t="s">
        <v>228</v>
      </c>
      <c r="AA25" s="35" t="s">
        <v>228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52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28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 t="shared" si="0"/>
        <v>17</v>
      </c>
      <c r="BC25" s="22">
        <f t="shared" si="1"/>
        <v>13</v>
      </c>
      <c r="BD25" s="23">
        <f t="shared" si="2"/>
        <v>30</v>
      </c>
      <c r="BE25" s="22">
        <f t="shared" si="3"/>
        <v>0</v>
      </c>
      <c r="BF25" s="22">
        <f t="shared" si="4"/>
        <v>4</v>
      </c>
      <c r="BG25" s="23">
        <f t="shared" si="5"/>
        <v>4</v>
      </c>
      <c r="BH25" s="23">
        <f t="shared" si="6"/>
        <v>9</v>
      </c>
      <c r="BI25" s="23">
        <f t="shared" si="7"/>
        <v>0</v>
      </c>
      <c r="BJ25" s="23">
        <f t="shared" si="8"/>
        <v>0</v>
      </c>
      <c r="BK25" s="23">
        <f t="shared" ref="BK25:BK30" si="10">COUNTIF(B25:BA25,$AZ$32)</f>
        <v>0</v>
      </c>
      <c r="BL25" s="23">
        <f t="shared" ref="BL25:BL28" si="11">COUNTIF(B25:BA25,$AQ$34)</f>
        <v>0</v>
      </c>
      <c r="BM25" s="23">
        <f>COUNTIF(B25:BA25,$AZ$34)</f>
        <v>9</v>
      </c>
      <c r="BN25" s="23">
        <f t="shared" si="9"/>
        <v>52</v>
      </c>
    </row>
    <row r="26" spans="1:66" ht="15.75" customHeight="1" x14ac:dyDescent="0.2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35" t="s">
        <v>77</v>
      </c>
      <c r="S26" s="35" t="s">
        <v>28</v>
      </c>
      <c r="T26" s="35" t="s">
        <v>28</v>
      </c>
      <c r="U26" s="35" t="s">
        <v>33</v>
      </c>
      <c r="V26" s="35" t="s">
        <v>33</v>
      </c>
      <c r="W26" s="240" t="s">
        <v>228</v>
      </c>
      <c r="X26" s="240" t="s">
        <v>228</v>
      </c>
      <c r="Y26" s="240" t="s">
        <v>228</v>
      </c>
      <c r="Z26" s="240" t="s">
        <v>228</v>
      </c>
      <c r="AA26" s="240" t="s">
        <v>228</v>
      </c>
      <c r="AB26" s="240" t="s">
        <v>228</v>
      </c>
      <c r="AC26" s="35" t="s">
        <v>33</v>
      </c>
      <c r="AD26" s="35" t="s">
        <v>33</v>
      </c>
      <c r="AE26" s="35" t="s">
        <v>33</v>
      </c>
      <c r="AF26" s="35" t="s">
        <v>33</v>
      </c>
      <c r="AG26" s="35" t="s">
        <v>33</v>
      </c>
      <c r="AH26" s="35" t="s">
        <v>33</v>
      </c>
      <c r="AI26" s="35" t="s">
        <v>33</v>
      </c>
      <c r="AJ26" s="35" t="s">
        <v>28</v>
      </c>
      <c r="AK26" s="35" t="s">
        <v>28</v>
      </c>
      <c r="AL26" s="35" t="s">
        <v>28</v>
      </c>
      <c r="AM26" s="35" t="s">
        <v>28</v>
      </c>
      <c r="AN26" s="35" t="s">
        <v>28</v>
      </c>
      <c r="AO26" s="35" t="s">
        <v>28</v>
      </c>
      <c r="AP26" s="35" t="s">
        <v>28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 t="shared" si="0"/>
        <v>17</v>
      </c>
      <c r="BC26" s="22">
        <f t="shared" si="1"/>
        <v>9</v>
      </c>
      <c r="BD26" s="23">
        <f t="shared" si="2"/>
        <v>26</v>
      </c>
      <c r="BE26" s="22">
        <f t="shared" si="3"/>
        <v>0</v>
      </c>
      <c r="BF26" s="22">
        <f t="shared" si="4"/>
        <v>6</v>
      </c>
      <c r="BG26" s="23">
        <f t="shared" si="5"/>
        <v>6</v>
      </c>
      <c r="BH26" s="23">
        <f t="shared" si="6"/>
        <v>0</v>
      </c>
      <c r="BI26" s="23">
        <f t="shared" si="7"/>
        <v>11</v>
      </c>
      <c r="BJ26" s="23">
        <f t="shared" si="8"/>
        <v>0</v>
      </c>
      <c r="BK26" s="23">
        <f t="shared" si="10"/>
        <v>0</v>
      </c>
      <c r="BL26" s="23">
        <f t="shared" si="11"/>
        <v>0</v>
      </c>
      <c r="BM26" s="23">
        <f>COUNTIF(B26:BA26,$AZ$34)</f>
        <v>9</v>
      </c>
      <c r="BN26" s="23">
        <f t="shared" si="9"/>
        <v>52</v>
      </c>
    </row>
    <row r="27" spans="1:66" ht="15.75" customHeight="1" x14ac:dyDescent="0.2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53</v>
      </c>
      <c r="I27" s="35" t="s">
        <v>53</v>
      </c>
      <c r="J27" s="35" t="s">
        <v>53</v>
      </c>
      <c r="K27" s="35" t="s">
        <v>53</v>
      </c>
      <c r="L27" s="35" t="s">
        <v>53</v>
      </c>
      <c r="M27" s="35" t="s">
        <v>53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240" t="s">
        <v>228</v>
      </c>
      <c r="X27" s="240" t="s">
        <v>228</v>
      </c>
      <c r="Y27" s="240" t="s">
        <v>228</v>
      </c>
      <c r="Z27" s="240" t="s">
        <v>228</v>
      </c>
      <c r="AA27" s="240" t="s">
        <v>228</v>
      </c>
      <c r="AB27" s="240" t="s">
        <v>228</v>
      </c>
      <c r="AC27" s="35" t="s">
        <v>33</v>
      </c>
      <c r="AD27" s="35" t="s">
        <v>33</v>
      </c>
      <c r="AE27" s="35" t="s">
        <v>33</v>
      </c>
      <c r="AF27" s="35" t="s">
        <v>33</v>
      </c>
      <c r="AG27" s="35" t="s">
        <v>33</v>
      </c>
      <c r="AH27" s="35" t="s">
        <v>33</v>
      </c>
      <c r="AI27" s="35" t="s">
        <v>33</v>
      </c>
      <c r="AJ27" s="35" t="s">
        <v>28</v>
      </c>
      <c r="AK27" s="35" t="s">
        <v>28</v>
      </c>
      <c r="AL27" s="35" t="s">
        <v>28</v>
      </c>
      <c r="AM27" s="35" t="s">
        <v>28</v>
      </c>
      <c r="AN27" s="35" t="s">
        <v>28</v>
      </c>
      <c r="AO27" s="35" t="s">
        <v>28</v>
      </c>
      <c r="AP27" s="35" t="s">
        <v>28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 t="shared" si="0"/>
        <v>5</v>
      </c>
      <c r="BC27" s="22">
        <f t="shared" si="1"/>
        <v>9</v>
      </c>
      <c r="BD27" s="23">
        <f t="shared" si="2"/>
        <v>14</v>
      </c>
      <c r="BE27" s="22">
        <f t="shared" si="3"/>
        <v>0</v>
      </c>
      <c r="BF27" s="22">
        <f t="shared" si="4"/>
        <v>6</v>
      </c>
      <c r="BG27" s="23">
        <f t="shared" si="5"/>
        <v>6</v>
      </c>
      <c r="BH27" s="23">
        <f t="shared" si="6"/>
        <v>0</v>
      </c>
      <c r="BI27" s="23">
        <f t="shared" si="7"/>
        <v>23</v>
      </c>
      <c r="BJ27" s="23">
        <f t="shared" si="8"/>
        <v>0</v>
      </c>
      <c r="BK27" s="23">
        <f t="shared" si="10"/>
        <v>0</v>
      </c>
      <c r="BL27" s="23">
        <f t="shared" si="11"/>
        <v>0</v>
      </c>
      <c r="BM27" s="23">
        <f t="shared" ref="BM27:BM28" si="12">COUNTIF(B27:BA27,$AZ$34)</f>
        <v>9</v>
      </c>
      <c r="BN27" s="23">
        <f t="shared" si="9"/>
        <v>52</v>
      </c>
    </row>
    <row r="28" spans="1:66" ht="15.75" customHeight="1" x14ac:dyDescent="0.2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77</v>
      </c>
      <c r="K28" s="240" t="s">
        <v>228</v>
      </c>
      <c r="L28" s="240" t="s">
        <v>228</v>
      </c>
      <c r="M28" s="240" t="s">
        <v>228</v>
      </c>
      <c r="N28" s="240" t="s">
        <v>228</v>
      </c>
      <c r="O28" s="240" t="s">
        <v>228</v>
      </c>
      <c r="P28" s="240" t="s">
        <v>228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53</v>
      </c>
      <c r="Z28" s="35" t="s">
        <v>53</v>
      </c>
      <c r="AA28" s="35" t="s">
        <v>53</v>
      </c>
      <c r="AB28" s="35" t="s">
        <v>53</v>
      </c>
      <c r="AC28" s="35" t="s">
        <v>32</v>
      </c>
      <c r="AD28" s="35" t="s">
        <v>32</v>
      </c>
      <c r="AE28" s="35" t="s">
        <v>32</v>
      </c>
      <c r="AF28" s="35" t="s">
        <v>32</v>
      </c>
      <c r="AG28" s="35" t="s">
        <v>26</v>
      </c>
      <c r="AH28" s="35" t="s">
        <v>26</v>
      </c>
      <c r="AI28" s="35" t="s">
        <v>26</v>
      </c>
      <c r="AJ28" s="35" t="s">
        <v>26</v>
      </c>
      <c r="AK28" s="35" t="s">
        <v>26</v>
      </c>
      <c r="AL28" s="35" t="s">
        <v>26</v>
      </c>
      <c r="AM28" s="35" t="s">
        <v>26</v>
      </c>
      <c r="AN28" s="35" t="s">
        <v>26</v>
      </c>
      <c r="AO28" s="35" t="s">
        <v>26</v>
      </c>
      <c r="AP28" s="35" t="s">
        <v>26</v>
      </c>
      <c r="AQ28" s="35" t="s">
        <v>26</v>
      </c>
      <c r="AR28" s="35" t="s">
        <v>26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 t="shared" si="0"/>
        <v>3</v>
      </c>
      <c r="BC28" s="22">
        <f t="shared" si="1"/>
        <v>4</v>
      </c>
      <c r="BD28" s="23">
        <f t="shared" si="2"/>
        <v>7</v>
      </c>
      <c r="BE28" s="22">
        <f t="shared" si="3"/>
        <v>0</v>
      </c>
      <c r="BF28" s="22">
        <f t="shared" si="4"/>
        <v>6</v>
      </c>
      <c r="BG28" s="23">
        <f t="shared" si="5"/>
        <v>6</v>
      </c>
      <c r="BH28" s="23">
        <f t="shared" si="6"/>
        <v>0</v>
      </c>
      <c r="BI28" s="23">
        <f t="shared" si="7"/>
        <v>12</v>
      </c>
      <c r="BJ28" s="23">
        <f t="shared" si="8"/>
        <v>0</v>
      </c>
      <c r="BK28" s="23">
        <f t="shared" si="10"/>
        <v>0</v>
      </c>
      <c r="BL28" s="23">
        <f t="shared" si="11"/>
        <v>4</v>
      </c>
      <c r="BM28" s="23">
        <f t="shared" si="12"/>
        <v>2</v>
      </c>
      <c r="BN28" s="23">
        <f t="shared" si="9"/>
        <v>31</v>
      </c>
    </row>
    <row r="29" spans="1:66" ht="15.75" hidden="1" customHeight="1" x14ac:dyDescent="0.2">
      <c r="A29" s="8">
        <v>6</v>
      </c>
      <c r="B29" s="35" t="s">
        <v>26</v>
      </c>
      <c r="C29" s="35" t="s">
        <v>26</v>
      </c>
      <c r="D29" s="35" t="s">
        <v>26</v>
      </c>
      <c r="E29" s="35" t="s">
        <v>26</v>
      </c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35" t="s">
        <v>26</v>
      </c>
      <c r="N29" s="35" t="s">
        <v>26</v>
      </c>
      <c r="O29" s="35" t="s">
        <v>26</v>
      </c>
      <c r="P29" s="35" t="s">
        <v>26</v>
      </c>
      <c r="Q29" s="35" t="s">
        <v>26</v>
      </c>
      <c r="R29" s="35" t="s">
        <v>26</v>
      </c>
      <c r="S29" s="35" t="s">
        <v>26</v>
      </c>
      <c r="T29" s="35" t="s">
        <v>26</v>
      </c>
      <c r="U29" s="35" t="s">
        <v>26</v>
      </c>
      <c r="V29" s="35" t="s">
        <v>26</v>
      </c>
      <c r="W29" s="35" t="s">
        <v>26</v>
      </c>
      <c r="X29" s="35" t="s">
        <v>26</v>
      </c>
      <c r="Y29" s="35" t="s">
        <v>26</v>
      </c>
      <c r="Z29" s="35" t="s">
        <v>26</v>
      </c>
      <c r="AA29" s="35" t="s">
        <v>26</v>
      </c>
      <c r="AB29" s="35" t="s">
        <v>26</v>
      </c>
      <c r="AC29" s="35" t="s">
        <v>26</v>
      </c>
      <c r="AD29" s="35" t="s">
        <v>26</v>
      </c>
      <c r="AE29" s="35" t="s">
        <v>26</v>
      </c>
      <c r="AF29" s="35" t="s">
        <v>26</v>
      </c>
      <c r="AG29" s="35" t="s">
        <v>26</v>
      </c>
      <c r="AH29" s="35" t="s">
        <v>26</v>
      </c>
      <c r="AI29" s="35" t="s">
        <v>26</v>
      </c>
      <c r="AJ29" s="35" t="s">
        <v>26</v>
      </c>
      <c r="AK29" s="35" t="s">
        <v>26</v>
      </c>
      <c r="AL29" s="35" t="s">
        <v>26</v>
      </c>
      <c r="AM29" s="35" t="s">
        <v>26</v>
      </c>
      <c r="AN29" s="35" t="s">
        <v>26</v>
      </c>
      <c r="AO29" s="35" t="s">
        <v>26</v>
      </c>
      <c r="AP29" s="35" t="s">
        <v>26</v>
      </c>
      <c r="AQ29" s="35" t="s">
        <v>26</v>
      </c>
      <c r="AR29" s="35" t="s">
        <v>26</v>
      </c>
      <c r="AS29" s="35" t="s">
        <v>26</v>
      </c>
      <c r="AT29" s="35" t="s">
        <v>26</v>
      </c>
      <c r="AU29" s="35" t="s">
        <v>26</v>
      </c>
      <c r="AV29" s="35" t="s">
        <v>26</v>
      </c>
      <c r="AW29" s="35" t="s">
        <v>26</v>
      </c>
      <c r="AX29" s="35" t="s">
        <v>26</v>
      </c>
      <c r="AY29" s="35" t="s">
        <v>26</v>
      </c>
      <c r="AZ29" s="35" t="s">
        <v>26</v>
      </c>
      <c r="BA29" s="35" t="s">
        <v>26</v>
      </c>
      <c r="BB29" s="22">
        <f t="shared" si="0"/>
        <v>0</v>
      </c>
      <c r="BC29" s="22">
        <f t="shared" si="1"/>
        <v>0</v>
      </c>
      <c r="BD29" s="23">
        <f t="shared" si="2"/>
        <v>0</v>
      </c>
      <c r="BE29" s="22">
        <f t="shared" si="3"/>
        <v>0</v>
      </c>
      <c r="BF29" s="22">
        <f t="shared" si="4"/>
        <v>0</v>
      </c>
      <c r="BG29" s="23">
        <f t="shared" si="5"/>
        <v>0</v>
      </c>
      <c r="BH29" s="23">
        <f t="shared" si="6"/>
        <v>0</v>
      </c>
      <c r="BI29" s="23">
        <f t="shared" ref="BI29" si="13">COUNTIF(B29:BA29,$AF$34)</f>
        <v>0</v>
      </c>
      <c r="BJ29" s="23">
        <f t="shared" si="8"/>
        <v>0</v>
      </c>
      <c r="BK29" s="23">
        <f t="shared" ref="BK29" si="14">COUNTIF(B29:BA29,$AZ$32)</f>
        <v>0</v>
      </c>
      <c r="BL29" s="23">
        <f t="shared" ref="BL29" si="15">COUNTIF(B29:BA29,$AQ$34)</f>
        <v>0</v>
      </c>
      <c r="BM29" s="23">
        <f t="shared" ref="BM29" si="16">COUNTIF(B29:BA29,$AZ$34)</f>
        <v>0</v>
      </c>
      <c r="BN29" s="23">
        <f t="shared" si="9"/>
        <v>0</v>
      </c>
    </row>
    <row r="30" spans="1:66" ht="15.75" customHeight="1" x14ac:dyDescent="0.2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774" t="s">
        <v>56</v>
      </c>
      <c r="AZ30" s="774"/>
      <c r="BA30" s="774"/>
      <c r="BB30" s="12">
        <f t="shared" ref="BB30:BD30" si="17">SUM(BB24:BB29)</f>
        <v>44</v>
      </c>
      <c r="BC30" s="12">
        <f t="shared" si="17"/>
        <v>57</v>
      </c>
      <c r="BD30" s="12">
        <f t="shared" si="17"/>
        <v>101</v>
      </c>
      <c r="BE30" s="12">
        <f t="shared" ref="BE30" si="18">SUM(BE24:BE29)</f>
        <v>0</v>
      </c>
      <c r="BF30" s="12">
        <f t="shared" ref="BF30" si="19">SUM(BF24:BF29)</f>
        <v>26</v>
      </c>
      <c r="BG30" s="12">
        <f t="shared" ref="BG30" si="20">SUM(BG24:BG29)</f>
        <v>26</v>
      </c>
      <c r="BH30" s="12">
        <f t="shared" ref="BH30" si="21">SUM(BH24:BH29)</f>
        <v>9</v>
      </c>
      <c r="BI30" s="12">
        <f t="shared" ref="BI30" si="22">SUM(BI24:BI29)</f>
        <v>46</v>
      </c>
      <c r="BJ30" s="12">
        <f t="shared" ref="BJ30" si="23">SUM(BJ24:BJ29)</f>
        <v>0</v>
      </c>
      <c r="BK30" s="23">
        <f t="shared" si="10"/>
        <v>0</v>
      </c>
      <c r="BL30" s="12">
        <f t="shared" ref="BL30" si="24">SUM(BL24:BL29)</f>
        <v>4</v>
      </c>
      <c r="BM30" s="12">
        <f t="shared" ref="BM30" si="25">SUM(BM24:BM29)</f>
        <v>38</v>
      </c>
      <c r="BN30" s="12">
        <f t="shared" ref="BN30" si="26">SUM(BN24:BN29)</f>
        <v>224</v>
      </c>
    </row>
    <row r="31" spans="1:66" ht="10.5" customHeight="1" x14ac:dyDescent="0.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</row>
    <row r="32" spans="1:66" s="5" customFormat="1" ht="11.25" customHeight="1" x14ac:dyDescent="0.2">
      <c r="A32" s="226"/>
      <c r="B32" s="21" t="s">
        <v>77</v>
      </c>
      <c r="C32" s="37" t="s">
        <v>22</v>
      </c>
      <c r="D32" s="651" t="s">
        <v>491</v>
      </c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1"/>
      <c r="R32" s="15" t="s">
        <v>227</v>
      </c>
      <c r="S32" s="37" t="s">
        <v>22</v>
      </c>
      <c r="T32" s="651" t="s">
        <v>492</v>
      </c>
      <c r="U32" s="651"/>
      <c r="V32" s="651"/>
      <c r="W32" s="651"/>
      <c r="X32" s="651"/>
      <c r="Y32" s="651"/>
      <c r="Z32" s="651"/>
      <c r="AA32" s="651"/>
      <c r="AB32" s="651"/>
      <c r="AC32" s="651"/>
      <c r="AD32" s="651"/>
      <c r="AE32" s="651"/>
      <c r="AF32" s="17" t="s">
        <v>52</v>
      </c>
      <c r="AG32" s="37" t="s">
        <v>22</v>
      </c>
      <c r="AH32" s="646" t="s">
        <v>23</v>
      </c>
      <c r="AI32" s="646"/>
      <c r="AJ32" s="646"/>
      <c r="AK32" s="646"/>
      <c r="AL32" s="646"/>
      <c r="AM32" s="646"/>
      <c r="AN32" s="646"/>
      <c r="AO32" s="646"/>
      <c r="AP32" s="646"/>
      <c r="AQ32" s="15" t="s">
        <v>29</v>
      </c>
      <c r="AR32" s="37" t="s">
        <v>22</v>
      </c>
      <c r="AS32" s="651" t="s">
        <v>54</v>
      </c>
      <c r="AT32" s="651"/>
      <c r="AU32" s="651"/>
      <c r="AV32" s="651"/>
      <c r="AW32" s="651"/>
      <c r="AX32" s="651"/>
      <c r="AY32" s="651"/>
      <c r="AZ32" s="340"/>
      <c r="BA32" s="340"/>
      <c r="BB32" s="340"/>
      <c r="BC32" s="340"/>
      <c r="BD32" s="340"/>
      <c r="BE32" s="340"/>
      <c r="BF32" s="340"/>
      <c r="BG32" s="340"/>
      <c r="BH32" s="340"/>
      <c r="BI32" s="226"/>
      <c r="BJ32" s="226"/>
      <c r="BK32" s="226"/>
      <c r="BL32" s="226"/>
      <c r="BM32" s="226"/>
      <c r="BN32" s="226"/>
    </row>
    <row r="33" spans="1:66" s="5" customFormat="1" ht="11.25" x14ac:dyDescent="0.2">
      <c r="A33" s="226"/>
      <c r="B33" s="226"/>
      <c r="C33" s="226"/>
      <c r="D33" s="3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5"/>
      <c r="V33" s="37"/>
      <c r="W33" s="225"/>
      <c r="X33" s="225"/>
      <c r="Y33" s="37"/>
      <c r="Z33" s="225"/>
      <c r="AA33" s="225"/>
      <c r="AB33" s="37"/>
      <c r="AC33" s="225"/>
      <c r="AD33" s="225"/>
      <c r="AE33" s="37"/>
      <c r="AF33" s="225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</row>
    <row r="34" spans="1:66" s="5" customFormat="1" ht="11.25" customHeight="1" x14ac:dyDescent="0.2">
      <c r="A34" s="226"/>
      <c r="B34" s="21" t="s">
        <v>33</v>
      </c>
      <c r="C34" s="37" t="s">
        <v>22</v>
      </c>
      <c r="D34" s="651" t="s">
        <v>493</v>
      </c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15" t="s">
        <v>228</v>
      </c>
      <c r="S34" s="37" t="s">
        <v>22</v>
      </c>
      <c r="T34" s="651" t="s">
        <v>494</v>
      </c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17" t="s">
        <v>53</v>
      </c>
      <c r="AG34" s="37" t="s">
        <v>22</v>
      </c>
      <c r="AH34" s="646" t="s">
        <v>224</v>
      </c>
      <c r="AI34" s="646"/>
      <c r="AJ34" s="646"/>
      <c r="AK34" s="646"/>
      <c r="AL34" s="646"/>
      <c r="AM34" s="646"/>
      <c r="AN34" s="646"/>
      <c r="AO34" s="646"/>
      <c r="AP34" s="646"/>
      <c r="AQ34" s="15" t="s">
        <v>32</v>
      </c>
      <c r="AR34" s="37" t="s">
        <v>22</v>
      </c>
      <c r="AS34" s="646" t="s">
        <v>55</v>
      </c>
      <c r="AT34" s="646"/>
      <c r="AU34" s="646"/>
      <c r="AV34" s="646"/>
      <c r="AW34" s="646"/>
      <c r="AX34" s="646"/>
      <c r="AY34" s="646"/>
      <c r="AZ34" s="18" t="s">
        <v>28</v>
      </c>
      <c r="BA34" s="37" t="s">
        <v>22</v>
      </c>
      <c r="BB34" s="646" t="s">
        <v>223</v>
      </c>
      <c r="BC34" s="646"/>
      <c r="BD34" s="646"/>
      <c r="BE34" s="646"/>
      <c r="BF34" s="646"/>
      <c r="BG34" s="647"/>
      <c r="BH34" s="11" t="s">
        <v>26</v>
      </c>
      <c r="BI34" s="37" t="s">
        <v>22</v>
      </c>
      <c r="BJ34" s="646" t="s">
        <v>44</v>
      </c>
      <c r="BK34" s="646"/>
      <c r="BL34" s="646"/>
      <c r="BM34" s="646"/>
      <c r="BN34" s="646"/>
    </row>
    <row r="35" spans="1:66" x14ac:dyDescent="0.2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</row>
    <row r="36" spans="1:66" hidden="1" x14ac:dyDescent="0.2">
      <c r="A36" s="14"/>
      <c r="B36" s="16" t="str">
        <f>B32</f>
        <v>о</v>
      </c>
      <c r="D36" s="234" t="s">
        <v>116</v>
      </c>
      <c r="L36" s="653" t="s">
        <v>164</v>
      </c>
      <c r="M36" s="653"/>
      <c r="N36" s="653"/>
      <c r="O36" s="653"/>
      <c r="P36" s="653"/>
      <c r="Q36" s="653"/>
      <c r="R36" s="653"/>
      <c r="S36" s="653"/>
      <c r="T36" s="653"/>
      <c r="U36" s="653"/>
    </row>
    <row r="37" spans="1:66" hidden="1" x14ac:dyDescent="0.2">
      <c r="A37" s="14"/>
      <c r="B37" s="16" t="str">
        <f>R32</f>
        <v>оа</v>
      </c>
      <c r="D37" s="234" t="s">
        <v>117</v>
      </c>
      <c r="L37" s="653" t="s">
        <v>165</v>
      </c>
      <c r="M37" s="653"/>
      <c r="N37" s="653"/>
      <c r="O37" s="653"/>
      <c r="P37" s="653"/>
      <c r="Q37" s="653"/>
      <c r="R37" s="653"/>
      <c r="S37" s="653"/>
      <c r="T37" s="653"/>
      <c r="U37" s="653"/>
      <c r="BA37" s="5"/>
      <c r="BK37" s="1"/>
      <c r="BL37" s="1"/>
    </row>
    <row r="38" spans="1:66" hidden="1" x14ac:dyDescent="0.2">
      <c r="A38" s="14"/>
      <c r="B38" s="15" t="str">
        <f>B34</f>
        <v>в</v>
      </c>
      <c r="D38" s="234" t="s">
        <v>118</v>
      </c>
      <c r="L38" s="653" t="s">
        <v>168</v>
      </c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3"/>
      <c r="AC38" s="653"/>
      <c r="AD38" s="653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14"/>
      <c r="B39" s="15" t="str">
        <f>R34</f>
        <v>ва</v>
      </c>
      <c r="D39" s="234"/>
      <c r="L39" s="653" t="s">
        <v>169</v>
      </c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6" hidden="1" x14ac:dyDescent="0.2">
      <c r="A40" s="14"/>
      <c r="B40" s="17" t="str">
        <f>AF32</f>
        <v>у</v>
      </c>
      <c r="D40" s="234" t="s">
        <v>119</v>
      </c>
      <c r="AQ40" s="5"/>
      <c r="BA40" s="5"/>
    </row>
    <row r="41" spans="1:66" hidden="1" x14ac:dyDescent="0.2">
      <c r="A41" s="14"/>
      <c r="B41" s="17" t="str">
        <f>AF34</f>
        <v>п</v>
      </c>
    </row>
    <row r="42" spans="1:66" hidden="1" x14ac:dyDescent="0.2">
      <c r="A42" s="14"/>
      <c r="B42" s="18" t="str">
        <f>AZ34</f>
        <v>к</v>
      </c>
    </row>
    <row r="43" spans="1:66" hidden="1" x14ac:dyDescent="0.2">
      <c r="A43" s="14"/>
      <c r="B43" s="19" t="str">
        <f>AQ32</f>
        <v>д</v>
      </c>
    </row>
    <row r="44" spans="1:66" hidden="1" x14ac:dyDescent="0.2">
      <c r="A44" s="14"/>
      <c r="B44" s="339">
        <f>AZ32</f>
        <v>0</v>
      </c>
    </row>
    <row r="45" spans="1:66" hidden="1" x14ac:dyDescent="0.2">
      <c r="A45" s="14"/>
      <c r="B45" s="19" t="str">
        <f>AQ34</f>
        <v>А</v>
      </c>
    </row>
    <row r="46" spans="1:66" hidden="1" x14ac:dyDescent="0.2">
      <c r="A46" s="14"/>
      <c r="B46" s="20" t="str">
        <f>BH34</f>
        <v xml:space="preserve"> </v>
      </c>
    </row>
  </sheetData>
  <mergeCells count="90">
    <mergeCell ref="O1:BB1"/>
    <mergeCell ref="A2:N2"/>
    <mergeCell ref="O2:BB2"/>
    <mergeCell ref="BC2:BN2"/>
    <mergeCell ref="A3:G3"/>
    <mergeCell ref="H3:N3"/>
    <mergeCell ref="O3:BB3"/>
    <mergeCell ref="BC3:BN3"/>
    <mergeCell ref="BC13:BN13"/>
    <mergeCell ref="A4:N4"/>
    <mergeCell ref="BC4:BN4"/>
    <mergeCell ref="A7:BN7"/>
    <mergeCell ref="X8:AT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BC6:BO6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B20:BD22"/>
    <mergeCell ref="BE20:BG22"/>
    <mergeCell ref="BH20:BH23"/>
    <mergeCell ref="BI20:BI23"/>
    <mergeCell ref="BJ20:BJ23"/>
    <mergeCell ref="D32:Q32"/>
    <mergeCell ref="T32:AE32"/>
    <mergeCell ref="AH32:AP32"/>
    <mergeCell ref="AS32:AY32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AH34:AP34"/>
    <mergeCell ref="AS34:AY34"/>
    <mergeCell ref="BB34:BG34"/>
    <mergeCell ref="BJ34:BN34"/>
    <mergeCell ref="AY30:BA30"/>
    <mergeCell ref="L36:U36"/>
    <mergeCell ref="L37:U37"/>
    <mergeCell ref="L38:AD38"/>
    <mergeCell ref="L39:AD39"/>
    <mergeCell ref="D34:Q34"/>
    <mergeCell ref="T34:AE34"/>
  </mergeCells>
  <conditionalFormatting sqref="A36:A37">
    <cfRule type="cellIs" priority="16" stopIfTrue="1" operator="equal">
      <formula>#REF!</formula>
    </cfRule>
  </conditionalFormatting>
  <conditionalFormatting sqref="A38:A39">
    <cfRule type="expression" dxfId="17" priority="15" stopIfTrue="1">
      <formula>$R$32</formula>
    </cfRule>
  </conditionalFormatting>
  <conditionalFormatting sqref="B36">
    <cfRule type="cellIs" priority="14" stopIfTrue="1" operator="equal">
      <formula>$B$32</formula>
    </cfRule>
  </conditionalFormatting>
  <conditionalFormatting sqref="B37">
    <cfRule type="cellIs" dxfId="16" priority="13" stopIfTrue="1" operator="equal">
      <formula>$R$32</formula>
    </cfRule>
  </conditionalFormatting>
  <conditionalFormatting sqref="B38">
    <cfRule type="cellIs" dxfId="15" priority="12" stopIfTrue="1" operator="equal">
      <formula>$B$34</formula>
    </cfRule>
  </conditionalFormatting>
  <conditionalFormatting sqref="B39">
    <cfRule type="cellIs" dxfId="14" priority="11" stopIfTrue="1" operator="equal">
      <formula>$R$34</formula>
    </cfRule>
  </conditionalFormatting>
  <conditionalFormatting sqref="B40">
    <cfRule type="cellIs" priority="10" stopIfTrue="1" operator="equal">
      <formula>$AF$32</formula>
    </cfRule>
  </conditionalFormatting>
  <conditionalFormatting sqref="B41">
    <cfRule type="cellIs" dxfId="13" priority="9" stopIfTrue="1" operator="equal">
      <formula>$AF$34</formula>
    </cfRule>
  </conditionalFormatting>
  <conditionalFormatting sqref="B42">
    <cfRule type="cellIs" dxfId="12" priority="8" stopIfTrue="1" operator="equal">
      <formula>$AZ$34</formula>
    </cfRule>
  </conditionalFormatting>
  <conditionalFormatting sqref="B43">
    <cfRule type="cellIs" dxfId="11" priority="7" stopIfTrue="1" operator="equal">
      <formula>$AQ$32</formula>
    </cfRule>
  </conditionalFormatting>
  <conditionalFormatting sqref="B44">
    <cfRule type="cellIs" dxfId="10" priority="6" stopIfTrue="1" operator="equal">
      <formula>$AZ$32</formula>
    </cfRule>
  </conditionalFormatting>
  <conditionalFormatting sqref="B45">
    <cfRule type="cellIs" dxfId="9" priority="5" stopIfTrue="1" operator="equal">
      <formula>$AQ$34</formula>
    </cfRule>
  </conditionalFormatting>
  <conditionalFormatting sqref="B46">
    <cfRule type="cellIs" priority="4" stopIfTrue="1" operator="equal">
      <formula>$BH$34</formula>
    </cfRule>
  </conditionalFormatting>
  <conditionalFormatting sqref="B24:BA29">
    <cfRule type="expression" dxfId="8" priority="1" stopIfTrue="1">
      <formula>OR(B24=$R$32,B24=$R$34,B24=$AQ$32,B24=$AZ$32,B24=$AQ$34)</formula>
    </cfRule>
    <cfRule type="expression" dxfId="7" priority="2" stopIfTrue="1">
      <formula>OR(B24=$AF$32,B24=$AF$34)</formula>
    </cfRule>
    <cfRule type="cellIs" dxfId="6" priority="3" stopIfTrue="1" operator="equal">
      <formula>$AZ$34</formula>
    </cfRule>
  </conditionalFormatting>
  <dataValidations count="4">
    <dataValidation type="list" allowBlank="1" showInputMessage="1" showErrorMessage="1" prompt="выберите из списка" sqref="O14:BB14">
      <formula1>$L$38:$L$39</formula1>
    </dataValidation>
    <dataValidation type="list" allowBlank="1" showInputMessage="1" showErrorMessage="1" prompt="выберите из списка" sqref="O15:BB15">
      <formula1>$D$36:$D$40</formula1>
    </dataValidation>
    <dataValidation type="list" allowBlank="1" showInputMessage="1" showErrorMessage="1" prompt="выберите из списка" sqref="B24:BA29">
      <formula1>$B$36:$B$46</formula1>
    </dataValidation>
    <dataValidation type="list" allowBlank="1" showInputMessage="1" showErrorMessage="1" prompt="выберите из списка" sqref="O13:BB13">
      <formula1>$L$36:$L$37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8"/>
  <sheetViews>
    <sheetView showZeros="0" zoomScale="70" zoomScaleNormal="70" workbookViewId="0">
      <pane xSplit="16" ySplit="10" topLeftCell="Q50" activePane="bottomRight" state="frozen"/>
      <selection pane="topRight" activeCell="Q1" sqref="Q1"/>
      <selection pane="bottomLeft" activeCell="A11" sqref="A11"/>
      <selection pane="bottomRight" activeCell="B10" sqref="B10:H10"/>
    </sheetView>
  </sheetViews>
  <sheetFormatPr defaultRowHeight="12.75" x14ac:dyDescent="0.2"/>
  <cols>
    <col min="1" max="1" width="15.83203125" style="237" customWidth="1"/>
    <col min="2" max="2" width="43" style="237" customWidth="1"/>
    <col min="3" max="3" width="16.83203125" style="237" customWidth="1"/>
    <col min="4" max="4" width="8" style="71" customWidth="1"/>
    <col min="5" max="5" width="8.6640625" style="71" customWidth="1"/>
    <col min="6" max="7" width="7.6640625" style="71" customWidth="1"/>
    <col min="8" max="8" width="9.33203125" style="71" customWidth="1"/>
    <col min="9" max="9" width="6.6640625" style="72" hidden="1" customWidth="1"/>
    <col min="10" max="10" width="6.6640625" style="71" hidden="1" customWidth="1"/>
    <col min="11" max="11" width="6.6640625" style="72" customWidth="1"/>
    <col min="12" max="12" width="7.5" style="72" customWidth="1"/>
    <col min="13" max="14" width="8.33203125" style="237" customWidth="1"/>
    <col min="15" max="15" width="7.83203125" style="237" customWidth="1"/>
    <col min="16" max="16" width="7.1640625" style="237" customWidth="1"/>
    <col min="17" max="18" width="7.6640625" style="237" customWidth="1"/>
    <col min="19" max="19" width="7.1640625" style="237" customWidth="1"/>
    <col min="20" max="20" width="5.83203125" style="237" hidden="1" customWidth="1"/>
    <col min="21" max="22" width="6.83203125" style="237" customWidth="1"/>
    <col min="23" max="23" width="7.6640625" style="237" customWidth="1"/>
    <col min="24" max="25" width="6.83203125" style="237" customWidth="1"/>
    <col min="26" max="26" width="7.83203125" style="237" customWidth="1"/>
    <col min="27" max="27" width="5.83203125" style="237" hidden="1" customWidth="1"/>
    <col min="28" max="29" width="6.83203125" style="237" customWidth="1"/>
    <col min="30" max="30" width="7.6640625" style="237" customWidth="1"/>
    <col min="31" max="32" width="6.83203125" style="237" customWidth="1"/>
    <col min="33" max="33" width="7.83203125" style="237" customWidth="1"/>
    <col min="34" max="35" width="7.6640625" style="237" hidden="1" customWidth="1"/>
    <col min="36" max="36" width="8.1640625" style="237" hidden="1" customWidth="1"/>
    <col min="37" max="37" width="6.83203125" style="237" customWidth="1"/>
    <col min="38" max="38" width="7.33203125" style="237" customWidth="1"/>
    <col min="39" max="41" width="6.83203125" style="237" customWidth="1"/>
    <col min="42" max="42" width="7.1640625" style="237" customWidth="1"/>
    <col min="43" max="43" width="6.33203125" style="237" hidden="1" customWidth="1"/>
    <col min="44" max="44" width="7.5" style="237" hidden="1" customWidth="1"/>
    <col min="45" max="49" width="6.83203125" style="237" customWidth="1"/>
    <col min="50" max="50" width="7" style="237" customWidth="1"/>
    <col min="51" max="51" width="5.6640625" style="237" hidden="1" customWidth="1"/>
    <col min="52" max="52" width="6.5" style="237" hidden="1" customWidth="1"/>
    <col min="53" max="53" width="6.33203125" style="237" hidden="1" customWidth="1"/>
    <col min="54" max="56" width="6.83203125" style="237" customWidth="1"/>
    <col min="57" max="57" width="8.5" style="237" customWidth="1"/>
    <col min="58" max="59" width="6.83203125" style="237" customWidth="1"/>
    <col min="60" max="60" width="6.33203125" style="237" hidden="1" customWidth="1"/>
    <col min="61" max="64" width="6.83203125" style="237" hidden="1" customWidth="1"/>
    <col min="65" max="65" width="8.5" style="237" hidden="1" customWidth="1"/>
    <col min="66" max="68" width="6.83203125" style="237" hidden="1" customWidth="1"/>
    <col min="69" max="69" width="6.33203125" style="215" hidden="1" customWidth="1"/>
    <col min="70" max="70" width="13" style="44" customWidth="1"/>
    <col min="71" max="71" width="28.83203125" style="44" customWidth="1"/>
    <col min="72" max="16384" width="9.33203125" style="41"/>
  </cols>
  <sheetData>
    <row r="1" spans="1:71" s="45" customFormat="1" ht="14.25" customHeight="1" x14ac:dyDescent="0.2">
      <c r="A1" s="743" t="s">
        <v>170</v>
      </c>
      <c r="B1" s="658" t="s">
        <v>595</v>
      </c>
      <c r="C1" s="658" t="s">
        <v>75</v>
      </c>
      <c r="D1" s="663" t="s">
        <v>596</v>
      </c>
      <c r="E1" s="664"/>
      <c r="F1" s="664"/>
      <c r="G1" s="664"/>
      <c r="H1" s="664"/>
      <c r="I1" s="360"/>
      <c r="J1" s="864" t="s">
        <v>498</v>
      </c>
      <c r="K1" s="856" t="s">
        <v>2</v>
      </c>
      <c r="L1" s="857"/>
      <c r="M1" s="669" t="s">
        <v>2</v>
      </c>
      <c r="N1" s="669"/>
      <c r="O1" s="669"/>
      <c r="P1" s="669"/>
      <c r="Q1" s="669"/>
      <c r="R1" s="669"/>
      <c r="S1" s="678"/>
      <c r="T1" s="94"/>
      <c r="U1" s="94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862"/>
      <c r="AG1" s="862"/>
      <c r="AH1" s="862"/>
      <c r="AI1" s="862"/>
      <c r="AJ1" s="862"/>
      <c r="AK1" s="862"/>
      <c r="AL1" s="862"/>
      <c r="AM1" s="862"/>
      <c r="AN1" s="862"/>
      <c r="AO1" s="862"/>
      <c r="AP1" s="862"/>
      <c r="AQ1" s="862"/>
      <c r="AR1" s="862"/>
      <c r="AS1" s="862"/>
      <c r="AT1" s="862"/>
      <c r="AU1" s="862"/>
      <c r="AV1" s="862"/>
      <c r="AW1" s="862"/>
      <c r="AX1" s="862"/>
      <c r="AY1" s="862"/>
      <c r="AZ1" s="862"/>
      <c r="BA1" s="862"/>
      <c r="BB1" s="862"/>
      <c r="BC1" s="862"/>
      <c r="BD1" s="862"/>
      <c r="BE1" s="862"/>
      <c r="BF1" s="862"/>
      <c r="BG1" s="862"/>
      <c r="BH1" s="863"/>
      <c r="BI1" s="241"/>
      <c r="BJ1" s="241"/>
      <c r="BK1" s="241"/>
      <c r="BL1" s="241"/>
      <c r="BM1" s="241"/>
      <c r="BN1" s="241"/>
      <c r="BO1" s="241"/>
      <c r="BP1" s="241"/>
      <c r="BQ1" s="242"/>
      <c r="BR1" s="849" t="s">
        <v>171</v>
      </c>
      <c r="BS1" s="849" t="s">
        <v>73</v>
      </c>
    </row>
    <row r="2" spans="1:71" s="45" customFormat="1" ht="12.75" customHeight="1" x14ac:dyDescent="0.2">
      <c r="A2" s="744"/>
      <c r="B2" s="659"/>
      <c r="C2" s="659"/>
      <c r="D2" s="665"/>
      <c r="E2" s="666"/>
      <c r="F2" s="666"/>
      <c r="G2" s="666"/>
      <c r="H2" s="666"/>
      <c r="I2" s="361"/>
      <c r="J2" s="865"/>
      <c r="K2" s="858"/>
      <c r="L2" s="859"/>
      <c r="M2" s="764" t="s">
        <v>1</v>
      </c>
      <c r="N2" s="746" t="s">
        <v>3</v>
      </c>
      <c r="O2" s="746"/>
      <c r="P2" s="746"/>
      <c r="Q2" s="746"/>
      <c r="R2" s="746"/>
      <c r="S2" s="747"/>
      <c r="T2" s="500" t="s">
        <v>495</v>
      </c>
      <c r="U2" s="669" t="s">
        <v>80</v>
      </c>
      <c r="V2" s="669"/>
      <c r="W2" s="669"/>
      <c r="X2" s="669"/>
      <c r="Y2" s="669"/>
      <c r="Z2" s="669"/>
      <c r="AA2" s="501"/>
      <c r="AB2" s="669" t="s">
        <v>81</v>
      </c>
      <c r="AC2" s="669"/>
      <c r="AD2" s="669"/>
      <c r="AE2" s="669"/>
      <c r="AF2" s="669"/>
      <c r="AG2" s="669"/>
      <c r="AH2" s="502"/>
      <c r="AI2" s="238"/>
      <c r="AJ2" s="852" t="s">
        <v>82</v>
      </c>
      <c r="AK2" s="852"/>
      <c r="AL2" s="852"/>
      <c r="AM2" s="852"/>
      <c r="AN2" s="852"/>
      <c r="AO2" s="852"/>
      <c r="AP2" s="852"/>
      <c r="AQ2" s="852"/>
      <c r="AR2" s="852" t="s">
        <v>83</v>
      </c>
      <c r="AS2" s="852"/>
      <c r="AT2" s="852"/>
      <c r="AU2" s="852"/>
      <c r="AV2" s="852"/>
      <c r="AW2" s="852"/>
      <c r="AX2" s="852"/>
      <c r="AY2" s="852"/>
      <c r="AZ2" s="852" t="s">
        <v>84</v>
      </c>
      <c r="BA2" s="852"/>
      <c r="BB2" s="852"/>
      <c r="BC2" s="852"/>
      <c r="BD2" s="852"/>
      <c r="BE2" s="852"/>
      <c r="BF2" s="852"/>
      <c r="BG2" s="852"/>
      <c r="BH2" s="852" t="s">
        <v>497</v>
      </c>
      <c r="BI2" s="852"/>
      <c r="BJ2" s="852"/>
      <c r="BK2" s="852"/>
      <c r="BL2" s="852"/>
      <c r="BM2" s="852"/>
      <c r="BN2" s="852"/>
      <c r="BO2" s="852"/>
      <c r="BP2" s="852"/>
      <c r="BQ2" s="679"/>
      <c r="BR2" s="850"/>
      <c r="BS2" s="850"/>
    </row>
    <row r="3" spans="1:71" s="45" customFormat="1" ht="12.75" customHeight="1" x14ac:dyDescent="0.2">
      <c r="A3" s="744"/>
      <c r="B3" s="659"/>
      <c r="C3" s="659"/>
      <c r="D3" s="667" t="s">
        <v>65</v>
      </c>
      <c r="E3" s="667" t="s">
        <v>590</v>
      </c>
      <c r="F3" s="392"/>
      <c r="G3" s="661" t="s">
        <v>597</v>
      </c>
      <c r="H3" s="753" t="s">
        <v>598</v>
      </c>
      <c r="I3" s="362"/>
      <c r="J3" s="865"/>
      <c r="K3" s="858"/>
      <c r="L3" s="859"/>
      <c r="M3" s="765"/>
      <c r="N3" s="676" t="s">
        <v>86</v>
      </c>
      <c r="O3" s="772"/>
      <c r="P3" s="772"/>
      <c r="Q3" s="772"/>
      <c r="R3" s="773"/>
      <c r="S3" s="748" t="s">
        <v>87</v>
      </c>
      <c r="T3" s="503"/>
      <c r="U3" s="680"/>
      <c r="V3" s="681"/>
      <c r="W3" s="390"/>
      <c r="X3" s="823">
        <v>30</v>
      </c>
      <c r="Y3" s="823"/>
      <c r="Z3" s="403"/>
      <c r="AA3" s="308"/>
      <c r="AB3" s="680"/>
      <c r="AC3" s="681"/>
      <c r="AD3" s="390"/>
      <c r="AE3" s="823">
        <v>30</v>
      </c>
      <c r="AF3" s="823"/>
      <c r="AG3" s="403"/>
      <c r="AH3" s="505"/>
      <c r="AI3" s="308"/>
      <c r="AJ3" s="503"/>
      <c r="AK3" s="680"/>
      <c r="AL3" s="681"/>
      <c r="AM3" s="391"/>
      <c r="AN3" s="391"/>
      <c r="AO3" s="823">
        <v>40</v>
      </c>
      <c r="AP3" s="759"/>
      <c r="AQ3" s="505"/>
      <c r="AR3" s="503"/>
      <c r="AS3" s="680"/>
      <c r="AT3" s="681"/>
      <c r="AU3" s="391"/>
      <c r="AV3" s="823">
        <v>40</v>
      </c>
      <c r="AW3" s="823"/>
      <c r="AX3" s="403"/>
      <c r="AY3" s="505"/>
      <c r="AZ3" s="296"/>
      <c r="BA3" s="492"/>
      <c r="BB3" s="680"/>
      <c r="BC3" s="681"/>
      <c r="BD3" s="391"/>
      <c r="BE3" s="823">
        <v>40</v>
      </c>
      <c r="BF3" s="823"/>
      <c r="BG3" s="403"/>
      <c r="BH3" s="496"/>
      <c r="BI3" s="853"/>
      <c r="BJ3" s="854"/>
      <c r="BK3" s="854"/>
      <c r="BL3" s="297"/>
      <c r="BM3" s="855">
        <v>40</v>
      </c>
      <c r="BN3" s="855"/>
      <c r="BO3" s="855"/>
      <c r="BP3" s="298"/>
      <c r="BQ3" s="243"/>
      <c r="BR3" s="850"/>
      <c r="BS3" s="850"/>
    </row>
    <row r="4" spans="1:71" s="45" customFormat="1" ht="12.75" customHeight="1" x14ac:dyDescent="0.2">
      <c r="A4" s="744"/>
      <c r="B4" s="659"/>
      <c r="C4" s="659"/>
      <c r="D4" s="668"/>
      <c r="E4" s="668"/>
      <c r="F4" s="393"/>
      <c r="G4" s="662"/>
      <c r="H4" s="754"/>
      <c r="I4" s="362"/>
      <c r="J4" s="865"/>
      <c r="K4" s="858"/>
      <c r="L4" s="859"/>
      <c r="M4" s="765"/>
      <c r="N4" s="755"/>
      <c r="O4" s="676" t="s">
        <v>599</v>
      </c>
      <c r="P4" s="676" t="s">
        <v>600</v>
      </c>
      <c r="Q4" s="676" t="s">
        <v>232</v>
      </c>
      <c r="R4" s="676" t="s">
        <v>315</v>
      </c>
      <c r="S4" s="748"/>
      <c r="T4" s="504"/>
      <c r="U4" s="665"/>
      <c r="V4" s="666"/>
      <c r="W4" s="389"/>
      <c r="X4" s="666" t="s">
        <v>496</v>
      </c>
      <c r="Y4" s="666"/>
      <c r="Z4" s="404"/>
      <c r="AA4" s="309"/>
      <c r="AB4" s="665"/>
      <c r="AC4" s="666"/>
      <c r="AD4" s="389"/>
      <c r="AE4" s="666" t="s">
        <v>496</v>
      </c>
      <c r="AF4" s="666"/>
      <c r="AG4" s="404"/>
      <c r="AH4" s="507"/>
      <c r="AI4" s="309"/>
      <c r="AJ4" s="504"/>
      <c r="AK4" s="665"/>
      <c r="AL4" s="666"/>
      <c r="AM4" s="389"/>
      <c r="AN4" s="389"/>
      <c r="AO4" s="666" t="s">
        <v>496</v>
      </c>
      <c r="AP4" s="742"/>
      <c r="AQ4" s="244"/>
      <c r="AR4" s="506"/>
      <c r="AS4" s="665"/>
      <c r="AT4" s="666"/>
      <c r="AU4" s="389"/>
      <c r="AV4" s="666" t="s">
        <v>496</v>
      </c>
      <c r="AW4" s="666"/>
      <c r="AX4" s="404"/>
      <c r="AY4" s="244"/>
      <c r="AZ4" s="49"/>
      <c r="BA4" s="493"/>
      <c r="BB4" s="665"/>
      <c r="BC4" s="666"/>
      <c r="BD4" s="389"/>
      <c r="BE4" s="666" t="s">
        <v>496</v>
      </c>
      <c r="BF4" s="666"/>
      <c r="BG4" s="404"/>
      <c r="BH4" s="497"/>
      <c r="BI4" s="683"/>
      <c r="BJ4" s="666"/>
      <c r="BK4" s="666"/>
      <c r="BL4" s="236"/>
      <c r="BM4" s="666" t="s">
        <v>496</v>
      </c>
      <c r="BN4" s="666"/>
      <c r="BO4" s="666"/>
      <c r="BP4" s="47"/>
      <c r="BQ4" s="243"/>
      <c r="BR4" s="850"/>
      <c r="BS4" s="850"/>
    </row>
    <row r="5" spans="1:71" s="45" customFormat="1" ht="12.75" customHeight="1" x14ac:dyDescent="0.2">
      <c r="A5" s="744"/>
      <c r="B5" s="659"/>
      <c r="C5" s="659"/>
      <c r="D5" s="668"/>
      <c r="E5" s="668"/>
      <c r="F5" s="393"/>
      <c r="G5" s="662"/>
      <c r="H5" s="754"/>
      <c r="I5" s="362"/>
      <c r="J5" s="865"/>
      <c r="K5" s="858"/>
      <c r="L5" s="859"/>
      <c r="M5" s="765"/>
      <c r="N5" s="755"/>
      <c r="O5" s="677"/>
      <c r="P5" s="677"/>
      <c r="Q5" s="677"/>
      <c r="R5" s="677"/>
      <c r="S5" s="748"/>
      <c r="T5" s="46"/>
      <c r="U5" s="781" t="s">
        <v>148</v>
      </c>
      <c r="V5" s="782"/>
      <c r="W5" s="395"/>
      <c r="X5" s="395"/>
      <c r="Y5" s="51">
        <f>IF((SUM(V83:Z83)+SUM(V78:Z78))=0,0,(SUM(V83:Z83)+SUM(V78:Z78))/Нормы!$G$38)</f>
        <v>9</v>
      </c>
      <c r="Z5" s="499" t="s">
        <v>149</v>
      </c>
      <c r="AA5" s="46"/>
      <c r="AB5" s="781" t="s">
        <v>148</v>
      </c>
      <c r="AC5" s="782"/>
      <c r="AD5" s="395"/>
      <c r="AE5" s="395"/>
      <c r="AF5" s="51">
        <f>IF((SUM(AC83:AG83)+SUM(AC78:AG78))=0,0,(SUM(AC83:AG83)+SUM(AC78:AG78))/Нормы!$G$38)</f>
        <v>0</v>
      </c>
      <c r="AG5" s="499" t="s">
        <v>149</v>
      </c>
      <c r="AH5" s="52"/>
      <c r="AI5" s="310"/>
      <c r="AJ5" s="46"/>
      <c r="AK5" s="781" t="s">
        <v>148</v>
      </c>
      <c r="AL5" s="782"/>
      <c r="AM5" s="395"/>
      <c r="AN5" s="395"/>
      <c r="AO5" s="51">
        <f>IF((SUM(AL83:AP83)+SUM(AL78:AP78))=0,0,(SUM(AL83:AP83)+SUM(AL78:AP78))/Нормы!$G$38)</f>
        <v>11</v>
      </c>
      <c r="AP5" s="499" t="s">
        <v>149</v>
      </c>
      <c r="AQ5" s="52"/>
      <c r="AR5" s="46"/>
      <c r="AS5" s="781" t="s">
        <v>148</v>
      </c>
      <c r="AT5" s="782"/>
      <c r="AU5" s="395"/>
      <c r="AV5" s="395"/>
      <c r="AW5" s="51">
        <f>IF((SUM(AT83:AX83)+SUM(AT78:AX78))=0,0,(SUM(AT83:AX83)+SUM(AT78:AX78))/Нормы!$G$38)</f>
        <v>23</v>
      </c>
      <c r="AX5" s="499" t="s">
        <v>149</v>
      </c>
      <c r="AY5" s="52"/>
      <c r="AZ5" s="46"/>
      <c r="BA5" s="494"/>
      <c r="BB5" s="781" t="s">
        <v>148</v>
      </c>
      <c r="BC5" s="782"/>
      <c r="BD5" s="395"/>
      <c r="BE5" s="395"/>
      <c r="BF5" s="51">
        <f>IF((SUM(BC83:BG83)+SUM(BC78:BG78))=0,0,(SUM(BC83:BG83)+SUM(BC78:BG78))/Нормы!$G$38)</f>
        <v>12</v>
      </c>
      <c r="BG5" s="499" t="s">
        <v>149</v>
      </c>
      <c r="BH5" s="498"/>
      <c r="BI5" s="53"/>
      <c r="BJ5" s="782" t="s">
        <v>148</v>
      </c>
      <c r="BK5" s="782"/>
      <c r="BL5" s="235"/>
      <c r="BM5" s="235"/>
      <c r="BN5" s="50"/>
      <c r="BO5" s="51">
        <f>IF((SUM(BJ83:BP83)+SUM(BJ78:BP78))=0,0,(SUM(BJ83:BP83)+SUM(BJ78:BP78))/Нормы!$G$37)</f>
        <v>0</v>
      </c>
      <c r="BP5" s="54" t="s">
        <v>149</v>
      </c>
      <c r="BQ5" s="243"/>
      <c r="BR5" s="850"/>
      <c r="BS5" s="850"/>
    </row>
    <row r="6" spans="1:71" s="45" customFormat="1" ht="12.75" customHeight="1" x14ac:dyDescent="0.2">
      <c r="A6" s="744"/>
      <c r="B6" s="659"/>
      <c r="C6" s="659"/>
      <c r="D6" s="668"/>
      <c r="E6" s="668"/>
      <c r="F6" s="393"/>
      <c r="G6" s="662"/>
      <c r="H6" s="754"/>
      <c r="I6" s="362"/>
      <c r="J6" s="865"/>
      <c r="K6" s="860"/>
      <c r="L6" s="861"/>
      <c r="M6" s="765"/>
      <c r="N6" s="755"/>
      <c r="O6" s="677"/>
      <c r="P6" s="677"/>
      <c r="Q6" s="677"/>
      <c r="R6" s="677"/>
      <c r="S6" s="748"/>
      <c r="T6" s="49"/>
      <c r="U6" s="783" t="s">
        <v>150</v>
      </c>
      <c r="V6" s="784"/>
      <c r="W6" s="400"/>
      <c r="X6" s="400"/>
      <c r="Y6" s="55">
        <f>IF(SUM(V86:Z86)=0,0,SUM(V86:Z86)/Нормы!$G$37)</f>
        <v>0</v>
      </c>
      <c r="Z6" s="406" t="s">
        <v>149</v>
      </c>
      <c r="AA6" s="49"/>
      <c r="AB6" s="783" t="s">
        <v>150</v>
      </c>
      <c r="AC6" s="784"/>
      <c r="AD6" s="400"/>
      <c r="AE6" s="400"/>
      <c r="AF6" s="55">
        <f>IF(SUM(AC86:AG86)=0,0,SUM(AC86:AG86)/Нормы!$G$37)</f>
        <v>0</v>
      </c>
      <c r="AG6" s="406" t="s">
        <v>149</v>
      </c>
      <c r="AH6" s="56"/>
      <c r="AI6" s="311"/>
      <c r="AJ6" s="49"/>
      <c r="AK6" s="783" t="s">
        <v>150</v>
      </c>
      <c r="AL6" s="784"/>
      <c r="AM6" s="400"/>
      <c r="AN6" s="400"/>
      <c r="AO6" s="55">
        <f>IF(SUM(AL86:AP86)=0,0,SUM(AL86:AP86)/Нормы!$G$37)</f>
        <v>0</v>
      </c>
      <c r="AP6" s="406" t="s">
        <v>149</v>
      </c>
      <c r="AQ6" s="56"/>
      <c r="AR6" s="49"/>
      <c r="AS6" s="783" t="s">
        <v>150</v>
      </c>
      <c r="AT6" s="784"/>
      <c r="AU6" s="400"/>
      <c r="AV6" s="400"/>
      <c r="AW6" s="55">
        <f>IF(SUM(AT86:AX86)=0,0,SUM(AT86:AX86)/Нормы!$G$37)</f>
        <v>0</v>
      </c>
      <c r="AX6" s="406" t="s">
        <v>149</v>
      </c>
      <c r="AY6" s="56"/>
      <c r="AZ6" s="49"/>
      <c r="BA6" s="495"/>
      <c r="BB6" s="783" t="s">
        <v>150</v>
      </c>
      <c r="BC6" s="784"/>
      <c r="BD6" s="400"/>
      <c r="BE6" s="400"/>
      <c r="BF6" s="55">
        <f>IF(SUM(BC86:BG86)=0,0,SUM(BC86:BG86)/Нормы!$G$37)</f>
        <v>4</v>
      </c>
      <c r="BG6" s="406" t="s">
        <v>149</v>
      </c>
      <c r="BH6" s="497"/>
      <c r="BI6" s="57"/>
      <c r="BJ6" s="784" t="s">
        <v>150</v>
      </c>
      <c r="BK6" s="784"/>
      <c r="BL6" s="784"/>
      <c r="BM6" s="784"/>
      <c r="BN6" s="784"/>
      <c r="BO6" s="55">
        <f>IF(SUM(BJ86:BP86)=0,0,SUM(BJ86:BP86)/Нормы!$G$37)</f>
        <v>0</v>
      </c>
      <c r="BP6" s="58" t="s">
        <v>149</v>
      </c>
      <c r="BQ6" s="243"/>
      <c r="BR6" s="850"/>
      <c r="BS6" s="850"/>
    </row>
    <row r="7" spans="1:71" s="45" customFormat="1" ht="135.75" customHeight="1" x14ac:dyDescent="0.2">
      <c r="A7" s="745"/>
      <c r="B7" s="660"/>
      <c r="C7" s="660"/>
      <c r="D7" s="668"/>
      <c r="E7" s="668"/>
      <c r="F7" s="393" t="s">
        <v>66</v>
      </c>
      <c r="G7" s="662"/>
      <c r="H7" s="754"/>
      <c r="I7" s="363"/>
      <c r="J7" s="866"/>
      <c r="K7" s="60" t="s">
        <v>179</v>
      </c>
      <c r="L7" s="61" t="s">
        <v>276</v>
      </c>
      <c r="M7" s="766"/>
      <c r="N7" s="755"/>
      <c r="O7" s="677"/>
      <c r="P7" s="677"/>
      <c r="Q7" s="677"/>
      <c r="R7" s="677"/>
      <c r="S7" s="748"/>
      <c r="T7" s="49" t="s">
        <v>140</v>
      </c>
      <c r="U7" s="407" t="s">
        <v>139</v>
      </c>
      <c r="V7" s="408" t="s">
        <v>601</v>
      </c>
      <c r="W7" s="409" t="s">
        <v>602</v>
      </c>
      <c r="X7" s="408" t="s">
        <v>232</v>
      </c>
      <c r="Y7" s="409" t="s">
        <v>315</v>
      </c>
      <c r="Z7" s="409" t="s">
        <v>71</v>
      </c>
      <c r="AA7" s="49" t="s">
        <v>140</v>
      </c>
      <c r="AB7" s="407" t="s">
        <v>139</v>
      </c>
      <c r="AC7" s="408" t="s">
        <v>601</v>
      </c>
      <c r="AD7" s="409" t="s">
        <v>602</v>
      </c>
      <c r="AE7" s="408" t="s">
        <v>232</v>
      </c>
      <c r="AF7" s="409" t="s">
        <v>315</v>
      </c>
      <c r="AG7" s="409" t="s">
        <v>71</v>
      </c>
      <c r="AH7" s="244" t="s">
        <v>140</v>
      </c>
      <c r="AI7" s="312"/>
      <c r="AJ7" s="49" t="s">
        <v>140</v>
      </c>
      <c r="AK7" s="407" t="s">
        <v>139</v>
      </c>
      <c r="AL7" s="408" t="s">
        <v>601</v>
      </c>
      <c r="AM7" s="409" t="s">
        <v>602</v>
      </c>
      <c r="AN7" s="408" t="s">
        <v>232</v>
      </c>
      <c r="AO7" s="409" t="s">
        <v>315</v>
      </c>
      <c r="AP7" s="409" t="s">
        <v>71</v>
      </c>
      <c r="AQ7" s="244" t="s">
        <v>140</v>
      </c>
      <c r="AR7" s="49" t="s">
        <v>140</v>
      </c>
      <c r="AS7" s="407" t="s">
        <v>139</v>
      </c>
      <c r="AT7" s="408" t="s">
        <v>601</v>
      </c>
      <c r="AU7" s="409" t="s">
        <v>602</v>
      </c>
      <c r="AV7" s="408" t="s">
        <v>232</v>
      </c>
      <c r="AW7" s="409" t="s">
        <v>315</v>
      </c>
      <c r="AX7" s="409" t="s">
        <v>71</v>
      </c>
      <c r="AY7" s="48" t="s">
        <v>140</v>
      </c>
      <c r="AZ7" s="49" t="s">
        <v>140</v>
      </c>
      <c r="BA7" s="493" t="s">
        <v>140</v>
      </c>
      <c r="BB7" s="407" t="s">
        <v>139</v>
      </c>
      <c r="BC7" s="408" t="s">
        <v>601</v>
      </c>
      <c r="BD7" s="409" t="s">
        <v>602</v>
      </c>
      <c r="BE7" s="408" t="s">
        <v>232</v>
      </c>
      <c r="BF7" s="409" t="s">
        <v>315</v>
      </c>
      <c r="BG7" s="409" t="s">
        <v>71</v>
      </c>
      <c r="BH7" s="497" t="s">
        <v>140</v>
      </c>
      <c r="BI7" s="63" t="s">
        <v>139</v>
      </c>
      <c r="BJ7" s="62" t="s">
        <v>313</v>
      </c>
      <c r="BK7" s="62" t="s">
        <v>314</v>
      </c>
      <c r="BL7" s="62" t="s">
        <v>70</v>
      </c>
      <c r="BM7" s="62" t="s">
        <v>232</v>
      </c>
      <c r="BN7" s="62" t="s">
        <v>315</v>
      </c>
      <c r="BO7" s="62" t="s">
        <v>151</v>
      </c>
      <c r="BP7" s="64" t="s">
        <v>71</v>
      </c>
      <c r="BQ7" s="245"/>
      <c r="BR7" s="851"/>
      <c r="BS7" s="851"/>
    </row>
    <row r="8" spans="1:71" s="45" customFormat="1" x14ac:dyDescent="0.2">
      <c r="A8" s="513">
        <v>1</v>
      </c>
      <c r="B8" s="513">
        <v>2</v>
      </c>
      <c r="C8" s="513">
        <v>3</v>
      </c>
      <c r="D8" s="513">
        <v>4</v>
      </c>
      <c r="E8" s="513">
        <v>5</v>
      </c>
      <c r="F8" s="513">
        <v>6</v>
      </c>
      <c r="G8" s="513">
        <v>7</v>
      </c>
      <c r="H8" s="513">
        <v>8</v>
      </c>
      <c r="I8" s="514"/>
      <c r="J8" s="513"/>
      <c r="K8" s="513">
        <v>9</v>
      </c>
      <c r="L8" s="513">
        <v>10</v>
      </c>
      <c r="M8" s="513">
        <v>11</v>
      </c>
      <c r="N8" s="513">
        <v>12</v>
      </c>
      <c r="O8" s="513">
        <v>14</v>
      </c>
      <c r="P8" s="513">
        <v>15</v>
      </c>
      <c r="Q8" s="513">
        <v>16</v>
      </c>
      <c r="R8" s="513">
        <v>17</v>
      </c>
      <c r="S8" s="513">
        <v>19</v>
      </c>
      <c r="T8" s="513">
        <v>20</v>
      </c>
      <c r="U8" s="513">
        <v>21</v>
      </c>
      <c r="V8" s="513">
        <v>23</v>
      </c>
      <c r="W8" s="513">
        <v>24</v>
      </c>
      <c r="X8" s="513">
        <v>25</v>
      </c>
      <c r="Y8" s="513">
        <v>26</v>
      </c>
      <c r="Z8" s="513">
        <v>28</v>
      </c>
      <c r="AA8" s="513">
        <v>20</v>
      </c>
      <c r="AB8" s="513">
        <v>21</v>
      </c>
      <c r="AC8" s="513">
        <v>23</v>
      </c>
      <c r="AD8" s="513">
        <v>24</v>
      </c>
      <c r="AE8" s="513">
        <v>25</v>
      </c>
      <c r="AF8" s="513">
        <v>26</v>
      </c>
      <c r="AG8" s="513">
        <v>28</v>
      </c>
      <c r="AH8" s="513">
        <v>29</v>
      </c>
      <c r="AI8" s="513"/>
      <c r="AJ8" s="513">
        <v>38</v>
      </c>
      <c r="AK8" s="513">
        <v>29</v>
      </c>
      <c r="AL8" s="513">
        <v>31</v>
      </c>
      <c r="AM8" s="513">
        <v>32</v>
      </c>
      <c r="AN8" s="513">
        <v>33</v>
      </c>
      <c r="AO8" s="513">
        <v>34</v>
      </c>
      <c r="AP8" s="513">
        <v>36</v>
      </c>
      <c r="AQ8" s="513">
        <v>47</v>
      </c>
      <c r="AR8" s="513">
        <v>56</v>
      </c>
      <c r="AS8" s="513">
        <v>37</v>
      </c>
      <c r="AT8" s="513">
        <v>39</v>
      </c>
      <c r="AU8" s="513">
        <v>40</v>
      </c>
      <c r="AV8" s="513">
        <v>41</v>
      </c>
      <c r="AW8" s="513">
        <v>42</v>
      </c>
      <c r="AX8" s="513">
        <v>44</v>
      </c>
      <c r="AY8" s="513">
        <v>65</v>
      </c>
      <c r="AZ8" s="513">
        <v>74</v>
      </c>
      <c r="BA8" s="513">
        <v>83</v>
      </c>
      <c r="BB8" s="513">
        <v>45</v>
      </c>
      <c r="BC8" s="513">
        <v>47</v>
      </c>
      <c r="BD8" s="513">
        <v>48</v>
      </c>
      <c r="BE8" s="513">
        <v>49</v>
      </c>
      <c r="BF8" s="513">
        <v>50</v>
      </c>
      <c r="BG8" s="513">
        <v>52</v>
      </c>
      <c r="BH8" s="513">
        <v>92</v>
      </c>
      <c r="BI8" s="513">
        <v>45</v>
      </c>
      <c r="BJ8" s="513">
        <v>46</v>
      </c>
      <c r="BK8" s="513">
        <v>47</v>
      </c>
      <c r="BL8" s="513">
        <v>48</v>
      </c>
      <c r="BM8" s="513">
        <v>49</v>
      </c>
      <c r="BN8" s="513">
        <v>50</v>
      </c>
      <c r="BO8" s="513">
        <v>51</v>
      </c>
      <c r="BP8" s="513">
        <v>52</v>
      </c>
      <c r="BQ8" s="515"/>
      <c r="BR8" s="513">
        <v>53</v>
      </c>
      <c r="BS8" s="513">
        <v>54</v>
      </c>
    </row>
    <row r="9" spans="1:71" s="254" customFormat="1" ht="26.1" customHeight="1" x14ac:dyDescent="0.2">
      <c r="A9" s="430"/>
      <c r="B9" s="787" t="s">
        <v>382</v>
      </c>
      <c r="C9" s="788"/>
      <c r="D9" s="788"/>
      <c r="E9" s="788"/>
      <c r="F9" s="788"/>
      <c r="G9" s="788"/>
      <c r="H9" s="789"/>
      <c r="I9" s="432"/>
      <c r="J9" s="433"/>
      <c r="K9" s="432">
        <f>'Учебный план'!K27</f>
        <v>5391</v>
      </c>
      <c r="L9" s="432">
        <f>'Учебный план'!L27</f>
        <v>3594</v>
      </c>
      <c r="M9" s="432">
        <f t="shared" ref="M9:AH9" si="0">SUM(M10+M16+M20)</f>
        <v>3892</v>
      </c>
      <c r="N9" s="432">
        <f t="shared" si="0"/>
        <v>541</v>
      </c>
      <c r="O9" s="432">
        <f t="shared" si="0"/>
        <v>357</v>
      </c>
      <c r="P9" s="432">
        <f t="shared" si="0"/>
        <v>127</v>
      </c>
      <c r="Q9" s="432">
        <f t="shared" si="0"/>
        <v>57</v>
      </c>
      <c r="R9" s="432">
        <f t="shared" si="0"/>
        <v>0</v>
      </c>
      <c r="S9" s="432">
        <f t="shared" si="0"/>
        <v>3351</v>
      </c>
      <c r="T9" s="432">
        <f t="shared" si="0"/>
        <v>3</v>
      </c>
      <c r="U9" s="432">
        <f t="shared" si="0"/>
        <v>1073</v>
      </c>
      <c r="V9" s="432">
        <f t="shared" si="0"/>
        <v>122</v>
      </c>
      <c r="W9" s="432">
        <f t="shared" si="0"/>
        <v>38</v>
      </c>
      <c r="X9" s="432">
        <f t="shared" si="0"/>
        <v>0</v>
      </c>
      <c r="Y9" s="432">
        <f t="shared" si="0"/>
        <v>0</v>
      </c>
      <c r="Z9" s="432">
        <f t="shared" si="0"/>
        <v>913</v>
      </c>
      <c r="AA9" s="432">
        <f t="shared" si="0"/>
        <v>0</v>
      </c>
      <c r="AB9" s="432">
        <f t="shared" si="0"/>
        <v>993</v>
      </c>
      <c r="AC9" s="432">
        <f>SUM(AC10+AC16+AC20)</f>
        <v>124</v>
      </c>
      <c r="AD9" s="432">
        <f t="shared" si="0"/>
        <v>14</v>
      </c>
      <c r="AE9" s="432">
        <f t="shared" si="0"/>
        <v>0</v>
      </c>
      <c r="AF9" s="432">
        <f t="shared" si="0"/>
        <v>0</v>
      </c>
      <c r="AG9" s="432">
        <f t="shared" si="0"/>
        <v>855</v>
      </c>
      <c r="AH9" s="432">
        <f t="shared" si="0"/>
        <v>1</v>
      </c>
      <c r="AI9" s="432"/>
      <c r="AJ9" s="432">
        <f t="shared" ref="AJ9:BG9" si="1">SUM(AJ10+AJ16+AJ20)</f>
        <v>2</v>
      </c>
      <c r="AK9" s="432">
        <f t="shared" si="1"/>
        <v>1182</v>
      </c>
      <c r="AL9" s="432">
        <f t="shared" si="1"/>
        <v>116</v>
      </c>
      <c r="AM9" s="432">
        <f t="shared" si="1"/>
        <v>44</v>
      </c>
      <c r="AN9" s="432">
        <f t="shared" si="1"/>
        <v>0</v>
      </c>
      <c r="AO9" s="432">
        <f t="shared" si="1"/>
        <v>0</v>
      </c>
      <c r="AP9" s="432">
        <f t="shared" si="1"/>
        <v>1022</v>
      </c>
      <c r="AQ9" s="432">
        <f t="shared" si="1"/>
        <v>1</v>
      </c>
      <c r="AR9" s="432">
        <f t="shared" si="1"/>
        <v>1</v>
      </c>
      <c r="AS9" s="432">
        <f t="shared" si="1"/>
        <v>1133</v>
      </c>
      <c r="AT9" s="432">
        <f t="shared" si="1"/>
        <v>94</v>
      </c>
      <c r="AU9" s="432">
        <f t="shared" si="1"/>
        <v>36</v>
      </c>
      <c r="AV9" s="432">
        <f t="shared" si="1"/>
        <v>22</v>
      </c>
      <c r="AW9" s="432">
        <f t="shared" si="1"/>
        <v>0</v>
      </c>
      <c r="AX9" s="432">
        <f t="shared" si="1"/>
        <v>981</v>
      </c>
      <c r="AY9" s="432">
        <f t="shared" si="1"/>
        <v>0</v>
      </c>
      <c r="AZ9" s="432">
        <f t="shared" si="1"/>
        <v>0</v>
      </c>
      <c r="BA9" s="432">
        <f t="shared" si="1"/>
        <v>0</v>
      </c>
      <c r="BB9" s="432">
        <f t="shared" si="1"/>
        <v>961</v>
      </c>
      <c r="BC9" s="432">
        <f t="shared" si="1"/>
        <v>41</v>
      </c>
      <c r="BD9" s="432">
        <f t="shared" si="1"/>
        <v>51</v>
      </c>
      <c r="BE9" s="432">
        <f t="shared" si="1"/>
        <v>68</v>
      </c>
      <c r="BF9" s="432">
        <f t="shared" si="1"/>
        <v>0</v>
      </c>
      <c r="BG9" s="432">
        <f t="shared" si="1"/>
        <v>801</v>
      </c>
      <c r="BH9" s="432">
        <f>BH10+BH16+BH20</f>
        <v>0</v>
      </c>
      <c r="BI9" s="432">
        <f t="shared" ref="BI9:BP9" si="2">SUM(BI10+BI16+BI20)</f>
        <v>0</v>
      </c>
      <c r="BJ9" s="432">
        <f t="shared" si="2"/>
        <v>0</v>
      </c>
      <c r="BK9" s="432">
        <f t="shared" si="2"/>
        <v>0</v>
      </c>
      <c r="BL9" s="432">
        <f t="shared" si="2"/>
        <v>0</v>
      </c>
      <c r="BM9" s="432">
        <f t="shared" si="2"/>
        <v>0</v>
      </c>
      <c r="BN9" s="432">
        <f t="shared" si="2"/>
        <v>0</v>
      </c>
      <c r="BO9" s="432">
        <f t="shared" si="2"/>
        <v>0</v>
      </c>
      <c r="BP9" s="432">
        <f t="shared" si="2"/>
        <v>0</v>
      </c>
      <c r="BQ9" s="185"/>
      <c r="BR9" s="433">
        <f>'Учебный план'!BZ27</f>
        <v>0</v>
      </c>
      <c r="BS9" s="433">
        <f>'Учебный план'!CA27</f>
        <v>0</v>
      </c>
    </row>
    <row r="10" spans="1:71" s="254" customFormat="1" ht="26.1" customHeight="1" x14ac:dyDescent="0.2">
      <c r="A10" s="434" t="s">
        <v>172</v>
      </c>
      <c r="B10" s="790" t="s">
        <v>173</v>
      </c>
      <c r="C10" s="791"/>
      <c r="D10" s="791"/>
      <c r="E10" s="791"/>
      <c r="F10" s="791"/>
      <c r="G10" s="791"/>
      <c r="H10" s="792"/>
      <c r="I10" s="436"/>
      <c r="J10" s="435"/>
      <c r="K10" s="436">
        <f>'Учебный план'!K28</f>
        <v>943</v>
      </c>
      <c r="L10" s="436">
        <f>'Учебный план'!L28</f>
        <v>560</v>
      </c>
      <c r="M10" s="436">
        <f t="shared" ref="M10:AH10" si="3">SUM(M11:M15)</f>
        <v>944</v>
      </c>
      <c r="N10" s="436">
        <f t="shared" si="3"/>
        <v>86</v>
      </c>
      <c r="O10" s="436">
        <f t="shared" si="3"/>
        <v>38</v>
      </c>
      <c r="P10" s="436">
        <f t="shared" si="3"/>
        <v>48</v>
      </c>
      <c r="Q10" s="436">
        <f t="shared" si="3"/>
        <v>0</v>
      </c>
      <c r="R10" s="436">
        <f t="shared" si="3"/>
        <v>0</v>
      </c>
      <c r="S10" s="436">
        <f t="shared" si="3"/>
        <v>858</v>
      </c>
      <c r="T10" s="436">
        <f t="shared" si="3"/>
        <v>0</v>
      </c>
      <c r="U10" s="436">
        <f t="shared" si="3"/>
        <v>291</v>
      </c>
      <c r="V10" s="436">
        <f t="shared" si="3"/>
        <v>26</v>
      </c>
      <c r="W10" s="436">
        <f t="shared" si="3"/>
        <v>10</v>
      </c>
      <c r="X10" s="436">
        <f t="shared" si="3"/>
        <v>0</v>
      </c>
      <c r="Y10" s="436">
        <f t="shared" si="3"/>
        <v>0</v>
      </c>
      <c r="Z10" s="436">
        <f t="shared" si="3"/>
        <v>255</v>
      </c>
      <c r="AA10" s="436">
        <f t="shared" si="3"/>
        <v>0</v>
      </c>
      <c r="AB10" s="436">
        <f>SUM(AB11:AB15)</f>
        <v>217</v>
      </c>
      <c r="AC10" s="436">
        <f t="shared" si="3"/>
        <v>12</v>
      </c>
      <c r="AD10" s="436">
        <f t="shared" si="3"/>
        <v>10</v>
      </c>
      <c r="AE10" s="436">
        <f t="shared" si="3"/>
        <v>0</v>
      </c>
      <c r="AF10" s="436">
        <f t="shared" si="3"/>
        <v>0</v>
      </c>
      <c r="AG10" s="436">
        <f t="shared" si="3"/>
        <v>195</v>
      </c>
      <c r="AH10" s="436">
        <f t="shared" si="3"/>
        <v>0</v>
      </c>
      <c r="AI10" s="436"/>
      <c r="AJ10" s="436">
        <f t="shared" ref="AJ10:BP10" si="4">SUM(AJ11:AJ15)</f>
        <v>0</v>
      </c>
      <c r="AK10" s="436">
        <f t="shared" si="4"/>
        <v>145</v>
      </c>
      <c r="AL10" s="436">
        <f t="shared" si="4"/>
        <v>0</v>
      </c>
      <c r="AM10" s="436">
        <f t="shared" si="4"/>
        <v>10</v>
      </c>
      <c r="AN10" s="436">
        <f t="shared" si="4"/>
        <v>0</v>
      </c>
      <c r="AO10" s="436">
        <f t="shared" si="4"/>
        <v>0</v>
      </c>
      <c r="AP10" s="436">
        <f t="shared" si="4"/>
        <v>135</v>
      </c>
      <c r="AQ10" s="436">
        <f t="shared" si="4"/>
        <v>0</v>
      </c>
      <c r="AR10" s="436">
        <f t="shared" si="4"/>
        <v>0</v>
      </c>
      <c r="AS10" s="436">
        <f t="shared" si="4"/>
        <v>147</v>
      </c>
      <c r="AT10" s="436">
        <f t="shared" si="4"/>
        <v>0</v>
      </c>
      <c r="AU10" s="436">
        <f t="shared" si="4"/>
        <v>8</v>
      </c>
      <c r="AV10" s="436">
        <f t="shared" si="4"/>
        <v>0</v>
      </c>
      <c r="AW10" s="436">
        <f t="shared" si="4"/>
        <v>0</v>
      </c>
      <c r="AX10" s="436">
        <f t="shared" si="4"/>
        <v>139</v>
      </c>
      <c r="AY10" s="436">
        <f t="shared" si="4"/>
        <v>0</v>
      </c>
      <c r="AZ10" s="436">
        <f t="shared" si="4"/>
        <v>0</v>
      </c>
      <c r="BA10" s="436">
        <f t="shared" si="4"/>
        <v>0</v>
      </c>
      <c r="BB10" s="436">
        <f t="shared" si="4"/>
        <v>144</v>
      </c>
      <c r="BC10" s="436">
        <f t="shared" si="4"/>
        <v>0</v>
      </c>
      <c r="BD10" s="436">
        <f t="shared" si="4"/>
        <v>10</v>
      </c>
      <c r="BE10" s="436">
        <f t="shared" si="4"/>
        <v>0</v>
      </c>
      <c r="BF10" s="436">
        <f t="shared" si="4"/>
        <v>0</v>
      </c>
      <c r="BG10" s="436">
        <f t="shared" si="4"/>
        <v>134</v>
      </c>
      <c r="BH10" s="436">
        <f t="shared" si="4"/>
        <v>0</v>
      </c>
      <c r="BI10" s="436">
        <f t="shared" si="4"/>
        <v>0</v>
      </c>
      <c r="BJ10" s="436">
        <f t="shared" si="4"/>
        <v>0</v>
      </c>
      <c r="BK10" s="436">
        <f t="shared" si="4"/>
        <v>0</v>
      </c>
      <c r="BL10" s="436">
        <f t="shared" si="4"/>
        <v>0</v>
      </c>
      <c r="BM10" s="436">
        <f t="shared" si="4"/>
        <v>0</v>
      </c>
      <c r="BN10" s="436">
        <f t="shared" si="4"/>
        <v>0</v>
      </c>
      <c r="BO10" s="436">
        <f t="shared" si="4"/>
        <v>0</v>
      </c>
      <c r="BP10" s="436">
        <f t="shared" si="4"/>
        <v>0</v>
      </c>
      <c r="BQ10" s="185"/>
      <c r="BR10" s="435">
        <f>'Учебный план'!BZ28</f>
        <v>0</v>
      </c>
      <c r="BS10" s="435">
        <f>'Учебный план'!CA28</f>
        <v>0</v>
      </c>
    </row>
    <row r="11" spans="1:71" s="247" customFormat="1" ht="26.1" customHeight="1" x14ac:dyDescent="0.2">
      <c r="A11" s="512" t="str">
        <f>'Учебный план'!A29</f>
        <v>ОГСЭ.01</v>
      </c>
      <c r="B11" s="512" t="str">
        <f>'Учебный план'!B29</f>
        <v>Основы философии</v>
      </c>
      <c r="C11" s="223"/>
      <c r="D11" s="425"/>
      <c r="E11" s="425" t="s">
        <v>27</v>
      </c>
      <c r="F11" s="425"/>
      <c r="G11" s="425"/>
      <c r="H11" s="425"/>
      <c r="I11" s="200">
        <f>K11-M11</f>
        <v>0</v>
      </c>
      <c r="J11" s="425">
        <f>L11*$J$1</f>
        <v>14.4</v>
      </c>
      <c r="K11" s="200">
        <f>'Учебный план'!K29</f>
        <v>72</v>
      </c>
      <c r="L11" s="200">
        <f>'Учебный план'!L29</f>
        <v>48</v>
      </c>
      <c r="M11" s="516">
        <f t="shared" ref="M11:M28" si="5">SUM(N11+S11)</f>
        <v>72</v>
      </c>
      <c r="N11" s="516">
        <f>SUM(O11:R11)</f>
        <v>12</v>
      </c>
      <c r="O11" s="516">
        <f t="shared" ref="O11:R15" si="6">V11+AL11+AT11+BC11+AC11+BK11</f>
        <v>12</v>
      </c>
      <c r="P11" s="516">
        <f t="shared" si="6"/>
        <v>0</v>
      </c>
      <c r="Q11" s="516">
        <f t="shared" si="6"/>
        <v>0</v>
      </c>
      <c r="R11" s="516">
        <f t="shared" si="6"/>
        <v>0</v>
      </c>
      <c r="S11" s="516">
        <f>Z11+AP11+AX11+BG11+BP11+AG11</f>
        <v>60</v>
      </c>
      <c r="T11" s="517">
        <f t="shared" ref="T11:T28" si="7">LEN(H11)-LEN(SUBSTITUTE(H11,"1",""))</f>
        <v>0</v>
      </c>
      <c r="U11" s="418">
        <f t="shared" ref="U11:U28" si="8">SUM(V11:Z11)</f>
        <v>72</v>
      </c>
      <c r="V11" s="200">
        <v>12</v>
      </c>
      <c r="W11" s="200"/>
      <c r="X11" s="200"/>
      <c r="Y11" s="200"/>
      <c r="Z11" s="200">
        <f>K11-SUM(V11:W11)</f>
        <v>60</v>
      </c>
      <c r="AA11" s="517">
        <f t="shared" ref="AA11:AA13" si="9">LEN(Q11)-LEN(SUBSTITUTE(Q11,"1",""))</f>
        <v>0</v>
      </c>
      <c r="AB11" s="418">
        <f t="shared" ref="AB11:AB28" si="10">SUM(AC11:AG11)</f>
        <v>0</v>
      </c>
      <c r="AC11" s="200"/>
      <c r="AD11" s="200"/>
      <c r="AE11" s="200"/>
      <c r="AF11" s="200"/>
      <c r="AG11" s="200"/>
      <c r="AH11" s="518">
        <f t="shared" ref="AH11:AH28" si="11">LEN(H11)-LEN(SUBSTITUTE(H11,"2",""))</f>
        <v>0</v>
      </c>
      <c r="AI11" s="518"/>
      <c r="AJ11" s="518">
        <f>LEN(H11)-LEN(SUBSTITUTE(H11,"3",""))</f>
        <v>0</v>
      </c>
      <c r="AK11" s="418">
        <f>SUM(AL11:AP11)</f>
        <v>0</v>
      </c>
      <c r="AL11" s="200"/>
      <c r="AM11" s="200"/>
      <c r="AN11" s="200"/>
      <c r="AO11" s="200"/>
      <c r="AP11" s="200"/>
      <c r="AQ11" s="518">
        <f>LEN(H11)-LEN(SUBSTITUTE(H11,"4",""))</f>
        <v>0</v>
      </c>
      <c r="AR11" s="518">
        <f>LEN(H11)-LEN(SUBSTITUTE(H11,"5",""))</f>
        <v>0</v>
      </c>
      <c r="AS11" s="418">
        <f t="shared" ref="AS11:AS28" si="12">SUM(AT11:AX11)</f>
        <v>0</v>
      </c>
      <c r="AT11" s="200"/>
      <c r="AU11" s="200"/>
      <c r="AV11" s="200"/>
      <c r="AW11" s="200"/>
      <c r="AX11" s="200"/>
      <c r="AY11" s="518">
        <f>LEN(H11)-LEN(SUBSTITUTE(H11,"6",""))</f>
        <v>0</v>
      </c>
      <c r="AZ11" s="518">
        <f>LEN(H11)-LEN(SUBSTITUTE(H11,"7",""))</f>
        <v>0</v>
      </c>
      <c r="BA11" s="518">
        <f>LEN(H11)-LEN(SUBSTITUTE(H11,"8",""))</f>
        <v>0</v>
      </c>
      <c r="BB11" s="418">
        <f>SUM(BC11:BG11)</f>
        <v>0</v>
      </c>
      <c r="BC11" s="200"/>
      <c r="BD11" s="200"/>
      <c r="BE11" s="200"/>
      <c r="BF11" s="200"/>
      <c r="BG11" s="200"/>
      <c r="BH11" s="518">
        <f>LEN(H11)-LEN(SUBSTITUTE(H11,"9",""))</f>
        <v>0</v>
      </c>
      <c r="BI11" s="418">
        <f>SUM(BJ11:BP11)</f>
        <v>0</v>
      </c>
      <c r="BJ11" s="200"/>
      <c r="BK11" s="200"/>
      <c r="BL11" s="200"/>
      <c r="BM11" s="200"/>
      <c r="BN11" s="200"/>
      <c r="BO11" s="200"/>
      <c r="BP11" s="200"/>
      <c r="BQ11" s="202"/>
      <c r="BR11" s="425" t="str">
        <f>'Учебный план'!BZ29</f>
        <v>64-1</v>
      </c>
      <c r="BS11" s="440" t="str">
        <f>'Учебный план'!CA29</f>
        <v>ОК 1-10, ПК 1.1</v>
      </c>
    </row>
    <row r="12" spans="1:71" s="247" customFormat="1" ht="26.1" customHeight="1" x14ac:dyDescent="0.2">
      <c r="A12" s="512" t="str">
        <f>'Учебный план'!A30</f>
        <v>ОГСЭ.02</v>
      </c>
      <c r="B12" s="512" t="str">
        <f>'Учебный план'!B30</f>
        <v>История</v>
      </c>
      <c r="C12" s="223"/>
      <c r="D12" s="425"/>
      <c r="E12" s="425" t="s">
        <v>27</v>
      </c>
      <c r="F12" s="425"/>
      <c r="G12" s="425"/>
      <c r="H12" s="425"/>
      <c r="I12" s="200">
        <f t="shared" ref="I12:I15" si="13">K12-M12</f>
        <v>0</v>
      </c>
      <c r="J12" s="425">
        <f>L12*$J$1</f>
        <v>14.4</v>
      </c>
      <c r="K12" s="200">
        <f>'Учебный план'!K30</f>
        <v>72</v>
      </c>
      <c r="L12" s="200">
        <f>'Учебный план'!L30</f>
        <v>48</v>
      </c>
      <c r="M12" s="516">
        <f t="shared" si="5"/>
        <v>72</v>
      </c>
      <c r="N12" s="516">
        <f>SUM(O12:R12)</f>
        <v>12</v>
      </c>
      <c r="O12" s="516">
        <f t="shared" si="6"/>
        <v>12</v>
      </c>
      <c r="P12" s="516">
        <f t="shared" si="6"/>
        <v>0</v>
      </c>
      <c r="Q12" s="516">
        <f t="shared" si="6"/>
        <v>0</v>
      </c>
      <c r="R12" s="516">
        <f t="shared" si="6"/>
        <v>0</v>
      </c>
      <c r="S12" s="516">
        <f>Z12+AP12+AX12+BG12+BP12+AG12</f>
        <v>60</v>
      </c>
      <c r="T12" s="517">
        <f t="shared" si="7"/>
        <v>0</v>
      </c>
      <c r="U12" s="418">
        <f t="shared" si="8"/>
        <v>72</v>
      </c>
      <c r="V12" s="200">
        <v>12</v>
      </c>
      <c r="W12" s="200"/>
      <c r="X12" s="200"/>
      <c r="Y12" s="200"/>
      <c r="Z12" s="200">
        <v>60</v>
      </c>
      <c r="AA12" s="517">
        <f t="shared" si="9"/>
        <v>0</v>
      </c>
      <c r="AB12" s="418">
        <f t="shared" si="10"/>
        <v>0</v>
      </c>
      <c r="AC12" s="200"/>
      <c r="AD12" s="200"/>
      <c r="AE12" s="200"/>
      <c r="AF12" s="200"/>
      <c r="AG12" s="200"/>
      <c r="AH12" s="518">
        <f t="shared" si="11"/>
        <v>0</v>
      </c>
      <c r="AI12" s="518"/>
      <c r="AJ12" s="518">
        <f>LEN(H12)-LEN(SUBSTITUTE(H12,"3",""))</f>
        <v>0</v>
      </c>
      <c r="AK12" s="418">
        <f>SUM(AL12:AP12)</f>
        <v>0</v>
      </c>
      <c r="AL12" s="200"/>
      <c r="AM12" s="200"/>
      <c r="AN12" s="200"/>
      <c r="AO12" s="200"/>
      <c r="AP12" s="200"/>
      <c r="AQ12" s="518">
        <f>LEN(H12)-LEN(SUBSTITUTE(H12,"4",""))</f>
        <v>0</v>
      </c>
      <c r="AR12" s="518">
        <f>LEN(H12)-LEN(SUBSTITUTE(H12,"5",""))</f>
        <v>0</v>
      </c>
      <c r="AS12" s="418">
        <f t="shared" si="12"/>
        <v>0</v>
      </c>
      <c r="AT12" s="200"/>
      <c r="AU12" s="200"/>
      <c r="AV12" s="200"/>
      <c r="AW12" s="200"/>
      <c r="AX12" s="200"/>
      <c r="AY12" s="518">
        <f>LEN(H12)-LEN(SUBSTITUTE(H12,"6",""))</f>
        <v>0</v>
      </c>
      <c r="AZ12" s="518">
        <f>LEN(H12)-LEN(SUBSTITUTE(H12,"7",""))</f>
        <v>0</v>
      </c>
      <c r="BA12" s="518">
        <f>LEN(H12)-LEN(SUBSTITUTE(H12,"8",""))</f>
        <v>0</v>
      </c>
      <c r="BB12" s="418">
        <f>SUM(BC12:BG12)</f>
        <v>0</v>
      </c>
      <c r="BC12" s="200"/>
      <c r="BD12" s="200"/>
      <c r="BE12" s="200"/>
      <c r="BF12" s="200"/>
      <c r="BG12" s="200"/>
      <c r="BH12" s="518">
        <f>LEN(H12)-LEN(SUBSTITUTE(H12,"9",""))</f>
        <v>0</v>
      </c>
      <c r="BI12" s="418">
        <f>SUM(BJ12:BP12)</f>
        <v>0</v>
      </c>
      <c r="BJ12" s="200"/>
      <c r="BK12" s="200"/>
      <c r="BL12" s="200"/>
      <c r="BM12" s="200"/>
      <c r="BN12" s="200"/>
      <c r="BO12" s="200"/>
      <c r="BP12" s="200"/>
      <c r="BQ12" s="202"/>
      <c r="BR12" s="425" t="str">
        <f>'Учебный план'!BZ30</f>
        <v>64-1</v>
      </c>
      <c r="BS12" s="440" t="str">
        <f>'Учебный план'!CA30</f>
        <v>ОК 1-10</v>
      </c>
    </row>
    <row r="13" spans="1:71" s="247" customFormat="1" ht="26.1" customHeight="1" x14ac:dyDescent="0.2">
      <c r="A13" s="512" t="str">
        <f>'Учебный план'!A31</f>
        <v>ОГСЭ.03</v>
      </c>
      <c r="B13" s="512" t="str">
        <f>'Учебный план'!B31</f>
        <v>Психология общения</v>
      </c>
      <c r="C13" s="223"/>
      <c r="D13" s="425"/>
      <c r="E13" s="425" t="s">
        <v>31</v>
      </c>
      <c r="F13" s="425"/>
      <c r="G13" s="425"/>
      <c r="H13" s="425"/>
      <c r="I13" s="200">
        <f t="shared" si="13"/>
        <v>0</v>
      </c>
      <c r="J13" s="425">
        <f>L13*$J$1</f>
        <v>14.4</v>
      </c>
      <c r="K13" s="200">
        <f>'Учебный план'!K31</f>
        <v>72</v>
      </c>
      <c r="L13" s="200">
        <f>'Учебный план'!L31</f>
        <v>48</v>
      </c>
      <c r="M13" s="516">
        <f t="shared" si="5"/>
        <v>72</v>
      </c>
      <c r="N13" s="516">
        <f>SUM(O13:R13)</f>
        <v>12</v>
      </c>
      <c r="O13" s="516">
        <f t="shared" si="6"/>
        <v>12</v>
      </c>
      <c r="P13" s="516">
        <f t="shared" si="6"/>
        <v>0</v>
      </c>
      <c r="Q13" s="516">
        <f t="shared" si="6"/>
        <v>0</v>
      </c>
      <c r="R13" s="516">
        <f t="shared" si="6"/>
        <v>0</v>
      </c>
      <c r="S13" s="516">
        <f>Z13+AP13+AX13+BG13+BP13+AG13</f>
        <v>60</v>
      </c>
      <c r="T13" s="517">
        <f t="shared" si="7"/>
        <v>0</v>
      </c>
      <c r="U13" s="418">
        <f t="shared" si="8"/>
        <v>0</v>
      </c>
      <c r="V13" s="200"/>
      <c r="W13" s="200"/>
      <c r="X13" s="200"/>
      <c r="Y13" s="200"/>
      <c r="Z13" s="200"/>
      <c r="AA13" s="517">
        <f t="shared" si="9"/>
        <v>0</v>
      </c>
      <c r="AB13" s="418">
        <f t="shared" si="10"/>
        <v>72</v>
      </c>
      <c r="AC13" s="200">
        <v>12</v>
      </c>
      <c r="AD13" s="200"/>
      <c r="AE13" s="200"/>
      <c r="AF13" s="200"/>
      <c r="AG13" s="200">
        <v>60</v>
      </c>
      <c r="AH13" s="518">
        <f t="shared" si="11"/>
        <v>0</v>
      </c>
      <c r="AI13" s="518"/>
      <c r="AJ13" s="518">
        <f>LEN(H13)-LEN(SUBSTITUTE(H13,"3",""))</f>
        <v>0</v>
      </c>
      <c r="AK13" s="418">
        <f>SUM(AL13:AP13)</f>
        <v>0</v>
      </c>
      <c r="AL13" s="200"/>
      <c r="AM13" s="200"/>
      <c r="AN13" s="200"/>
      <c r="AO13" s="200"/>
      <c r="AP13" s="200"/>
      <c r="AQ13" s="518">
        <f>LEN(H13)-LEN(SUBSTITUTE(H13,"4",""))</f>
        <v>0</v>
      </c>
      <c r="AR13" s="518">
        <f>LEN(H13)-LEN(SUBSTITUTE(H13,"5",""))</f>
        <v>0</v>
      </c>
      <c r="AS13" s="418">
        <f t="shared" si="12"/>
        <v>0</v>
      </c>
      <c r="AT13" s="200"/>
      <c r="AU13" s="200"/>
      <c r="AV13" s="200"/>
      <c r="AW13" s="200"/>
      <c r="AX13" s="200"/>
      <c r="AY13" s="518">
        <f>LEN(H13)-LEN(SUBSTITUTE(H13,"6",""))</f>
        <v>0</v>
      </c>
      <c r="AZ13" s="518">
        <f>LEN(H13)-LEN(SUBSTITUTE(H13,"7",""))</f>
        <v>0</v>
      </c>
      <c r="BA13" s="518">
        <f>LEN(H13)-LEN(SUBSTITUTE(H13,"8",""))</f>
        <v>0</v>
      </c>
      <c r="BB13" s="418">
        <f>SUM(BC13:BG13)</f>
        <v>0</v>
      </c>
      <c r="BC13" s="200"/>
      <c r="BD13" s="200"/>
      <c r="BE13" s="200"/>
      <c r="BF13" s="200"/>
      <c r="BG13" s="200"/>
      <c r="BH13" s="518">
        <f>LEN(H13)-LEN(SUBSTITUTE(H13,"9",""))</f>
        <v>0</v>
      </c>
      <c r="BI13" s="418">
        <f>SUM(BJ13:BP13)</f>
        <v>0</v>
      </c>
      <c r="BJ13" s="200"/>
      <c r="BK13" s="200"/>
      <c r="BL13" s="200"/>
      <c r="BM13" s="200"/>
      <c r="BN13" s="200"/>
      <c r="BO13" s="200"/>
      <c r="BP13" s="200"/>
      <c r="BQ13" s="202"/>
      <c r="BR13" s="425" t="str">
        <f>'Учебный план'!BZ31</f>
        <v>64-1</v>
      </c>
      <c r="BS13" s="440" t="str">
        <f>'Учебный план'!CA31</f>
        <v>ОК 1-10, ПК 2.3-2.7</v>
      </c>
    </row>
    <row r="14" spans="1:71" s="247" customFormat="1" ht="26.1" customHeight="1" x14ac:dyDescent="0.2">
      <c r="A14" s="512" t="str">
        <f>'Учебный план'!A32</f>
        <v>ОГСЭ.04</v>
      </c>
      <c r="B14" s="512" t="str">
        <f>'Учебный план'!B32</f>
        <v>Иностранный язык</v>
      </c>
      <c r="C14" s="223"/>
      <c r="D14" s="425" t="s">
        <v>30</v>
      </c>
      <c r="E14" s="425" t="s">
        <v>571</v>
      </c>
      <c r="F14" s="425"/>
      <c r="G14" s="425"/>
      <c r="H14" s="103" t="s">
        <v>297</v>
      </c>
      <c r="I14" s="200">
        <f t="shared" si="13"/>
        <v>-1</v>
      </c>
      <c r="J14" s="425">
        <f>L14*$J$1</f>
        <v>62.4</v>
      </c>
      <c r="K14" s="200">
        <f>'Учебный план'!K32</f>
        <v>311</v>
      </c>
      <c r="L14" s="200">
        <f>'Учебный план'!L32</f>
        <v>208</v>
      </c>
      <c r="M14" s="516">
        <f t="shared" si="5"/>
        <v>312</v>
      </c>
      <c r="N14" s="516">
        <f>SUM(O14:R14)</f>
        <v>48</v>
      </c>
      <c r="O14" s="516">
        <f t="shared" si="6"/>
        <v>0</v>
      </c>
      <c r="P14" s="516">
        <f t="shared" si="6"/>
        <v>48</v>
      </c>
      <c r="Q14" s="516">
        <f t="shared" si="6"/>
        <v>0</v>
      </c>
      <c r="R14" s="516">
        <f t="shared" si="6"/>
        <v>0</v>
      </c>
      <c r="S14" s="516">
        <f>Z14+AP14+AX14+BG14+BP14+AG14</f>
        <v>264</v>
      </c>
      <c r="T14" s="517"/>
      <c r="U14" s="418">
        <f t="shared" si="8"/>
        <v>62</v>
      </c>
      <c r="V14" s="200"/>
      <c r="W14" s="200">
        <v>10</v>
      </c>
      <c r="X14" s="200"/>
      <c r="Y14" s="200"/>
      <c r="Z14" s="200">
        <v>52</v>
      </c>
      <c r="AA14" s="517"/>
      <c r="AB14" s="418">
        <f t="shared" si="10"/>
        <v>62</v>
      </c>
      <c r="AC14" s="200"/>
      <c r="AD14" s="200">
        <v>10</v>
      </c>
      <c r="AE14" s="200"/>
      <c r="AF14" s="200"/>
      <c r="AG14" s="200">
        <v>52</v>
      </c>
      <c r="AH14" s="518"/>
      <c r="AI14" s="518"/>
      <c r="AJ14" s="518"/>
      <c r="AK14" s="418">
        <f>SUM(AL14:AP14)</f>
        <v>62</v>
      </c>
      <c r="AL14" s="200"/>
      <c r="AM14" s="200">
        <v>10</v>
      </c>
      <c r="AN14" s="200"/>
      <c r="AO14" s="200"/>
      <c r="AP14" s="200">
        <v>52</v>
      </c>
      <c r="AQ14" s="518"/>
      <c r="AR14" s="518"/>
      <c r="AS14" s="418">
        <f t="shared" si="12"/>
        <v>64</v>
      </c>
      <c r="AT14" s="200"/>
      <c r="AU14" s="200">
        <v>8</v>
      </c>
      <c r="AV14" s="200"/>
      <c r="AW14" s="200"/>
      <c r="AX14" s="200">
        <v>56</v>
      </c>
      <c r="AY14" s="518"/>
      <c r="AZ14" s="518"/>
      <c r="BA14" s="518"/>
      <c r="BB14" s="418">
        <f>SUM(BC14:BG14)</f>
        <v>62</v>
      </c>
      <c r="BC14" s="200"/>
      <c r="BD14" s="200">
        <v>10</v>
      </c>
      <c r="BE14" s="200"/>
      <c r="BF14" s="200"/>
      <c r="BG14" s="200">
        <v>52</v>
      </c>
      <c r="BH14" s="518"/>
      <c r="BI14" s="418">
        <f t="shared" ref="BI14" si="14">SUM(BJ14:BP14)</f>
        <v>0</v>
      </c>
      <c r="BJ14" s="200"/>
      <c r="BK14" s="200"/>
      <c r="BL14" s="200"/>
      <c r="BM14" s="200"/>
      <c r="BN14" s="200"/>
      <c r="BO14" s="200"/>
      <c r="BP14" s="200"/>
      <c r="BQ14" s="202"/>
      <c r="BR14" s="425" t="str">
        <f>'Учебный план'!BZ32</f>
        <v>64-1</v>
      </c>
      <c r="BS14" s="440" t="str">
        <f>'Учебный план'!CA32</f>
        <v>ОК 1-10; ПК 2.4,2.6,2.7</v>
      </c>
    </row>
    <row r="15" spans="1:71" s="247" customFormat="1" ht="26.1" customHeight="1" x14ac:dyDescent="0.2">
      <c r="A15" s="512" t="str">
        <f>'Учебный план'!A33</f>
        <v>ОГСЭ.05</v>
      </c>
      <c r="B15" s="512" t="str">
        <f>'Учебный план'!B33</f>
        <v>Физическая культура</v>
      </c>
      <c r="C15" s="223"/>
      <c r="D15" s="425"/>
      <c r="E15" s="425" t="s">
        <v>41</v>
      </c>
      <c r="F15" s="425"/>
      <c r="G15" s="425"/>
      <c r="H15" s="425"/>
      <c r="I15" s="200">
        <f t="shared" si="13"/>
        <v>0</v>
      </c>
      <c r="J15" s="425"/>
      <c r="K15" s="200">
        <f>'Учебный план'!K33</f>
        <v>416</v>
      </c>
      <c r="L15" s="200">
        <f>'Учебный план'!L33</f>
        <v>208</v>
      </c>
      <c r="M15" s="516">
        <f t="shared" si="5"/>
        <v>416</v>
      </c>
      <c r="N15" s="516">
        <f>SUM(O15:R15)</f>
        <v>2</v>
      </c>
      <c r="O15" s="516">
        <f t="shared" si="6"/>
        <v>2</v>
      </c>
      <c r="P15" s="516">
        <f t="shared" si="6"/>
        <v>0</v>
      </c>
      <c r="Q15" s="516">
        <f t="shared" si="6"/>
        <v>0</v>
      </c>
      <c r="R15" s="516">
        <f t="shared" si="6"/>
        <v>0</v>
      </c>
      <c r="S15" s="516">
        <f>Z15+AP15+AX15+BG15+BP15+AG15</f>
        <v>414</v>
      </c>
      <c r="T15" s="517">
        <f t="shared" si="7"/>
        <v>0</v>
      </c>
      <c r="U15" s="418">
        <f t="shared" si="8"/>
        <v>85</v>
      </c>
      <c r="V15" s="200">
        <v>2</v>
      </c>
      <c r="W15" s="200"/>
      <c r="X15" s="200"/>
      <c r="Y15" s="200"/>
      <c r="Z15" s="200">
        <v>83</v>
      </c>
      <c r="AA15" s="517">
        <f t="shared" ref="AA15" si="15">LEN(Q15)-LEN(SUBSTITUTE(Q15,"1",""))</f>
        <v>0</v>
      </c>
      <c r="AB15" s="418">
        <f t="shared" si="10"/>
        <v>83</v>
      </c>
      <c r="AC15" s="200"/>
      <c r="AD15" s="200"/>
      <c r="AE15" s="200"/>
      <c r="AF15" s="200"/>
      <c r="AG15" s="200">
        <v>83</v>
      </c>
      <c r="AH15" s="518">
        <f t="shared" si="11"/>
        <v>0</v>
      </c>
      <c r="AI15" s="518"/>
      <c r="AJ15" s="518">
        <f>LEN(H15)-LEN(SUBSTITUTE(H15,"3",""))</f>
        <v>0</v>
      </c>
      <c r="AK15" s="418">
        <f>SUM(AL15:AP15)</f>
        <v>83</v>
      </c>
      <c r="AL15" s="200"/>
      <c r="AM15" s="200"/>
      <c r="AN15" s="200"/>
      <c r="AO15" s="200"/>
      <c r="AP15" s="200">
        <v>83</v>
      </c>
      <c r="AQ15" s="518">
        <f>LEN(H15)-LEN(SUBSTITUTE(H15,"4",""))</f>
        <v>0</v>
      </c>
      <c r="AR15" s="518">
        <f>LEN(H15)-LEN(SUBSTITUTE(H15,"5",""))</f>
        <v>0</v>
      </c>
      <c r="AS15" s="418">
        <f t="shared" si="12"/>
        <v>83</v>
      </c>
      <c r="AT15" s="200"/>
      <c r="AU15" s="200"/>
      <c r="AV15" s="200"/>
      <c r="AW15" s="200"/>
      <c r="AX15" s="200">
        <v>83</v>
      </c>
      <c r="AY15" s="518">
        <f>LEN(H15)-LEN(SUBSTITUTE(H15,"6",""))</f>
        <v>0</v>
      </c>
      <c r="AZ15" s="518">
        <f>LEN(H15)-LEN(SUBSTITUTE(H15,"7",""))</f>
        <v>0</v>
      </c>
      <c r="BA15" s="518">
        <f>LEN(H15)-LEN(SUBSTITUTE(H15,"8",""))</f>
        <v>0</v>
      </c>
      <c r="BB15" s="418">
        <f>SUM(BC15:BG15)</f>
        <v>82</v>
      </c>
      <c r="BC15" s="200"/>
      <c r="BD15" s="200"/>
      <c r="BE15" s="200"/>
      <c r="BF15" s="200"/>
      <c r="BG15" s="200">
        <v>82</v>
      </c>
      <c r="BH15" s="518">
        <f>LEN(H15)-LEN(SUBSTITUTE(H15,"9",""))</f>
        <v>0</v>
      </c>
      <c r="BI15" s="418">
        <f>SUM(BJ15:BP15)</f>
        <v>0</v>
      </c>
      <c r="BJ15" s="200"/>
      <c r="BK15" s="200"/>
      <c r="BL15" s="200"/>
      <c r="BM15" s="200"/>
      <c r="BN15" s="200"/>
      <c r="BO15" s="200"/>
      <c r="BP15" s="200"/>
      <c r="BQ15" s="202"/>
      <c r="BR15" s="425" t="str">
        <f>'Учебный план'!BZ33</f>
        <v>33</v>
      </c>
      <c r="BS15" s="440" t="str">
        <f>'Учебный план'!CA33</f>
        <v>ОК-2,3,6,7</v>
      </c>
    </row>
    <row r="16" spans="1:71" s="254" customFormat="1" ht="26.1" customHeight="1" x14ac:dyDescent="0.2">
      <c r="A16" s="434" t="str">
        <f>'Учебный план'!A34</f>
        <v>ЕН.00</v>
      </c>
      <c r="B16" s="790" t="str">
        <f>'Учебный план'!B34</f>
        <v>Математический и общий естественнонаучный цикл</v>
      </c>
      <c r="C16" s="791"/>
      <c r="D16" s="791"/>
      <c r="E16" s="791"/>
      <c r="F16" s="791"/>
      <c r="G16" s="791"/>
      <c r="H16" s="792"/>
      <c r="I16" s="436"/>
      <c r="J16" s="435"/>
      <c r="K16" s="446">
        <f>'Учебный план'!K34</f>
        <v>216</v>
      </c>
      <c r="L16" s="446">
        <f>'Учебный план'!L34</f>
        <v>144</v>
      </c>
      <c r="M16" s="446">
        <f t="shared" si="5"/>
        <v>216</v>
      </c>
      <c r="N16" s="436">
        <f t="shared" ref="N16:S16" si="16">SUM(N17:N19)</f>
        <v>38</v>
      </c>
      <c r="O16" s="436">
        <f t="shared" si="16"/>
        <v>26</v>
      </c>
      <c r="P16" s="436">
        <f t="shared" si="16"/>
        <v>12</v>
      </c>
      <c r="Q16" s="436">
        <f t="shared" si="16"/>
        <v>0</v>
      </c>
      <c r="R16" s="436">
        <f t="shared" si="16"/>
        <v>0</v>
      </c>
      <c r="S16" s="436">
        <f t="shared" si="16"/>
        <v>178</v>
      </c>
      <c r="T16" s="436">
        <f t="shared" ref="T16:BF16" si="17">SUM(T17:T19)</f>
        <v>0</v>
      </c>
      <c r="U16" s="446">
        <f t="shared" si="8"/>
        <v>216</v>
      </c>
      <c r="V16" s="436">
        <f t="shared" si="17"/>
        <v>26</v>
      </c>
      <c r="W16" s="436">
        <f t="shared" si="17"/>
        <v>12</v>
      </c>
      <c r="X16" s="436">
        <f t="shared" si="17"/>
        <v>0</v>
      </c>
      <c r="Y16" s="436">
        <f t="shared" si="17"/>
        <v>0</v>
      </c>
      <c r="Z16" s="436">
        <f t="shared" si="17"/>
        <v>178</v>
      </c>
      <c r="AA16" s="436">
        <f t="shared" ref="AA16" si="18">SUM(AA17:AA19)</f>
        <v>0</v>
      </c>
      <c r="AB16" s="446">
        <f t="shared" si="10"/>
        <v>0</v>
      </c>
      <c r="AC16" s="436">
        <f t="shared" ref="AC16:AG16" si="19">SUM(AC17:AC19)</f>
        <v>0</v>
      </c>
      <c r="AD16" s="436">
        <f t="shared" si="19"/>
        <v>0</v>
      </c>
      <c r="AE16" s="436">
        <f t="shared" si="19"/>
        <v>0</v>
      </c>
      <c r="AF16" s="436">
        <f t="shared" si="19"/>
        <v>0</v>
      </c>
      <c r="AG16" s="436">
        <f t="shared" si="19"/>
        <v>0</v>
      </c>
      <c r="AH16" s="436">
        <f t="shared" si="17"/>
        <v>0</v>
      </c>
      <c r="AI16" s="436"/>
      <c r="AJ16" s="436">
        <f t="shared" si="17"/>
        <v>0</v>
      </c>
      <c r="AK16" s="436">
        <f t="shared" si="17"/>
        <v>0</v>
      </c>
      <c r="AL16" s="436">
        <f t="shared" si="17"/>
        <v>0</v>
      </c>
      <c r="AM16" s="436">
        <f t="shared" si="17"/>
        <v>0</v>
      </c>
      <c r="AN16" s="436">
        <f t="shared" si="17"/>
        <v>0</v>
      </c>
      <c r="AO16" s="436">
        <f t="shared" si="17"/>
        <v>0</v>
      </c>
      <c r="AP16" s="436">
        <f t="shared" si="17"/>
        <v>0</v>
      </c>
      <c r="AQ16" s="436">
        <f t="shared" si="17"/>
        <v>0</v>
      </c>
      <c r="AR16" s="436">
        <f t="shared" si="17"/>
        <v>0</v>
      </c>
      <c r="AS16" s="446">
        <f t="shared" si="12"/>
        <v>0</v>
      </c>
      <c r="AT16" s="436">
        <f t="shared" si="17"/>
        <v>0</v>
      </c>
      <c r="AU16" s="436">
        <f t="shared" si="17"/>
        <v>0</v>
      </c>
      <c r="AV16" s="436">
        <f t="shared" si="17"/>
        <v>0</v>
      </c>
      <c r="AW16" s="436">
        <f t="shared" si="17"/>
        <v>0</v>
      </c>
      <c r="AX16" s="436">
        <f t="shared" si="17"/>
        <v>0</v>
      </c>
      <c r="AY16" s="436">
        <f t="shared" si="17"/>
        <v>0</v>
      </c>
      <c r="AZ16" s="436">
        <f t="shared" si="17"/>
        <v>0</v>
      </c>
      <c r="BA16" s="436">
        <f t="shared" si="17"/>
        <v>0</v>
      </c>
      <c r="BB16" s="436">
        <f t="shared" si="17"/>
        <v>0</v>
      </c>
      <c r="BC16" s="436">
        <f t="shared" si="17"/>
        <v>0</v>
      </c>
      <c r="BD16" s="436">
        <f t="shared" si="17"/>
        <v>0</v>
      </c>
      <c r="BE16" s="436">
        <f t="shared" si="17"/>
        <v>0</v>
      </c>
      <c r="BF16" s="436">
        <f t="shared" si="17"/>
        <v>0</v>
      </c>
      <c r="BG16" s="436">
        <f>SUM(BG17:BG18)</f>
        <v>0</v>
      </c>
      <c r="BH16" s="436">
        <f>SUM(BH17:BH18)</f>
        <v>0</v>
      </c>
      <c r="BI16" s="436">
        <f t="shared" ref="BI16:BO16" si="20">SUM(BI17:BI19)</f>
        <v>0</v>
      </c>
      <c r="BJ16" s="436">
        <f t="shared" si="20"/>
        <v>0</v>
      </c>
      <c r="BK16" s="436">
        <f t="shared" si="20"/>
        <v>0</v>
      </c>
      <c r="BL16" s="436">
        <f t="shared" si="20"/>
        <v>0</v>
      </c>
      <c r="BM16" s="436">
        <f t="shared" si="20"/>
        <v>0</v>
      </c>
      <c r="BN16" s="436">
        <f t="shared" si="20"/>
        <v>0</v>
      </c>
      <c r="BO16" s="436">
        <f t="shared" si="20"/>
        <v>0</v>
      </c>
      <c r="BP16" s="436">
        <f>SUM(BP17:BP18)</f>
        <v>0</v>
      </c>
      <c r="BQ16" s="185"/>
      <c r="BR16" s="435">
        <f>'Учебный план'!BZ34</f>
        <v>0</v>
      </c>
      <c r="BS16" s="435">
        <f>'Учебный план'!CA34</f>
        <v>0</v>
      </c>
    </row>
    <row r="17" spans="1:74" s="247" customFormat="1" ht="26.1" customHeight="1" x14ac:dyDescent="0.2">
      <c r="A17" s="512" t="str">
        <f>'Учебный план'!A35</f>
        <v>ЕН.01</v>
      </c>
      <c r="B17" s="512" t="str">
        <f>'Учебный план'!B35</f>
        <v>Математика</v>
      </c>
      <c r="C17" s="223"/>
      <c r="D17" s="425" t="s">
        <v>27</v>
      </c>
      <c r="E17" s="425"/>
      <c r="F17" s="425"/>
      <c r="G17" s="425"/>
      <c r="H17" s="425"/>
      <c r="I17" s="200">
        <f t="shared" ref="I17:I19" si="21">K17-M17</f>
        <v>0</v>
      </c>
      <c r="J17" s="425">
        <f t="shared" ref="J17:J19" si="22">L17*$J$1</f>
        <v>19.2</v>
      </c>
      <c r="K17" s="200">
        <f>'Учебный план'!K35</f>
        <v>96</v>
      </c>
      <c r="L17" s="200">
        <f>'Учебный план'!L35</f>
        <v>64</v>
      </c>
      <c r="M17" s="516">
        <f t="shared" si="5"/>
        <v>96</v>
      </c>
      <c r="N17" s="516">
        <f>SUM(O17:R17)</f>
        <v>12</v>
      </c>
      <c r="O17" s="516">
        <f t="shared" ref="O17:R19" si="23">V17+AL17+AT17+BC17+AC17+BK17</f>
        <v>12</v>
      </c>
      <c r="P17" s="516">
        <f t="shared" si="23"/>
        <v>0</v>
      </c>
      <c r="Q17" s="516">
        <f t="shared" si="23"/>
        <v>0</v>
      </c>
      <c r="R17" s="516">
        <f t="shared" si="23"/>
        <v>0</v>
      </c>
      <c r="S17" s="516">
        <f>Z17+AP17+AX17+BG17+BP17+AG17</f>
        <v>84</v>
      </c>
      <c r="T17" s="517">
        <f t="shared" si="7"/>
        <v>0</v>
      </c>
      <c r="U17" s="418">
        <f t="shared" si="8"/>
        <v>96</v>
      </c>
      <c r="V17" s="200">
        <v>12</v>
      </c>
      <c r="W17" s="200"/>
      <c r="X17" s="200"/>
      <c r="Y17" s="200"/>
      <c r="Z17" s="200">
        <v>84</v>
      </c>
      <c r="AA17" s="517">
        <f t="shared" ref="AA17:AA18" si="24">LEN(Q17)-LEN(SUBSTITUTE(Q17,"1",""))</f>
        <v>0</v>
      </c>
      <c r="AB17" s="418">
        <f t="shared" si="10"/>
        <v>0</v>
      </c>
      <c r="AC17" s="200"/>
      <c r="AD17" s="200"/>
      <c r="AE17" s="200"/>
      <c r="AF17" s="200"/>
      <c r="AG17" s="200"/>
      <c r="AH17" s="518">
        <f t="shared" si="11"/>
        <v>0</v>
      </c>
      <c r="AI17" s="518"/>
      <c r="AJ17" s="518">
        <f>LEN(H17)-LEN(SUBSTITUTE(H17,"3",""))</f>
        <v>0</v>
      </c>
      <c r="AK17" s="418">
        <f>SUM(AL17:AP17)</f>
        <v>0</v>
      </c>
      <c r="AL17" s="200"/>
      <c r="AM17" s="200"/>
      <c r="AN17" s="200"/>
      <c r="AO17" s="200"/>
      <c r="AP17" s="200"/>
      <c r="AQ17" s="518">
        <f>LEN(H17)-LEN(SUBSTITUTE(H17,"4",""))</f>
        <v>0</v>
      </c>
      <c r="AR17" s="518">
        <f>LEN(H17)-LEN(SUBSTITUTE(H17,"5",""))</f>
        <v>0</v>
      </c>
      <c r="AS17" s="418">
        <f t="shared" si="12"/>
        <v>0</v>
      </c>
      <c r="AT17" s="200"/>
      <c r="AU17" s="200"/>
      <c r="AV17" s="200"/>
      <c r="AW17" s="200"/>
      <c r="AX17" s="200"/>
      <c r="AY17" s="518">
        <f>LEN(H17)-LEN(SUBSTITUTE(H17,"6",""))</f>
        <v>0</v>
      </c>
      <c r="AZ17" s="518">
        <f>LEN(H17)-LEN(SUBSTITUTE(H17,"7",""))</f>
        <v>0</v>
      </c>
      <c r="BA17" s="518">
        <f>LEN(H17)-LEN(SUBSTITUTE(H17,"8",""))</f>
        <v>0</v>
      </c>
      <c r="BB17" s="418">
        <f>SUM(BC17:BG17)</f>
        <v>0</v>
      </c>
      <c r="BC17" s="200"/>
      <c r="BD17" s="200"/>
      <c r="BE17" s="200"/>
      <c r="BF17" s="200"/>
      <c r="BG17" s="200"/>
      <c r="BH17" s="518">
        <f>LEN(H17)-LEN(SUBSTITUTE(H17,"9",""))</f>
        <v>0</v>
      </c>
      <c r="BI17" s="418">
        <f>SUM(BJ17:BP17)</f>
        <v>0</v>
      </c>
      <c r="BJ17" s="200"/>
      <c r="BK17" s="200"/>
      <c r="BL17" s="200"/>
      <c r="BM17" s="200"/>
      <c r="BN17" s="200"/>
      <c r="BO17" s="200"/>
      <c r="BP17" s="200"/>
      <c r="BQ17" s="202"/>
      <c r="BR17" s="425" t="str">
        <f>'Учебный план'!BZ35</f>
        <v>64-2</v>
      </c>
      <c r="BS17" s="440" t="str">
        <f>'Учебный план'!CA35</f>
        <v>ОК 1-10; ПК 1.1, 1.3. 3.1</v>
      </c>
    </row>
    <row r="18" spans="1:74" s="247" customFormat="1" ht="26.1" customHeight="1" x14ac:dyDescent="0.2">
      <c r="A18" s="512" t="str">
        <f>'Учебный план'!A36</f>
        <v>ЕН.02</v>
      </c>
      <c r="B18" s="512" t="str">
        <f>'Учебный план'!B36</f>
        <v>Информатика</v>
      </c>
      <c r="C18" s="223"/>
      <c r="D18" s="425"/>
      <c r="E18" s="425" t="s">
        <v>27</v>
      </c>
      <c r="F18" s="425"/>
      <c r="G18" s="425"/>
      <c r="H18" s="425"/>
      <c r="I18" s="200">
        <f t="shared" si="21"/>
        <v>0</v>
      </c>
      <c r="J18" s="425">
        <f t="shared" si="22"/>
        <v>14.4</v>
      </c>
      <c r="K18" s="200">
        <f>'Учебный план'!K36</f>
        <v>72</v>
      </c>
      <c r="L18" s="200">
        <f>'Учебный план'!L36</f>
        <v>48</v>
      </c>
      <c r="M18" s="516">
        <f t="shared" si="5"/>
        <v>72</v>
      </c>
      <c r="N18" s="516">
        <f>SUM(O18:R18)</f>
        <v>14</v>
      </c>
      <c r="O18" s="516">
        <f t="shared" si="23"/>
        <v>2</v>
      </c>
      <c r="P18" s="516">
        <f t="shared" si="23"/>
        <v>12</v>
      </c>
      <c r="Q18" s="516">
        <f t="shared" si="23"/>
        <v>0</v>
      </c>
      <c r="R18" s="516">
        <f t="shared" si="23"/>
        <v>0</v>
      </c>
      <c r="S18" s="516">
        <f>Z18+AP18+AX18+BG18+BP18+AG18</f>
        <v>58</v>
      </c>
      <c r="T18" s="517">
        <f t="shared" si="7"/>
        <v>0</v>
      </c>
      <c r="U18" s="418">
        <f t="shared" si="8"/>
        <v>72</v>
      </c>
      <c r="V18" s="200">
        <v>2</v>
      </c>
      <c r="W18" s="200">
        <v>12</v>
      </c>
      <c r="X18" s="200"/>
      <c r="Y18" s="200"/>
      <c r="Z18" s="200">
        <f>K18-SUM(V18:W18)</f>
        <v>58</v>
      </c>
      <c r="AA18" s="517">
        <f t="shared" si="24"/>
        <v>0</v>
      </c>
      <c r="AB18" s="418">
        <f t="shared" si="10"/>
        <v>0</v>
      </c>
      <c r="AC18" s="200"/>
      <c r="AD18" s="200"/>
      <c r="AE18" s="200"/>
      <c r="AF18" s="200"/>
      <c r="AG18" s="200"/>
      <c r="AH18" s="518">
        <f t="shared" si="11"/>
        <v>0</v>
      </c>
      <c r="AI18" s="518"/>
      <c r="AJ18" s="518">
        <f>LEN(H18)-LEN(SUBSTITUTE(H18,"3",""))</f>
        <v>0</v>
      </c>
      <c r="AK18" s="418">
        <f>SUM(AL18:AP18)</f>
        <v>0</v>
      </c>
      <c r="AL18" s="200"/>
      <c r="AM18" s="200"/>
      <c r="AN18" s="200"/>
      <c r="AO18" s="200"/>
      <c r="AP18" s="200"/>
      <c r="AQ18" s="518">
        <f>LEN(H18)-LEN(SUBSTITUTE(H18,"4",""))</f>
        <v>0</v>
      </c>
      <c r="AR18" s="518">
        <f>LEN(H18)-LEN(SUBSTITUTE(H18,"5",""))</f>
        <v>0</v>
      </c>
      <c r="AS18" s="418">
        <f t="shared" si="12"/>
        <v>0</v>
      </c>
      <c r="AT18" s="200"/>
      <c r="AU18" s="200"/>
      <c r="AV18" s="200"/>
      <c r="AW18" s="200"/>
      <c r="AX18" s="200"/>
      <c r="AY18" s="518">
        <f>LEN(H18)-LEN(SUBSTITUTE(H18,"6",""))</f>
        <v>0</v>
      </c>
      <c r="AZ18" s="518">
        <f>LEN(H18)-LEN(SUBSTITUTE(H18,"7",""))</f>
        <v>0</v>
      </c>
      <c r="BA18" s="518">
        <f>LEN(H18)-LEN(SUBSTITUTE(H18,"8",""))</f>
        <v>0</v>
      </c>
      <c r="BB18" s="418">
        <f>SUM(BC18:BG18)</f>
        <v>0</v>
      </c>
      <c r="BC18" s="200"/>
      <c r="BD18" s="200"/>
      <c r="BE18" s="200"/>
      <c r="BF18" s="200"/>
      <c r="BG18" s="200"/>
      <c r="BH18" s="518">
        <f>LEN(H18)-LEN(SUBSTITUTE(H18,"9",""))</f>
        <v>0</v>
      </c>
      <c r="BI18" s="418">
        <f>SUM(BJ18:BP18)</f>
        <v>0</v>
      </c>
      <c r="BJ18" s="200"/>
      <c r="BK18" s="200"/>
      <c r="BL18" s="200"/>
      <c r="BM18" s="200"/>
      <c r="BN18" s="200"/>
      <c r="BO18" s="200"/>
      <c r="BP18" s="200"/>
      <c r="BQ18" s="202"/>
      <c r="BR18" s="425" t="str">
        <f>'Учебный план'!BZ36</f>
        <v>64-2</v>
      </c>
      <c r="BS18" s="440" t="str">
        <f>'Учебный план'!CA36</f>
        <v>ОК-1-10, ПК 1.3, 3.1, 4.2,4.3</v>
      </c>
    </row>
    <row r="19" spans="1:74" s="247" customFormat="1" ht="26.1" customHeight="1" x14ac:dyDescent="0.2">
      <c r="A19" s="512" t="str">
        <f>'Учебный план'!A37</f>
        <v>ЕН.03</v>
      </c>
      <c r="B19" s="512" t="str">
        <f>'Учебный план'!B37</f>
        <v>Экологические основы природопользования</v>
      </c>
      <c r="C19" s="223"/>
      <c r="D19" s="425"/>
      <c r="E19" s="425" t="s">
        <v>27</v>
      </c>
      <c r="F19" s="425"/>
      <c r="G19" s="425"/>
      <c r="H19" s="425"/>
      <c r="I19" s="200">
        <f t="shared" si="21"/>
        <v>0</v>
      </c>
      <c r="J19" s="425">
        <f t="shared" si="22"/>
        <v>9.6</v>
      </c>
      <c r="K19" s="200">
        <f>'Учебный план'!K37</f>
        <v>48</v>
      </c>
      <c r="L19" s="200">
        <f>'Учебный план'!L37</f>
        <v>32</v>
      </c>
      <c r="M19" s="516">
        <f t="shared" si="5"/>
        <v>48</v>
      </c>
      <c r="N19" s="516">
        <f>SUM(O19:R19)</f>
        <v>12</v>
      </c>
      <c r="O19" s="516">
        <f t="shared" si="23"/>
        <v>12</v>
      </c>
      <c r="P19" s="516">
        <f t="shared" si="23"/>
        <v>0</v>
      </c>
      <c r="Q19" s="516">
        <f t="shared" si="23"/>
        <v>0</v>
      </c>
      <c r="R19" s="516">
        <f t="shared" si="23"/>
        <v>0</v>
      </c>
      <c r="S19" s="516">
        <f>Z19+AP19+AX19+BG19+BP19+AG19</f>
        <v>36</v>
      </c>
      <c r="T19" s="517"/>
      <c r="U19" s="418">
        <f t="shared" si="8"/>
        <v>48</v>
      </c>
      <c r="V19" s="200">
        <v>12</v>
      </c>
      <c r="W19" s="200"/>
      <c r="X19" s="200"/>
      <c r="Y19" s="200"/>
      <c r="Z19" s="200">
        <v>36</v>
      </c>
      <c r="AA19" s="517"/>
      <c r="AB19" s="418">
        <f t="shared" si="10"/>
        <v>0</v>
      </c>
      <c r="AC19" s="200"/>
      <c r="AD19" s="200"/>
      <c r="AE19" s="200"/>
      <c r="AF19" s="200"/>
      <c r="AG19" s="200"/>
      <c r="AH19" s="518"/>
      <c r="AI19" s="518"/>
      <c r="AJ19" s="518"/>
      <c r="AK19" s="418">
        <f>SUM(AL19:AP19)</f>
        <v>0</v>
      </c>
      <c r="AL19" s="200"/>
      <c r="AM19" s="200"/>
      <c r="AN19" s="200"/>
      <c r="AO19" s="200"/>
      <c r="AP19" s="200"/>
      <c r="AQ19" s="518"/>
      <c r="AR19" s="518"/>
      <c r="AS19" s="418">
        <f t="shared" si="12"/>
        <v>0</v>
      </c>
      <c r="AT19" s="200"/>
      <c r="AU19" s="200"/>
      <c r="AV19" s="200"/>
      <c r="AW19" s="200"/>
      <c r="AX19" s="200"/>
      <c r="AY19" s="518"/>
      <c r="AZ19" s="518"/>
      <c r="BA19" s="518"/>
      <c r="BB19" s="418">
        <v>0</v>
      </c>
      <c r="BC19" s="200"/>
      <c r="BD19" s="200"/>
      <c r="BE19" s="200"/>
      <c r="BF19" s="200"/>
      <c r="BG19" s="200"/>
      <c r="BH19" s="518"/>
      <c r="BI19" s="418">
        <v>0</v>
      </c>
      <c r="BJ19" s="200"/>
      <c r="BK19" s="200"/>
      <c r="BL19" s="200"/>
      <c r="BM19" s="200"/>
      <c r="BN19" s="200"/>
      <c r="BO19" s="200"/>
      <c r="BP19" s="200"/>
      <c r="BQ19" s="202"/>
      <c r="BR19" s="425" t="str">
        <f>'Учебный план'!BZ37</f>
        <v>64-2</v>
      </c>
      <c r="BS19" s="440" t="str">
        <f>'Учебный план'!CA37</f>
        <v>ОК-1-10 ПК 2.7, 3.2</v>
      </c>
    </row>
    <row r="20" spans="1:74" s="254" customFormat="1" ht="26.1" customHeight="1" x14ac:dyDescent="0.2">
      <c r="A20" s="434">
        <f>'Учебный план'!A38</f>
        <v>0</v>
      </c>
      <c r="B20" s="790" t="str">
        <f>'Учебный план'!B38</f>
        <v>Профессиональный цикл</v>
      </c>
      <c r="C20" s="791"/>
      <c r="D20" s="791"/>
      <c r="E20" s="791"/>
      <c r="F20" s="791"/>
      <c r="G20" s="791"/>
      <c r="H20" s="792"/>
      <c r="I20" s="436"/>
      <c r="J20" s="435"/>
      <c r="K20" s="446">
        <f>'Учебный план'!K38</f>
        <v>4232</v>
      </c>
      <c r="L20" s="446">
        <f>'Учебный план'!L38</f>
        <v>2890</v>
      </c>
      <c r="M20" s="446">
        <f t="shared" si="5"/>
        <v>2732</v>
      </c>
      <c r="N20" s="436">
        <f>SUM(N21+N29)</f>
        <v>417</v>
      </c>
      <c r="O20" s="436">
        <f t="shared" ref="O20:S20" si="25">SUM(O21+O29)</f>
        <v>293</v>
      </c>
      <c r="P20" s="436">
        <f t="shared" si="25"/>
        <v>67</v>
      </c>
      <c r="Q20" s="436">
        <f t="shared" si="25"/>
        <v>57</v>
      </c>
      <c r="R20" s="436">
        <f t="shared" si="25"/>
        <v>0</v>
      </c>
      <c r="S20" s="436">
        <f t="shared" si="25"/>
        <v>2315</v>
      </c>
      <c r="T20" s="436">
        <f t="shared" ref="T20:BP20" si="26">T21+T29</f>
        <v>3</v>
      </c>
      <c r="U20" s="446">
        <f t="shared" si="8"/>
        <v>566</v>
      </c>
      <c r="V20" s="436">
        <f t="shared" si="26"/>
        <v>70</v>
      </c>
      <c r="W20" s="436">
        <f t="shared" si="26"/>
        <v>16</v>
      </c>
      <c r="X20" s="436">
        <f t="shared" si="26"/>
        <v>0</v>
      </c>
      <c r="Y20" s="436">
        <f t="shared" si="26"/>
        <v>0</v>
      </c>
      <c r="Z20" s="436">
        <f t="shared" si="26"/>
        <v>480</v>
      </c>
      <c r="AA20" s="436">
        <f t="shared" ref="AA20" si="27">AA21+AA29</f>
        <v>0</v>
      </c>
      <c r="AB20" s="446">
        <f t="shared" si="10"/>
        <v>776</v>
      </c>
      <c r="AC20" s="436">
        <f>AC21+AC29</f>
        <v>112</v>
      </c>
      <c r="AD20" s="436">
        <f t="shared" ref="AD20:AG20" si="28">AD21+AD29</f>
        <v>4</v>
      </c>
      <c r="AE20" s="436">
        <f t="shared" si="28"/>
        <v>0</v>
      </c>
      <c r="AF20" s="436">
        <f t="shared" si="28"/>
        <v>0</v>
      </c>
      <c r="AG20" s="436">
        <f t="shared" si="28"/>
        <v>660</v>
      </c>
      <c r="AH20" s="436">
        <f t="shared" si="26"/>
        <v>1</v>
      </c>
      <c r="AI20" s="436"/>
      <c r="AJ20" s="436">
        <f t="shared" si="26"/>
        <v>2</v>
      </c>
      <c r="AK20" s="436">
        <f t="shared" si="26"/>
        <v>1037</v>
      </c>
      <c r="AL20" s="436">
        <f t="shared" si="26"/>
        <v>116</v>
      </c>
      <c r="AM20" s="436">
        <f t="shared" si="26"/>
        <v>34</v>
      </c>
      <c r="AN20" s="436">
        <f t="shared" si="26"/>
        <v>0</v>
      </c>
      <c r="AO20" s="436">
        <f t="shared" si="26"/>
        <v>0</v>
      </c>
      <c r="AP20" s="436">
        <f t="shared" si="26"/>
        <v>887</v>
      </c>
      <c r="AQ20" s="436">
        <f t="shared" si="26"/>
        <v>1</v>
      </c>
      <c r="AR20" s="436">
        <f t="shared" si="26"/>
        <v>1</v>
      </c>
      <c r="AS20" s="446">
        <f t="shared" si="12"/>
        <v>986</v>
      </c>
      <c r="AT20" s="436">
        <f t="shared" si="26"/>
        <v>94</v>
      </c>
      <c r="AU20" s="436">
        <f t="shared" si="26"/>
        <v>28</v>
      </c>
      <c r="AV20" s="436">
        <f t="shared" si="26"/>
        <v>22</v>
      </c>
      <c r="AW20" s="436">
        <f t="shared" si="26"/>
        <v>0</v>
      </c>
      <c r="AX20" s="436">
        <f t="shared" si="26"/>
        <v>842</v>
      </c>
      <c r="AY20" s="436">
        <f t="shared" si="26"/>
        <v>0</v>
      </c>
      <c r="AZ20" s="436">
        <f t="shared" si="26"/>
        <v>0</v>
      </c>
      <c r="BA20" s="436">
        <f t="shared" si="26"/>
        <v>0</v>
      </c>
      <c r="BB20" s="436">
        <f t="shared" si="26"/>
        <v>817</v>
      </c>
      <c r="BC20" s="436">
        <f t="shared" si="26"/>
        <v>41</v>
      </c>
      <c r="BD20" s="436">
        <f t="shared" si="26"/>
        <v>41</v>
      </c>
      <c r="BE20" s="436">
        <f t="shared" si="26"/>
        <v>68</v>
      </c>
      <c r="BF20" s="436">
        <f t="shared" si="26"/>
        <v>0</v>
      </c>
      <c r="BG20" s="436">
        <f t="shared" si="26"/>
        <v>667</v>
      </c>
      <c r="BH20" s="436">
        <f t="shared" si="26"/>
        <v>0</v>
      </c>
      <c r="BI20" s="436">
        <f t="shared" si="26"/>
        <v>0</v>
      </c>
      <c r="BJ20" s="436">
        <f t="shared" si="26"/>
        <v>0</v>
      </c>
      <c r="BK20" s="436">
        <f t="shared" si="26"/>
        <v>0</v>
      </c>
      <c r="BL20" s="436">
        <f t="shared" si="26"/>
        <v>0</v>
      </c>
      <c r="BM20" s="436">
        <f t="shared" si="26"/>
        <v>0</v>
      </c>
      <c r="BN20" s="436">
        <f t="shared" si="26"/>
        <v>0</v>
      </c>
      <c r="BO20" s="436">
        <f t="shared" si="26"/>
        <v>0</v>
      </c>
      <c r="BP20" s="436">
        <f t="shared" si="26"/>
        <v>0</v>
      </c>
      <c r="BQ20" s="185"/>
      <c r="BR20" s="435">
        <f>'Учебный план'!BZ38</f>
        <v>0</v>
      </c>
      <c r="BS20" s="435">
        <f>'Учебный план'!CA38</f>
        <v>0</v>
      </c>
    </row>
    <row r="21" spans="1:74" s="254" customFormat="1" ht="26.1" customHeight="1" x14ac:dyDescent="0.2">
      <c r="A21" s="519" t="str">
        <f>'Учебный план'!A39</f>
        <v>П.00</v>
      </c>
      <c r="B21" s="793" t="str">
        <f>'Учебный план'!B39</f>
        <v>Общепрофессиональные дисциплины</v>
      </c>
      <c r="C21" s="794"/>
      <c r="D21" s="794"/>
      <c r="E21" s="794"/>
      <c r="F21" s="794"/>
      <c r="G21" s="794"/>
      <c r="H21" s="795"/>
      <c r="I21" s="436"/>
      <c r="J21" s="435"/>
      <c r="K21" s="446">
        <f>'Учебный план'!K39</f>
        <v>640</v>
      </c>
      <c r="L21" s="446">
        <f>'Учебный план'!L39</f>
        <v>427</v>
      </c>
      <c r="M21" s="446">
        <f t="shared" si="5"/>
        <v>640</v>
      </c>
      <c r="N21" s="436">
        <f t="shared" ref="N21:BG21" si="29">SUM(N22:N28)</f>
        <v>98</v>
      </c>
      <c r="O21" s="436">
        <f t="shared" si="29"/>
        <v>82</v>
      </c>
      <c r="P21" s="436">
        <f t="shared" si="29"/>
        <v>16</v>
      </c>
      <c r="Q21" s="436">
        <f t="shared" si="29"/>
        <v>0</v>
      </c>
      <c r="R21" s="436">
        <f t="shared" si="29"/>
        <v>0</v>
      </c>
      <c r="S21" s="436">
        <f t="shared" si="29"/>
        <v>542</v>
      </c>
      <c r="T21" s="436">
        <f t="shared" si="29"/>
        <v>3</v>
      </c>
      <c r="U21" s="446">
        <f t="shared" si="8"/>
        <v>566</v>
      </c>
      <c r="V21" s="436">
        <f t="shared" si="29"/>
        <v>70</v>
      </c>
      <c r="W21" s="436">
        <f t="shared" si="29"/>
        <v>16</v>
      </c>
      <c r="X21" s="436">
        <f t="shared" si="29"/>
        <v>0</v>
      </c>
      <c r="Y21" s="436">
        <f t="shared" si="29"/>
        <v>0</v>
      </c>
      <c r="Z21" s="436">
        <f t="shared" si="29"/>
        <v>480</v>
      </c>
      <c r="AA21" s="436">
        <f t="shared" ref="AA21" si="30">SUM(AA22:AA28)</f>
        <v>0</v>
      </c>
      <c r="AB21" s="446">
        <f t="shared" si="10"/>
        <v>74</v>
      </c>
      <c r="AC21" s="436">
        <f t="shared" ref="AC21:AG21" si="31">SUM(AC22:AC28)</f>
        <v>12</v>
      </c>
      <c r="AD21" s="436">
        <f t="shared" si="31"/>
        <v>0</v>
      </c>
      <c r="AE21" s="436">
        <f t="shared" si="31"/>
        <v>0</v>
      </c>
      <c r="AF21" s="436">
        <f t="shared" si="31"/>
        <v>0</v>
      </c>
      <c r="AG21" s="436">
        <f t="shared" si="31"/>
        <v>62</v>
      </c>
      <c r="AH21" s="436">
        <f t="shared" si="29"/>
        <v>0</v>
      </c>
      <c r="AI21" s="436"/>
      <c r="AJ21" s="436">
        <f t="shared" si="29"/>
        <v>0</v>
      </c>
      <c r="AK21" s="436">
        <f t="shared" si="29"/>
        <v>0</v>
      </c>
      <c r="AL21" s="436">
        <f t="shared" si="29"/>
        <v>0</v>
      </c>
      <c r="AM21" s="436">
        <f t="shared" si="29"/>
        <v>0</v>
      </c>
      <c r="AN21" s="436">
        <f t="shared" si="29"/>
        <v>0</v>
      </c>
      <c r="AO21" s="436">
        <f t="shared" si="29"/>
        <v>0</v>
      </c>
      <c r="AP21" s="436">
        <f t="shared" si="29"/>
        <v>0</v>
      </c>
      <c r="AQ21" s="436">
        <f t="shared" si="29"/>
        <v>0</v>
      </c>
      <c r="AR21" s="436">
        <f t="shared" si="29"/>
        <v>0</v>
      </c>
      <c r="AS21" s="446">
        <f t="shared" si="12"/>
        <v>0</v>
      </c>
      <c r="AT21" s="446">
        <f t="shared" si="29"/>
        <v>0</v>
      </c>
      <c r="AU21" s="436">
        <f t="shared" si="29"/>
        <v>0</v>
      </c>
      <c r="AV21" s="436">
        <f t="shared" si="29"/>
        <v>0</v>
      </c>
      <c r="AW21" s="436">
        <f t="shared" si="29"/>
        <v>0</v>
      </c>
      <c r="AX21" s="436">
        <f t="shared" si="29"/>
        <v>0</v>
      </c>
      <c r="AY21" s="436">
        <f t="shared" si="29"/>
        <v>0</v>
      </c>
      <c r="AZ21" s="436">
        <f t="shared" si="29"/>
        <v>0</v>
      </c>
      <c r="BA21" s="436">
        <f t="shared" si="29"/>
        <v>0</v>
      </c>
      <c r="BB21" s="436">
        <f t="shared" si="29"/>
        <v>0</v>
      </c>
      <c r="BC21" s="436">
        <f t="shared" si="29"/>
        <v>0</v>
      </c>
      <c r="BD21" s="436">
        <f t="shared" si="29"/>
        <v>0</v>
      </c>
      <c r="BE21" s="436">
        <f t="shared" si="29"/>
        <v>0</v>
      </c>
      <c r="BF21" s="436">
        <f t="shared" si="29"/>
        <v>0</v>
      </c>
      <c r="BG21" s="436">
        <f t="shared" si="29"/>
        <v>0</v>
      </c>
      <c r="BH21" s="520">
        <f>SUM(BH22:BH28)</f>
        <v>0</v>
      </c>
      <c r="BI21" s="436">
        <f t="shared" ref="BI21:BP21" si="32">SUM(BI22:BI28)</f>
        <v>0</v>
      </c>
      <c r="BJ21" s="436">
        <f t="shared" si="32"/>
        <v>0</v>
      </c>
      <c r="BK21" s="436">
        <f t="shared" si="32"/>
        <v>0</v>
      </c>
      <c r="BL21" s="436">
        <f t="shared" si="32"/>
        <v>0</v>
      </c>
      <c r="BM21" s="436">
        <f t="shared" si="32"/>
        <v>0</v>
      </c>
      <c r="BN21" s="436">
        <f t="shared" si="32"/>
        <v>0</v>
      </c>
      <c r="BO21" s="436">
        <f t="shared" si="32"/>
        <v>0</v>
      </c>
      <c r="BP21" s="436">
        <f t="shared" si="32"/>
        <v>0</v>
      </c>
      <c r="BQ21" s="521"/>
      <c r="BR21" s="435">
        <f>'Учебный план'!BZ39</f>
        <v>0</v>
      </c>
      <c r="BS21" s="435">
        <f>'Учебный план'!CA39</f>
        <v>0</v>
      </c>
    </row>
    <row r="22" spans="1:74" s="247" customFormat="1" ht="26.1" customHeight="1" x14ac:dyDescent="0.2">
      <c r="A22" s="512" t="str">
        <f>'Учебный план'!A40</f>
        <v>ОП.01</v>
      </c>
      <c r="B22" s="512" t="str">
        <f>'Учебный план'!B40</f>
        <v>Инженерная графика</v>
      </c>
      <c r="C22" s="223"/>
      <c r="D22" s="425"/>
      <c r="E22" s="425" t="s">
        <v>27</v>
      </c>
      <c r="F22" s="425"/>
      <c r="G22" s="425"/>
      <c r="H22" s="103" t="s">
        <v>27</v>
      </c>
      <c r="I22" s="200">
        <f t="shared" ref="I22:I28" si="33">K22-M22</f>
        <v>0</v>
      </c>
      <c r="J22" s="425">
        <f t="shared" ref="J22:J28" si="34">L22*$J$1</f>
        <v>19.8</v>
      </c>
      <c r="K22" s="200">
        <f>'Учебный план'!K40</f>
        <v>99</v>
      </c>
      <c r="L22" s="200">
        <f>'Учебный план'!L40</f>
        <v>66</v>
      </c>
      <c r="M22" s="516">
        <f t="shared" si="5"/>
        <v>99</v>
      </c>
      <c r="N22" s="516">
        <f t="shared" ref="N22:N28" si="35">SUM(O22:R22)</f>
        <v>14</v>
      </c>
      <c r="O22" s="516">
        <f t="shared" ref="O22:R28" si="36">V22+AL22+AT22+BC22+AC22+BK22</f>
        <v>2</v>
      </c>
      <c r="P22" s="516">
        <f t="shared" si="36"/>
        <v>12</v>
      </c>
      <c r="Q22" s="516">
        <f t="shared" si="36"/>
        <v>0</v>
      </c>
      <c r="R22" s="516">
        <f t="shared" si="36"/>
        <v>0</v>
      </c>
      <c r="S22" s="516">
        <f t="shared" ref="S22:S28" si="37">Z22+AP22+AX22+BG22+BP22+AG22</f>
        <v>85</v>
      </c>
      <c r="T22" s="517">
        <f t="shared" si="7"/>
        <v>1</v>
      </c>
      <c r="U22" s="418">
        <f t="shared" si="8"/>
        <v>99</v>
      </c>
      <c r="V22" s="200">
        <v>2</v>
      </c>
      <c r="W22" s="200">
        <v>12</v>
      </c>
      <c r="X22" s="200"/>
      <c r="Y22" s="200"/>
      <c r="Z22" s="200">
        <v>85</v>
      </c>
      <c r="AA22" s="517">
        <f t="shared" ref="AA22:AA28" si="38">LEN(Q22)-LEN(SUBSTITUTE(Q22,"1",""))</f>
        <v>0</v>
      </c>
      <c r="AB22" s="418">
        <f t="shared" si="10"/>
        <v>0</v>
      </c>
      <c r="AC22" s="200"/>
      <c r="AD22" s="200"/>
      <c r="AE22" s="200"/>
      <c r="AF22" s="200"/>
      <c r="AG22" s="200"/>
      <c r="AH22" s="518">
        <f t="shared" si="11"/>
        <v>0</v>
      </c>
      <c r="AI22" s="518"/>
      <c r="AJ22" s="518">
        <f t="shared" ref="AJ22:AJ28" si="39">LEN(H22)-LEN(SUBSTITUTE(H22,"3",""))</f>
        <v>0</v>
      </c>
      <c r="AK22" s="418">
        <f t="shared" ref="AK22:AK28" si="40">SUM(AL22:AP22)</f>
        <v>0</v>
      </c>
      <c r="AL22" s="200"/>
      <c r="AM22" s="200"/>
      <c r="AN22" s="200"/>
      <c r="AO22" s="200"/>
      <c r="AP22" s="200"/>
      <c r="AQ22" s="518">
        <f t="shared" ref="AQ22:AQ28" si="41">LEN(H22)-LEN(SUBSTITUTE(H22,"4",""))</f>
        <v>0</v>
      </c>
      <c r="AR22" s="518">
        <f t="shared" ref="AR22:AR28" si="42">LEN(H22)-LEN(SUBSTITUTE(H22,"5",""))</f>
        <v>0</v>
      </c>
      <c r="AS22" s="418">
        <f t="shared" si="12"/>
        <v>0</v>
      </c>
      <c r="AT22" s="200"/>
      <c r="AU22" s="200"/>
      <c r="AV22" s="200"/>
      <c r="AW22" s="200"/>
      <c r="AX22" s="200"/>
      <c r="AY22" s="518">
        <f t="shared" ref="AY22:AY28" si="43">LEN(H22)-LEN(SUBSTITUTE(H22,"6",""))</f>
        <v>0</v>
      </c>
      <c r="AZ22" s="518">
        <f t="shared" ref="AZ22:AZ28" si="44">LEN(H22)-LEN(SUBSTITUTE(H22,"7",""))</f>
        <v>0</v>
      </c>
      <c r="BA22" s="518">
        <f t="shared" ref="BA22:BA28" si="45">LEN(H22)-LEN(SUBSTITUTE(H22,"8",""))</f>
        <v>0</v>
      </c>
      <c r="BB22" s="418">
        <f t="shared" ref="BB22:BB28" si="46">SUM(BC22:BG22)</f>
        <v>0</v>
      </c>
      <c r="BC22" s="200"/>
      <c r="BD22" s="200"/>
      <c r="BE22" s="200"/>
      <c r="BF22" s="200"/>
      <c r="BG22" s="200"/>
      <c r="BH22" s="518">
        <f t="shared" ref="BH22:BH28" si="47">LEN(H22)-LEN(SUBSTITUTE(H22,"9",""))</f>
        <v>0</v>
      </c>
      <c r="BI22" s="418">
        <f>SUM(BJ22:BP22)</f>
        <v>0</v>
      </c>
      <c r="BJ22" s="200"/>
      <c r="BK22" s="200"/>
      <c r="BL22" s="200"/>
      <c r="BM22" s="200"/>
      <c r="BN22" s="200"/>
      <c r="BO22" s="200"/>
      <c r="BP22" s="200"/>
      <c r="BQ22" s="202"/>
      <c r="BR22" s="425" t="str">
        <f>'Учебный план'!BZ40</f>
        <v>64-2</v>
      </c>
      <c r="BS22" s="440" t="str">
        <f>'Учебный план'!CA40</f>
        <v>ОК-1-10 ПК 1.1-1.4, 3.1</v>
      </c>
    </row>
    <row r="23" spans="1:74" s="247" customFormat="1" ht="26.1" customHeight="1" x14ac:dyDescent="0.2">
      <c r="A23" s="512" t="str">
        <f>'Учебный план'!A41</f>
        <v>ОП.02</v>
      </c>
      <c r="B23" s="512" t="str">
        <f>'Учебный план'!B41</f>
        <v>Механика</v>
      </c>
      <c r="C23" s="223"/>
      <c r="D23" s="425"/>
      <c r="E23" s="425" t="s">
        <v>31</v>
      </c>
      <c r="F23" s="425"/>
      <c r="G23" s="425"/>
      <c r="H23" s="425"/>
      <c r="I23" s="200">
        <f t="shared" si="33"/>
        <v>0</v>
      </c>
      <c r="J23" s="522">
        <f t="shared" si="34"/>
        <v>15.3</v>
      </c>
      <c r="K23" s="200">
        <f>'Учебный план'!K41</f>
        <v>76</v>
      </c>
      <c r="L23" s="200">
        <f>'Учебный план'!L41</f>
        <v>51</v>
      </c>
      <c r="M23" s="516">
        <f t="shared" si="5"/>
        <v>76</v>
      </c>
      <c r="N23" s="516">
        <f t="shared" si="35"/>
        <v>12</v>
      </c>
      <c r="O23" s="516">
        <f t="shared" si="36"/>
        <v>12</v>
      </c>
      <c r="P23" s="516">
        <f t="shared" si="36"/>
        <v>0</v>
      </c>
      <c r="Q23" s="516">
        <f t="shared" si="36"/>
        <v>0</v>
      </c>
      <c r="R23" s="516">
        <f t="shared" si="36"/>
        <v>0</v>
      </c>
      <c r="S23" s="516">
        <f t="shared" si="37"/>
        <v>64</v>
      </c>
      <c r="T23" s="517">
        <f t="shared" si="7"/>
        <v>0</v>
      </c>
      <c r="U23" s="418">
        <f t="shared" si="8"/>
        <v>76</v>
      </c>
      <c r="V23" s="200">
        <v>12</v>
      </c>
      <c r="W23" s="200"/>
      <c r="X23" s="200"/>
      <c r="Y23" s="200"/>
      <c r="Z23" s="200">
        <v>64</v>
      </c>
      <c r="AA23" s="517">
        <f t="shared" si="38"/>
        <v>0</v>
      </c>
      <c r="AB23" s="418">
        <f t="shared" si="10"/>
        <v>0</v>
      </c>
      <c r="AC23" s="200"/>
      <c r="AD23" s="200"/>
      <c r="AE23" s="200"/>
      <c r="AF23" s="200"/>
      <c r="AG23" s="200"/>
      <c r="AH23" s="518">
        <f t="shared" si="11"/>
        <v>0</v>
      </c>
      <c r="AI23" s="518"/>
      <c r="AJ23" s="518">
        <f t="shared" si="39"/>
        <v>0</v>
      </c>
      <c r="AK23" s="418">
        <f t="shared" si="40"/>
        <v>0</v>
      </c>
      <c r="AL23" s="200"/>
      <c r="AM23" s="200"/>
      <c r="AN23" s="200"/>
      <c r="AO23" s="200"/>
      <c r="AP23" s="200"/>
      <c r="AQ23" s="518">
        <f t="shared" si="41"/>
        <v>0</v>
      </c>
      <c r="AR23" s="518">
        <f t="shared" si="42"/>
        <v>0</v>
      </c>
      <c r="AS23" s="418">
        <f t="shared" si="12"/>
        <v>0</v>
      </c>
      <c r="AT23" s="200"/>
      <c r="AU23" s="200"/>
      <c r="AV23" s="200"/>
      <c r="AW23" s="200"/>
      <c r="AX23" s="200"/>
      <c r="AY23" s="518">
        <f t="shared" si="43"/>
        <v>0</v>
      </c>
      <c r="AZ23" s="518">
        <f t="shared" si="44"/>
        <v>0</v>
      </c>
      <c r="BA23" s="518">
        <f t="shared" si="45"/>
        <v>0</v>
      </c>
      <c r="BB23" s="418">
        <f t="shared" si="46"/>
        <v>0</v>
      </c>
      <c r="BC23" s="200"/>
      <c r="BD23" s="200"/>
      <c r="BE23" s="200"/>
      <c r="BF23" s="200"/>
      <c r="BG23" s="200"/>
      <c r="BH23" s="518">
        <f t="shared" si="47"/>
        <v>0</v>
      </c>
      <c r="BI23" s="418">
        <f t="shared" ref="BI23:BI28" si="48">SUM(BJ23:BP23)</f>
        <v>0</v>
      </c>
      <c r="BJ23" s="200"/>
      <c r="BK23" s="200"/>
      <c r="BL23" s="200"/>
      <c r="BM23" s="200"/>
      <c r="BN23" s="200"/>
      <c r="BO23" s="200"/>
      <c r="BP23" s="200"/>
      <c r="BQ23" s="202"/>
      <c r="BR23" s="425" t="str">
        <f>'Учебный план'!BZ41</f>
        <v>64-2</v>
      </c>
      <c r="BS23" s="200" t="str">
        <f>'Учебный план'!CA41</f>
        <v>ОК-1-10 ПК 1.2 - 1.4</v>
      </c>
    </row>
    <row r="24" spans="1:74" s="247" customFormat="1" ht="26.1" customHeight="1" x14ac:dyDescent="0.2">
      <c r="A24" s="512" t="str">
        <f>'Учебный план'!A42</f>
        <v>ОП.03</v>
      </c>
      <c r="B24" s="512" t="str">
        <f>'Учебный план'!B42</f>
        <v>Электроника и электротехника</v>
      </c>
      <c r="C24" s="223"/>
      <c r="D24" s="425"/>
      <c r="E24" s="425" t="s">
        <v>27</v>
      </c>
      <c r="F24" s="425"/>
      <c r="G24" s="425"/>
      <c r="H24" s="425"/>
      <c r="I24" s="200">
        <f t="shared" si="33"/>
        <v>0</v>
      </c>
      <c r="J24" s="425">
        <f t="shared" si="34"/>
        <v>13.2</v>
      </c>
      <c r="K24" s="200">
        <f>'Учебный план'!K42</f>
        <v>66</v>
      </c>
      <c r="L24" s="200">
        <f>'Учебный план'!L42</f>
        <v>44</v>
      </c>
      <c r="M24" s="516">
        <f t="shared" si="5"/>
        <v>66</v>
      </c>
      <c r="N24" s="516">
        <f t="shared" si="35"/>
        <v>12</v>
      </c>
      <c r="O24" s="516">
        <f t="shared" si="36"/>
        <v>8</v>
      </c>
      <c r="P24" s="516">
        <f t="shared" si="36"/>
        <v>4</v>
      </c>
      <c r="Q24" s="516">
        <f t="shared" si="36"/>
        <v>0</v>
      </c>
      <c r="R24" s="516">
        <f t="shared" si="36"/>
        <v>0</v>
      </c>
      <c r="S24" s="516">
        <f t="shared" si="37"/>
        <v>54</v>
      </c>
      <c r="T24" s="517">
        <f t="shared" si="7"/>
        <v>0</v>
      </c>
      <c r="U24" s="418">
        <f t="shared" si="8"/>
        <v>66</v>
      </c>
      <c r="V24" s="200">
        <v>8</v>
      </c>
      <c r="W24" s="200">
        <v>4</v>
      </c>
      <c r="X24" s="200"/>
      <c r="Y24" s="200"/>
      <c r="Z24" s="200">
        <v>54</v>
      </c>
      <c r="AA24" s="517">
        <f t="shared" si="38"/>
        <v>0</v>
      </c>
      <c r="AB24" s="418">
        <f t="shared" si="10"/>
        <v>0</v>
      </c>
      <c r="AC24" s="200"/>
      <c r="AD24" s="200"/>
      <c r="AE24" s="200"/>
      <c r="AF24" s="200"/>
      <c r="AG24" s="200"/>
      <c r="AH24" s="518">
        <f t="shared" si="11"/>
        <v>0</v>
      </c>
      <c r="AI24" s="518"/>
      <c r="AJ24" s="518">
        <f t="shared" si="39"/>
        <v>0</v>
      </c>
      <c r="AK24" s="418">
        <f t="shared" si="40"/>
        <v>0</v>
      </c>
      <c r="AL24" s="200"/>
      <c r="AM24" s="200"/>
      <c r="AN24" s="200"/>
      <c r="AO24" s="200"/>
      <c r="AP24" s="200"/>
      <c r="AQ24" s="518">
        <f t="shared" si="41"/>
        <v>0</v>
      </c>
      <c r="AR24" s="518">
        <f t="shared" si="42"/>
        <v>0</v>
      </c>
      <c r="AS24" s="418">
        <f t="shared" si="12"/>
        <v>0</v>
      </c>
      <c r="AT24" s="200"/>
      <c r="AU24" s="200"/>
      <c r="AV24" s="200"/>
      <c r="AW24" s="200"/>
      <c r="AX24" s="200"/>
      <c r="AY24" s="518">
        <f t="shared" si="43"/>
        <v>0</v>
      </c>
      <c r="AZ24" s="518">
        <f t="shared" si="44"/>
        <v>0</v>
      </c>
      <c r="BA24" s="518">
        <f t="shared" si="45"/>
        <v>0</v>
      </c>
      <c r="BB24" s="418">
        <f t="shared" si="46"/>
        <v>0</v>
      </c>
      <c r="BC24" s="200"/>
      <c r="BD24" s="200"/>
      <c r="BE24" s="200"/>
      <c r="BF24" s="200"/>
      <c r="BG24" s="200"/>
      <c r="BH24" s="518">
        <f t="shared" si="47"/>
        <v>0</v>
      </c>
      <c r="BI24" s="418">
        <f t="shared" si="48"/>
        <v>0</v>
      </c>
      <c r="BJ24" s="200"/>
      <c r="BK24" s="200"/>
      <c r="BL24" s="200"/>
      <c r="BM24" s="200"/>
      <c r="BN24" s="200"/>
      <c r="BO24" s="200"/>
      <c r="BP24" s="200"/>
      <c r="BQ24" s="202"/>
      <c r="BR24" s="425" t="str">
        <f>'Учебный план'!BZ42</f>
        <v>64-5</v>
      </c>
      <c r="BS24" s="200" t="str">
        <f>'Учебный план'!CA42</f>
        <v>ОК 1-10; ПК-1.3</v>
      </c>
    </row>
    <row r="25" spans="1:74" s="247" customFormat="1" ht="26.1" customHeight="1" x14ac:dyDescent="0.2">
      <c r="A25" s="512" t="str">
        <f>'Учебный план'!A43</f>
        <v>ОП.04</v>
      </c>
      <c r="B25" s="512" t="str">
        <f>'Учебный план'!B43</f>
        <v xml:space="preserve">Правовые основы профессиональной деятельности                                               </v>
      </c>
      <c r="C25" s="223"/>
      <c r="D25" s="425" t="s">
        <v>27</v>
      </c>
      <c r="E25" s="425"/>
      <c r="F25" s="425"/>
      <c r="G25" s="425"/>
      <c r="H25" s="103" t="s">
        <v>27</v>
      </c>
      <c r="I25" s="200">
        <f t="shared" si="33"/>
        <v>0</v>
      </c>
      <c r="J25" s="425">
        <f t="shared" si="34"/>
        <v>19.8</v>
      </c>
      <c r="K25" s="200">
        <f>'Учебный план'!K43</f>
        <v>99</v>
      </c>
      <c r="L25" s="200">
        <f>'Учебный план'!L43</f>
        <v>66</v>
      </c>
      <c r="M25" s="516">
        <f t="shared" si="5"/>
        <v>99</v>
      </c>
      <c r="N25" s="516">
        <f t="shared" si="35"/>
        <v>12</v>
      </c>
      <c r="O25" s="516">
        <f t="shared" si="36"/>
        <v>12</v>
      </c>
      <c r="P25" s="516">
        <f t="shared" si="36"/>
        <v>0</v>
      </c>
      <c r="Q25" s="516">
        <f t="shared" si="36"/>
        <v>0</v>
      </c>
      <c r="R25" s="516">
        <f t="shared" si="36"/>
        <v>0</v>
      </c>
      <c r="S25" s="516">
        <f t="shared" si="37"/>
        <v>87</v>
      </c>
      <c r="T25" s="517">
        <f t="shared" si="7"/>
        <v>1</v>
      </c>
      <c r="U25" s="418">
        <f t="shared" si="8"/>
        <v>99</v>
      </c>
      <c r="V25" s="200">
        <v>12</v>
      </c>
      <c r="W25" s="200"/>
      <c r="X25" s="200"/>
      <c r="Y25" s="200"/>
      <c r="Z25" s="200">
        <v>87</v>
      </c>
      <c r="AA25" s="517">
        <f t="shared" si="38"/>
        <v>0</v>
      </c>
      <c r="AB25" s="418">
        <f t="shared" si="10"/>
        <v>0</v>
      </c>
      <c r="AC25" s="200"/>
      <c r="AD25" s="200"/>
      <c r="AE25" s="200"/>
      <c r="AF25" s="200"/>
      <c r="AG25" s="200"/>
      <c r="AH25" s="518">
        <f t="shared" si="11"/>
        <v>0</v>
      </c>
      <c r="AI25" s="518"/>
      <c r="AJ25" s="518">
        <f t="shared" si="39"/>
        <v>0</v>
      </c>
      <c r="AK25" s="418">
        <f t="shared" si="40"/>
        <v>0</v>
      </c>
      <c r="AL25" s="200"/>
      <c r="AM25" s="200"/>
      <c r="AN25" s="200"/>
      <c r="AO25" s="200"/>
      <c r="AP25" s="200"/>
      <c r="AQ25" s="518">
        <f t="shared" si="41"/>
        <v>0</v>
      </c>
      <c r="AR25" s="518">
        <f t="shared" si="42"/>
        <v>0</v>
      </c>
      <c r="AS25" s="418">
        <f t="shared" si="12"/>
        <v>0</v>
      </c>
      <c r="AT25" s="200"/>
      <c r="AU25" s="200"/>
      <c r="AV25" s="200"/>
      <c r="AW25" s="200"/>
      <c r="AX25" s="200"/>
      <c r="AY25" s="518">
        <f t="shared" si="43"/>
        <v>0</v>
      </c>
      <c r="AZ25" s="518">
        <f t="shared" si="44"/>
        <v>0</v>
      </c>
      <c r="BA25" s="518">
        <f t="shared" si="45"/>
        <v>0</v>
      </c>
      <c r="BB25" s="418">
        <f t="shared" si="46"/>
        <v>0</v>
      </c>
      <c r="BC25" s="200"/>
      <c r="BD25" s="200"/>
      <c r="BE25" s="200"/>
      <c r="BF25" s="200"/>
      <c r="BG25" s="200"/>
      <c r="BH25" s="518">
        <f t="shared" si="47"/>
        <v>0</v>
      </c>
      <c r="BI25" s="418">
        <f t="shared" si="48"/>
        <v>0</v>
      </c>
      <c r="BJ25" s="200"/>
      <c r="BK25" s="200"/>
      <c r="BL25" s="200"/>
      <c r="BM25" s="200"/>
      <c r="BN25" s="200"/>
      <c r="BO25" s="200"/>
      <c r="BP25" s="200"/>
      <c r="BQ25" s="202"/>
      <c r="BR25" s="425" t="str">
        <f>'Учебный план'!BZ43</f>
        <v>64-4</v>
      </c>
      <c r="BS25" s="200" t="str">
        <f>'Учебный план'!CA43</f>
        <v>ОК-1-10 ПК 1.1 - 1.4, 2.1 - 2.7, 3.1, 3.2, 4.1-4.3</v>
      </c>
    </row>
    <row r="26" spans="1:74" s="247" customFormat="1" ht="26.1" customHeight="1" x14ac:dyDescent="0.2">
      <c r="A26" s="512" t="str">
        <f>'Учебный план'!A44</f>
        <v>ОП.05</v>
      </c>
      <c r="B26" s="512" t="str">
        <f>'Учебный план'!B44</f>
        <v>Метрология и стандартизация</v>
      </c>
      <c r="C26" s="223"/>
      <c r="D26" s="425"/>
      <c r="E26" s="425" t="s">
        <v>27</v>
      </c>
      <c r="F26" s="425"/>
      <c r="G26" s="425"/>
      <c r="H26" s="425"/>
      <c r="I26" s="200">
        <f t="shared" si="33"/>
        <v>0</v>
      </c>
      <c r="J26" s="425">
        <f t="shared" si="34"/>
        <v>9.6</v>
      </c>
      <c r="K26" s="200">
        <f>'Учебный план'!K44</f>
        <v>48</v>
      </c>
      <c r="L26" s="200">
        <f>'Учебный план'!L44</f>
        <v>32</v>
      </c>
      <c r="M26" s="516">
        <f t="shared" si="5"/>
        <v>48</v>
      </c>
      <c r="N26" s="516">
        <f t="shared" si="35"/>
        <v>8</v>
      </c>
      <c r="O26" s="516">
        <f t="shared" si="36"/>
        <v>8</v>
      </c>
      <c r="P26" s="516">
        <f t="shared" si="36"/>
        <v>0</v>
      </c>
      <c r="Q26" s="516">
        <f t="shared" si="36"/>
        <v>0</v>
      </c>
      <c r="R26" s="516">
        <f t="shared" si="36"/>
        <v>0</v>
      </c>
      <c r="S26" s="516">
        <f t="shared" si="37"/>
        <v>40</v>
      </c>
      <c r="T26" s="517">
        <f t="shared" si="7"/>
        <v>0</v>
      </c>
      <c r="U26" s="418">
        <f t="shared" si="8"/>
        <v>48</v>
      </c>
      <c r="V26" s="200">
        <v>8</v>
      </c>
      <c r="W26" s="200"/>
      <c r="X26" s="200"/>
      <c r="Y26" s="200"/>
      <c r="Z26" s="200">
        <v>40</v>
      </c>
      <c r="AA26" s="517">
        <f t="shared" si="38"/>
        <v>0</v>
      </c>
      <c r="AB26" s="418">
        <f t="shared" si="10"/>
        <v>0</v>
      </c>
      <c r="AC26" s="200"/>
      <c r="AD26" s="200"/>
      <c r="AE26" s="200"/>
      <c r="AF26" s="200"/>
      <c r="AG26" s="200"/>
      <c r="AH26" s="518">
        <f t="shared" si="11"/>
        <v>0</v>
      </c>
      <c r="AI26" s="518"/>
      <c r="AJ26" s="518">
        <f t="shared" si="39"/>
        <v>0</v>
      </c>
      <c r="AK26" s="418">
        <f t="shared" si="40"/>
        <v>0</v>
      </c>
      <c r="AL26" s="200"/>
      <c r="AM26" s="200"/>
      <c r="AN26" s="200"/>
      <c r="AO26" s="200"/>
      <c r="AP26" s="200"/>
      <c r="AQ26" s="518">
        <f t="shared" si="41"/>
        <v>0</v>
      </c>
      <c r="AR26" s="518">
        <f t="shared" si="42"/>
        <v>0</v>
      </c>
      <c r="AS26" s="418">
        <f t="shared" si="12"/>
        <v>0</v>
      </c>
      <c r="AT26" s="200"/>
      <c r="AU26" s="200"/>
      <c r="AV26" s="200"/>
      <c r="AW26" s="200"/>
      <c r="AX26" s="200"/>
      <c r="AY26" s="518">
        <f t="shared" si="43"/>
        <v>0</v>
      </c>
      <c r="AZ26" s="518">
        <f t="shared" si="44"/>
        <v>0</v>
      </c>
      <c r="BA26" s="518">
        <f t="shared" si="45"/>
        <v>0</v>
      </c>
      <c r="BB26" s="418">
        <f t="shared" si="46"/>
        <v>0</v>
      </c>
      <c r="BC26" s="200"/>
      <c r="BD26" s="200"/>
      <c r="BE26" s="200"/>
      <c r="BF26" s="200"/>
      <c r="BG26" s="200"/>
      <c r="BH26" s="518">
        <f t="shared" si="47"/>
        <v>0</v>
      </c>
      <c r="BI26" s="418">
        <f t="shared" si="48"/>
        <v>0</v>
      </c>
      <c r="BJ26" s="200"/>
      <c r="BK26" s="200"/>
      <c r="BL26" s="200"/>
      <c r="BM26" s="200"/>
      <c r="BN26" s="200"/>
      <c r="BO26" s="200"/>
      <c r="BP26" s="200"/>
      <c r="BQ26" s="202"/>
      <c r="BR26" s="425" t="str">
        <f>'Учебный план'!BZ44</f>
        <v>64-3</v>
      </c>
      <c r="BS26" s="200" t="str">
        <f>'Учебный план'!CA44</f>
        <v>ОК 1-10, ПК 1.1 - 1.4, 3.1, 3.2,4.1-4.3</v>
      </c>
    </row>
    <row r="27" spans="1:74" s="247" customFormat="1" ht="26.1" customHeight="1" x14ac:dyDescent="0.2">
      <c r="A27" s="512" t="str">
        <f>'Учебный план'!A45</f>
        <v>ОП.06</v>
      </c>
      <c r="B27" s="512" t="str">
        <f>'Учебный план'!B45</f>
        <v>Теория и устройство судна</v>
      </c>
      <c r="C27" s="223"/>
      <c r="D27" s="425" t="s">
        <v>31</v>
      </c>
      <c r="E27" s="425"/>
      <c r="F27" s="425"/>
      <c r="G27" s="425"/>
      <c r="H27" s="103" t="s">
        <v>27</v>
      </c>
      <c r="I27" s="200">
        <f t="shared" si="33"/>
        <v>0</v>
      </c>
      <c r="J27" s="425">
        <f t="shared" si="34"/>
        <v>30</v>
      </c>
      <c r="K27" s="200">
        <f>'Учебный план'!K45</f>
        <v>150</v>
      </c>
      <c r="L27" s="200">
        <f>'Учебный план'!L45</f>
        <v>100</v>
      </c>
      <c r="M27" s="516">
        <f t="shared" si="5"/>
        <v>150</v>
      </c>
      <c r="N27" s="516">
        <f t="shared" si="35"/>
        <v>28</v>
      </c>
      <c r="O27" s="516">
        <f t="shared" si="36"/>
        <v>28</v>
      </c>
      <c r="P27" s="516">
        <f t="shared" si="36"/>
        <v>0</v>
      </c>
      <c r="Q27" s="516">
        <f t="shared" si="36"/>
        <v>0</v>
      </c>
      <c r="R27" s="516">
        <f t="shared" si="36"/>
        <v>0</v>
      </c>
      <c r="S27" s="516">
        <f t="shared" si="37"/>
        <v>122</v>
      </c>
      <c r="T27" s="517">
        <f t="shared" si="7"/>
        <v>1</v>
      </c>
      <c r="U27" s="418">
        <f t="shared" si="8"/>
        <v>76</v>
      </c>
      <c r="V27" s="200">
        <v>16</v>
      </c>
      <c r="W27" s="200"/>
      <c r="X27" s="200"/>
      <c r="Y27" s="200"/>
      <c r="Z27" s="200">
        <v>60</v>
      </c>
      <c r="AA27" s="517">
        <f t="shared" si="38"/>
        <v>0</v>
      </c>
      <c r="AB27" s="418">
        <f t="shared" si="10"/>
        <v>74</v>
      </c>
      <c r="AC27" s="200">
        <v>12</v>
      </c>
      <c r="AD27" s="200"/>
      <c r="AE27" s="200"/>
      <c r="AF27" s="200"/>
      <c r="AG27" s="200">
        <v>62</v>
      </c>
      <c r="AH27" s="518">
        <f t="shared" si="11"/>
        <v>0</v>
      </c>
      <c r="AI27" s="518"/>
      <c r="AJ27" s="518">
        <f t="shared" si="39"/>
        <v>0</v>
      </c>
      <c r="AK27" s="418">
        <f t="shared" si="40"/>
        <v>0</v>
      </c>
      <c r="AL27" s="200"/>
      <c r="AM27" s="200"/>
      <c r="AN27" s="200"/>
      <c r="AO27" s="200"/>
      <c r="AP27" s="200"/>
      <c r="AQ27" s="518">
        <f t="shared" si="41"/>
        <v>0</v>
      </c>
      <c r="AR27" s="518">
        <f t="shared" si="42"/>
        <v>0</v>
      </c>
      <c r="AS27" s="418">
        <f t="shared" si="12"/>
        <v>0</v>
      </c>
      <c r="AT27" s="200"/>
      <c r="AU27" s="200"/>
      <c r="AV27" s="200"/>
      <c r="AW27" s="200"/>
      <c r="AX27" s="200"/>
      <c r="AY27" s="518">
        <f t="shared" si="43"/>
        <v>0</v>
      </c>
      <c r="AZ27" s="518">
        <f t="shared" si="44"/>
        <v>0</v>
      </c>
      <c r="BA27" s="518">
        <f t="shared" si="45"/>
        <v>0</v>
      </c>
      <c r="BB27" s="418">
        <f t="shared" si="46"/>
        <v>0</v>
      </c>
      <c r="BC27" s="200"/>
      <c r="BD27" s="200"/>
      <c r="BE27" s="200"/>
      <c r="BF27" s="200"/>
      <c r="BG27" s="200"/>
      <c r="BH27" s="518">
        <f t="shared" si="47"/>
        <v>0</v>
      </c>
      <c r="BI27" s="418">
        <f t="shared" si="48"/>
        <v>0</v>
      </c>
      <c r="BJ27" s="200"/>
      <c r="BK27" s="200"/>
      <c r="BL27" s="200"/>
      <c r="BM27" s="200"/>
      <c r="BN27" s="200"/>
      <c r="BO27" s="200"/>
      <c r="BP27" s="200"/>
      <c r="BQ27" s="202"/>
      <c r="BR27" s="425" t="str">
        <f>'Учебный план'!BZ45</f>
        <v>64-4</v>
      </c>
      <c r="BS27" s="200" t="str">
        <f>'Учебный план'!CA45</f>
        <v>ОК 1-10 ПК 1.1 - 1.4, 2.1-2.7, 3.1, 3.2, 4.1-4.3</v>
      </c>
    </row>
    <row r="28" spans="1:74" s="247" customFormat="1" ht="26.1" customHeight="1" x14ac:dyDescent="0.2">
      <c r="A28" s="512" t="str">
        <f>'Учебный план'!A46</f>
        <v>ОП.07</v>
      </c>
      <c r="B28" s="512" t="str">
        <f>'Учебный план'!B46</f>
        <v>Безопасность жизнедеятельности</v>
      </c>
      <c r="C28" s="223"/>
      <c r="D28" s="425" t="s">
        <v>27</v>
      </c>
      <c r="E28" s="425"/>
      <c r="F28" s="425"/>
      <c r="G28" s="425"/>
      <c r="H28" s="425"/>
      <c r="I28" s="200">
        <f t="shared" si="33"/>
        <v>0</v>
      </c>
      <c r="J28" s="425">
        <f t="shared" si="34"/>
        <v>20.399999999999999</v>
      </c>
      <c r="K28" s="200">
        <f>'Учебный план'!K46</f>
        <v>102</v>
      </c>
      <c r="L28" s="200">
        <f>'Учебный план'!L46</f>
        <v>68</v>
      </c>
      <c r="M28" s="516">
        <f t="shared" si="5"/>
        <v>102</v>
      </c>
      <c r="N28" s="516">
        <f t="shared" si="35"/>
        <v>12</v>
      </c>
      <c r="O28" s="516">
        <f t="shared" si="36"/>
        <v>12</v>
      </c>
      <c r="P28" s="516">
        <f t="shared" si="36"/>
        <v>0</v>
      </c>
      <c r="Q28" s="516">
        <f t="shared" si="36"/>
        <v>0</v>
      </c>
      <c r="R28" s="516">
        <f t="shared" si="36"/>
        <v>0</v>
      </c>
      <c r="S28" s="516">
        <f t="shared" si="37"/>
        <v>90</v>
      </c>
      <c r="T28" s="517">
        <f t="shared" si="7"/>
        <v>0</v>
      </c>
      <c r="U28" s="418">
        <f t="shared" si="8"/>
        <v>102</v>
      </c>
      <c r="V28" s="200">
        <v>12</v>
      </c>
      <c r="W28" s="200"/>
      <c r="X28" s="200"/>
      <c r="Y28" s="200"/>
      <c r="Z28" s="200">
        <v>90</v>
      </c>
      <c r="AA28" s="517">
        <f t="shared" si="38"/>
        <v>0</v>
      </c>
      <c r="AB28" s="418">
        <f t="shared" si="10"/>
        <v>0</v>
      </c>
      <c r="AC28" s="200"/>
      <c r="AD28" s="200"/>
      <c r="AE28" s="200"/>
      <c r="AF28" s="200"/>
      <c r="AG28" s="200"/>
      <c r="AH28" s="518">
        <f t="shared" si="11"/>
        <v>0</v>
      </c>
      <c r="AI28" s="518"/>
      <c r="AJ28" s="518">
        <f t="shared" si="39"/>
        <v>0</v>
      </c>
      <c r="AK28" s="418">
        <f t="shared" si="40"/>
        <v>0</v>
      </c>
      <c r="AL28" s="200"/>
      <c r="AM28" s="200"/>
      <c r="AN28" s="200"/>
      <c r="AO28" s="200"/>
      <c r="AP28" s="200"/>
      <c r="AQ28" s="518">
        <f t="shared" si="41"/>
        <v>0</v>
      </c>
      <c r="AR28" s="518">
        <f t="shared" si="42"/>
        <v>0</v>
      </c>
      <c r="AS28" s="418">
        <f t="shared" si="12"/>
        <v>0</v>
      </c>
      <c r="AT28" s="200"/>
      <c r="AU28" s="200"/>
      <c r="AV28" s="200"/>
      <c r="AW28" s="200"/>
      <c r="AX28" s="200"/>
      <c r="AY28" s="518">
        <f t="shared" si="43"/>
        <v>0</v>
      </c>
      <c r="AZ28" s="518">
        <f t="shared" si="44"/>
        <v>0</v>
      </c>
      <c r="BA28" s="518">
        <f t="shared" si="45"/>
        <v>0</v>
      </c>
      <c r="BB28" s="418">
        <f t="shared" si="46"/>
        <v>0</v>
      </c>
      <c r="BC28" s="200"/>
      <c r="BD28" s="200"/>
      <c r="BE28" s="200"/>
      <c r="BF28" s="200"/>
      <c r="BG28" s="200"/>
      <c r="BH28" s="518">
        <f t="shared" si="47"/>
        <v>0</v>
      </c>
      <c r="BI28" s="418">
        <f t="shared" si="48"/>
        <v>0</v>
      </c>
      <c r="BJ28" s="200"/>
      <c r="BK28" s="200"/>
      <c r="BL28" s="200"/>
      <c r="BM28" s="200"/>
      <c r="BN28" s="200"/>
      <c r="BO28" s="200"/>
      <c r="BP28" s="200"/>
      <c r="BQ28" s="202"/>
      <c r="BR28" s="425" t="str">
        <f>'Учебный план'!BZ46</f>
        <v>64-4</v>
      </c>
      <c r="BS28" s="200" t="str">
        <f>'Учебный план'!CA46</f>
        <v>ОК-1-10, ПК 1.1-1.4. 2.1-2.7, 3.1, 3.2, 4.1-4.3</v>
      </c>
      <c r="BV28" s="247" t="s">
        <v>26</v>
      </c>
    </row>
    <row r="29" spans="1:74" s="254" customFormat="1" ht="26.1" customHeight="1" x14ac:dyDescent="0.2">
      <c r="A29" s="523" t="str">
        <f>'Учебный план'!A47</f>
        <v>ПМ.00</v>
      </c>
      <c r="B29" s="796" t="str">
        <f>'Учебный план'!B47</f>
        <v>Профессиональные модули</v>
      </c>
      <c r="C29" s="797"/>
      <c r="D29" s="797"/>
      <c r="E29" s="797"/>
      <c r="F29" s="797"/>
      <c r="G29" s="797"/>
      <c r="H29" s="798"/>
      <c r="I29" s="446"/>
      <c r="J29" s="524"/>
      <c r="K29" s="446">
        <f>'Учебный план'!K47</f>
        <v>3592</v>
      </c>
      <c r="L29" s="446">
        <f>'Учебный план'!L47</f>
        <v>2463</v>
      </c>
      <c r="M29" s="446">
        <f t="shared" ref="M29:S29" si="49">SUM(M30+M56+M63+M68+M71)</f>
        <v>3564</v>
      </c>
      <c r="N29" s="446">
        <f t="shared" si="49"/>
        <v>319</v>
      </c>
      <c r="O29" s="446">
        <f t="shared" si="49"/>
        <v>211</v>
      </c>
      <c r="P29" s="446">
        <f t="shared" si="49"/>
        <v>51</v>
      </c>
      <c r="Q29" s="446">
        <f t="shared" si="49"/>
        <v>57</v>
      </c>
      <c r="R29" s="446">
        <f t="shared" si="49"/>
        <v>0</v>
      </c>
      <c r="S29" s="446">
        <f t="shared" si="49"/>
        <v>1773</v>
      </c>
      <c r="T29" s="446">
        <f>SUM(T30+T56+T63)</f>
        <v>0</v>
      </c>
      <c r="U29" s="446">
        <f t="shared" ref="U29:Z29" si="50">SUM(U30+U56+U63+U68+U71)</f>
        <v>0</v>
      </c>
      <c r="V29" s="446">
        <f t="shared" si="50"/>
        <v>0</v>
      </c>
      <c r="W29" s="446">
        <f t="shared" si="50"/>
        <v>0</v>
      </c>
      <c r="X29" s="446">
        <f t="shared" si="50"/>
        <v>0</v>
      </c>
      <c r="Y29" s="446">
        <f t="shared" si="50"/>
        <v>0</v>
      </c>
      <c r="Z29" s="446">
        <f t="shared" si="50"/>
        <v>0</v>
      </c>
      <c r="AA29" s="446">
        <f>SUM(AA30+AA56+AA63)</f>
        <v>0</v>
      </c>
      <c r="AB29" s="446">
        <f t="shared" ref="AB29:AG29" si="51">SUM(AB30+AB56+AB63+AB68+AB71)</f>
        <v>702</v>
      </c>
      <c r="AC29" s="446">
        <f t="shared" si="51"/>
        <v>100</v>
      </c>
      <c r="AD29" s="446">
        <f t="shared" si="51"/>
        <v>4</v>
      </c>
      <c r="AE29" s="446">
        <f t="shared" si="51"/>
        <v>0</v>
      </c>
      <c r="AF29" s="446">
        <f t="shared" si="51"/>
        <v>0</v>
      </c>
      <c r="AG29" s="446">
        <f t="shared" si="51"/>
        <v>598</v>
      </c>
      <c r="AH29" s="446">
        <f>SUM(AH30+AH56+AH63)</f>
        <v>1</v>
      </c>
      <c r="AI29" s="446"/>
      <c r="AJ29" s="446">
        <f>SUM(AJ30+AJ56+AJ63)</f>
        <v>2</v>
      </c>
      <c r="AK29" s="446">
        <f t="shared" ref="AK29:AP29" si="52">SUM(AK30+AK56+AK63+AK68+AK71)</f>
        <v>1037</v>
      </c>
      <c r="AL29" s="446">
        <f t="shared" si="52"/>
        <v>116</v>
      </c>
      <c r="AM29" s="446">
        <f t="shared" si="52"/>
        <v>34</v>
      </c>
      <c r="AN29" s="446">
        <f t="shared" si="52"/>
        <v>0</v>
      </c>
      <c r="AO29" s="446">
        <f t="shared" si="52"/>
        <v>0</v>
      </c>
      <c r="AP29" s="446">
        <f t="shared" si="52"/>
        <v>887</v>
      </c>
      <c r="AQ29" s="446">
        <f>SUM(AQ30+AQ56+AQ63)</f>
        <v>1</v>
      </c>
      <c r="AR29" s="446">
        <f>SUM(AR30+AR56+AR63)</f>
        <v>1</v>
      </c>
      <c r="AS29" s="446">
        <f t="shared" ref="AS29:AX29" si="53">SUM(AS30+AS56+AS63+AS68+AS71)</f>
        <v>986</v>
      </c>
      <c r="AT29" s="446">
        <f t="shared" si="53"/>
        <v>94</v>
      </c>
      <c r="AU29" s="446">
        <f t="shared" si="53"/>
        <v>28</v>
      </c>
      <c r="AV29" s="446">
        <f t="shared" si="53"/>
        <v>22</v>
      </c>
      <c r="AW29" s="446">
        <f t="shared" si="53"/>
        <v>0</v>
      </c>
      <c r="AX29" s="446">
        <f t="shared" si="53"/>
        <v>842</v>
      </c>
      <c r="AY29" s="446">
        <f>SUM(AY30+AY56+AY63)</f>
        <v>0</v>
      </c>
      <c r="AZ29" s="446">
        <f>SUM(AZ30+AZ56+AZ63)</f>
        <v>0</v>
      </c>
      <c r="BA29" s="446">
        <f>SUM(BA30+BA56+BA63)</f>
        <v>0</v>
      </c>
      <c r="BB29" s="446">
        <f t="shared" ref="BB29:BG29" si="54">SUM(BB30+BB56+BB63+BB68+BB71)</f>
        <v>817</v>
      </c>
      <c r="BC29" s="446">
        <f t="shared" si="54"/>
        <v>41</v>
      </c>
      <c r="BD29" s="446">
        <f t="shared" si="54"/>
        <v>41</v>
      </c>
      <c r="BE29" s="446">
        <f t="shared" si="54"/>
        <v>68</v>
      </c>
      <c r="BF29" s="446">
        <f t="shared" si="54"/>
        <v>0</v>
      </c>
      <c r="BG29" s="446">
        <f t="shared" si="54"/>
        <v>667</v>
      </c>
      <c r="BH29" s="446">
        <f>SUM(BH30+BH56+BH63)</f>
        <v>0</v>
      </c>
      <c r="BI29" s="446">
        <f t="shared" ref="BI29:BP29" si="55">SUM(BI30+BI56+BI63+BI68+BI71)</f>
        <v>0</v>
      </c>
      <c r="BJ29" s="446">
        <f t="shared" si="55"/>
        <v>0</v>
      </c>
      <c r="BK29" s="446">
        <f t="shared" si="55"/>
        <v>0</v>
      </c>
      <c r="BL29" s="446">
        <f t="shared" si="55"/>
        <v>0</v>
      </c>
      <c r="BM29" s="446">
        <f t="shared" si="55"/>
        <v>0</v>
      </c>
      <c r="BN29" s="446">
        <f t="shared" si="55"/>
        <v>0</v>
      </c>
      <c r="BO29" s="446">
        <f t="shared" si="55"/>
        <v>0</v>
      </c>
      <c r="BP29" s="446">
        <f t="shared" si="55"/>
        <v>0</v>
      </c>
      <c r="BQ29" s="446"/>
      <c r="BR29" s="524">
        <f>'Учебный план'!BZ47</f>
        <v>0</v>
      </c>
      <c r="BS29" s="524">
        <f>'Учебный план'!CA47</f>
        <v>0</v>
      </c>
    </row>
    <row r="30" spans="1:74" s="254" customFormat="1" ht="26.1" customHeight="1" x14ac:dyDescent="0.2">
      <c r="A30" s="525" t="str">
        <f>'Учебный план'!A48</f>
        <v>ПМ.01</v>
      </c>
      <c r="B30" s="799" t="str">
        <f>'Учебный план'!B48</f>
        <v>Управление и эксплуатация судна с правом эксплуатации
судовых энергетических установок</v>
      </c>
      <c r="C30" s="800"/>
      <c r="D30" s="800"/>
      <c r="E30" s="800"/>
      <c r="F30" s="800"/>
      <c r="G30" s="800"/>
      <c r="H30" s="801"/>
      <c r="I30" s="419"/>
      <c r="J30" s="487"/>
      <c r="K30" s="419">
        <f>'Учебный план'!K48</f>
        <v>2926</v>
      </c>
      <c r="L30" s="419">
        <f>'Учебный план'!L48</f>
        <v>2007</v>
      </c>
      <c r="M30" s="419">
        <f>SUM(M31+M37+M44+M51)</f>
        <v>2898</v>
      </c>
      <c r="N30" s="419">
        <f t="shared" ref="N30:BA30" si="56">SUM(N31+N37)</f>
        <v>223</v>
      </c>
      <c r="O30" s="419">
        <f t="shared" si="56"/>
        <v>137</v>
      </c>
      <c r="P30" s="419">
        <f t="shared" si="56"/>
        <v>51</v>
      </c>
      <c r="Q30" s="419">
        <f t="shared" si="56"/>
        <v>35</v>
      </c>
      <c r="R30" s="419">
        <f t="shared" si="56"/>
        <v>0</v>
      </c>
      <c r="S30" s="419">
        <f t="shared" si="56"/>
        <v>1203</v>
      </c>
      <c r="T30" s="419">
        <f t="shared" si="56"/>
        <v>0</v>
      </c>
      <c r="U30" s="419">
        <f t="shared" si="56"/>
        <v>0</v>
      </c>
      <c r="V30" s="419">
        <f t="shared" si="56"/>
        <v>0</v>
      </c>
      <c r="W30" s="419">
        <f t="shared" si="56"/>
        <v>0</v>
      </c>
      <c r="X30" s="419">
        <f t="shared" si="56"/>
        <v>0</v>
      </c>
      <c r="Y30" s="419">
        <f t="shared" si="56"/>
        <v>0</v>
      </c>
      <c r="Z30" s="419">
        <f t="shared" si="56"/>
        <v>0</v>
      </c>
      <c r="AA30" s="419">
        <f t="shared" ref="AA30" si="57">SUM(AA31+AA37)</f>
        <v>0</v>
      </c>
      <c r="AB30" s="419">
        <f t="shared" ref="AB30:AJ30" si="58">SUM(AB31+AB37+AB44+AB51)</f>
        <v>338</v>
      </c>
      <c r="AC30" s="419">
        <f t="shared" si="58"/>
        <v>60</v>
      </c>
      <c r="AD30" s="419">
        <f t="shared" si="58"/>
        <v>4</v>
      </c>
      <c r="AE30" s="419">
        <f t="shared" si="58"/>
        <v>0</v>
      </c>
      <c r="AF30" s="419">
        <f t="shared" si="58"/>
        <v>0</v>
      </c>
      <c r="AG30" s="419">
        <f t="shared" si="58"/>
        <v>274</v>
      </c>
      <c r="AH30" s="419">
        <f t="shared" si="58"/>
        <v>1</v>
      </c>
      <c r="AI30" s="419">
        <f t="shared" si="58"/>
        <v>0</v>
      </c>
      <c r="AJ30" s="419">
        <f t="shared" si="58"/>
        <v>2</v>
      </c>
      <c r="AK30" s="419">
        <f t="shared" ref="AK30" si="59">SUM(AK31+AK37+AK44+AK51)</f>
        <v>972</v>
      </c>
      <c r="AL30" s="419">
        <f t="shared" ref="AL30" si="60">SUM(AL31+AL37+AL44+AL51)</f>
        <v>108</v>
      </c>
      <c r="AM30" s="419">
        <f t="shared" ref="AM30" si="61">SUM(AM31+AM37+AM44+AM51)</f>
        <v>34</v>
      </c>
      <c r="AN30" s="419">
        <f t="shared" ref="AN30" si="62">SUM(AN31+AN37+AN44+AN51)</f>
        <v>0</v>
      </c>
      <c r="AO30" s="419">
        <f t="shared" ref="AO30" si="63">SUM(AO31+AO37+AO44+AO51)</f>
        <v>0</v>
      </c>
      <c r="AP30" s="419">
        <f t="shared" ref="AP30" si="64">SUM(AP31+AP37+AP44+AP51)</f>
        <v>830</v>
      </c>
      <c r="AQ30" s="419">
        <f t="shared" si="56"/>
        <v>1</v>
      </c>
      <c r="AR30" s="419">
        <f t="shared" si="56"/>
        <v>1</v>
      </c>
      <c r="AS30" s="419">
        <f t="shared" ref="AS30" si="65">SUM(AS31+AS37+AS44+AS51)</f>
        <v>799</v>
      </c>
      <c r="AT30" s="419">
        <f t="shared" ref="AT30" si="66">SUM(AT31+AT37+AT44+AT51)</f>
        <v>78</v>
      </c>
      <c r="AU30" s="419">
        <f t="shared" ref="AU30" si="67">SUM(AU31+AU37+AU44+AU51)</f>
        <v>28</v>
      </c>
      <c r="AV30" s="419">
        <f t="shared" ref="AV30" si="68">SUM(AV31+AV37+AV44+AV51)</f>
        <v>0</v>
      </c>
      <c r="AW30" s="419">
        <f t="shared" ref="AW30" si="69">SUM(AW31+AW37+AW44+AW51)</f>
        <v>0</v>
      </c>
      <c r="AX30" s="419">
        <f t="shared" ref="AX30" si="70">SUM(AX31+AX37+AX44+AX51)</f>
        <v>693</v>
      </c>
      <c r="AY30" s="419">
        <f t="shared" si="56"/>
        <v>0</v>
      </c>
      <c r="AZ30" s="419">
        <f t="shared" si="56"/>
        <v>0</v>
      </c>
      <c r="BA30" s="419">
        <f t="shared" si="56"/>
        <v>0</v>
      </c>
      <c r="BB30" s="419">
        <f t="shared" ref="BB30" si="71">SUM(BB31+BB37+BB44+BB51)</f>
        <v>817</v>
      </c>
      <c r="BC30" s="419">
        <f t="shared" ref="BC30" si="72">SUM(BC31+BC37+BC44+BC51)</f>
        <v>41</v>
      </c>
      <c r="BD30" s="419">
        <f t="shared" ref="BD30" si="73">SUM(BD31+BD37+BD44+BD51)</f>
        <v>41</v>
      </c>
      <c r="BE30" s="419">
        <f t="shared" ref="BE30" si="74">SUM(BE31+BE37+BE44+BE51)</f>
        <v>68</v>
      </c>
      <c r="BF30" s="419">
        <f t="shared" ref="BF30" si="75">SUM(BF31+BF37+BF44+BF51)</f>
        <v>0</v>
      </c>
      <c r="BG30" s="419">
        <f t="shared" ref="BG30" si="76">SUM(BG31+BG37+BG44+BG51)</f>
        <v>667</v>
      </c>
      <c r="BH30" s="419"/>
      <c r="BI30" s="419">
        <f t="shared" ref="BI30:BL30" si="77">SUM(BI31+BI37)</f>
        <v>0</v>
      </c>
      <c r="BJ30" s="419">
        <f t="shared" si="77"/>
        <v>0</v>
      </c>
      <c r="BK30" s="419">
        <f t="shared" si="77"/>
        <v>0</v>
      </c>
      <c r="BL30" s="419">
        <f t="shared" si="77"/>
        <v>0</v>
      </c>
      <c r="BM30" s="419">
        <f>SUM(BM31+BM37)</f>
        <v>0</v>
      </c>
      <c r="BN30" s="419">
        <f t="shared" ref="BN30:BP30" si="78">SUM(BN31+BN37)</f>
        <v>0</v>
      </c>
      <c r="BO30" s="419">
        <f t="shared" si="78"/>
        <v>0</v>
      </c>
      <c r="BP30" s="419">
        <f t="shared" si="78"/>
        <v>0</v>
      </c>
      <c r="BQ30" s="419"/>
      <c r="BR30" s="487">
        <f>'Учебный план'!BZ48</f>
        <v>0</v>
      </c>
      <c r="BS30" s="491" t="str">
        <f>'Учебный план'!CA48</f>
        <v>ОК 1-10, ПК1.1-1.4</v>
      </c>
    </row>
    <row r="31" spans="1:74" s="254" customFormat="1" ht="26.1" customHeight="1" x14ac:dyDescent="0.2">
      <c r="A31" s="562" t="str">
        <f>'Учебный план'!A49</f>
        <v>МДК.01.01</v>
      </c>
      <c r="B31" s="802" t="str">
        <f>'Учебный план'!B49</f>
        <v>Навигация, навигационная гидрометеорология и лоция</v>
      </c>
      <c r="C31" s="803"/>
      <c r="D31" s="803"/>
      <c r="E31" s="803"/>
      <c r="F31" s="803"/>
      <c r="G31" s="803"/>
      <c r="H31" s="804"/>
      <c r="I31" s="561"/>
      <c r="J31" s="568"/>
      <c r="K31" s="561">
        <f>'Учебный план'!K49</f>
        <v>726</v>
      </c>
      <c r="L31" s="561">
        <f>'Учебный план'!L49</f>
        <v>484</v>
      </c>
      <c r="M31" s="561">
        <f t="shared" ref="M31:BP31" si="79">SUM(M32:M36)</f>
        <v>726</v>
      </c>
      <c r="N31" s="561">
        <f t="shared" si="79"/>
        <v>129</v>
      </c>
      <c r="O31" s="561">
        <f t="shared" si="79"/>
        <v>82</v>
      </c>
      <c r="P31" s="561">
        <f t="shared" si="79"/>
        <v>12</v>
      </c>
      <c r="Q31" s="561">
        <f t="shared" si="79"/>
        <v>35</v>
      </c>
      <c r="R31" s="561">
        <f t="shared" si="79"/>
        <v>0</v>
      </c>
      <c r="S31" s="561">
        <f t="shared" si="79"/>
        <v>597</v>
      </c>
      <c r="T31" s="561">
        <f t="shared" si="79"/>
        <v>0</v>
      </c>
      <c r="U31" s="561">
        <f>SUM(U32:U36)</f>
        <v>0</v>
      </c>
      <c r="V31" s="561">
        <f t="shared" si="79"/>
        <v>0</v>
      </c>
      <c r="W31" s="561">
        <f t="shared" si="79"/>
        <v>0</v>
      </c>
      <c r="X31" s="561">
        <f t="shared" si="79"/>
        <v>0</v>
      </c>
      <c r="Y31" s="561">
        <f t="shared" si="79"/>
        <v>0</v>
      </c>
      <c r="Z31" s="561">
        <f t="shared" si="79"/>
        <v>0</v>
      </c>
      <c r="AA31" s="561">
        <f t="shared" ref="AA31:AX31" si="80">SUM(AA32:AA36)</f>
        <v>0</v>
      </c>
      <c r="AB31" s="561">
        <f t="shared" si="80"/>
        <v>57</v>
      </c>
      <c r="AC31" s="561">
        <f t="shared" si="80"/>
        <v>12</v>
      </c>
      <c r="AD31" s="561">
        <f t="shared" si="80"/>
        <v>0</v>
      </c>
      <c r="AE31" s="561">
        <f t="shared" si="80"/>
        <v>0</v>
      </c>
      <c r="AF31" s="561">
        <f t="shared" si="80"/>
        <v>0</v>
      </c>
      <c r="AG31" s="561">
        <f t="shared" si="80"/>
        <v>45</v>
      </c>
      <c r="AH31" s="561">
        <f t="shared" si="80"/>
        <v>1</v>
      </c>
      <c r="AI31" s="561">
        <f t="shared" si="80"/>
        <v>0</v>
      </c>
      <c r="AJ31" s="561">
        <f t="shared" si="80"/>
        <v>1</v>
      </c>
      <c r="AK31" s="561">
        <f t="shared" si="80"/>
        <v>290</v>
      </c>
      <c r="AL31" s="561">
        <f t="shared" si="80"/>
        <v>36</v>
      </c>
      <c r="AM31" s="561">
        <f t="shared" si="80"/>
        <v>12</v>
      </c>
      <c r="AN31" s="561">
        <f t="shared" si="80"/>
        <v>0</v>
      </c>
      <c r="AO31" s="561">
        <f t="shared" si="80"/>
        <v>0</v>
      </c>
      <c r="AP31" s="561">
        <f t="shared" si="80"/>
        <v>242</v>
      </c>
      <c r="AQ31" s="561">
        <f t="shared" si="80"/>
        <v>1</v>
      </c>
      <c r="AR31" s="561">
        <f t="shared" si="80"/>
        <v>0</v>
      </c>
      <c r="AS31" s="561">
        <f t="shared" si="80"/>
        <v>167</v>
      </c>
      <c r="AT31" s="561">
        <f t="shared" si="80"/>
        <v>20</v>
      </c>
      <c r="AU31" s="561">
        <f t="shared" si="80"/>
        <v>0</v>
      </c>
      <c r="AV31" s="561">
        <f t="shared" si="80"/>
        <v>0</v>
      </c>
      <c r="AW31" s="561">
        <f t="shared" si="80"/>
        <v>0</v>
      </c>
      <c r="AX31" s="561">
        <f t="shared" si="80"/>
        <v>147</v>
      </c>
      <c r="AY31" s="561">
        <f t="shared" si="79"/>
        <v>0</v>
      </c>
      <c r="AZ31" s="561">
        <f t="shared" si="79"/>
        <v>0</v>
      </c>
      <c r="BA31" s="561">
        <f t="shared" si="79"/>
        <v>0</v>
      </c>
      <c r="BB31" s="561">
        <f t="shared" ref="BB31:BG31" si="81">SUM(BB32:BB36)</f>
        <v>212</v>
      </c>
      <c r="BC31" s="561">
        <f t="shared" si="81"/>
        <v>14</v>
      </c>
      <c r="BD31" s="561">
        <f t="shared" si="81"/>
        <v>0</v>
      </c>
      <c r="BE31" s="561">
        <f t="shared" si="81"/>
        <v>35</v>
      </c>
      <c r="BF31" s="561">
        <f t="shared" si="81"/>
        <v>0</v>
      </c>
      <c r="BG31" s="561">
        <f t="shared" si="81"/>
        <v>163</v>
      </c>
      <c r="BH31" s="561">
        <f t="shared" si="79"/>
        <v>0</v>
      </c>
      <c r="BI31" s="561">
        <f t="shared" si="79"/>
        <v>0</v>
      </c>
      <c r="BJ31" s="561">
        <f t="shared" si="79"/>
        <v>0</v>
      </c>
      <c r="BK31" s="561">
        <f t="shared" si="79"/>
        <v>0</v>
      </c>
      <c r="BL31" s="561">
        <f t="shared" si="79"/>
        <v>0</v>
      </c>
      <c r="BM31" s="561">
        <f t="shared" si="79"/>
        <v>0</v>
      </c>
      <c r="BN31" s="561">
        <f t="shared" si="79"/>
        <v>0</v>
      </c>
      <c r="BO31" s="561">
        <f t="shared" si="79"/>
        <v>0</v>
      </c>
      <c r="BP31" s="561">
        <f t="shared" si="79"/>
        <v>0</v>
      </c>
      <c r="BQ31" s="561"/>
      <c r="BR31" s="561">
        <f>'Учебный план'!BZ49</f>
        <v>0</v>
      </c>
      <c r="BS31" s="561">
        <f>'Учебный план'!CA49</f>
        <v>0</v>
      </c>
    </row>
    <row r="32" spans="1:74" s="248" customFormat="1" ht="26.1" customHeight="1" x14ac:dyDescent="0.2">
      <c r="A32" s="512">
        <f>'Учебный план'!A50</f>
        <v>0</v>
      </c>
      <c r="B32" s="512" t="str">
        <f>'Учебный план'!B50</f>
        <v>Навигация и лоция</v>
      </c>
      <c r="C32" s="223"/>
      <c r="D32" s="425"/>
      <c r="E32" s="425" t="s">
        <v>41</v>
      </c>
      <c r="F32" s="425"/>
      <c r="G32" s="425" t="s">
        <v>41</v>
      </c>
      <c r="H32" s="103" t="s">
        <v>618</v>
      </c>
      <c r="I32" s="200">
        <f t="shared" ref="I32:I36" si="82">K32-M32</f>
        <v>0</v>
      </c>
      <c r="J32" s="425">
        <f t="shared" ref="J32:J36" si="83">L32*$J$1</f>
        <v>61.2</v>
      </c>
      <c r="K32" s="200">
        <f>'Учебный план'!K50</f>
        <v>312</v>
      </c>
      <c r="L32" s="200">
        <f>'Учебный план'!L50</f>
        <v>204</v>
      </c>
      <c r="M32" s="516">
        <f>SUM(N32+S32)</f>
        <v>312</v>
      </c>
      <c r="N32" s="516">
        <f>SUM(O32:R32)</f>
        <v>59</v>
      </c>
      <c r="O32" s="516">
        <f t="shared" ref="O32:R36" si="84">V32+AL32+AT32+BC32+AC32+BK32</f>
        <v>24</v>
      </c>
      <c r="P32" s="516">
        <f t="shared" si="84"/>
        <v>0</v>
      </c>
      <c r="Q32" s="516">
        <f t="shared" si="84"/>
        <v>35</v>
      </c>
      <c r="R32" s="516">
        <f t="shared" si="84"/>
        <v>0</v>
      </c>
      <c r="S32" s="516">
        <f>Z32+AP32+AX32+BG32+BP32+AG32</f>
        <v>253</v>
      </c>
      <c r="T32" s="517">
        <f>LEN(H32)-LEN(SUBSTITUTE(H32,"1",""))</f>
        <v>0</v>
      </c>
      <c r="U32" s="418">
        <f>SUM(V32:Z32)</f>
        <v>0</v>
      </c>
      <c r="V32" s="200"/>
      <c r="W32" s="200"/>
      <c r="X32" s="200"/>
      <c r="Y32" s="200"/>
      <c r="Z32" s="200"/>
      <c r="AA32" s="517">
        <f>LEN(Q32)-LEN(SUBSTITUTE(Q32,"1",""))</f>
        <v>0</v>
      </c>
      <c r="AB32" s="418">
        <f>SUM(AC32:AG32)</f>
        <v>0</v>
      </c>
      <c r="AC32" s="200"/>
      <c r="AD32" s="200"/>
      <c r="AE32" s="200"/>
      <c r="AF32" s="200"/>
      <c r="AG32" s="200"/>
      <c r="AH32" s="518">
        <f>LEN(H32)-LEN(SUBSTITUTE(H32,"2",""))</f>
        <v>0</v>
      </c>
      <c r="AI32" s="518"/>
      <c r="AJ32" s="518">
        <f>LEN(H32)-LEN(SUBSTITUTE(H32,"3",""))</f>
        <v>1</v>
      </c>
      <c r="AK32" s="418">
        <f>SUM(AL32:AP32)</f>
        <v>100</v>
      </c>
      <c r="AL32" s="200">
        <v>12</v>
      </c>
      <c r="AM32" s="200"/>
      <c r="AN32" s="200"/>
      <c r="AO32" s="200"/>
      <c r="AP32" s="200">
        <v>88</v>
      </c>
      <c r="AQ32" s="518">
        <f>LEN(H32)-LEN(SUBSTITUTE(H32,"4",""))</f>
        <v>1</v>
      </c>
      <c r="AR32" s="518">
        <f>LEN(H32)-LEN(SUBSTITUTE(H32,"5",""))</f>
        <v>0</v>
      </c>
      <c r="AS32" s="418">
        <f>SUM(AT32:AX32)</f>
        <v>98</v>
      </c>
      <c r="AT32" s="200">
        <v>10</v>
      </c>
      <c r="AU32" s="200"/>
      <c r="AV32" s="200"/>
      <c r="AW32" s="200"/>
      <c r="AX32" s="200">
        <v>88</v>
      </c>
      <c r="AY32" s="518">
        <f>LEN(H32)-LEN(SUBSTITUTE(H32,"6",""))</f>
        <v>0</v>
      </c>
      <c r="AZ32" s="518">
        <f>LEN(H32)-LEN(SUBSTITUTE(H32,"7",""))</f>
        <v>0</v>
      </c>
      <c r="BA32" s="518">
        <f>LEN(H32)-LEN(SUBSTITUTE(H32,"8",""))</f>
        <v>0</v>
      </c>
      <c r="BB32" s="418">
        <f>SUM(BC32:BG32)</f>
        <v>114</v>
      </c>
      <c r="BC32" s="200">
        <v>2</v>
      </c>
      <c r="BD32" s="200"/>
      <c r="BE32" s="200">
        <v>35</v>
      </c>
      <c r="BF32" s="200"/>
      <c r="BG32" s="200">
        <v>77</v>
      </c>
      <c r="BH32" s="518">
        <f>LEN(H32)-LEN(SUBSTITUTE(H32,"9",""))</f>
        <v>0</v>
      </c>
      <c r="BI32" s="418">
        <f>SUM(BJ32:BP32)</f>
        <v>0</v>
      </c>
      <c r="BJ32" s="200"/>
      <c r="BK32" s="200"/>
      <c r="BL32" s="200"/>
      <c r="BM32" s="200"/>
      <c r="BN32" s="200"/>
      <c r="BO32" s="200"/>
      <c r="BP32" s="200"/>
      <c r="BQ32" s="202"/>
      <c r="BR32" s="425" t="str">
        <f>'Учебный план'!BZ50</f>
        <v>64-4</v>
      </c>
      <c r="BS32" s="200" t="str">
        <f>'Учебный план'!CA50</f>
        <v>ОК-1-10; ПК-1.1</v>
      </c>
    </row>
    <row r="33" spans="1:71" s="248" customFormat="1" ht="26.1" customHeight="1" x14ac:dyDescent="0.2">
      <c r="A33" s="512">
        <f>'Учебный план'!A51</f>
        <v>0</v>
      </c>
      <c r="B33" s="512" t="str">
        <f>'Учебный план'!B51</f>
        <v>Основы картографии и навигационные карты</v>
      </c>
      <c r="C33" s="223"/>
      <c r="D33" s="425"/>
      <c r="E33" s="425" t="s">
        <v>30</v>
      </c>
      <c r="F33" s="425"/>
      <c r="G33" s="425"/>
      <c r="H33" s="103" t="s">
        <v>31</v>
      </c>
      <c r="I33" s="200">
        <f t="shared" si="82"/>
        <v>0</v>
      </c>
      <c r="J33" s="425">
        <f t="shared" si="83"/>
        <v>24.6</v>
      </c>
      <c r="K33" s="200">
        <f>'Учебный план'!K51</f>
        <v>120</v>
      </c>
      <c r="L33" s="200">
        <f>'Учебный план'!L51</f>
        <v>82</v>
      </c>
      <c r="M33" s="516">
        <f>SUM(N33+S33)</f>
        <v>120</v>
      </c>
      <c r="N33" s="516">
        <f>SUM(O33:R33)</f>
        <v>24</v>
      </c>
      <c r="O33" s="516">
        <f t="shared" si="84"/>
        <v>24</v>
      </c>
      <c r="P33" s="516">
        <f t="shared" si="84"/>
        <v>0</v>
      </c>
      <c r="Q33" s="516">
        <f t="shared" si="84"/>
        <v>0</v>
      </c>
      <c r="R33" s="516">
        <f t="shared" si="84"/>
        <v>0</v>
      </c>
      <c r="S33" s="516">
        <f>Z33+AP33+AX33+BG33+BP33+AG33</f>
        <v>96</v>
      </c>
      <c r="T33" s="517">
        <f>LEN(H33)-LEN(SUBSTITUTE(H33,"1",""))</f>
        <v>0</v>
      </c>
      <c r="U33" s="418">
        <f>SUM(V33:Z33)</f>
        <v>0</v>
      </c>
      <c r="V33" s="200"/>
      <c r="W33" s="200"/>
      <c r="X33" s="200"/>
      <c r="Y33" s="200"/>
      <c r="Z33" s="200"/>
      <c r="AA33" s="517">
        <f>LEN(Q33)-LEN(SUBSTITUTE(Q33,"1",""))</f>
        <v>0</v>
      </c>
      <c r="AB33" s="418">
        <f>SUM(AC33:AG33)</f>
        <v>57</v>
      </c>
      <c r="AC33" s="200">
        <v>12</v>
      </c>
      <c r="AD33" s="200"/>
      <c r="AE33" s="200"/>
      <c r="AF33" s="200"/>
      <c r="AG33" s="200">
        <v>45</v>
      </c>
      <c r="AH33" s="518">
        <f>LEN(H33)-LEN(SUBSTITUTE(H33,"2",""))</f>
        <v>1</v>
      </c>
      <c r="AI33" s="518"/>
      <c r="AJ33" s="518">
        <f>LEN(H33)-LEN(SUBSTITUTE(H33,"3",""))</f>
        <v>0</v>
      </c>
      <c r="AK33" s="418">
        <f>SUM(AL33:AP33)</f>
        <v>63</v>
      </c>
      <c r="AL33" s="200">
        <v>12</v>
      </c>
      <c r="AM33" s="200"/>
      <c r="AN33" s="200"/>
      <c r="AO33" s="200"/>
      <c r="AP33" s="200">
        <v>51</v>
      </c>
      <c r="AQ33" s="518">
        <f>LEN(H33)-LEN(SUBSTITUTE(H33,"4",""))</f>
        <v>0</v>
      </c>
      <c r="AR33" s="518">
        <f>LEN(H33)-LEN(SUBSTITUTE(H33,"5",""))</f>
        <v>0</v>
      </c>
      <c r="AS33" s="418">
        <f>SUM(AT33:AX33)</f>
        <v>0</v>
      </c>
      <c r="AT33" s="200"/>
      <c r="AU33" s="200"/>
      <c r="AV33" s="200"/>
      <c r="AW33" s="200"/>
      <c r="AX33" s="200"/>
      <c r="AY33" s="518">
        <f>LEN(H33)-LEN(SUBSTITUTE(H33,"6",""))</f>
        <v>0</v>
      </c>
      <c r="AZ33" s="518">
        <f>LEN(H33)-LEN(SUBSTITUTE(H33,"7",""))</f>
        <v>0</v>
      </c>
      <c r="BA33" s="518">
        <f>LEN(H33)-LEN(SUBSTITUTE(H33,"8",""))</f>
        <v>0</v>
      </c>
      <c r="BB33" s="418">
        <f>SUM(BC33:BG33)</f>
        <v>0</v>
      </c>
      <c r="BC33" s="200"/>
      <c r="BD33" s="200"/>
      <c r="BE33" s="200"/>
      <c r="BF33" s="200"/>
      <c r="BG33" s="200"/>
      <c r="BH33" s="518">
        <f>LEN(H33)-LEN(SUBSTITUTE(H33,"9",""))</f>
        <v>0</v>
      </c>
      <c r="BI33" s="418">
        <f>SUM(BJ33:BP33)</f>
        <v>0</v>
      </c>
      <c r="BJ33" s="200"/>
      <c r="BK33" s="200"/>
      <c r="BL33" s="200"/>
      <c r="BM33" s="200"/>
      <c r="BN33" s="200"/>
      <c r="BO33" s="200"/>
      <c r="BP33" s="200"/>
      <c r="BQ33" s="202"/>
      <c r="BR33" s="425" t="str">
        <f>'Учебный план'!BZ51</f>
        <v>64-4</v>
      </c>
      <c r="BS33" s="200" t="str">
        <f>'Учебный план'!CA51</f>
        <v>ОК-1-10; ПК-1.1</v>
      </c>
    </row>
    <row r="34" spans="1:71" s="248" customFormat="1" ht="26.1" customHeight="1" x14ac:dyDescent="0.2">
      <c r="A34" s="512">
        <f>'Учебный план'!A52</f>
        <v>0</v>
      </c>
      <c r="B34" s="512" t="str">
        <f>'Учебный план'!B52</f>
        <v>Навигационная гидрометеорология</v>
      </c>
      <c r="C34" s="223"/>
      <c r="D34" s="425"/>
      <c r="E34" s="425" t="s">
        <v>41</v>
      </c>
      <c r="F34" s="425"/>
      <c r="G34" s="425"/>
      <c r="H34" s="103" t="s">
        <v>41</v>
      </c>
      <c r="I34" s="200">
        <f t="shared" si="82"/>
        <v>0</v>
      </c>
      <c r="J34" s="425">
        <f t="shared" si="83"/>
        <v>19.8</v>
      </c>
      <c r="K34" s="200">
        <f>'Учебный план'!K52</f>
        <v>98</v>
      </c>
      <c r="L34" s="200">
        <f>'Учебный план'!L52</f>
        <v>66</v>
      </c>
      <c r="M34" s="516">
        <f>SUM(N34+S34)</f>
        <v>98</v>
      </c>
      <c r="N34" s="516">
        <f>SUM(O34:R34)</f>
        <v>12</v>
      </c>
      <c r="O34" s="516">
        <f t="shared" si="84"/>
        <v>12</v>
      </c>
      <c r="P34" s="516">
        <f t="shared" si="84"/>
        <v>0</v>
      </c>
      <c r="Q34" s="516">
        <f t="shared" si="84"/>
        <v>0</v>
      </c>
      <c r="R34" s="516">
        <f t="shared" si="84"/>
        <v>0</v>
      </c>
      <c r="S34" s="516">
        <f>Z34+AP34+AX34+BG34+BP34+AG34</f>
        <v>86</v>
      </c>
      <c r="T34" s="517"/>
      <c r="U34" s="418">
        <f>SUM(V34:Z34)</f>
        <v>0</v>
      </c>
      <c r="V34" s="200"/>
      <c r="W34" s="200"/>
      <c r="X34" s="200"/>
      <c r="Y34" s="200"/>
      <c r="Z34" s="200"/>
      <c r="AA34" s="517"/>
      <c r="AB34" s="418">
        <f>SUM(AC34:AG34)</f>
        <v>0</v>
      </c>
      <c r="AC34" s="200"/>
      <c r="AD34" s="200"/>
      <c r="AE34" s="200"/>
      <c r="AF34" s="200"/>
      <c r="AG34" s="200"/>
      <c r="AH34" s="518"/>
      <c r="AI34" s="518"/>
      <c r="AJ34" s="518"/>
      <c r="AK34" s="418">
        <f>SUM(AL34:AP34)</f>
        <v>0</v>
      </c>
      <c r="AL34" s="200"/>
      <c r="AM34" s="200"/>
      <c r="AN34" s="200"/>
      <c r="AO34" s="200"/>
      <c r="AP34" s="200"/>
      <c r="AQ34" s="518"/>
      <c r="AR34" s="518"/>
      <c r="AS34" s="418">
        <f>SUM(AT34:AX34)</f>
        <v>0</v>
      </c>
      <c r="AT34" s="200"/>
      <c r="AU34" s="200"/>
      <c r="AV34" s="200"/>
      <c r="AW34" s="200"/>
      <c r="AX34" s="200"/>
      <c r="AY34" s="518"/>
      <c r="AZ34" s="518"/>
      <c r="BA34" s="518"/>
      <c r="BB34" s="418">
        <f>SUM(BC34:BG34)</f>
        <v>98</v>
      </c>
      <c r="BC34" s="200">
        <v>12</v>
      </c>
      <c r="BD34" s="200"/>
      <c r="BE34" s="200"/>
      <c r="BF34" s="200"/>
      <c r="BG34" s="200">
        <f>K34-BC34</f>
        <v>86</v>
      </c>
      <c r="BH34" s="518"/>
      <c r="BI34" s="418">
        <f t="shared" ref="BI34:BI36" si="85">SUM(BJ34:BP34)</f>
        <v>0</v>
      </c>
      <c r="BJ34" s="200"/>
      <c r="BK34" s="200"/>
      <c r="BL34" s="200"/>
      <c r="BM34" s="200"/>
      <c r="BN34" s="200"/>
      <c r="BO34" s="200"/>
      <c r="BP34" s="200"/>
      <c r="BQ34" s="202"/>
      <c r="BR34" s="425" t="str">
        <f>'Учебный план'!BZ52</f>
        <v>64-4</v>
      </c>
      <c r="BS34" s="200" t="str">
        <f>'Учебный план'!CA52</f>
        <v>ОК-1-10; ПК-1.1</v>
      </c>
    </row>
    <row r="35" spans="1:71" s="248" customFormat="1" ht="26.1" customHeight="1" x14ac:dyDescent="0.2">
      <c r="A35" s="512">
        <f>'Учебный план'!A53</f>
        <v>0</v>
      </c>
      <c r="B35" s="512" t="str">
        <f>'Учебный план'!B53</f>
        <v>Мореходная астрономия</v>
      </c>
      <c r="C35" s="223"/>
      <c r="D35" s="425" t="s">
        <v>40</v>
      </c>
      <c r="E35" s="425"/>
      <c r="F35" s="425"/>
      <c r="G35" s="425"/>
      <c r="H35" s="103" t="s">
        <v>30</v>
      </c>
      <c r="I35" s="200">
        <f t="shared" si="82"/>
        <v>0</v>
      </c>
      <c r="J35" s="425">
        <f t="shared" si="83"/>
        <v>26.4</v>
      </c>
      <c r="K35" s="200">
        <f>'Учебный план'!K53</f>
        <v>130</v>
      </c>
      <c r="L35" s="200">
        <f>'Учебный план'!L53</f>
        <v>88</v>
      </c>
      <c r="M35" s="516">
        <f>SUM(N35+S35)</f>
        <v>130</v>
      </c>
      <c r="N35" s="516">
        <f>SUM(O35:R35)</f>
        <v>22</v>
      </c>
      <c r="O35" s="516">
        <f t="shared" si="84"/>
        <v>22</v>
      </c>
      <c r="P35" s="516">
        <f t="shared" si="84"/>
        <v>0</v>
      </c>
      <c r="Q35" s="516">
        <f t="shared" si="84"/>
        <v>0</v>
      </c>
      <c r="R35" s="516">
        <f t="shared" si="84"/>
        <v>0</v>
      </c>
      <c r="S35" s="516">
        <f>Z35+AP35+AX35+BG35+BP35+AG35</f>
        <v>108</v>
      </c>
      <c r="T35" s="517"/>
      <c r="U35" s="418">
        <f>SUM(V35:Z35)</f>
        <v>0</v>
      </c>
      <c r="V35" s="200"/>
      <c r="W35" s="200"/>
      <c r="X35" s="200"/>
      <c r="Y35" s="200"/>
      <c r="Z35" s="200"/>
      <c r="AA35" s="517"/>
      <c r="AB35" s="418">
        <f>SUM(AC35:AG35)</f>
        <v>0</v>
      </c>
      <c r="AC35" s="200"/>
      <c r="AD35" s="200"/>
      <c r="AE35" s="200"/>
      <c r="AF35" s="200"/>
      <c r="AG35" s="200"/>
      <c r="AH35" s="518"/>
      <c r="AI35" s="518"/>
      <c r="AJ35" s="518"/>
      <c r="AK35" s="418">
        <f>SUM(AL35:AP35)</f>
        <v>61</v>
      </c>
      <c r="AL35" s="200">
        <v>12</v>
      </c>
      <c r="AM35" s="200"/>
      <c r="AN35" s="200"/>
      <c r="AO35" s="200"/>
      <c r="AP35" s="200">
        <v>49</v>
      </c>
      <c r="AQ35" s="518"/>
      <c r="AR35" s="518"/>
      <c r="AS35" s="418">
        <f>SUM(AT35:AX35)</f>
        <v>69</v>
      </c>
      <c r="AT35" s="200">
        <v>10</v>
      </c>
      <c r="AU35" s="200"/>
      <c r="AV35" s="200"/>
      <c r="AW35" s="200"/>
      <c r="AX35" s="200">
        <v>59</v>
      </c>
      <c r="AY35" s="518"/>
      <c r="AZ35" s="518"/>
      <c r="BA35" s="518"/>
      <c r="BB35" s="418">
        <f>SUM(BC35:BG35)</f>
        <v>0</v>
      </c>
      <c r="BC35" s="200"/>
      <c r="BD35" s="200"/>
      <c r="BE35" s="200"/>
      <c r="BF35" s="200"/>
      <c r="BG35" s="200"/>
      <c r="BH35" s="518"/>
      <c r="BI35" s="418">
        <f t="shared" si="85"/>
        <v>0</v>
      </c>
      <c r="BJ35" s="200"/>
      <c r="BK35" s="200"/>
      <c r="BL35" s="200"/>
      <c r="BM35" s="200"/>
      <c r="BN35" s="200"/>
      <c r="BO35" s="200"/>
      <c r="BP35" s="200"/>
      <c r="BQ35" s="202"/>
      <c r="BR35" s="425" t="str">
        <f>'Учебный план'!BZ53</f>
        <v>64-4</v>
      </c>
      <c r="BS35" s="200" t="str">
        <f>'Учебный план'!CA53</f>
        <v>ОК-1-10; ПК-1.1</v>
      </c>
    </row>
    <row r="36" spans="1:71" s="248" customFormat="1" ht="26.1" customHeight="1" x14ac:dyDescent="0.2">
      <c r="A36" s="512">
        <f>'Учебный план'!A54</f>
        <v>0</v>
      </c>
      <c r="B36" s="512" t="str">
        <f>'Учебный план'!B54</f>
        <v>Тренажерная подготовка. Использование ЭКНИС</v>
      </c>
      <c r="C36" s="223"/>
      <c r="D36" s="425"/>
      <c r="E36" s="425"/>
      <c r="F36" s="103" t="s">
        <v>30</v>
      </c>
      <c r="G36" s="425"/>
      <c r="H36" s="425"/>
      <c r="I36" s="200">
        <f t="shared" si="82"/>
        <v>0</v>
      </c>
      <c r="J36" s="425">
        <f t="shared" si="83"/>
        <v>13.2</v>
      </c>
      <c r="K36" s="200">
        <f>'Учебный план'!K54</f>
        <v>66</v>
      </c>
      <c r="L36" s="200">
        <f>'Учебный план'!L54</f>
        <v>44</v>
      </c>
      <c r="M36" s="516">
        <f>SUM(N36+S36)</f>
        <v>66</v>
      </c>
      <c r="N36" s="516">
        <f>SUM(O36:R36)</f>
        <v>12</v>
      </c>
      <c r="O36" s="516">
        <f t="shared" si="84"/>
        <v>0</v>
      </c>
      <c r="P36" s="516">
        <f t="shared" si="84"/>
        <v>12</v>
      </c>
      <c r="Q36" s="516">
        <f t="shared" si="84"/>
        <v>0</v>
      </c>
      <c r="R36" s="516">
        <f t="shared" si="84"/>
        <v>0</v>
      </c>
      <c r="S36" s="516">
        <f>Z36+AP36+AX36+BG36+BP36+AG36</f>
        <v>54</v>
      </c>
      <c r="T36" s="517"/>
      <c r="U36" s="418">
        <f>SUM(V36:Z36)</f>
        <v>0</v>
      </c>
      <c r="V36" s="200"/>
      <c r="W36" s="200"/>
      <c r="X36" s="200"/>
      <c r="Y36" s="200"/>
      <c r="Z36" s="200"/>
      <c r="AA36" s="517"/>
      <c r="AB36" s="418">
        <f>SUM(AC36:AG36)</f>
        <v>0</v>
      </c>
      <c r="AC36" s="200"/>
      <c r="AD36" s="200"/>
      <c r="AE36" s="200"/>
      <c r="AF36" s="200"/>
      <c r="AG36" s="200"/>
      <c r="AH36" s="518"/>
      <c r="AI36" s="518"/>
      <c r="AJ36" s="518"/>
      <c r="AK36" s="418">
        <f>SUM(AL36:AP36)</f>
        <v>66</v>
      </c>
      <c r="AL36" s="200"/>
      <c r="AM36" s="200">
        <v>12</v>
      </c>
      <c r="AN36" s="200"/>
      <c r="AO36" s="200"/>
      <c r="AP36" s="200">
        <v>54</v>
      </c>
      <c r="AQ36" s="518"/>
      <c r="AR36" s="518"/>
      <c r="AS36" s="418">
        <f>SUM(AT36:AX36)</f>
        <v>0</v>
      </c>
      <c r="AT36" s="200"/>
      <c r="AU36" s="200"/>
      <c r="AV36" s="200"/>
      <c r="AW36" s="200"/>
      <c r="AX36" s="200"/>
      <c r="AY36" s="518"/>
      <c r="AZ36" s="518"/>
      <c r="BA36" s="518"/>
      <c r="BB36" s="418">
        <f>SUM(BC36:BG36)</f>
        <v>0</v>
      </c>
      <c r="BC36" s="200"/>
      <c r="BD36" s="200"/>
      <c r="BE36" s="200"/>
      <c r="BF36" s="200"/>
      <c r="BG36" s="200"/>
      <c r="BH36" s="518"/>
      <c r="BI36" s="418">
        <f t="shared" si="85"/>
        <v>0</v>
      </c>
      <c r="BJ36" s="200"/>
      <c r="BK36" s="200"/>
      <c r="BL36" s="200"/>
      <c r="BM36" s="200"/>
      <c r="BN36" s="200"/>
      <c r="BO36" s="200"/>
      <c r="BP36" s="200"/>
      <c r="BQ36" s="202"/>
      <c r="BR36" s="425" t="str">
        <f>'Учебный план'!BZ54</f>
        <v>64-4</v>
      </c>
      <c r="BS36" s="200" t="str">
        <f>'Учебный план'!CA54</f>
        <v>ОК 1-10; 
ПК-1.1,1.2,1.4</v>
      </c>
    </row>
    <row r="37" spans="1:71" s="254" customFormat="1" ht="26.1" customHeight="1" x14ac:dyDescent="0.2">
      <c r="A37" s="562" t="str">
        <f>'Учебный план'!A55</f>
        <v>МДК.01.02</v>
      </c>
      <c r="B37" s="802" t="str">
        <f>'Учебный план'!B55</f>
        <v>Управление судном и технические средства судовождения</v>
      </c>
      <c r="C37" s="803"/>
      <c r="D37" s="803"/>
      <c r="E37" s="803"/>
      <c r="F37" s="803"/>
      <c r="G37" s="803"/>
      <c r="H37" s="804"/>
      <c r="I37" s="561"/>
      <c r="J37" s="568"/>
      <c r="K37" s="561">
        <f>'Учебный план'!K55</f>
        <v>700</v>
      </c>
      <c r="L37" s="561">
        <f>'Учебный план'!L55</f>
        <v>481</v>
      </c>
      <c r="M37" s="561">
        <f t="shared" ref="M37:AH37" si="86">SUM(M38:M43)</f>
        <v>700</v>
      </c>
      <c r="N37" s="561">
        <f t="shared" si="86"/>
        <v>94</v>
      </c>
      <c r="O37" s="561">
        <f t="shared" si="86"/>
        <v>55</v>
      </c>
      <c r="P37" s="561">
        <f t="shared" si="86"/>
        <v>39</v>
      </c>
      <c r="Q37" s="561">
        <f t="shared" si="86"/>
        <v>0</v>
      </c>
      <c r="R37" s="561">
        <f t="shared" si="86"/>
        <v>0</v>
      </c>
      <c r="S37" s="561">
        <f t="shared" si="86"/>
        <v>606</v>
      </c>
      <c r="T37" s="561">
        <f t="shared" si="86"/>
        <v>0</v>
      </c>
      <c r="U37" s="561">
        <f t="shared" si="86"/>
        <v>0</v>
      </c>
      <c r="V37" s="561">
        <f t="shared" si="86"/>
        <v>0</v>
      </c>
      <c r="W37" s="561">
        <f t="shared" si="86"/>
        <v>0</v>
      </c>
      <c r="X37" s="561">
        <f t="shared" si="86"/>
        <v>0</v>
      </c>
      <c r="Y37" s="561">
        <f t="shared" si="86"/>
        <v>0</v>
      </c>
      <c r="Z37" s="561">
        <f t="shared" si="86"/>
        <v>0</v>
      </c>
      <c r="AA37" s="561">
        <f t="shared" si="86"/>
        <v>0</v>
      </c>
      <c r="AB37" s="561">
        <f t="shared" si="86"/>
        <v>0</v>
      </c>
      <c r="AC37" s="561">
        <f t="shared" si="86"/>
        <v>0</v>
      </c>
      <c r="AD37" s="561">
        <f t="shared" si="86"/>
        <v>0</v>
      </c>
      <c r="AE37" s="561">
        <f t="shared" si="86"/>
        <v>0</v>
      </c>
      <c r="AF37" s="561">
        <f t="shared" si="86"/>
        <v>0</v>
      </c>
      <c r="AG37" s="561">
        <f t="shared" si="86"/>
        <v>0</v>
      </c>
      <c r="AH37" s="561">
        <f t="shared" si="86"/>
        <v>0</v>
      </c>
      <c r="AI37" s="561"/>
      <c r="AJ37" s="561">
        <f t="shared" ref="AJ37:BP37" si="87">SUM(AJ38:AJ43)</f>
        <v>1</v>
      </c>
      <c r="AK37" s="561">
        <f t="shared" si="87"/>
        <v>240</v>
      </c>
      <c r="AL37" s="561">
        <f t="shared" si="87"/>
        <v>28</v>
      </c>
      <c r="AM37" s="561">
        <f t="shared" si="87"/>
        <v>10</v>
      </c>
      <c r="AN37" s="561">
        <f t="shared" si="87"/>
        <v>0</v>
      </c>
      <c r="AO37" s="561">
        <f t="shared" si="87"/>
        <v>0</v>
      </c>
      <c r="AP37" s="561">
        <f t="shared" si="87"/>
        <v>202</v>
      </c>
      <c r="AQ37" s="561">
        <f t="shared" si="87"/>
        <v>0</v>
      </c>
      <c r="AR37" s="561">
        <f t="shared" si="87"/>
        <v>1</v>
      </c>
      <c r="AS37" s="561">
        <f t="shared" si="87"/>
        <v>196</v>
      </c>
      <c r="AT37" s="561">
        <f t="shared" si="87"/>
        <v>24</v>
      </c>
      <c r="AU37" s="561">
        <f t="shared" si="87"/>
        <v>6</v>
      </c>
      <c r="AV37" s="561">
        <f t="shared" si="87"/>
        <v>0</v>
      </c>
      <c r="AW37" s="561">
        <f t="shared" si="87"/>
        <v>0</v>
      </c>
      <c r="AX37" s="561">
        <f t="shared" si="87"/>
        <v>166</v>
      </c>
      <c r="AY37" s="561">
        <f t="shared" si="87"/>
        <v>0</v>
      </c>
      <c r="AZ37" s="561">
        <f t="shared" si="87"/>
        <v>0</v>
      </c>
      <c r="BA37" s="561">
        <f t="shared" si="87"/>
        <v>0</v>
      </c>
      <c r="BB37" s="561">
        <f t="shared" si="87"/>
        <v>264</v>
      </c>
      <c r="BC37" s="561">
        <f t="shared" si="87"/>
        <v>3</v>
      </c>
      <c r="BD37" s="561">
        <f t="shared" si="87"/>
        <v>23</v>
      </c>
      <c r="BE37" s="561">
        <f t="shared" si="87"/>
        <v>0</v>
      </c>
      <c r="BF37" s="561">
        <f t="shared" si="87"/>
        <v>0</v>
      </c>
      <c r="BG37" s="561">
        <f t="shared" si="87"/>
        <v>238</v>
      </c>
      <c r="BH37" s="561">
        <f t="shared" si="87"/>
        <v>0</v>
      </c>
      <c r="BI37" s="561">
        <f t="shared" si="87"/>
        <v>0</v>
      </c>
      <c r="BJ37" s="561">
        <f t="shared" si="87"/>
        <v>0</v>
      </c>
      <c r="BK37" s="561">
        <f t="shared" si="87"/>
        <v>0</v>
      </c>
      <c r="BL37" s="561">
        <f t="shared" si="87"/>
        <v>0</v>
      </c>
      <c r="BM37" s="561">
        <f t="shared" si="87"/>
        <v>0</v>
      </c>
      <c r="BN37" s="561">
        <f t="shared" si="87"/>
        <v>0</v>
      </c>
      <c r="BO37" s="561">
        <f t="shared" si="87"/>
        <v>0</v>
      </c>
      <c r="BP37" s="561">
        <f t="shared" si="87"/>
        <v>0</v>
      </c>
      <c r="BQ37" s="561"/>
      <c r="BR37" s="561">
        <f>'Учебный план'!BZ55</f>
        <v>0</v>
      </c>
      <c r="BS37" s="561">
        <f>'Учебный план'!CA55</f>
        <v>0</v>
      </c>
    </row>
    <row r="38" spans="1:71" s="248" customFormat="1" ht="26.1" customHeight="1" x14ac:dyDescent="0.2">
      <c r="A38" s="512">
        <f>'Учебный план'!A56</f>
        <v>0</v>
      </c>
      <c r="B38" s="512" t="str">
        <f>'Учебный план'!B56</f>
        <v>Управление судном</v>
      </c>
      <c r="C38" s="223"/>
      <c r="D38" s="425"/>
      <c r="E38" s="425" t="s">
        <v>40</v>
      </c>
      <c r="F38" s="425"/>
      <c r="G38" s="425"/>
      <c r="H38" s="136" t="s">
        <v>30</v>
      </c>
      <c r="I38" s="200">
        <f t="shared" ref="I38:I43" si="88">K38-M38</f>
        <v>0</v>
      </c>
      <c r="J38" s="425">
        <f t="shared" ref="J38:J54" si="89">L38*$J$1</f>
        <v>33</v>
      </c>
      <c r="K38" s="200">
        <f>'Учебный план'!K56</f>
        <v>161</v>
      </c>
      <c r="L38" s="200">
        <f>'Учебный план'!L56</f>
        <v>110</v>
      </c>
      <c r="M38" s="516">
        <f t="shared" ref="M38:M50" si="90">SUM(N38+S38)</f>
        <v>161</v>
      </c>
      <c r="N38" s="516">
        <f t="shared" ref="N38:N50" si="91">SUM(O38:R38)</f>
        <v>24</v>
      </c>
      <c r="O38" s="516">
        <f t="shared" ref="O38:R43" si="92">V38+AL38+AT38+BC38+AC38+BK38</f>
        <v>16</v>
      </c>
      <c r="P38" s="516">
        <f t="shared" si="92"/>
        <v>8</v>
      </c>
      <c r="Q38" s="516">
        <f t="shared" si="92"/>
        <v>0</v>
      </c>
      <c r="R38" s="516">
        <f t="shared" si="92"/>
        <v>0</v>
      </c>
      <c r="S38" s="516">
        <f t="shared" ref="S38:S43" si="93">Z38+AP38+AX38+BG38+BP38+AG38</f>
        <v>137</v>
      </c>
      <c r="T38" s="517"/>
      <c r="U38" s="418">
        <f>SUM(V38:Z38)</f>
        <v>0</v>
      </c>
      <c r="V38" s="200"/>
      <c r="W38" s="200"/>
      <c r="X38" s="200"/>
      <c r="Y38" s="200"/>
      <c r="Z38" s="200"/>
      <c r="AA38" s="517"/>
      <c r="AB38" s="418">
        <f>SUM(AC38:AG38)</f>
        <v>0</v>
      </c>
      <c r="AC38" s="200"/>
      <c r="AD38" s="200"/>
      <c r="AE38" s="200"/>
      <c r="AF38" s="200"/>
      <c r="AG38" s="200"/>
      <c r="AH38" s="518"/>
      <c r="AI38" s="518"/>
      <c r="AJ38" s="518"/>
      <c r="AK38" s="418">
        <f>SUM(AL38:AP38)</f>
        <v>81</v>
      </c>
      <c r="AL38" s="200">
        <v>8</v>
      </c>
      <c r="AM38" s="200">
        <v>4</v>
      </c>
      <c r="AN38" s="200"/>
      <c r="AO38" s="200"/>
      <c r="AP38" s="200">
        <v>69</v>
      </c>
      <c r="AQ38" s="518"/>
      <c r="AR38" s="518"/>
      <c r="AS38" s="418">
        <f>SUM(AT38:AX38)</f>
        <v>80</v>
      </c>
      <c r="AT38" s="200">
        <v>8</v>
      </c>
      <c r="AU38" s="200">
        <v>4</v>
      </c>
      <c r="AV38" s="200"/>
      <c r="AW38" s="200"/>
      <c r="AX38" s="200">
        <v>68</v>
      </c>
      <c r="AY38" s="518"/>
      <c r="AZ38" s="518"/>
      <c r="BA38" s="518"/>
      <c r="BB38" s="418">
        <f>SUM(BC38:BG38)</f>
        <v>0</v>
      </c>
      <c r="BC38" s="200"/>
      <c r="BD38" s="200"/>
      <c r="BE38" s="200"/>
      <c r="BF38" s="200"/>
      <c r="BG38" s="200"/>
      <c r="BH38" s="518"/>
      <c r="BI38" s="418">
        <f t="shared" ref="BI38:BI43" si="94">SUM(BJ38:BP38)</f>
        <v>0</v>
      </c>
      <c r="BJ38" s="200"/>
      <c r="BK38" s="200"/>
      <c r="BL38" s="200"/>
      <c r="BM38" s="200"/>
      <c r="BN38" s="200"/>
      <c r="BO38" s="200"/>
      <c r="BP38" s="200"/>
      <c r="BQ38" s="202"/>
      <c r="BR38" s="200" t="str">
        <f>'Учебный план'!BZ56</f>
        <v>64-4</v>
      </c>
      <c r="BS38" s="200" t="str">
        <f>'Учебный план'!CA56</f>
        <v>ОК-1-10; ПК-1.1,1.2</v>
      </c>
    </row>
    <row r="39" spans="1:71" s="248" customFormat="1" ht="26.1" customHeight="1" x14ac:dyDescent="0.2">
      <c r="A39" s="512">
        <f>'Учебный план'!A57</f>
        <v>0</v>
      </c>
      <c r="B39" s="512" t="str">
        <f>'Учебный план'!B57</f>
        <v xml:space="preserve">Радионавигационные системы </v>
      </c>
      <c r="C39" s="223"/>
      <c r="D39" s="425"/>
      <c r="E39" s="425" t="s">
        <v>30</v>
      </c>
      <c r="F39" s="425"/>
      <c r="G39" s="425"/>
      <c r="H39" s="448" t="s">
        <v>40</v>
      </c>
      <c r="I39" s="200">
        <f t="shared" si="88"/>
        <v>0</v>
      </c>
      <c r="J39" s="425">
        <f t="shared" si="89"/>
        <v>19.8</v>
      </c>
      <c r="K39" s="200">
        <f>'Учебный план'!K57</f>
        <v>95</v>
      </c>
      <c r="L39" s="200">
        <f>'Учебный план'!L57</f>
        <v>66</v>
      </c>
      <c r="M39" s="516">
        <f t="shared" si="90"/>
        <v>95</v>
      </c>
      <c r="N39" s="516">
        <f t="shared" si="91"/>
        <v>16</v>
      </c>
      <c r="O39" s="516">
        <f t="shared" si="92"/>
        <v>12</v>
      </c>
      <c r="P39" s="516">
        <f t="shared" si="92"/>
        <v>4</v>
      </c>
      <c r="Q39" s="516">
        <f t="shared" si="92"/>
        <v>0</v>
      </c>
      <c r="R39" s="516">
        <f t="shared" si="92"/>
        <v>0</v>
      </c>
      <c r="S39" s="516">
        <f t="shared" si="93"/>
        <v>79</v>
      </c>
      <c r="T39" s="517"/>
      <c r="U39" s="418">
        <f>SUM(V39:Z39)</f>
        <v>0</v>
      </c>
      <c r="V39" s="200"/>
      <c r="W39" s="200"/>
      <c r="X39" s="200"/>
      <c r="Y39" s="200"/>
      <c r="Z39" s="200"/>
      <c r="AA39" s="517"/>
      <c r="AB39" s="418">
        <f>SUM(AC39:AG39)</f>
        <v>0</v>
      </c>
      <c r="AC39" s="200"/>
      <c r="AD39" s="200"/>
      <c r="AE39" s="200"/>
      <c r="AF39" s="200"/>
      <c r="AG39" s="200"/>
      <c r="AH39" s="518"/>
      <c r="AI39" s="518"/>
      <c r="AJ39" s="518"/>
      <c r="AK39" s="418">
        <f>SUM(AL39:AP39)</f>
        <v>95</v>
      </c>
      <c r="AL39" s="200">
        <v>12</v>
      </c>
      <c r="AM39" s="200">
        <v>4</v>
      </c>
      <c r="AN39" s="200"/>
      <c r="AO39" s="200"/>
      <c r="AP39" s="200">
        <v>79</v>
      </c>
      <c r="AQ39" s="518"/>
      <c r="AR39" s="518"/>
      <c r="AS39" s="418">
        <f>SUM(AT39:AX39)</f>
        <v>0</v>
      </c>
      <c r="AT39" s="200"/>
      <c r="AU39" s="200"/>
      <c r="AV39" s="200"/>
      <c r="AW39" s="200"/>
      <c r="AX39" s="200"/>
      <c r="AY39" s="518"/>
      <c r="AZ39" s="518"/>
      <c r="BA39" s="518"/>
      <c r="BB39" s="418">
        <f>SUM(BC39:BG39)</f>
        <v>0</v>
      </c>
      <c r="BC39" s="200"/>
      <c r="BD39" s="200"/>
      <c r="BE39" s="200"/>
      <c r="BF39" s="200"/>
      <c r="BG39" s="200"/>
      <c r="BH39" s="518"/>
      <c r="BI39" s="418">
        <f t="shared" si="94"/>
        <v>0</v>
      </c>
      <c r="BJ39" s="200"/>
      <c r="BK39" s="200"/>
      <c r="BL39" s="200"/>
      <c r="BM39" s="200"/>
      <c r="BN39" s="200"/>
      <c r="BO39" s="200"/>
      <c r="BP39" s="200"/>
      <c r="BQ39" s="202"/>
      <c r="BR39" s="200" t="str">
        <f>'Учебный план'!BZ57</f>
        <v>64-4</v>
      </c>
      <c r="BS39" s="200" t="str">
        <f>'Учебный план'!CA57</f>
        <v>ОК-1-10; ПК-1.4</v>
      </c>
    </row>
    <row r="40" spans="1:71" s="252" customFormat="1" ht="26.1" customHeight="1" x14ac:dyDescent="0.2">
      <c r="A40" s="512">
        <f>'Учебный план'!A58</f>
        <v>0</v>
      </c>
      <c r="B40" s="512" t="str">
        <f>'Учебный план'!B58</f>
        <v>Электронавигационные приборы и системы</v>
      </c>
      <c r="C40" s="223"/>
      <c r="D40" s="425" t="s">
        <v>40</v>
      </c>
      <c r="E40" s="425"/>
      <c r="F40" s="425"/>
      <c r="G40" s="425"/>
      <c r="H40" s="103" t="s">
        <v>30</v>
      </c>
      <c r="I40" s="200">
        <f t="shared" si="88"/>
        <v>0</v>
      </c>
      <c r="J40" s="425">
        <f t="shared" si="89"/>
        <v>26.4</v>
      </c>
      <c r="K40" s="200">
        <f>'Учебный план'!K58</f>
        <v>128</v>
      </c>
      <c r="L40" s="200">
        <f>'Учебный план'!L58</f>
        <v>88</v>
      </c>
      <c r="M40" s="516">
        <f t="shared" si="90"/>
        <v>128</v>
      </c>
      <c r="N40" s="516">
        <f t="shared" si="91"/>
        <v>20</v>
      </c>
      <c r="O40" s="516">
        <f t="shared" si="92"/>
        <v>16</v>
      </c>
      <c r="P40" s="516">
        <f t="shared" si="92"/>
        <v>4</v>
      </c>
      <c r="Q40" s="516">
        <f t="shared" si="92"/>
        <v>0</v>
      </c>
      <c r="R40" s="516">
        <f t="shared" si="92"/>
        <v>0</v>
      </c>
      <c r="S40" s="516">
        <f t="shared" si="93"/>
        <v>108</v>
      </c>
      <c r="T40" s="517">
        <f>LEN(H40)-LEN(SUBSTITUTE(H40,"1",""))</f>
        <v>0</v>
      </c>
      <c r="U40" s="418">
        <f>SUM(V40:Z40)</f>
        <v>0</v>
      </c>
      <c r="V40" s="200"/>
      <c r="W40" s="200"/>
      <c r="X40" s="200"/>
      <c r="Y40" s="200"/>
      <c r="Z40" s="200"/>
      <c r="AA40" s="517">
        <f>LEN(Q40)-LEN(SUBSTITUTE(Q40,"1",""))</f>
        <v>0</v>
      </c>
      <c r="AB40" s="418">
        <f>SUM(AC40:AG40)</f>
        <v>0</v>
      </c>
      <c r="AC40" s="200"/>
      <c r="AD40" s="200"/>
      <c r="AE40" s="200"/>
      <c r="AF40" s="200"/>
      <c r="AG40" s="200"/>
      <c r="AH40" s="518">
        <f>LEN(H40)-LEN(SUBSTITUTE(H40,"2",""))</f>
        <v>0</v>
      </c>
      <c r="AI40" s="518"/>
      <c r="AJ40" s="518">
        <f>LEN(H40)-LEN(SUBSTITUTE(H40,"3",""))</f>
        <v>1</v>
      </c>
      <c r="AK40" s="418">
        <f>SUM(AL40:AP40)</f>
        <v>64</v>
      </c>
      <c r="AL40" s="200">
        <v>8</v>
      </c>
      <c r="AM40" s="200">
        <v>2</v>
      </c>
      <c r="AN40" s="200"/>
      <c r="AO40" s="200"/>
      <c r="AP40" s="200">
        <v>54</v>
      </c>
      <c r="AQ40" s="518">
        <f>LEN(H40)-LEN(SUBSTITUTE(H40,"4",""))</f>
        <v>0</v>
      </c>
      <c r="AR40" s="518">
        <f>LEN(H40)-LEN(SUBSTITUTE(H40,"5",""))</f>
        <v>0</v>
      </c>
      <c r="AS40" s="418">
        <f>SUM(AT40:AX40)</f>
        <v>64</v>
      </c>
      <c r="AT40" s="200">
        <v>8</v>
      </c>
      <c r="AU40" s="200">
        <v>2</v>
      </c>
      <c r="AV40" s="200"/>
      <c r="AW40" s="200"/>
      <c r="AX40" s="200">
        <v>54</v>
      </c>
      <c r="AY40" s="518">
        <f>LEN(H40)-LEN(SUBSTITUTE(H40,"6",""))</f>
        <v>0</v>
      </c>
      <c r="AZ40" s="518">
        <f>LEN(H40)-LEN(SUBSTITUTE(H40,"7",""))</f>
        <v>0</v>
      </c>
      <c r="BA40" s="518">
        <f>LEN(H40)-LEN(SUBSTITUTE(H40,"8",""))</f>
        <v>0</v>
      </c>
      <c r="BB40" s="418">
        <f>SUM(BC40:BG40)</f>
        <v>0</v>
      </c>
      <c r="BC40" s="200"/>
      <c r="BD40" s="200"/>
      <c r="BE40" s="200"/>
      <c r="BF40" s="200"/>
      <c r="BG40" s="200"/>
      <c r="BH40" s="518">
        <f>LEN(H40)-LEN(SUBSTITUTE(H40,"9",""))</f>
        <v>0</v>
      </c>
      <c r="BI40" s="418">
        <f t="shared" ref="BI40" si="95">SUM(BJ40:BP40)</f>
        <v>0</v>
      </c>
      <c r="BJ40" s="200"/>
      <c r="BK40" s="200"/>
      <c r="BL40" s="200"/>
      <c r="BM40" s="200"/>
      <c r="BN40" s="200"/>
      <c r="BO40" s="200"/>
      <c r="BP40" s="200"/>
      <c r="BQ40" s="202"/>
      <c r="BR40" s="200" t="str">
        <f>'Учебный план'!BZ58</f>
        <v>64-4</v>
      </c>
      <c r="BS40" s="200" t="str">
        <f>'Учебный план'!CA58</f>
        <v>ОК-1-10; ПК-1.4</v>
      </c>
    </row>
    <row r="41" spans="1:71" s="252" customFormat="1" ht="26.1" customHeight="1" x14ac:dyDescent="0.2">
      <c r="A41" s="512">
        <f>'Учебный план'!A59</f>
        <v>0</v>
      </c>
      <c r="B41" s="512" t="str">
        <f>'Учебный план'!B59</f>
        <v>Тренажерная подготовка. Использование РЛС и САРП</v>
      </c>
      <c r="C41" s="223"/>
      <c r="D41" s="425"/>
      <c r="E41" s="425"/>
      <c r="F41" s="103" t="s">
        <v>41</v>
      </c>
      <c r="G41" s="425"/>
      <c r="H41" s="103" t="s">
        <v>41</v>
      </c>
      <c r="I41" s="200">
        <f t="shared" si="88"/>
        <v>0</v>
      </c>
      <c r="J41" s="425">
        <f t="shared" si="89"/>
        <v>28.8</v>
      </c>
      <c r="K41" s="200">
        <f>'Учебный план'!K59</f>
        <v>140</v>
      </c>
      <c r="L41" s="200">
        <f>'Учебный план'!L59</f>
        <v>96</v>
      </c>
      <c r="M41" s="516">
        <f t="shared" si="90"/>
        <v>140</v>
      </c>
      <c r="N41" s="516">
        <f t="shared" si="91"/>
        <v>12</v>
      </c>
      <c r="O41" s="516">
        <f t="shared" si="92"/>
        <v>1</v>
      </c>
      <c r="P41" s="516">
        <f t="shared" si="92"/>
        <v>11</v>
      </c>
      <c r="Q41" s="516">
        <f t="shared" si="92"/>
        <v>0</v>
      </c>
      <c r="R41" s="516">
        <f t="shared" si="92"/>
        <v>0</v>
      </c>
      <c r="S41" s="516">
        <f t="shared" si="93"/>
        <v>128</v>
      </c>
      <c r="T41" s="517">
        <f>LEN(H41)-LEN(SUBSTITUTE(H41,"1",""))</f>
        <v>0</v>
      </c>
      <c r="U41" s="418">
        <f t="shared" ref="U41:U42" si="96">SUM(V41:Z41)</f>
        <v>0</v>
      </c>
      <c r="V41" s="200"/>
      <c r="W41" s="200"/>
      <c r="X41" s="200"/>
      <c r="Y41" s="200"/>
      <c r="Z41" s="200"/>
      <c r="AA41" s="517">
        <f>LEN(Q41)-LEN(SUBSTITUTE(Q41,"1",""))</f>
        <v>0</v>
      </c>
      <c r="AB41" s="418">
        <f t="shared" ref="AB41:AB42" si="97">SUM(AC41:AG41)</f>
        <v>0</v>
      </c>
      <c r="AC41" s="200"/>
      <c r="AD41" s="200"/>
      <c r="AE41" s="200"/>
      <c r="AF41" s="200"/>
      <c r="AG41" s="200"/>
      <c r="AH41" s="518">
        <f>LEN(H41)-LEN(SUBSTITUTE(H41,"2",""))</f>
        <v>0</v>
      </c>
      <c r="AI41" s="518"/>
      <c r="AJ41" s="518">
        <f>LEN(H41)-LEN(SUBSTITUTE(H41,"3",""))</f>
        <v>0</v>
      </c>
      <c r="AK41" s="418">
        <f t="shared" ref="AK41:AK43" si="98">SUM(AL41:AP41)</f>
        <v>0</v>
      </c>
      <c r="AL41" s="200"/>
      <c r="AM41" s="200"/>
      <c r="AN41" s="200"/>
      <c r="AO41" s="200"/>
      <c r="AP41" s="200"/>
      <c r="AQ41" s="518">
        <f>LEN(H41)-LEN(SUBSTITUTE(H41,"4",""))</f>
        <v>0</v>
      </c>
      <c r="AR41" s="518">
        <f>LEN(H41)-LEN(SUBSTITUTE(H41,"5",""))</f>
        <v>1</v>
      </c>
      <c r="AS41" s="418">
        <f t="shared" ref="AS41:AS43" si="99">SUM(AT41:AX41)</f>
        <v>0</v>
      </c>
      <c r="AT41" s="200"/>
      <c r="AU41" s="200"/>
      <c r="AV41" s="200"/>
      <c r="AW41" s="200"/>
      <c r="AX41" s="200"/>
      <c r="AY41" s="518">
        <f>LEN(H41)-LEN(SUBSTITUTE(H41,"6",""))</f>
        <v>0</v>
      </c>
      <c r="AZ41" s="518">
        <f>LEN(H41)-LEN(SUBSTITUTE(H41,"7",""))</f>
        <v>0</v>
      </c>
      <c r="BA41" s="518">
        <f>LEN(H41)-LEN(SUBSTITUTE(H41,"8",""))</f>
        <v>0</v>
      </c>
      <c r="BB41" s="418">
        <f t="shared" ref="BB41:BB43" si="100">SUM(BC41:BG41)</f>
        <v>140</v>
      </c>
      <c r="BC41" s="200">
        <v>1</v>
      </c>
      <c r="BD41" s="200">
        <v>11</v>
      </c>
      <c r="BE41" s="200"/>
      <c r="BF41" s="200"/>
      <c r="BG41" s="200">
        <v>128</v>
      </c>
      <c r="BH41" s="518">
        <f>LEN(H41)-LEN(SUBSTITUTE(H41,"9",""))</f>
        <v>0</v>
      </c>
      <c r="BI41" s="418">
        <f t="shared" si="94"/>
        <v>0</v>
      </c>
      <c r="BJ41" s="200"/>
      <c r="BK41" s="200"/>
      <c r="BL41" s="200"/>
      <c r="BM41" s="200"/>
      <c r="BN41" s="200"/>
      <c r="BO41" s="200"/>
      <c r="BP41" s="200"/>
      <c r="BQ41" s="202"/>
      <c r="BR41" s="200" t="str">
        <f>'Учебный план'!BZ59</f>
        <v>64-4</v>
      </c>
      <c r="BS41" s="200" t="str">
        <f>'Учебный план'!CA59</f>
        <v>ОК 1-10; 
ПК-1.1,1.2,1.4</v>
      </c>
    </row>
    <row r="42" spans="1:71" s="248" customFormat="1" ht="26.1" customHeight="1" x14ac:dyDescent="0.2">
      <c r="A42" s="512">
        <f>'Учебный план'!A60</f>
        <v>0</v>
      </c>
      <c r="B42" s="512" t="str">
        <f>'Учебный план'!B60</f>
        <v>Радиооборудование судов</v>
      </c>
      <c r="C42" s="223"/>
      <c r="D42" s="425"/>
      <c r="E42" s="103" t="s">
        <v>40</v>
      </c>
      <c r="F42" s="425"/>
      <c r="G42" s="425"/>
      <c r="H42" s="425"/>
      <c r="I42" s="200">
        <f t="shared" ref="I42" si="101">K42-M42</f>
        <v>0</v>
      </c>
      <c r="J42" s="425">
        <f t="shared" ref="J42" si="102">L42*$J$1</f>
        <v>10.8</v>
      </c>
      <c r="K42" s="200">
        <f>'Учебный план'!K60</f>
        <v>52</v>
      </c>
      <c r="L42" s="200">
        <f>'Учебный план'!L60</f>
        <v>36</v>
      </c>
      <c r="M42" s="516">
        <f t="shared" si="90"/>
        <v>52</v>
      </c>
      <c r="N42" s="516">
        <f t="shared" si="91"/>
        <v>8</v>
      </c>
      <c r="O42" s="516">
        <f t="shared" si="92"/>
        <v>8</v>
      </c>
      <c r="P42" s="516">
        <f t="shared" si="92"/>
        <v>0</v>
      </c>
      <c r="Q42" s="516">
        <f t="shared" si="92"/>
        <v>0</v>
      </c>
      <c r="R42" s="516">
        <f t="shared" si="92"/>
        <v>0</v>
      </c>
      <c r="S42" s="516">
        <f t="shared" si="93"/>
        <v>44</v>
      </c>
      <c r="T42" s="517"/>
      <c r="U42" s="418">
        <f t="shared" si="96"/>
        <v>0</v>
      </c>
      <c r="V42" s="200"/>
      <c r="W42" s="200"/>
      <c r="X42" s="200"/>
      <c r="Y42" s="200"/>
      <c r="Z42" s="200"/>
      <c r="AA42" s="517"/>
      <c r="AB42" s="418">
        <f t="shared" si="97"/>
        <v>0</v>
      </c>
      <c r="AC42" s="200"/>
      <c r="AD42" s="200"/>
      <c r="AE42" s="200"/>
      <c r="AF42" s="200"/>
      <c r="AG42" s="200"/>
      <c r="AH42" s="518"/>
      <c r="AI42" s="518"/>
      <c r="AJ42" s="518"/>
      <c r="AK42" s="418">
        <f t="shared" si="98"/>
        <v>0</v>
      </c>
      <c r="AL42" s="200"/>
      <c r="AM42" s="200"/>
      <c r="AN42" s="200"/>
      <c r="AO42" s="200"/>
      <c r="AP42" s="200"/>
      <c r="AQ42" s="518"/>
      <c r="AR42" s="518"/>
      <c r="AS42" s="418">
        <f t="shared" si="99"/>
        <v>52</v>
      </c>
      <c r="AT42" s="200">
        <v>8</v>
      </c>
      <c r="AU42" s="200"/>
      <c r="AV42" s="200"/>
      <c r="AW42" s="200"/>
      <c r="AX42" s="200">
        <v>44</v>
      </c>
      <c r="AY42" s="518"/>
      <c r="AZ42" s="518"/>
      <c r="BA42" s="518"/>
      <c r="BB42" s="418">
        <f t="shared" si="100"/>
        <v>0</v>
      </c>
      <c r="BC42" s="200"/>
      <c r="BD42" s="200"/>
      <c r="BE42" s="200"/>
      <c r="BF42" s="200"/>
      <c r="BG42" s="200"/>
      <c r="BH42" s="518"/>
      <c r="BI42" s="418"/>
      <c r="BJ42" s="200"/>
      <c r="BK42" s="200"/>
      <c r="BL42" s="200"/>
      <c r="BM42" s="200"/>
      <c r="BN42" s="200"/>
      <c r="BO42" s="200"/>
      <c r="BP42" s="200"/>
      <c r="BQ42" s="202"/>
      <c r="BR42" s="200"/>
      <c r="BS42" s="200"/>
    </row>
    <row r="43" spans="1:71" s="248" customFormat="1" ht="26.1" customHeight="1" x14ac:dyDescent="0.2">
      <c r="A43" s="512">
        <f>'Учебный план'!A61</f>
        <v>0</v>
      </c>
      <c r="B43" s="512" t="str">
        <f>'Учебный план'!B61</f>
        <v>Оператор связи ГМССБ</v>
      </c>
      <c r="C43" s="223"/>
      <c r="D43" s="425"/>
      <c r="E43" s="425"/>
      <c r="F43" s="103" t="s">
        <v>41</v>
      </c>
      <c r="G43" s="425"/>
      <c r="H43" s="103" t="s">
        <v>41</v>
      </c>
      <c r="I43" s="200">
        <f t="shared" si="88"/>
        <v>0</v>
      </c>
      <c r="J43" s="425">
        <f t="shared" si="89"/>
        <v>25.5</v>
      </c>
      <c r="K43" s="200">
        <f>'Учебный план'!K61</f>
        <v>124</v>
      </c>
      <c r="L43" s="200">
        <f>'Учебный план'!L61</f>
        <v>85</v>
      </c>
      <c r="M43" s="516">
        <f t="shared" si="90"/>
        <v>124</v>
      </c>
      <c r="N43" s="516">
        <f t="shared" si="91"/>
        <v>14</v>
      </c>
      <c r="O43" s="516">
        <f t="shared" si="92"/>
        <v>2</v>
      </c>
      <c r="P43" s="516">
        <f t="shared" si="92"/>
        <v>12</v>
      </c>
      <c r="Q43" s="516">
        <f t="shared" si="92"/>
        <v>0</v>
      </c>
      <c r="R43" s="516">
        <f t="shared" si="92"/>
        <v>0</v>
      </c>
      <c r="S43" s="516">
        <f t="shared" si="93"/>
        <v>110</v>
      </c>
      <c r="T43" s="517"/>
      <c r="U43" s="418">
        <f>SUM(V43:Z43)</f>
        <v>0</v>
      </c>
      <c r="V43" s="200"/>
      <c r="W43" s="200"/>
      <c r="X43" s="200"/>
      <c r="Y43" s="200"/>
      <c r="Z43" s="200"/>
      <c r="AA43" s="517"/>
      <c r="AB43" s="418">
        <f>SUM(AC43:AG43)</f>
        <v>0</v>
      </c>
      <c r="AC43" s="200"/>
      <c r="AD43" s="200"/>
      <c r="AE43" s="200"/>
      <c r="AF43" s="200"/>
      <c r="AG43" s="200"/>
      <c r="AH43" s="518"/>
      <c r="AI43" s="518"/>
      <c r="AJ43" s="518"/>
      <c r="AK43" s="418">
        <f t="shared" si="98"/>
        <v>0</v>
      </c>
      <c r="AL43" s="200"/>
      <c r="AM43" s="200"/>
      <c r="AN43" s="200"/>
      <c r="AO43" s="200"/>
      <c r="AP43" s="200"/>
      <c r="AQ43" s="518"/>
      <c r="AR43" s="518"/>
      <c r="AS43" s="418">
        <f t="shared" si="99"/>
        <v>0</v>
      </c>
      <c r="AT43" s="200"/>
      <c r="AU43" s="200"/>
      <c r="AV43" s="200"/>
      <c r="AW43" s="200"/>
      <c r="AX43" s="200"/>
      <c r="AY43" s="518"/>
      <c r="AZ43" s="518"/>
      <c r="BA43" s="518"/>
      <c r="BB43" s="418">
        <f t="shared" si="100"/>
        <v>124</v>
      </c>
      <c r="BC43" s="200">
        <v>2</v>
      </c>
      <c r="BD43" s="200">
        <v>12</v>
      </c>
      <c r="BE43" s="200"/>
      <c r="BF43" s="200"/>
      <c r="BG43" s="200">
        <v>110</v>
      </c>
      <c r="BH43" s="518"/>
      <c r="BI43" s="418">
        <f t="shared" si="94"/>
        <v>0</v>
      </c>
      <c r="BJ43" s="200"/>
      <c r="BK43" s="200"/>
      <c r="BL43" s="200"/>
      <c r="BM43" s="200"/>
      <c r="BN43" s="200"/>
      <c r="BO43" s="200"/>
      <c r="BP43" s="200"/>
      <c r="BQ43" s="202"/>
      <c r="BR43" s="200" t="str">
        <f>'Учебный план'!BZ61</f>
        <v>64-4</v>
      </c>
      <c r="BS43" s="200" t="str">
        <f>'Учебный план'!CA61</f>
        <v>ОК 1-10; 
ПК-1.1,1.2,1.4
ПК-4.2,4.3</v>
      </c>
    </row>
    <row r="44" spans="1:71" s="254" customFormat="1" ht="26.1" customHeight="1" x14ac:dyDescent="0.2">
      <c r="A44" s="562" t="str">
        <f>'Учебный план'!A62</f>
        <v>МДК.01.03</v>
      </c>
      <c r="B44" s="802" t="str">
        <f>'Учебный план'!B62</f>
        <v>Судовые энергетические установки и электрооборудование судов</v>
      </c>
      <c r="C44" s="803"/>
      <c r="D44" s="803"/>
      <c r="E44" s="803"/>
      <c r="F44" s="803"/>
      <c r="G44" s="803"/>
      <c r="H44" s="804"/>
      <c r="I44" s="561"/>
      <c r="J44" s="568"/>
      <c r="K44" s="561">
        <f>'Учебный план'!K62</f>
        <v>922</v>
      </c>
      <c r="L44" s="561">
        <f>'Учебный план'!L62</f>
        <v>647</v>
      </c>
      <c r="M44" s="561">
        <f t="shared" si="90"/>
        <v>894</v>
      </c>
      <c r="N44" s="561">
        <f t="shared" si="91"/>
        <v>112</v>
      </c>
      <c r="O44" s="561">
        <f>V44+AL44+AT44+BC44+BK44</f>
        <v>72</v>
      </c>
      <c r="P44" s="561">
        <f>W44+AM44+AU44+BD44+BL44</f>
        <v>40</v>
      </c>
      <c r="Q44" s="561">
        <f>X44+AN44+AV44+BE44+BM44</f>
        <v>0</v>
      </c>
      <c r="R44" s="561">
        <f>Y44+AO44+AW44+BF44+BN44</f>
        <v>0</v>
      </c>
      <c r="S44" s="561">
        <f>SUM(S45:T50)</f>
        <v>782</v>
      </c>
      <c r="T44" s="561">
        <f>SUM(T56:T60)</f>
        <v>0</v>
      </c>
      <c r="U44" s="561">
        <f>SUM(U45:U50)</f>
        <v>0</v>
      </c>
      <c r="V44" s="561">
        <f t="shared" ref="V44:Z44" si="103">SUM(V45:V50)</f>
        <v>0</v>
      </c>
      <c r="W44" s="561">
        <f t="shared" si="103"/>
        <v>0</v>
      </c>
      <c r="X44" s="561">
        <f t="shared" si="103"/>
        <v>0</v>
      </c>
      <c r="Y44" s="561">
        <f t="shared" si="103"/>
        <v>0</v>
      </c>
      <c r="Z44" s="561">
        <f t="shared" si="103"/>
        <v>0</v>
      </c>
      <c r="AA44" s="561">
        <f>SUM(AA56:AA60)</f>
        <v>0</v>
      </c>
      <c r="AB44" s="561">
        <f>SUM(AB45:AB50)</f>
        <v>148</v>
      </c>
      <c r="AC44" s="561">
        <f t="shared" ref="AC44:AG44" si="104">SUM(AC45:AC50)</f>
        <v>24</v>
      </c>
      <c r="AD44" s="561">
        <f t="shared" si="104"/>
        <v>4</v>
      </c>
      <c r="AE44" s="561">
        <f t="shared" si="104"/>
        <v>0</v>
      </c>
      <c r="AF44" s="561">
        <f t="shared" si="104"/>
        <v>0</v>
      </c>
      <c r="AG44" s="561">
        <f t="shared" si="104"/>
        <v>120</v>
      </c>
      <c r="AH44" s="561">
        <f>SUM(AH56:AH60)</f>
        <v>0</v>
      </c>
      <c r="AI44" s="561"/>
      <c r="AJ44" s="561">
        <f>SUM(AJ56:AJ60)</f>
        <v>0</v>
      </c>
      <c r="AK44" s="561">
        <f>SUM(AK45:AK50)</f>
        <v>301</v>
      </c>
      <c r="AL44" s="561">
        <f t="shared" ref="AL44:AP44" si="105">SUM(AL45:AL50)</f>
        <v>28</v>
      </c>
      <c r="AM44" s="561">
        <f t="shared" si="105"/>
        <v>12</v>
      </c>
      <c r="AN44" s="561">
        <f t="shared" si="105"/>
        <v>0</v>
      </c>
      <c r="AO44" s="561">
        <f t="shared" si="105"/>
        <v>0</v>
      </c>
      <c r="AP44" s="561">
        <f t="shared" si="105"/>
        <v>261</v>
      </c>
      <c r="AQ44" s="561">
        <f>SUM(AQ56:AQ60)</f>
        <v>0</v>
      </c>
      <c r="AR44" s="561">
        <f>SUM(AR56:AR60)</f>
        <v>0</v>
      </c>
      <c r="AS44" s="561">
        <f>SUM(AS45:AS50)</f>
        <v>239</v>
      </c>
      <c r="AT44" s="561">
        <f t="shared" ref="AT44:AX44" si="106">SUM(AT45:AT50)</f>
        <v>24</v>
      </c>
      <c r="AU44" s="561">
        <f t="shared" si="106"/>
        <v>10</v>
      </c>
      <c r="AV44" s="561">
        <f t="shared" si="106"/>
        <v>0</v>
      </c>
      <c r="AW44" s="561">
        <f t="shared" si="106"/>
        <v>0</v>
      </c>
      <c r="AX44" s="561">
        <f t="shared" si="106"/>
        <v>205</v>
      </c>
      <c r="AY44" s="561">
        <f>SUM(AY56:AY60)</f>
        <v>0</v>
      </c>
      <c r="AZ44" s="561">
        <f>SUM(AZ56:AZ60)</f>
        <v>0</v>
      </c>
      <c r="BA44" s="561">
        <f>SUM(BA56:BA60)</f>
        <v>0</v>
      </c>
      <c r="BB44" s="561">
        <f>SUM(BB45:BB50)</f>
        <v>234</v>
      </c>
      <c r="BC44" s="561">
        <f t="shared" ref="BC44:BG44" si="107">SUM(BC45:BC50)</f>
        <v>20</v>
      </c>
      <c r="BD44" s="561">
        <f t="shared" si="107"/>
        <v>18</v>
      </c>
      <c r="BE44" s="561">
        <f t="shared" si="107"/>
        <v>0</v>
      </c>
      <c r="BF44" s="561">
        <f t="shared" si="107"/>
        <v>0</v>
      </c>
      <c r="BG44" s="561">
        <f t="shared" si="107"/>
        <v>196</v>
      </c>
      <c r="BH44" s="561">
        <f>SUM(BH56:BH60)</f>
        <v>0</v>
      </c>
      <c r="BI44" s="561">
        <f>SUM(BI45:BI50)</f>
        <v>0</v>
      </c>
      <c r="BJ44" s="561">
        <f t="shared" ref="BJ44:BP44" si="108">SUM(BJ45:BJ50)</f>
        <v>0</v>
      </c>
      <c r="BK44" s="561">
        <f t="shared" si="108"/>
        <v>0</v>
      </c>
      <c r="BL44" s="561">
        <f t="shared" si="108"/>
        <v>0</v>
      </c>
      <c r="BM44" s="561">
        <f t="shared" si="108"/>
        <v>0</v>
      </c>
      <c r="BN44" s="561">
        <f t="shared" si="108"/>
        <v>0</v>
      </c>
      <c r="BO44" s="561">
        <f t="shared" si="108"/>
        <v>0</v>
      </c>
      <c r="BP44" s="561">
        <f t="shared" si="108"/>
        <v>0</v>
      </c>
      <c r="BQ44" s="561"/>
      <c r="BR44" s="561">
        <f>'Учебный план'!BZ62</f>
        <v>0</v>
      </c>
      <c r="BS44" s="561">
        <f>'Учебный план'!CA62</f>
        <v>0</v>
      </c>
    </row>
    <row r="45" spans="1:71" s="248" customFormat="1" ht="26.1" customHeight="1" x14ac:dyDescent="0.2">
      <c r="A45" s="512">
        <f>'Учебный план'!A63</f>
        <v>0</v>
      </c>
      <c r="B45" s="512" t="str">
        <f>'Учебный план'!B63</f>
        <v>Судовые вспомогательные механизмы и системы</v>
      </c>
      <c r="C45" s="223"/>
      <c r="D45" s="425"/>
      <c r="E45" s="425" t="s">
        <v>30</v>
      </c>
      <c r="F45" s="425"/>
      <c r="G45" s="425"/>
      <c r="H45" s="103" t="s">
        <v>31</v>
      </c>
      <c r="I45" s="200">
        <f t="shared" ref="I45:I50" si="109">K45-M45</f>
        <v>0</v>
      </c>
      <c r="J45" s="425">
        <f t="shared" si="89"/>
        <v>29.4</v>
      </c>
      <c r="K45" s="200">
        <f>'Учебный план'!K63</f>
        <v>142</v>
      </c>
      <c r="L45" s="200">
        <f>'Учебный план'!L63</f>
        <v>98</v>
      </c>
      <c r="M45" s="516">
        <f t="shared" si="90"/>
        <v>142</v>
      </c>
      <c r="N45" s="516">
        <f t="shared" si="91"/>
        <v>32</v>
      </c>
      <c r="O45" s="516">
        <f t="shared" ref="O45:R50" si="110">V45+AL45+AT45+BC45+AC45+BK45</f>
        <v>24</v>
      </c>
      <c r="P45" s="516">
        <f t="shared" si="110"/>
        <v>8</v>
      </c>
      <c r="Q45" s="516">
        <f t="shared" si="110"/>
        <v>0</v>
      </c>
      <c r="R45" s="516">
        <f t="shared" si="110"/>
        <v>0</v>
      </c>
      <c r="S45" s="516">
        <f t="shared" ref="S45:S50" si="111">Z45+AP45+AX45+BG45+BP45+AG45</f>
        <v>110</v>
      </c>
      <c r="T45" s="517"/>
      <c r="U45" s="418">
        <f t="shared" ref="U45:U50" si="112">SUM(V45:Z45)</f>
        <v>0</v>
      </c>
      <c r="V45" s="200"/>
      <c r="W45" s="200"/>
      <c r="X45" s="200"/>
      <c r="Y45" s="200"/>
      <c r="Z45" s="200"/>
      <c r="AA45" s="517"/>
      <c r="AB45" s="418">
        <f t="shared" ref="AB45:AB50" si="113">SUM(AC45:AG45)</f>
        <v>20</v>
      </c>
      <c r="AC45" s="200">
        <v>16</v>
      </c>
      <c r="AD45" s="200">
        <v>4</v>
      </c>
      <c r="AE45" s="200"/>
      <c r="AF45" s="200"/>
      <c r="AG45" s="200"/>
      <c r="AH45" s="518"/>
      <c r="AI45" s="518"/>
      <c r="AJ45" s="518"/>
      <c r="AK45" s="418">
        <f t="shared" ref="AK45:AK50" si="114">SUM(AL45:AP45)</f>
        <v>122</v>
      </c>
      <c r="AL45" s="200">
        <v>8</v>
      </c>
      <c r="AM45" s="200">
        <v>4</v>
      </c>
      <c r="AN45" s="200"/>
      <c r="AO45" s="200"/>
      <c r="AP45" s="200">
        <v>110</v>
      </c>
      <c r="AQ45" s="518"/>
      <c r="AR45" s="518"/>
      <c r="AS45" s="418">
        <f t="shared" ref="AS45:AS50" si="115">SUM(AT45:AX45)</f>
        <v>0</v>
      </c>
      <c r="AT45" s="200"/>
      <c r="AU45" s="200"/>
      <c r="AV45" s="200"/>
      <c r="AW45" s="200"/>
      <c r="AX45" s="200"/>
      <c r="AY45" s="518"/>
      <c r="AZ45" s="518"/>
      <c r="BA45" s="518"/>
      <c r="BB45" s="418">
        <f t="shared" ref="BB45:BB50" si="116">SUM(BC45:BG45)</f>
        <v>0</v>
      </c>
      <c r="BC45" s="200"/>
      <c r="BD45" s="200"/>
      <c r="BE45" s="200"/>
      <c r="BF45" s="200"/>
      <c r="BG45" s="200"/>
      <c r="BH45" s="518"/>
      <c r="BI45" s="418">
        <f t="shared" ref="BI45:BI50" si="117">SUM(BJ45:BP45)</f>
        <v>0</v>
      </c>
      <c r="BJ45" s="200"/>
      <c r="BK45" s="200"/>
      <c r="BL45" s="200"/>
      <c r="BM45" s="200"/>
      <c r="BN45" s="200"/>
      <c r="BO45" s="200"/>
      <c r="BP45" s="200"/>
      <c r="BQ45" s="202"/>
      <c r="BR45" s="200" t="str">
        <f>'Учебный план'!BZ63</f>
        <v>64-5</v>
      </c>
      <c r="BS45" s="200" t="str">
        <f>'Учебный план'!CA63</f>
        <v>ОК-1-10; ПК-1.3</v>
      </c>
    </row>
    <row r="46" spans="1:71" s="248" customFormat="1" ht="26.1" customHeight="1" x14ac:dyDescent="0.2">
      <c r="A46" s="512">
        <f>'Учебный план'!A64</f>
        <v>0</v>
      </c>
      <c r="B46" s="512" t="str">
        <f>'Учебный план'!B64</f>
        <v>Судовые энергетические установки (включая тренажер вахтенного механика)</v>
      </c>
      <c r="C46" s="223"/>
      <c r="D46" s="425"/>
      <c r="E46" s="425" t="s">
        <v>572</v>
      </c>
      <c r="F46" s="425"/>
      <c r="G46" s="425"/>
      <c r="H46" s="103" t="s">
        <v>31</v>
      </c>
      <c r="I46" s="200">
        <f t="shared" si="109"/>
        <v>0</v>
      </c>
      <c r="J46" s="425">
        <f t="shared" si="89"/>
        <v>95.7</v>
      </c>
      <c r="K46" s="200">
        <f>'Учебный план'!K64</f>
        <v>462</v>
      </c>
      <c r="L46" s="200">
        <f>'Учебный план'!L64</f>
        <v>319</v>
      </c>
      <c r="M46" s="516">
        <f t="shared" si="90"/>
        <v>462</v>
      </c>
      <c r="N46" s="516">
        <f t="shared" si="91"/>
        <v>54</v>
      </c>
      <c r="O46" s="516">
        <f t="shared" si="110"/>
        <v>32</v>
      </c>
      <c r="P46" s="516">
        <f t="shared" si="110"/>
        <v>22</v>
      </c>
      <c r="Q46" s="516">
        <f t="shared" si="110"/>
        <v>0</v>
      </c>
      <c r="R46" s="516">
        <f t="shared" si="110"/>
        <v>0</v>
      </c>
      <c r="S46" s="516">
        <f t="shared" si="111"/>
        <v>408</v>
      </c>
      <c r="T46" s="517"/>
      <c r="U46" s="418">
        <f t="shared" si="112"/>
        <v>0</v>
      </c>
      <c r="V46" s="200"/>
      <c r="W46" s="200"/>
      <c r="X46" s="200"/>
      <c r="Y46" s="200"/>
      <c r="Z46" s="200"/>
      <c r="AA46" s="517"/>
      <c r="AB46" s="418">
        <f t="shared" si="113"/>
        <v>128</v>
      </c>
      <c r="AC46" s="200">
        <v>8</v>
      </c>
      <c r="AD46" s="200"/>
      <c r="AE46" s="200"/>
      <c r="AF46" s="200"/>
      <c r="AG46" s="200">
        <v>120</v>
      </c>
      <c r="AH46" s="518"/>
      <c r="AI46" s="518"/>
      <c r="AJ46" s="518"/>
      <c r="AK46" s="418">
        <f t="shared" si="114"/>
        <v>114</v>
      </c>
      <c r="AL46" s="200">
        <v>8</v>
      </c>
      <c r="AM46" s="200">
        <v>4</v>
      </c>
      <c r="AN46" s="200"/>
      <c r="AO46" s="200"/>
      <c r="AP46" s="200">
        <v>102</v>
      </c>
      <c r="AQ46" s="518"/>
      <c r="AR46" s="518"/>
      <c r="AS46" s="418">
        <f t="shared" si="115"/>
        <v>114</v>
      </c>
      <c r="AT46" s="200">
        <v>8</v>
      </c>
      <c r="AU46" s="200">
        <v>4</v>
      </c>
      <c r="AV46" s="200"/>
      <c r="AW46" s="200"/>
      <c r="AX46" s="200">
        <v>102</v>
      </c>
      <c r="AY46" s="518"/>
      <c r="AZ46" s="518"/>
      <c r="BA46" s="518"/>
      <c r="BB46" s="418">
        <f t="shared" si="116"/>
        <v>106</v>
      </c>
      <c r="BC46" s="200">
        <v>8</v>
      </c>
      <c r="BD46" s="200">
        <v>14</v>
      </c>
      <c r="BE46" s="200"/>
      <c r="BF46" s="200"/>
      <c r="BG46" s="200">
        <v>84</v>
      </c>
      <c r="BH46" s="518"/>
      <c r="BI46" s="418">
        <f t="shared" si="117"/>
        <v>0</v>
      </c>
      <c r="BJ46" s="200"/>
      <c r="BK46" s="200"/>
      <c r="BL46" s="200"/>
      <c r="BM46" s="200"/>
      <c r="BN46" s="200"/>
      <c r="BO46" s="200"/>
      <c r="BP46" s="200"/>
      <c r="BQ46" s="202"/>
      <c r="BR46" s="200" t="str">
        <f>'Учебный план'!BZ64</f>
        <v>64-5</v>
      </c>
      <c r="BS46" s="200" t="str">
        <f>'Учебный план'!CA64</f>
        <v>ОК-1-10; ПК-1.3</v>
      </c>
    </row>
    <row r="47" spans="1:71" s="248" customFormat="1" ht="26.1" customHeight="1" x14ac:dyDescent="0.2">
      <c r="A47" s="512">
        <f>'Учебный план'!A65</f>
        <v>0</v>
      </c>
      <c r="B47" s="512" t="str">
        <f>'Учебный план'!B65</f>
        <v>Судовая автоматика и контрольно-измерительные приборы</v>
      </c>
      <c r="C47" s="223"/>
      <c r="D47" s="425"/>
      <c r="E47" s="425" t="s">
        <v>40</v>
      </c>
      <c r="F47" s="425"/>
      <c r="G47" s="425"/>
      <c r="H47" s="103" t="s">
        <v>40</v>
      </c>
      <c r="I47" s="200">
        <f t="shared" si="109"/>
        <v>0</v>
      </c>
      <c r="J47" s="425">
        <f t="shared" si="89"/>
        <v>16.2</v>
      </c>
      <c r="K47" s="200">
        <f>'Учебный план'!K65</f>
        <v>76</v>
      </c>
      <c r="L47" s="200">
        <f>'Учебный план'!L65</f>
        <v>54</v>
      </c>
      <c r="M47" s="516">
        <f t="shared" si="90"/>
        <v>76</v>
      </c>
      <c r="N47" s="516">
        <f t="shared" si="91"/>
        <v>12</v>
      </c>
      <c r="O47" s="516">
        <f t="shared" si="110"/>
        <v>8</v>
      </c>
      <c r="P47" s="516">
        <f t="shared" si="110"/>
        <v>4</v>
      </c>
      <c r="Q47" s="516">
        <f t="shared" si="110"/>
        <v>0</v>
      </c>
      <c r="R47" s="516">
        <f t="shared" si="110"/>
        <v>0</v>
      </c>
      <c r="S47" s="516">
        <f t="shared" si="111"/>
        <v>64</v>
      </c>
      <c r="T47" s="517"/>
      <c r="U47" s="418">
        <f t="shared" si="112"/>
        <v>0</v>
      </c>
      <c r="V47" s="200"/>
      <c r="W47" s="200"/>
      <c r="X47" s="200"/>
      <c r="Y47" s="200"/>
      <c r="Z47" s="200"/>
      <c r="AA47" s="517"/>
      <c r="AB47" s="418">
        <f t="shared" si="113"/>
        <v>0</v>
      </c>
      <c r="AC47" s="200"/>
      <c r="AD47" s="200"/>
      <c r="AE47" s="200"/>
      <c r="AF47" s="200"/>
      <c r="AG47" s="200"/>
      <c r="AH47" s="518"/>
      <c r="AI47" s="518"/>
      <c r="AJ47" s="518"/>
      <c r="AK47" s="418">
        <f t="shared" si="114"/>
        <v>0</v>
      </c>
      <c r="AL47" s="200"/>
      <c r="AM47" s="200"/>
      <c r="AN47" s="200"/>
      <c r="AO47" s="200"/>
      <c r="AP47" s="200"/>
      <c r="AQ47" s="518"/>
      <c r="AR47" s="518"/>
      <c r="AS47" s="418">
        <f t="shared" si="115"/>
        <v>76</v>
      </c>
      <c r="AT47" s="200">
        <v>8</v>
      </c>
      <c r="AU47" s="200">
        <v>4</v>
      </c>
      <c r="AV47" s="200"/>
      <c r="AW47" s="200"/>
      <c r="AX47" s="200">
        <v>64</v>
      </c>
      <c r="AY47" s="518"/>
      <c r="AZ47" s="518"/>
      <c r="BA47" s="518"/>
      <c r="BB47" s="418">
        <f t="shared" si="116"/>
        <v>0</v>
      </c>
      <c r="BC47" s="200"/>
      <c r="BD47" s="200"/>
      <c r="BE47" s="200"/>
      <c r="BF47" s="200"/>
      <c r="BG47" s="200"/>
      <c r="BH47" s="518"/>
      <c r="BI47" s="418">
        <f t="shared" si="117"/>
        <v>0</v>
      </c>
      <c r="BJ47" s="200"/>
      <c r="BK47" s="200"/>
      <c r="BL47" s="200"/>
      <c r="BM47" s="200"/>
      <c r="BN47" s="200"/>
      <c r="BO47" s="200"/>
      <c r="BP47" s="200"/>
      <c r="BQ47" s="202"/>
      <c r="BR47" s="200" t="str">
        <f>'Учебный план'!BZ65</f>
        <v>64-6</v>
      </c>
      <c r="BS47" s="200" t="str">
        <f>'Учебный план'!CA65</f>
        <v>ОК-1-10; ПК-1.3</v>
      </c>
    </row>
    <row r="48" spans="1:71" s="252" customFormat="1" ht="26.1" customHeight="1" x14ac:dyDescent="0.2">
      <c r="A48" s="512">
        <f>'Учебный план'!A66</f>
        <v>0</v>
      </c>
      <c r="B48" s="512" t="str">
        <f>'Учебный план'!B66</f>
        <v>Обслуживание и ремонт судовых энергетических установок</v>
      </c>
      <c r="C48" s="223"/>
      <c r="D48" s="425"/>
      <c r="E48" s="425" t="s">
        <v>41</v>
      </c>
      <c r="F48" s="425"/>
      <c r="G48" s="425"/>
      <c r="H48" s="103" t="s">
        <v>41</v>
      </c>
      <c r="I48" s="200">
        <f t="shared" si="109"/>
        <v>0</v>
      </c>
      <c r="J48" s="425">
        <f t="shared" si="89"/>
        <v>26.4</v>
      </c>
      <c r="K48" s="200">
        <f>'Учебный план'!K66</f>
        <v>128</v>
      </c>
      <c r="L48" s="200">
        <f>'Учебный план'!L66</f>
        <v>88</v>
      </c>
      <c r="M48" s="516">
        <f t="shared" si="90"/>
        <v>128</v>
      </c>
      <c r="N48" s="516">
        <f t="shared" si="91"/>
        <v>16</v>
      </c>
      <c r="O48" s="516">
        <f t="shared" si="110"/>
        <v>12</v>
      </c>
      <c r="P48" s="516">
        <f t="shared" si="110"/>
        <v>4</v>
      </c>
      <c r="Q48" s="516">
        <f t="shared" si="110"/>
        <v>0</v>
      </c>
      <c r="R48" s="516">
        <f t="shared" si="110"/>
        <v>0</v>
      </c>
      <c r="S48" s="516">
        <f t="shared" si="111"/>
        <v>112</v>
      </c>
      <c r="T48" s="517">
        <f>LEN(H48)-LEN(SUBSTITUTE(H48,"1",""))</f>
        <v>0</v>
      </c>
      <c r="U48" s="418">
        <f t="shared" si="112"/>
        <v>0</v>
      </c>
      <c r="V48" s="200"/>
      <c r="W48" s="200"/>
      <c r="X48" s="200"/>
      <c r="Y48" s="200"/>
      <c r="Z48" s="200"/>
      <c r="AA48" s="517">
        <f>LEN(Q48)-LEN(SUBSTITUTE(Q48,"1",""))</f>
        <v>0</v>
      </c>
      <c r="AB48" s="418">
        <f t="shared" si="113"/>
        <v>0</v>
      </c>
      <c r="AC48" s="200"/>
      <c r="AD48" s="200"/>
      <c r="AE48" s="200"/>
      <c r="AF48" s="200"/>
      <c r="AG48" s="200"/>
      <c r="AH48" s="518">
        <f>LEN(H48)-LEN(SUBSTITUTE(H48,"2",""))</f>
        <v>0</v>
      </c>
      <c r="AI48" s="518"/>
      <c r="AJ48" s="518">
        <f>LEN(H48)-LEN(SUBSTITUTE(H48,"3",""))</f>
        <v>0</v>
      </c>
      <c r="AK48" s="418">
        <f t="shared" si="114"/>
        <v>0</v>
      </c>
      <c r="AL48" s="200"/>
      <c r="AM48" s="200"/>
      <c r="AN48" s="200"/>
      <c r="AO48" s="200"/>
      <c r="AP48" s="200"/>
      <c r="AQ48" s="518">
        <f>LEN(H48)-LEN(SUBSTITUTE(H48,"4",""))</f>
        <v>0</v>
      </c>
      <c r="AR48" s="518">
        <f>LEN(H48)-LEN(SUBSTITUTE(H48,"5",""))</f>
        <v>1</v>
      </c>
      <c r="AS48" s="418">
        <f t="shared" si="115"/>
        <v>0</v>
      </c>
      <c r="AT48" s="200"/>
      <c r="AU48" s="200"/>
      <c r="AV48" s="200"/>
      <c r="AW48" s="200"/>
      <c r="AX48" s="200"/>
      <c r="AY48" s="518">
        <f>LEN(H48)-LEN(SUBSTITUTE(H48,"6",""))</f>
        <v>0</v>
      </c>
      <c r="AZ48" s="518">
        <f>LEN(H48)-LEN(SUBSTITUTE(H48,"7",""))</f>
        <v>0</v>
      </c>
      <c r="BA48" s="518">
        <f>LEN(H48)-LEN(SUBSTITUTE(H48,"8",""))</f>
        <v>0</v>
      </c>
      <c r="BB48" s="418">
        <f t="shared" si="116"/>
        <v>128</v>
      </c>
      <c r="BC48" s="200">
        <v>12</v>
      </c>
      <c r="BD48" s="200">
        <v>4</v>
      </c>
      <c r="BE48" s="200"/>
      <c r="BF48" s="200"/>
      <c r="BG48" s="200">
        <v>112</v>
      </c>
      <c r="BH48" s="518">
        <f>LEN(H48)-LEN(SUBSTITUTE(H48,"9",""))</f>
        <v>0</v>
      </c>
      <c r="BI48" s="418">
        <f t="shared" si="117"/>
        <v>0</v>
      </c>
      <c r="BJ48" s="200"/>
      <c r="BK48" s="200"/>
      <c r="BL48" s="200"/>
      <c r="BM48" s="200"/>
      <c r="BN48" s="200"/>
      <c r="BO48" s="200"/>
      <c r="BP48" s="200"/>
      <c r="BQ48" s="202"/>
      <c r="BR48" s="200" t="str">
        <f>'Учебный план'!BZ66</f>
        <v>64-5</v>
      </c>
      <c r="BS48" s="200" t="str">
        <f>'Учебный план'!CA66</f>
        <v>ОК-1-10; ПК-1.3</v>
      </c>
    </row>
    <row r="49" spans="1:71" s="248" customFormat="1" ht="26.1" customHeight="1" x14ac:dyDescent="0.2">
      <c r="A49" s="512">
        <f>'Учебный план'!A67</f>
        <v>0</v>
      </c>
      <c r="B49" s="512" t="str">
        <f>'Учебный план'!B67</f>
        <v>Электрооборудование судов</v>
      </c>
      <c r="C49" s="223"/>
      <c r="D49" s="425"/>
      <c r="E49" s="425" t="s">
        <v>30</v>
      </c>
      <c r="F49" s="425"/>
      <c r="G49" s="425"/>
      <c r="H49" s="103" t="s">
        <v>30</v>
      </c>
      <c r="I49" s="200">
        <f t="shared" si="109"/>
        <v>0</v>
      </c>
      <c r="J49" s="425">
        <f t="shared" si="89"/>
        <v>16.5</v>
      </c>
      <c r="K49" s="200">
        <f>'Учебный план'!K67</f>
        <v>65</v>
      </c>
      <c r="L49" s="200">
        <f>'Учебный план'!L67</f>
        <v>55</v>
      </c>
      <c r="M49" s="516">
        <f t="shared" si="90"/>
        <v>65</v>
      </c>
      <c r="N49" s="516">
        <f t="shared" si="91"/>
        <v>16</v>
      </c>
      <c r="O49" s="516">
        <f t="shared" si="110"/>
        <v>12</v>
      </c>
      <c r="P49" s="516">
        <f t="shared" si="110"/>
        <v>4</v>
      </c>
      <c r="Q49" s="516">
        <f t="shared" si="110"/>
        <v>0</v>
      </c>
      <c r="R49" s="516">
        <f t="shared" si="110"/>
        <v>0</v>
      </c>
      <c r="S49" s="516">
        <f t="shared" si="111"/>
        <v>49</v>
      </c>
      <c r="T49" s="517"/>
      <c r="U49" s="418">
        <f t="shared" si="112"/>
        <v>0</v>
      </c>
      <c r="V49" s="200"/>
      <c r="W49" s="200"/>
      <c r="X49" s="200"/>
      <c r="Y49" s="200"/>
      <c r="Z49" s="200"/>
      <c r="AA49" s="517"/>
      <c r="AB49" s="418">
        <f t="shared" si="113"/>
        <v>0</v>
      </c>
      <c r="AC49" s="200"/>
      <c r="AD49" s="200"/>
      <c r="AE49" s="200"/>
      <c r="AF49" s="200"/>
      <c r="AG49" s="200"/>
      <c r="AH49" s="518"/>
      <c r="AI49" s="518"/>
      <c r="AJ49" s="518"/>
      <c r="AK49" s="418">
        <f t="shared" si="114"/>
        <v>65</v>
      </c>
      <c r="AL49" s="200">
        <v>12</v>
      </c>
      <c r="AM49" s="200">
        <v>4</v>
      </c>
      <c r="AN49" s="200"/>
      <c r="AO49" s="200"/>
      <c r="AP49" s="200">
        <v>49</v>
      </c>
      <c r="AQ49" s="518"/>
      <c r="AR49" s="518"/>
      <c r="AS49" s="418">
        <f t="shared" si="115"/>
        <v>0</v>
      </c>
      <c r="AT49" s="200"/>
      <c r="AU49" s="200"/>
      <c r="AV49" s="200"/>
      <c r="AW49" s="200"/>
      <c r="AX49" s="200"/>
      <c r="AY49" s="518"/>
      <c r="AZ49" s="518"/>
      <c r="BA49" s="518"/>
      <c r="BB49" s="418">
        <f t="shared" si="116"/>
        <v>0</v>
      </c>
      <c r="BC49" s="200"/>
      <c r="BD49" s="200"/>
      <c r="BE49" s="200"/>
      <c r="BF49" s="200"/>
      <c r="BG49" s="200"/>
      <c r="BH49" s="518"/>
      <c r="BI49" s="418">
        <f t="shared" si="117"/>
        <v>0</v>
      </c>
      <c r="BJ49" s="200"/>
      <c r="BK49" s="200"/>
      <c r="BL49" s="200"/>
      <c r="BM49" s="200"/>
      <c r="BN49" s="200"/>
      <c r="BO49" s="200"/>
      <c r="BP49" s="200"/>
      <c r="BQ49" s="202"/>
      <c r="BR49" s="200" t="str">
        <f>'Учебный план'!BZ67</f>
        <v>64-6</v>
      </c>
      <c r="BS49" s="200" t="str">
        <f>'Учебный план'!CA67</f>
        <v>ОК 2,3,6,9; ПК-1.3</v>
      </c>
    </row>
    <row r="50" spans="1:71" s="248" customFormat="1" ht="26.1" customHeight="1" x14ac:dyDescent="0.2">
      <c r="A50" s="512">
        <f>'Учебный план'!A68</f>
        <v>0</v>
      </c>
      <c r="B50" s="512" t="str">
        <f>'Учебный план'!B68</f>
        <v>Обслуживание и ремонт судового электрического и электронного оборудования</v>
      </c>
      <c r="C50" s="223"/>
      <c r="D50" s="425"/>
      <c r="E50" s="425" t="s">
        <v>40</v>
      </c>
      <c r="F50" s="425"/>
      <c r="G50" s="425"/>
      <c r="H50" s="425"/>
      <c r="I50" s="200">
        <f t="shared" si="109"/>
        <v>0</v>
      </c>
      <c r="J50" s="425">
        <f t="shared" si="89"/>
        <v>9.9</v>
      </c>
      <c r="K50" s="200">
        <f>'Учебный план'!K68</f>
        <v>49</v>
      </c>
      <c r="L50" s="200">
        <f>'Учебный план'!L68</f>
        <v>33</v>
      </c>
      <c r="M50" s="516">
        <f t="shared" si="90"/>
        <v>49</v>
      </c>
      <c r="N50" s="516">
        <f t="shared" si="91"/>
        <v>10</v>
      </c>
      <c r="O50" s="516">
        <f t="shared" si="110"/>
        <v>8</v>
      </c>
      <c r="P50" s="516">
        <f t="shared" si="110"/>
        <v>2</v>
      </c>
      <c r="Q50" s="516">
        <f t="shared" si="110"/>
        <v>0</v>
      </c>
      <c r="R50" s="516">
        <f t="shared" si="110"/>
        <v>0</v>
      </c>
      <c r="S50" s="516">
        <f t="shared" si="111"/>
        <v>39</v>
      </c>
      <c r="T50" s="517"/>
      <c r="U50" s="418">
        <f t="shared" si="112"/>
        <v>0</v>
      </c>
      <c r="V50" s="200"/>
      <c r="W50" s="200"/>
      <c r="X50" s="200"/>
      <c r="Y50" s="200"/>
      <c r="Z50" s="200"/>
      <c r="AA50" s="517"/>
      <c r="AB50" s="418">
        <f t="shared" si="113"/>
        <v>0</v>
      </c>
      <c r="AC50" s="200"/>
      <c r="AD50" s="200"/>
      <c r="AE50" s="200"/>
      <c r="AF50" s="200"/>
      <c r="AG50" s="200"/>
      <c r="AH50" s="518"/>
      <c r="AI50" s="518"/>
      <c r="AJ50" s="518"/>
      <c r="AK50" s="418">
        <f t="shared" si="114"/>
        <v>0</v>
      </c>
      <c r="AL50" s="200"/>
      <c r="AM50" s="200"/>
      <c r="AN50" s="200"/>
      <c r="AO50" s="200"/>
      <c r="AP50" s="200"/>
      <c r="AQ50" s="518"/>
      <c r="AR50" s="518"/>
      <c r="AS50" s="418">
        <f t="shared" si="115"/>
        <v>49</v>
      </c>
      <c r="AT50" s="200">
        <v>8</v>
      </c>
      <c r="AU50" s="200">
        <v>2</v>
      </c>
      <c r="AV50" s="200"/>
      <c r="AW50" s="200"/>
      <c r="AX50" s="200">
        <v>39</v>
      </c>
      <c r="AY50" s="518"/>
      <c r="AZ50" s="518"/>
      <c r="BA50" s="518"/>
      <c r="BB50" s="418">
        <f t="shared" si="116"/>
        <v>0</v>
      </c>
      <c r="BC50" s="200"/>
      <c r="BD50" s="200"/>
      <c r="BE50" s="200"/>
      <c r="BF50" s="200"/>
      <c r="BG50" s="200"/>
      <c r="BH50" s="518"/>
      <c r="BI50" s="418">
        <f t="shared" si="117"/>
        <v>0</v>
      </c>
      <c r="BJ50" s="200"/>
      <c r="BK50" s="200"/>
      <c r="BL50" s="200"/>
      <c r="BM50" s="200"/>
      <c r="BN50" s="200"/>
      <c r="BO50" s="200"/>
      <c r="BP50" s="200"/>
      <c r="BQ50" s="202"/>
      <c r="BR50" s="200" t="str">
        <f>'Учебный план'!BZ68</f>
        <v>64-6</v>
      </c>
      <c r="BS50" s="200" t="str">
        <f>'Учебный план'!CA68</f>
        <v>ОК-2,3,5,7; ПК-1.3</v>
      </c>
    </row>
    <row r="51" spans="1:71" s="254" customFormat="1" ht="26.1" customHeight="1" x14ac:dyDescent="0.2">
      <c r="A51" s="562" t="str">
        <f>'Учебный план'!A69</f>
        <v>МДК.01.04</v>
      </c>
      <c r="B51" s="802" t="str">
        <f>'Учебный план'!B69</f>
        <v>Судовождение на внутренних водных путях</v>
      </c>
      <c r="C51" s="803"/>
      <c r="D51" s="803"/>
      <c r="E51" s="803"/>
      <c r="F51" s="803"/>
      <c r="G51" s="803"/>
      <c r="H51" s="804"/>
      <c r="I51" s="561"/>
      <c r="J51" s="568"/>
      <c r="K51" s="561">
        <f>'Учебный план'!K69</f>
        <v>578</v>
      </c>
      <c r="L51" s="561">
        <f>'Учебный план'!L69</f>
        <v>395</v>
      </c>
      <c r="M51" s="561">
        <f>SUM(M52:M54)</f>
        <v>578</v>
      </c>
      <c r="N51" s="561">
        <f t="shared" ref="N51:Z51" si="118">SUM(N52:N54)</f>
        <v>99</v>
      </c>
      <c r="O51" s="561">
        <f t="shared" si="118"/>
        <v>54</v>
      </c>
      <c r="P51" s="561">
        <f t="shared" si="118"/>
        <v>12</v>
      </c>
      <c r="Q51" s="561">
        <f t="shared" si="118"/>
        <v>33</v>
      </c>
      <c r="R51" s="561">
        <f t="shared" si="118"/>
        <v>0</v>
      </c>
      <c r="S51" s="561">
        <f t="shared" si="118"/>
        <v>479</v>
      </c>
      <c r="T51" s="561">
        <f t="shared" si="118"/>
        <v>0</v>
      </c>
      <c r="U51" s="561">
        <f t="shared" si="118"/>
        <v>0</v>
      </c>
      <c r="V51" s="561">
        <f t="shared" si="118"/>
        <v>0</v>
      </c>
      <c r="W51" s="561">
        <f t="shared" si="118"/>
        <v>0</v>
      </c>
      <c r="X51" s="561">
        <f t="shared" si="118"/>
        <v>0</v>
      </c>
      <c r="Y51" s="561">
        <f t="shared" si="118"/>
        <v>0</v>
      </c>
      <c r="Z51" s="561">
        <f t="shared" si="118"/>
        <v>0</v>
      </c>
      <c r="AA51" s="561">
        <f t="shared" ref="AA51:AG51" si="119">SUM(AA52:AA54)</f>
        <v>0</v>
      </c>
      <c r="AB51" s="561">
        <f t="shared" si="119"/>
        <v>133</v>
      </c>
      <c r="AC51" s="561">
        <f t="shared" si="119"/>
        <v>24</v>
      </c>
      <c r="AD51" s="561">
        <f t="shared" si="119"/>
        <v>0</v>
      </c>
      <c r="AE51" s="561">
        <f t="shared" si="119"/>
        <v>0</v>
      </c>
      <c r="AF51" s="561">
        <f t="shared" si="119"/>
        <v>0</v>
      </c>
      <c r="AG51" s="561">
        <f t="shared" si="119"/>
        <v>109</v>
      </c>
      <c r="AH51" s="561"/>
      <c r="AI51" s="561"/>
      <c r="AJ51" s="561"/>
      <c r="AK51" s="561">
        <f t="shared" ref="AK51:AP51" si="120">SUM(AK52:AK54)</f>
        <v>141</v>
      </c>
      <c r="AL51" s="561">
        <f t="shared" si="120"/>
        <v>16</v>
      </c>
      <c r="AM51" s="561">
        <f t="shared" si="120"/>
        <v>0</v>
      </c>
      <c r="AN51" s="561">
        <f t="shared" si="120"/>
        <v>0</v>
      </c>
      <c r="AO51" s="561">
        <f t="shared" si="120"/>
        <v>0</v>
      </c>
      <c r="AP51" s="561">
        <f t="shared" si="120"/>
        <v>125</v>
      </c>
      <c r="AQ51" s="561"/>
      <c r="AR51" s="561"/>
      <c r="AS51" s="561">
        <f t="shared" ref="AS51:AX51" si="121">SUM(AS52:AS54)</f>
        <v>197</v>
      </c>
      <c r="AT51" s="561">
        <f t="shared" si="121"/>
        <v>10</v>
      </c>
      <c r="AU51" s="561">
        <f t="shared" si="121"/>
        <v>12</v>
      </c>
      <c r="AV51" s="561">
        <f t="shared" si="121"/>
        <v>0</v>
      </c>
      <c r="AW51" s="561">
        <f t="shared" si="121"/>
        <v>0</v>
      </c>
      <c r="AX51" s="561">
        <f t="shared" si="121"/>
        <v>175</v>
      </c>
      <c r="AY51" s="561"/>
      <c r="AZ51" s="561"/>
      <c r="BA51" s="561"/>
      <c r="BB51" s="561">
        <f t="shared" ref="BB51:BG51" si="122">SUM(BB52:BB54)</f>
        <v>107</v>
      </c>
      <c r="BC51" s="561">
        <f t="shared" si="122"/>
        <v>4</v>
      </c>
      <c r="BD51" s="561">
        <f t="shared" si="122"/>
        <v>0</v>
      </c>
      <c r="BE51" s="561">
        <f t="shared" si="122"/>
        <v>33</v>
      </c>
      <c r="BF51" s="561">
        <f t="shared" si="122"/>
        <v>0</v>
      </c>
      <c r="BG51" s="561">
        <f t="shared" si="122"/>
        <v>70</v>
      </c>
      <c r="BH51" s="561"/>
      <c r="BI51" s="561">
        <f t="shared" ref="BI51:BP51" si="123">SUM(BI52:BI54)</f>
        <v>0</v>
      </c>
      <c r="BJ51" s="561">
        <f t="shared" si="123"/>
        <v>0</v>
      </c>
      <c r="BK51" s="561">
        <f t="shared" si="123"/>
        <v>0</v>
      </c>
      <c r="BL51" s="561">
        <f t="shared" si="123"/>
        <v>0</v>
      </c>
      <c r="BM51" s="561">
        <f t="shared" si="123"/>
        <v>0</v>
      </c>
      <c r="BN51" s="561">
        <f t="shared" si="123"/>
        <v>0</v>
      </c>
      <c r="BO51" s="561">
        <f t="shared" si="123"/>
        <v>0</v>
      </c>
      <c r="BP51" s="561">
        <f t="shared" si="123"/>
        <v>0</v>
      </c>
      <c r="BQ51" s="561"/>
      <c r="BR51" s="568">
        <f>'Учебный план'!BZ69</f>
        <v>0</v>
      </c>
      <c r="BS51" s="561">
        <f>'Учебный план'!CA69</f>
        <v>0</v>
      </c>
    </row>
    <row r="52" spans="1:71" s="248" customFormat="1" ht="26.1" customHeight="1" x14ac:dyDescent="0.2">
      <c r="A52" s="512">
        <f>'Учебный план'!A70</f>
        <v>0</v>
      </c>
      <c r="B52" s="512" t="str">
        <f>'Учебный план'!B70</f>
        <v>Правила плавания и управление судами на ВВП</v>
      </c>
      <c r="C52" s="223"/>
      <c r="D52" s="425" t="s">
        <v>40</v>
      </c>
      <c r="E52" s="425" t="s">
        <v>41</v>
      </c>
      <c r="F52" s="425"/>
      <c r="G52" s="425" t="s">
        <v>41</v>
      </c>
      <c r="H52" s="103" t="s">
        <v>30</v>
      </c>
      <c r="I52" s="200">
        <f t="shared" ref="I52:I54" si="124">K52-M52</f>
        <v>0</v>
      </c>
      <c r="J52" s="425">
        <f t="shared" si="89"/>
        <v>61.2</v>
      </c>
      <c r="K52" s="200">
        <f>'Учебный план'!K70</f>
        <v>297</v>
      </c>
      <c r="L52" s="200">
        <f>'Учебный план'!L70</f>
        <v>204</v>
      </c>
      <c r="M52" s="516">
        <f>SUM(N52+S52)</f>
        <v>297</v>
      </c>
      <c r="N52" s="516">
        <f>SUM(O52:R52)</f>
        <v>65</v>
      </c>
      <c r="O52" s="516">
        <f t="shared" ref="O52:R54" si="125">V52+AL52+AT52+BC52+AC52+BK52</f>
        <v>32</v>
      </c>
      <c r="P52" s="516">
        <f t="shared" si="125"/>
        <v>0</v>
      </c>
      <c r="Q52" s="516">
        <f t="shared" si="125"/>
        <v>33</v>
      </c>
      <c r="R52" s="516">
        <f t="shared" si="125"/>
        <v>0</v>
      </c>
      <c r="S52" s="516">
        <f>Z52+AP52+AX52+BG52+BP52+AG52</f>
        <v>232</v>
      </c>
      <c r="T52" s="517"/>
      <c r="U52" s="418">
        <f>SUM(V52:Z52)</f>
        <v>0</v>
      </c>
      <c r="V52" s="200"/>
      <c r="W52" s="200"/>
      <c r="X52" s="200"/>
      <c r="Y52" s="200"/>
      <c r="Z52" s="200"/>
      <c r="AA52" s="517"/>
      <c r="AB52" s="418">
        <f>SUM(AC52:AG52)</f>
        <v>62</v>
      </c>
      <c r="AC52" s="200">
        <v>12</v>
      </c>
      <c r="AD52" s="200"/>
      <c r="AE52" s="200"/>
      <c r="AF52" s="200"/>
      <c r="AG52" s="200">
        <v>50</v>
      </c>
      <c r="AH52" s="518"/>
      <c r="AI52" s="518"/>
      <c r="AJ52" s="518"/>
      <c r="AK52" s="418">
        <f>SUM(AL52:AP52)</f>
        <v>64</v>
      </c>
      <c r="AL52" s="200">
        <v>8</v>
      </c>
      <c r="AM52" s="200"/>
      <c r="AN52" s="200"/>
      <c r="AO52" s="200"/>
      <c r="AP52" s="200">
        <v>56</v>
      </c>
      <c r="AQ52" s="518"/>
      <c r="AR52" s="518"/>
      <c r="AS52" s="418">
        <f>SUM(AT52:AX52)</f>
        <v>64</v>
      </c>
      <c r="AT52" s="200">
        <v>8</v>
      </c>
      <c r="AU52" s="200"/>
      <c r="AV52" s="200"/>
      <c r="AW52" s="200"/>
      <c r="AX52" s="200">
        <v>56</v>
      </c>
      <c r="AY52" s="518"/>
      <c r="AZ52" s="518"/>
      <c r="BA52" s="518"/>
      <c r="BB52" s="418">
        <f>SUM(BC52:BG52)</f>
        <v>107</v>
      </c>
      <c r="BC52" s="200">
        <v>4</v>
      </c>
      <c r="BD52" s="200"/>
      <c r="BE52" s="200">
        <v>33</v>
      </c>
      <c r="BF52" s="200"/>
      <c r="BG52" s="200">
        <v>70</v>
      </c>
      <c r="BH52" s="518"/>
      <c r="BI52" s="418">
        <f t="shared" ref="BI52:BI54" si="126">SUM(BJ52:BP52)</f>
        <v>0</v>
      </c>
      <c r="BJ52" s="200"/>
      <c r="BK52" s="200"/>
      <c r="BL52" s="200"/>
      <c r="BM52" s="200"/>
      <c r="BN52" s="200"/>
      <c r="BO52" s="200"/>
      <c r="BP52" s="200"/>
      <c r="BQ52" s="202"/>
      <c r="BR52" s="425" t="str">
        <f>'Учебный план'!BZ70</f>
        <v>64-4</v>
      </c>
      <c r="BS52" s="200" t="str">
        <f>'Учебный план'!CA70</f>
        <v>ОК-1-10; ПК-1.3</v>
      </c>
    </row>
    <row r="53" spans="1:71" s="248" customFormat="1" ht="26.1" customHeight="1" x14ac:dyDescent="0.2">
      <c r="A53" s="512">
        <f>'Учебный план'!A71</f>
        <v>0</v>
      </c>
      <c r="B53" s="512" t="str">
        <f>'Учебный план'!B71</f>
        <v>Лоция внутренних водных путей</v>
      </c>
      <c r="C53" s="223"/>
      <c r="D53" s="425"/>
      <c r="E53" s="425" t="s">
        <v>30</v>
      </c>
      <c r="F53" s="425"/>
      <c r="G53" s="425"/>
      <c r="H53" s="103" t="s">
        <v>30</v>
      </c>
      <c r="I53" s="200">
        <f t="shared" si="124"/>
        <v>0</v>
      </c>
      <c r="J53" s="425">
        <f t="shared" si="89"/>
        <v>33</v>
      </c>
      <c r="K53" s="200">
        <f>'Учебный план'!K71</f>
        <v>148</v>
      </c>
      <c r="L53" s="200">
        <f>'Учебный план'!L71</f>
        <v>110</v>
      </c>
      <c r="M53" s="516">
        <f>SUM(N53+S53)</f>
        <v>148</v>
      </c>
      <c r="N53" s="516">
        <f>SUM(O53:R53)</f>
        <v>20</v>
      </c>
      <c r="O53" s="516">
        <f t="shared" si="125"/>
        <v>20</v>
      </c>
      <c r="P53" s="516">
        <f t="shared" si="125"/>
        <v>0</v>
      </c>
      <c r="Q53" s="516">
        <f t="shared" si="125"/>
        <v>0</v>
      </c>
      <c r="R53" s="516">
        <f t="shared" si="125"/>
        <v>0</v>
      </c>
      <c r="S53" s="516">
        <f>Z53+AP53+AX53+BG53+BP53+AG53</f>
        <v>128</v>
      </c>
      <c r="T53" s="517"/>
      <c r="U53" s="418">
        <f>SUM(V53:Z53)</f>
        <v>0</v>
      </c>
      <c r="V53" s="200"/>
      <c r="W53" s="200"/>
      <c r="X53" s="200"/>
      <c r="Y53" s="200"/>
      <c r="Z53" s="200"/>
      <c r="AA53" s="517"/>
      <c r="AB53" s="418">
        <f>SUM(AC53:AG53)</f>
        <v>71</v>
      </c>
      <c r="AC53" s="200">
        <v>12</v>
      </c>
      <c r="AD53" s="200"/>
      <c r="AE53" s="200"/>
      <c r="AF53" s="200"/>
      <c r="AG53" s="200">
        <v>59</v>
      </c>
      <c r="AH53" s="518"/>
      <c r="AI53" s="518"/>
      <c r="AJ53" s="518"/>
      <c r="AK53" s="418">
        <f>SUM(AL53:AP53)</f>
        <v>77</v>
      </c>
      <c r="AL53" s="200">
        <v>8</v>
      </c>
      <c r="AM53" s="200"/>
      <c r="AN53" s="200"/>
      <c r="AO53" s="200"/>
      <c r="AP53" s="200">
        <v>69</v>
      </c>
      <c r="AQ53" s="518"/>
      <c r="AR53" s="518"/>
      <c r="AS53" s="418">
        <f>SUM(AT53:AX53)</f>
        <v>0</v>
      </c>
      <c r="AT53" s="200"/>
      <c r="AU53" s="200"/>
      <c r="AV53" s="200"/>
      <c r="AW53" s="200"/>
      <c r="AX53" s="200"/>
      <c r="AY53" s="518"/>
      <c r="AZ53" s="518"/>
      <c r="BA53" s="518"/>
      <c r="BB53" s="418">
        <f>SUM(BC53:BG53)</f>
        <v>0</v>
      </c>
      <c r="BC53" s="200"/>
      <c r="BD53" s="200"/>
      <c r="BE53" s="200"/>
      <c r="BF53" s="200"/>
      <c r="BG53" s="200"/>
      <c r="BH53" s="518"/>
      <c r="BI53" s="418">
        <f t="shared" si="126"/>
        <v>0</v>
      </c>
      <c r="BJ53" s="200"/>
      <c r="BK53" s="200"/>
      <c r="BL53" s="200"/>
      <c r="BM53" s="200"/>
      <c r="BN53" s="200"/>
      <c r="BO53" s="200"/>
      <c r="BP53" s="200"/>
      <c r="BQ53" s="202"/>
      <c r="BR53" s="425" t="str">
        <f>'Учебный план'!BZ71</f>
        <v>64-4</v>
      </c>
      <c r="BS53" s="200" t="str">
        <f>'Учебный план'!CA71</f>
        <v>ОК-1-10; ПК-1.3</v>
      </c>
    </row>
    <row r="54" spans="1:71" s="248" customFormat="1" ht="26.1" customHeight="1" x14ac:dyDescent="0.2">
      <c r="A54" s="512">
        <f>'Учебный план'!A72</f>
        <v>0</v>
      </c>
      <c r="B54" s="512" t="str">
        <f>'Учебный план'!B72</f>
        <v>Использование РЛС на ВВП</v>
      </c>
      <c r="C54" s="223"/>
      <c r="D54" s="425"/>
      <c r="E54" s="425"/>
      <c r="F54" s="103" t="s">
        <v>40</v>
      </c>
      <c r="G54" s="425"/>
      <c r="H54" s="103" t="s">
        <v>40</v>
      </c>
      <c r="I54" s="200">
        <f t="shared" si="124"/>
        <v>0</v>
      </c>
      <c r="J54" s="425">
        <f t="shared" si="89"/>
        <v>24.3</v>
      </c>
      <c r="K54" s="200">
        <f>'Учебный план'!K72</f>
        <v>133</v>
      </c>
      <c r="L54" s="200">
        <f>'Учебный план'!L72</f>
        <v>81</v>
      </c>
      <c r="M54" s="516">
        <f>SUM(N54+S54)</f>
        <v>133</v>
      </c>
      <c r="N54" s="516">
        <f>SUM(O54:R54)</f>
        <v>14</v>
      </c>
      <c r="O54" s="516">
        <f t="shared" si="125"/>
        <v>2</v>
      </c>
      <c r="P54" s="516">
        <f t="shared" si="125"/>
        <v>12</v>
      </c>
      <c r="Q54" s="516">
        <f t="shared" si="125"/>
        <v>0</v>
      </c>
      <c r="R54" s="516">
        <f t="shared" si="125"/>
        <v>0</v>
      </c>
      <c r="S54" s="516">
        <f>Z54+AP54+AX54+BG54+BP54+AG54</f>
        <v>119</v>
      </c>
      <c r="T54" s="517"/>
      <c r="U54" s="418">
        <f>SUM(V54:Z54)</f>
        <v>0</v>
      </c>
      <c r="V54" s="200"/>
      <c r="W54" s="200"/>
      <c r="X54" s="200"/>
      <c r="Y54" s="200"/>
      <c r="Z54" s="200"/>
      <c r="AA54" s="517"/>
      <c r="AB54" s="418">
        <f>SUM(AC54:AG54)</f>
        <v>0</v>
      </c>
      <c r="AC54" s="200"/>
      <c r="AD54" s="200"/>
      <c r="AE54" s="200"/>
      <c r="AF54" s="200"/>
      <c r="AG54" s="200"/>
      <c r="AH54" s="518"/>
      <c r="AI54" s="518"/>
      <c r="AJ54" s="518"/>
      <c r="AK54" s="418">
        <f>SUM(AL54:AP54)</f>
        <v>0</v>
      </c>
      <c r="AL54" s="200"/>
      <c r="AM54" s="200"/>
      <c r="AN54" s="200"/>
      <c r="AO54" s="200"/>
      <c r="AP54" s="200"/>
      <c r="AQ54" s="518"/>
      <c r="AR54" s="518"/>
      <c r="AS54" s="418">
        <f>SUM(AT54:AX54)</f>
        <v>133</v>
      </c>
      <c r="AT54" s="200">
        <v>2</v>
      </c>
      <c r="AU54" s="200">
        <v>12</v>
      </c>
      <c r="AV54" s="200"/>
      <c r="AW54" s="200"/>
      <c r="AX54" s="200">
        <v>119</v>
      </c>
      <c r="AY54" s="518"/>
      <c r="AZ54" s="518"/>
      <c r="BA54" s="518"/>
      <c r="BB54" s="418">
        <f>SUM(BC54:BG54)</f>
        <v>0</v>
      </c>
      <c r="BC54" s="200"/>
      <c r="BD54" s="200"/>
      <c r="BE54" s="200"/>
      <c r="BF54" s="200"/>
      <c r="BG54" s="200"/>
      <c r="BH54" s="518"/>
      <c r="BI54" s="418">
        <f t="shared" si="126"/>
        <v>0</v>
      </c>
      <c r="BJ54" s="200"/>
      <c r="BK54" s="200"/>
      <c r="BL54" s="200"/>
      <c r="BM54" s="200"/>
      <c r="BN54" s="200"/>
      <c r="BO54" s="200"/>
      <c r="BP54" s="200"/>
      <c r="BQ54" s="202"/>
      <c r="BR54" s="425" t="str">
        <f>'Учебный план'!BZ72</f>
        <v>64-4</v>
      </c>
      <c r="BS54" s="200" t="str">
        <f>'Учебный план'!CA72</f>
        <v>ОК-1-10; ПК-1.3</v>
      </c>
    </row>
    <row r="55" spans="1:71" s="248" customFormat="1" ht="17.25" customHeight="1" x14ac:dyDescent="0.2">
      <c r="A55" s="785" t="str">
        <f>'Учебный план'!A73</f>
        <v xml:space="preserve"> Экзамен квалификационный</v>
      </c>
      <c r="B55" s="786"/>
      <c r="C55" s="527"/>
      <c r="D55" s="575" t="s">
        <v>41</v>
      </c>
      <c r="E55" s="469"/>
      <c r="F55" s="469"/>
      <c r="G55" s="469"/>
      <c r="H55" s="469"/>
      <c r="I55" s="470"/>
      <c r="J55" s="469"/>
      <c r="K55" s="470">
        <f>'Учебный план'!K73</f>
        <v>0</v>
      </c>
      <c r="L55" s="470">
        <f>'Учебный план'!L73</f>
        <v>0</v>
      </c>
      <c r="M55" s="428"/>
      <c r="N55" s="428"/>
      <c r="O55" s="428"/>
      <c r="P55" s="428"/>
      <c r="Q55" s="428"/>
      <c r="R55" s="428"/>
      <c r="S55" s="428"/>
      <c r="T55" s="428"/>
      <c r="U55" s="428"/>
      <c r="V55" s="470"/>
      <c r="W55" s="470"/>
      <c r="X55" s="470"/>
      <c r="Y55" s="470"/>
      <c r="Z55" s="470"/>
      <c r="AA55" s="428"/>
      <c r="AB55" s="428"/>
      <c r="AC55" s="470"/>
      <c r="AD55" s="470"/>
      <c r="AE55" s="470"/>
      <c r="AF55" s="470"/>
      <c r="AG55" s="470"/>
      <c r="AH55" s="470"/>
      <c r="AI55" s="470"/>
      <c r="AJ55" s="470"/>
      <c r="AK55" s="428"/>
      <c r="AL55" s="470"/>
      <c r="AM55" s="470"/>
      <c r="AN55" s="470"/>
      <c r="AO55" s="470"/>
      <c r="AP55" s="470"/>
      <c r="AQ55" s="470"/>
      <c r="AR55" s="470"/>
      <c r="AS55" s="428"/>
      <c r="AT55" s="470"/>
      <c r="AU55" s="470"/>
      <c r="AV55" s="470"/>
      <c r="AW55" s="470"/>
      <c r="AX55" s="470"/>
      <c r="AY55" s="470"/>
      <c r="AZ55" s="470"/>
      <c r="BA55" s="470"/>
      <c r="BB55" s="428"/>
      <c r="BC55" s="470"/>
      <c r="BD55" s="470"/>
      <c r="BE55" s="470"/>
      <c r="BF55" s="470"/>
      <c r="BG55" s="470"/>
      <c r="BH55" s="470"/>
      <c r="BI55" s="428"/>
      <c r="BJ55" s="470"/>
      <c r="BK55" s="470"/>
      <c r="BL55" s="470"/>
      <c r="BM55" s="470"/>
      <c r="BN55" s="470"/>
      <c r="BO55" s="470"/>
      <c r="BP55" s="470"/>
      <c r="BQ55" s="470"/>
      <c r="BR55" s="469">
        <f>'Учебный план'!BZ73</f>
        <v>0</v>
      </c>
      <c r="BS55" s="528">
        <f>'Учебный план'!CA73</f>
        <v>0</v>
      </c>
    </row>
    <row r="56" spans="1:71" s="254" customFormat="1" ht="26.1" customHeight="1" x14ac:dyDescent="0.2">
      <c r="A56" s="525" t="str">
        <f>'Учебный план'!A74</f>
        <v>ПМ.02</v>
      </c>
      <c r="B56" s="805" t="str">
        <f>'Учебный план'!B74</f>
        <v>Обеспечение безопасности плавания</v>
      </c>
      <c r="C56" s="806"/>
      <c r="D56" s="806"/>
      <c r="E56" s="806"/>
      <c r="F56" s="806"/>
      <c r="G56" s="806"/>
      <c r="H56" s="807"/>
      <c r="I56" s="419"/>
      <c r="J56" s="419"/>
      <c r="K56" s="419">
        <f>'Учебный план'!K74</f>
        <v>314</v>
      </c>
      <c r="L56" s="419">
        <f>'Учебный план'!L74</f>
        <v>218</v>
      </c>
      <c r="M56" s="419">
        <f>SUM(M59:M61)</f>
        <v>314</v>
      </c>
      <c r="N56" s="419">
        <f>SUM(N59:N61)</f>
        <v>34</v>
      </c>
      <c r="O56" s="419">
        <f t="shared" ref="O56:S56" si="127">SUM(O59:O61)</f>
        <v>34</v>
      </c>
      <c r="P56" s="419">
        <f t="shared" si="127"/>
        <v>0</v>
      </c>
      <c r="Q56" s="419">
        <f t="shared" si="127"/>
        <v>0</v>
      </c>
      <c r="R56" s="419">
        <f t="shared" si="127"/>
        <v>0</v>
      </c>
      <c r="S56" s="419">
        <f t="shared" si="127"/>
        <v>280</v>
      </c>
      <c r="T56" s="419">
        <f t="shared" ref="T56:BG56" si="128">SUM(T57:T60)</f>
        <v>0</v>
      </c>
      <c r="U56" s="419">
        <f t="shared" si="128"/>
        <v>0</v>
      </c>
      <c r="V56" s="419">
        <f t="shared" si="128"/>
        <v>0</v>
      </c>
      <c r="W56" s="419">
        <f t="shared" si="128"/>
        <v>0</v>
      </c>
      <c r="X56" s="419">
        <f t="shared" si="128"/>
        <v>0</v>
      </c>
      <c r="Y56" s="419">
        <f t="shared" si="128"/>
        <v>0</v>
      </c>
      <c r="Z56" s="419">
        <f t="shared" si="128"/>
        <v>0</v>
      </c>
      <c r="AA56" s="419">
        <f t="shared" ref="AA56:AG56" si="129">SUM(AA57:AA60)</f>
        <v>0</v>
      </c>
      <c r="AB56" s="419">
        <f t="shared" si="129"/>
        <v>264</v>
      </c>
      <c r="AC56" s="419">
        <f t="shared" si="129"/>
        <v>24</v>
      </c>
      <c r="AD56" s="419">
        <f t="shared" si="129"/>
        <v>0</v>
      </c>
      <c r="AE56" s="419">
        <f t="shared" si="129"/>
        <v>0</v>
      </c>
      <c r="AF56" s="419">
        <f t="shared" si="129"/>
        <v>0</v>
      </c>
      <c r="AG56" s="419">
        <f t="shared" si="129"/>
        <v>240</v>
      </c>
      <c r="AH56" s="419">
        <f t="shared" si="128"/>
        <v>0</v>
      </c>
      <c r="AI56" s="419"/>
      <c r="AJ56" s="419">
        <f t="shared" si="128"/>
        <v>0</v>
      </c>
      <c r="AK56" s="419">
        <f t="shared" ref="AK56" si="130">SUM(AK57:AK61)</f>
        <v>0</v>
      </c>
      <c r="AL56" s="419">
        <f>SUM(AL57:AL61)</f>
        <v>0</v>
      </c>
      <c r="AM56" s="419">
        <f t="shared" ref="AM56:AP56" si="131">SUM(AM57:AM61)</f>
        <v>0</v>
      </c>
      <c r="AN56" s="419">
        <f t="shared" si="131"/>
        <v>0</v>
      </c>
      <c r="AO56" s="419">
        <f t="shared" si="131"/>
        <v>0</v>
      </c>
      <c r="AP56" s="419">
        <f t="shared" si="131"/>
        <v>0</v>
      </c>
      <c r="AQ56" s="419">
        <f t="shared" si="128"/>
        <v>0</v>
      </c>
      <c r="AR56" s="419">
        <f t="shared" si="128"/>
        <v>0</v>
      </c>
      <c r="AS56" s="419">
        <f t="shared" si="128"/>
        <v>0</v>
      </c>
      <c r="AT56" s="419">
        <f t="shared" si="128"/>
        <v>0</v>
      </c>
      <c r="AU56" s="419">
        <f t="shared" si="128"/>
        <v>0</v>
      </c>
      <c r="AV56" s="419">
        <f t="shared" si="128"/>
        <v>0</v>
      </c>
      <c r="AW56" s="419">
        <f t="shared" si="128"/>
        <v>0</v>
      </c>
      <c r="AX56" s="419">
        <f t="shared" si="128"/>
        <v>0</v>
      </c>
      <c r="AY56" s="419">
        <f t="shared" si="128"/>
        <v>0</v>
      </c>
      <c r="AZ56" s="419">
        <f t="shared" si="128"/>
        <v>0</v>
      </c>
      <c r="BA56" s="419">
        <f t="shared" si="128"/>
        <v>0</v>
      </c>
      <c r="BB56" s="419">
        <f t="shared" si="128"/>
        <v>0</v>
      </c>
      <c r="BC56" s="419">
        <f t="shared" si="128"/>
        <v>0</v>
      </c>
      <c r="BD56" s="419">
        <f t="shared" si="128"/>
        <v>0</v>
      </c>
      <c r="BE56" s="419">
        <f t="shared" si="128"/>
        <v>0</v>
      </c>
      <c r="BF56" s="419">
        <f t="shared" si="128"/>
        <v>0</v>
      </c>
      <c r="BG56" s="419">
        <f t="shared" si="128"/>
        <v>0</v>
      </c>
      <c r="BH56" s="419"/>
      <c r="BI56" s="419">
        <f t="shared" ref="BI56:BP56" si="132">SUM(BI57:BI60)</f>
        <v>0</v>
      </c>
      <c r="BJ56" s="419">
        <f t="shared" si="132"/>
        <v>0</v>
      </c>
      <c r="BK56" s="419">
        <f t="shared" si="132"/>
        <v>0</v>
      </c>
      <c r="BL56" s="419">
        <f t="shared" si="132"/>
        <v>0</v>
      </c>
      <c r="BM56" s="419">
        <f t="shared" si="132"/>
        <v>0</v>
      </c>
      <c r="BN56" s="419">
        <f t="shared" si="132"/>
        <v>0</v>
      </c>
      <c r="BO56" s="419">
        <f t="shared" si="132"/>
        <v>0</v>
      </c>
      <c r="BP56" s="419">
        <f t="shared" si="132"/>
        <v>0</v>
      </c>
      <c r="BQ56" s="419"/>
      <c r="BR56" s="487">
        <f>'Учебный план'!BZ74</f>
        <v>0</v>
      </c>
      <c r="BS56" s="491" t="str">
        <f>'Учебный план'!CA74</f>
        <v>ОК 1-10; ПК 2.1-2.7</v>
      </c>
    </row>
    <row r="57" spans="1:71" s="248" customFormat="1" ht="26.1" customHeight="1" x14ac:dyDescent="0.2">
      <c r="A57" s="562" t="str">
        <f>'Учебный план'!A75</f>
        <v>МДК.02.01</v>
      </c>
      <c r="B57" s="566" t="str">
        <f>'Учебный план'!B75</f>
        <v>Безопасность жизнедеятельности на судне и транспортная безопасность</v>
      </c>
      <c r="C57" s="567"/>
      <c r="D57" s="559"/>
      <c r="E57" s="559"/>
      <c r="F57" s="559"/>
      <c r="G57" s="561"/>
      <c r="H57" s="559"/>
      <c r="I57" s="556">
        <f t="shared" ref="I57:I61" si="133">K57-M57</f>
        <v>314</v>
      </c>
      <c r="J57" s="559"/>
      <c r="K57" s="556">
        <f>'Учебный план'!K75</f>
        <v>314</v>
      </c>
      <c r="L57" s="556">
        <f>'Учебный план'!L75</f>
        <v>218</v>
      </c>
      <c r="M57" s="561">
        <f>SUM(N57+S57)</f>
        <v>0</v>
      </c>
      <c r="N57" s="561">
        <f>SUM(O57:R57)</f>
        <v>0</v>
      </c>
      <c r="O57" s="561">
        <f>V57+AL57+AT57+BC57</f>
        <v>0</v>
      </c>
      <c r="P57" s="561">
        <f>W57+AM57+AU57+BD57</f>
        <v>0</v>
      </c>
      <c r="Q57" s="561">
        <f>X57+AN57+AV57+BE57</f>
        <v>0</v>
      </c>
      <c r="R57" s="561">
        <f>Y57+AO57+AW57+BF57</f>
        <v>0</v>
      </c>
      <c r="S57" s="561">
        <f>Z57+AP57+AX57+BG57</f>
        <v>0</v>
      </c>
      <c r="T57" s="561">
        <f>LEN(H57)-LEN(SUBSTITUTE(H57,"1",""))</f>
        <v>0</v>
      </c>
      <c r="U57" s="561">
        <f>SUM(V57:Z57)</f>
        <v>0</v>
      </c>
      <c r="V57" s="556"/>
      <c r="W57" s="556"/>
      <c r="X57" s="556"/>
      <c r="Y57" s="556"/>
      <c r="Z57" s="556"/>
      <c r="AA57" s="561">
        <f>LEN(Q57)-LEN(SUBSTITUTE(Q57,"1",""))</f>
        <v>0</v>
      </c>
      <c r="AB57" s="561">
        <f>SUM(AC57:AG57)</f>
        <v>0</v>
      </c>
      <c r="AC57" s="556"/>
      <c r="AD57" s="556"/>
      <c r="AE57" s="556"/>
      <c r="AF57" s="556"/>
      <c r="AG57" s="556"/>
      <c r="AH57" s="556">
        <f>LEN(H57)-LEN(SUBSTITUTE(H57,"2",""))</f>
        <v>0</v>
      </c>
      <c r="AI57" s="556"/>
      <c r="AJ57" s="556">
        <f>LEN(H57)-LEN(SUBSTITUTE(H57,"3",""))</f>
        <v>0</v>
      </c>
      <c r="AK57" s="561">
        <f>SUM(AL57:AP57)</f>
        <v>0</v>
      </c>
      <c r="AL57" s="556"/>
      <c r="AM57" s="556"/>
      <c r="AN57" s="556"/>
      <c r="AO57" s="556"/>
      <c r="AP57" s="556"/>
      <c r="AQ57" s="556">
        <f>LEN(H57)-LEN(SUBSTITUTE(H57,"4",""))</f>
        <v>0</v>
      </c>
      <c r="AR57" s="556">
        <f>LEN(H57)-LEN(SUBSTITUTE(H57,"5",""))</f>
        <v>0</v>
      </c>
      <c r="AS57" s="561">
        <f>SUM(AT57:AX57)</f>
        <v>0</v>
      </c>
      <c r="AT57" s="556"/>
      <c r="AU57" s="556"/>
      <c r="AV57" s="556"/>
      <c r="AW57" s="556"/>
      <c r="AX57" s="556"/>
      <c r="AY57" s="556"/>
      <c r="AZ57" s="556"/>
      <c r="BA57" s="556"/>
      <c r="BB57" s="561">
        <f>SUM(BC57:BG57)</f>
        <v>0</v>
      </c>
      <c r="BC57" s="556"/>
      <c r="BD57" s="556"/>
      <c r="BE57" s="556"/>
      <c r="BF57" s="556"/>
      <c r="BG57" s="556"/>
      <c r="BH57" s="556">
        <f>LEN(H57)-LEN(SUBSTITUTE(H57,"9",""))</f>
        <v>0</v>
      </c>
      <c r="BI57" s="561">
        <f t="shared" ref="BI57:BI60" si="134">SUM(BJ57:BP57)</f>
        <v>0</v>
      </c>
      <c r="BJ57" s="556">
        <v>0</v>
      </c>
      <c r="BK57" s="556"/>
      <c r="BL57" s="556"/>
      <c r="BM57" s="556"/>
      <c r="BN57" s="556"/>
      <c r="BO57" s="556"/>
      <c r="BP57" s="556"/>
      <c r="BQ57" s="556"/>
      <c r="BR57" s="559">
        <f>'Учебный план'!BZ75</f>
        <v>0</v>
      </c>
      <c r="BS57" s="556" t="str">
        <f>'Учебный план'!CA75</f>
        <v>ОК 1-10; ПК 2.1-2.7</v>
      </c>
    </row>
    <row r="58" spans="1:71" s="248" customFormat="1" ht="26.1" hidden="1" customHeight="1" x14ac:dyDescent="0.2">
      <c r="A58" s="512">
        <f>'Учебный план'!A76</f>
        <v>0</v>
      </c>
      <c r="B58" s="512">
        <f>'Учебный план'!B76</f>
        <v>0</v>
      </c>
      <c r="C58" s="425"/>
      <c r="D58" s="425"/>
      <c r="E58" s="425"/>
      <c r="F58" s="425"/>
      <c r="G58" s="526"/>
      <c r="H58" s="425"/>
      <c r="I58" s="200">
        <f t="shared" si="133"/>
        <v>0</v>
      </c>
      <c r="J58" s="425"/>
      <c r="K58" s="200">
        <f>'Учебный план'!K76</f>
        <v>0</v>
      </c>
      <c r="L58" s="200">
        <f>'Учебный план'!L76</f>
        <v>0</v>
      </c>
      <c r="M58" s="516"/>
      <c r="N58" s="516"/>
      <c r="O58" s="516"/>
      <c r="P58" s="516"/>
      <c r="Q58" s="516"/>
      <c r="R58" s="516"/>
      <c r="S58" s="516"/>
      <c r="T58" s="517"/>
      <c r="U58" s="418"/>
      <c r="V58" s="200"/>
      <c r="W58" s="200"/>
      <c r="X58" s="200"/>
      <c r="Y58" s="200"/>
      <c r="Z58" s="200"/>
      <c r="AA58" s="517"/>
      <c r="AB58" s="418"/>
      <c r="AC58" s="200"/>
      <c r="AD58" s="200"/>
      <c r="AE58" s="200"/>
      <c r="AF58" s="200"/>
      <c r="AG58" s="200"/>
      <c r="AH58" s="518"/>
      <c r="AI58" s="518"/>
      <c r="AJ58" s="518"/>
      <c r="AK58" s="418"/>
      <c r="AL58" s="200"/>
      <c r="AM58" s="200"/>
      <c r="AN58" s="200"/>
      <c r="AO58" s="200"/>
      <c r="AP58" s="200"/>
      <c r="AQ58" s="518"/>
      <c r="AR58" s="518"/>
      <c r="AS58" s="418"/>
      <c r="AT58" s="200"/>
      <c r="AU58" s="200"/>
      <c r="AV58" s="200"/>
      <c r="AW58" s="200"/>
      <c r="AX58" s="200"/>
      <c r="AY58" s="518"/>
      <c r="AZ58" s="518"/>
      <c r="BA58" s="518"/>
      <c r="BB58" s="418"/>
      <c r="BC58" s="200"/>
      <c r="BD58" s="200"/>
      <c r="BE58" s="200"/>
      <c r="BF58" s="200"/>
      <c r="BG58" s="200"/>
      <c r="BH58" s="518"/>
      <c r="BI58" s="418"/>
      <c r="BJ58" s="200"/>
      <c r="BK58" s="200"/>
      <c r="BL58" s="200"/>
      <c r="BM58" s="200"/>
      <c r="BN58" s="200"/>
      <c r="BO58" s="200"/>
      <c r="BP58" s="200"/>
      <c r="BQ58" s="202"/>
      <c r="BR58" s="530">
        <f>'Учебный план'!BZ76</f>
        <v>0</v>
      </c>
      <c r="BS58" s="530">
        <f>'Учебный план'!CA76</f>
        <v>0</v>
      </c>
    </row>
    <row r="59" spans="1:71" s="248" customFormat="1" ht="26.1" customHeight="1" x14ac:dyDescent="0.2">
      <c r="A59" s="512">
        <f>'Учебный план'!A77</f>
        <v>0</v>
      </c>
      <c r="B59" s="512" t="str">
        <f>'Учебный план'!B77</f>
        <v>Безопасность жизнедеятельности на судне</v>
      </c>
      <c r="C59" s="223"/>
      <c r="D59" s="425"/>
      <c r="E59" s="425" t="s">
        <v>31</v>
      </c>
      <c r="F59" s="425"/>
      <c r="G59" s="526"/>
      <c r="H59" s="425"/>
      <c r="I59" s="200">
        <f t="shared" si="133"/>
        <v>0</v>
      </c>
      <c r="J59" s="425">
        <f t="shared" ref="J59:J61" si="135">L59*$J$1</f>
        <v>38.4</v>
      </c>
      <c r="K59" s="200">
        <f>'Учебный план'!K77</f>
        <v>185</v>
      </c>
      <c r="L59" s="200">
        <f>'Учебный план'!L77</f>
        <v>128</v>
      </c>
      <c r="M59" s="516">
        <f>SUM(N59+S59)</f>
        <v>185</v>
      </c>
      <c r="N59" s="516">
        <f>SUM(O59:R59)</f>
        <v>12</v>
      </c>
      <c r="O59" s="516">
        <f t="shared" ref="O59:R61" si="136">V59+AL59+AT59+BC59+AC59+BK59</f>
        <v>12</v>
      </c>
      <c r="P59" s="516">
        <f t="shared" si="136"/>
        <v>0</v>
      </c>
      <c r="Q59" s="516">
        <f t="shared" si="136"/>
        <v>0</v>
      </c>
      <c r="R59" s="516">
        <f t="shared" si="136"/>
        <v>0</v>
      </c>
      <c r="S59" s="516">
        <f>Z59+AP59+AX59+BG59+BP59+AG59</f>
        <v>173</v>
      </c>
      <c r="T59" s="517">
        <f>LEN(H59)-LEN(SUBSTITUTE(H59,"1",""))</f>
        <v>0</v>
      </c>
      <c r="U59" s="418">
        <f>SUM(V59:Z59)</f>
        <v>0</v>
      </c>
      <c r="V59" s="200"/>
      <c r="W59" s="200"/>
      <c r="X59" s="200"/>
      <c r="Y59" s="200"/>
      <c r="Z59" s="200"/>
      <c r="AA59" s="517">
        <f>LEN(Q59)-LEN(SUBSTITUTE(Q59,"1",""))</f>
        <v>0</v>
      </c>
      <c r="AB59" s="418">
        <f>SUM(AC59:AG59)</f>
        <v>185</v>
      </c>
      <c r="AC59" s="200">
        <v>12</v>
      </c>
      <c r="AD59" s="200"/>
      <c r="AE59" s="200"/>
      <c r="AF59" s="200"/>
      <c r="AG59" s="200">
        <v>173</v>
      </c>
      <c r="AH59" s="518">
        <f>LEN(H59)-LEN(SUBSTITUTE(H59,"2",""))</f>
        <v>0</v>
      </c>
      <c r="AI59" s="518"/>
      <c r="AJ59" s="518">
        <f>LEN(H59)-LEN(SUBSTITUTE(H59,"3",""))</f>
        <v>0</v>
      </c>
      <c r="AK59" s="418">
        <f>SUM(AL59:AP59)</f>
        <v>0</v>
      </c>
      <c r="AL59" s="200"/>
      <c r="AM59" s="200"/>
      <c r="AN59" s="200"/>
      <c r="AO59" s="200"/>
      <c r="AP59" s="200"/>
      <c r="AQ59" s="518">
        <f>LEN(H59)-LEN(SUBSTITUTE(H59,"4",""))</f>
        <v>0</v>
      </c>
      <c r="AR59" s="518">
        <f>LEN(H59)-LEN(SUBSTITUTE(H59,"5",""))</f>
        <v>0</v>
      </c>
      <c r="AS59" s="418">
        <f>SUM(AT59:AX59)</f>
        <v>0</v>
      </c>
      <c r="AT59" s="200"/>
      <c r="AU59" s="200"/>
      <c r="AV59" s="200"/>
      <c r="AW59" s="200"/>
      <c r="AX59" s="200"/>
      <c r="AY59" s="518">
        <f>LEN(H59)-LEN(SUBSTITUTE(H59,"6",""))</f>
        <v>0</v>
      </c>
      <c r="AZ59" s="518">
        <f>LEN(H59)-LEN(SUBSTITUTE(H59,"7",""))</f>
        <v>0</v>
      </c>
      <c r="BA59" s="518">
        <f>LEN(H59)-LEN(SUBSTITUTE(H59,"8",""))</f>
        <v>0</v>
      </c>
      <c r="BB59" s="418">
        <f>SUM(BC59:BG59)</f>
        <v>0</v>
      </c>
      <c r="BC59" s="200"/>
      <c r="BD59" s="200"/>
      <c r="BE59" s="200"/>
      <c r="BF59" s="200"/>
      <c r="BG59" s="200"/>
      <c r="BH59" s="518">
        <f>LEN(H59)-LEN(SUBSTITUTE(H59,"9",""))</f>
        <v>0</v>
      </c>
      <c r="BI59" s="418">
        <f t="shared" si="134"/>
        <v>0</v>
      </c>
      <c r="BJ59" s="200"/>
      <c r="BK59" s="200"/>
      <c r="BL59" s="200"/>
      <c r="BM59" s="200"/>
      <c r="BN59" s="200"/>
      <c r="BO59" s="200"/>
      <c r="BP59" s="200"/>
      <c r="BQ59" s="202"/>
      <c r="BR59" s="530" t="str">
        <f>'Учебный план'!BZ77</f>
        <v>5</v>
      </c>
      <c r="BS59" s="530" t="str">
        <f>'Учебный план'!CA77</f>
        <v>ОК-1-10; ПК 2.1-2.7</v>
      </c>
    </row>
    <row r="60" spans="1:71" s="248" customFormat="1" ht="26.1" customHeight="1" x14ac:dyDescent="0.2">
      <c r="A60" s="512">
        <f>'Учебный план'!A78</f>
        <v>0</v>
      </c>
      <c r="B60" s="512" t="str">
        <f>'Учебный план'!B78</f>
        <v>Транспортная безопасность</v>
      </c>
      <c r="C60" s="223"/>
      <c r="D60" s="425"/>
      <c r="E60" s="425" t="s">
        <v>31</v>
      </c>
      <c r="F60" s="425"/>
      <c r="G60" s="526"/>
      <c r="H60" s="425"/>
      <c r="I60" s="200">
        <f t="shared" si="133"/>
        <v>0</v>
      </c>
      <c r="J60" s="425">
        <f t="shared" si="135"/>
        <v>16.2</v>
      </c>
      <c r="K60" s="200">
        <f>'Учебный план'!K78</f>
        <v>79</v>
      </c>
      <c r="L60" s="200">
        <f>'Учебный план'!L78</f>
        <v>54</v>
      </c>
      <c r="M60" s="516">
        <f>SUM(N60+S60)</f>
        <v>79</v>
      </c>
      <c r="N60" s="516">
        <f>SUM(O60:R60)</f>
        <v>12</v>
      </c>
      <c r="O60" s="516">
        <f t="shared" si="136"/>
        <v>12</v>
      </c>
      <c r="P60" s="516">
        <f t="shared" si="136"/>
        <v>0</v>
      </c>
      <c r="Q60" s="516">
        <f t="shared" si="136"/>
        <v>0</v>
      </c>
      <c r="R60" s="516">
        <f t="shared" si="136"/>
        <v>0</v>
      </c>
      <c r="S60" s="516">
        <f>Z60+AP60+AX60+BG60+BP60+AG60</f>
        <v>67</v>
      </c>
      <c r="T60" s="517"/>
      <c r="U60" s="418">
        <f>SUM(V60:Z60)</f>
        <v>0</v>
      </c>
      <c r="V60" s="200"/>
      <c r="W60" s="200"/>
      <c r="X60" s="200"/>
      <c r="Y60" s="200"/>
      <c r="Z60" s="200"/>
      <c r="AA60" s="517"/>
      <c r="AB60" s="418">
        <f>SUM(AC60:AG60)</f>
        <v>79</v>
      </c>
      <c r="AC60" s="200">
        <v>12</v>
      </c>
      <c r="AD60" s="200"/>
      <c r="AE60" s="200"/>
      <c r="AF60" s="200"/>
      <c r="AG60" s="200">
        <v>67</v>
      </c>
      <c r="AH60" s="518"/>
      <c r="AI60" s="518"/>
      <c r="AJ60" s="518"/>
      <c r="AK60" s="418">
        <f>SUM(AL60:AP60)</f>
        <v>0</v>
      </c>
      <c r="AL60" s="200"/>
      <c r="AM60" s="200"/>
      <c r="AN60" s="200"/>
      <c r="AO60" s="200"/>
      <c r="AP60" s="200"/>
      <c r="AQ60" s="518"/>
      <c r="AR60" s="518"/>
      <c r="AS60" s="418">
        <f>SUM(AT60:AX60)</f>
        <v>0</v>
      </c>
      <c r="AT60" s="200"/>
      <c r="AU60" s="200"/>
      <c r="AV60" s="200"/>
      <c r="AW60" s="200"/>
      <c r="AX60" s="200"/>
      <c r="AY60" s="518"/>
      <c r="AZ60" s="518"/>
      <c r="BA60" s="518"/>
      <c r="BB60" s="418">
        <f>SUM(BC60:BG60)</f>
        <v>0</v>
      </c>
      <c r="BC60" s="200"/>
      <c r="BD60" s="200"/>
      <c r="BE60" s="200"/>
      <c r="BF60" s="200"/>
      <c r="BG60" s="200"/>
      <c r="BH60" s="518"/>
      <c r="BI60" s="418">
        <f t="shared" si="134"/>
        <v>0</v>
      </c>
      <c r="BJ60" s="200"/>
      <c r="BK60" s="200"/>
      <c r="BL60" s="200"/>
      <c r="BM60" s="200"/>
      <c r="BN60" s="200"/>
      <c r="BO60" s="200"/>
      <c r="BP60" s="200"/>
      <c r="BQ60" s="202"/>
      <c r="BR60" s="530" t="str">
        <f>'Учебный план'!BZ78</f>
        <v>64-4</v>
      </c>
      <c r="BS60" s="530" t="str">
        <f>'Учебный план'!CA78</f>
        <v>ОК 1-10; ПК 2.1</v>
      </c>
    </row>
    <row r="61" spans="1:71" s="248" customFormat="1" ht="26.1" customHeight="1" x14ac:dyDescent="0.2">
      <c r="A61" s="512">
        <f>'Учебный план'!A79</f>
        <v>0</v>
      </c>
      <c r="B61" s="512" t="str">
        <f>'Учебный план'!B79</f>
        <v>Техника безопасности на судах</v>
      </c>
      <c r="C61" s="223"/>
      <c r="D61" s="425" t="s">
        <v>31</v>
      </c>
      <c r="E61" s="425"/>
      <c r="F61" s="425"/>
      <c r="G61" s="526"/>
      <c r="H61" s="425"/>
      <c r="I61" s="200">
        <f t="shared" si="133"/>
        <v>0</v>
      </c>
      <c r="J61" s="425">
        <f t="shared" si="135"/>
        <v>10.8</v>
      </c>
      <c r="K61" s="200">
        <f>'Учебный план'!K79</f>
        <v>50</v>
      </c>
      <c r="L61" s="200">
        <f>'Учебный план'!L79</f>
        <v>36</v>
      </c>
      <c r="M61" s="516">
        <f>SUM(N61+S61)</f>
        <v>50</v>
      </c>
      <c r="N61" s="516">
        <f>SUM(O61:R61)</f>
        <v>10</v>
      </c>
      <c r="O61" s="516">
        <f t="shared" si="136"/>
        <v>10</v>
      </c>
      <c r="P61" s="516">
        <f t="shared" si="136"/>
        <v>0</v>
      </c>
      <c r="Q61" s="516">
        <f t="shared" si="136"/>
        <v>0</v>
      </c>
      <c r="R61" s="516">
        <f t="shared" si="136"/>
        <v>0</v>
      </c>
      <c r="S61" s="516">
        <f>Z61+AP61+AX61+BG61+BP61+AG61</f>
        <v>40</v>
      </c>
      <c r="T61" s="517"/>
      <c r="U61" s="418"/>
      <c r="V61" s="200"/>
      <c r="W61" s="200"/>
      <c r="X61" s="200"/>
      <c r="Y61" s="200"/>
      <c r="Z61" s="200"/>
      <c r="AA61" s="517"/>
      <c r="AB61" s="418"/>
      <c r="AC61" s="200">
        <v>10</v>
      </c>
      <c r="AD61" s="200"/>
      <c r="AE61" s="200"/>
      <c r="AF61" s="200"/>
      <c r="AG61" s="200">
        <v>40</v>
      </c>
      <c r="AH61" s="518"/>
      <c r="AI61" s="518"/>
      <c r="AJ61" s="518"/>
      <c r="AK61" s="418">
        <f>SUM(AL61:AP61)</f>
        <v>0</v>
      </c>
      <c r="AL61" s="200"/>
      <c r="AM61" s="200"/>
      <c r="AN61" s="200"/>
      <c r="AO61" s="200"/>
      <c r="AP61" s="200"/>
      <c r="AQ61" s="518"/>
      <c r="AR61" s="518"/>
      <c r="AS61" s="418"/>
      <c r="AT61" s="200"/>
      <c r="AU61" s="200"/>
      <c r="AV61" s="200"/>
      <c r="AW61" s="200"/>
      <c r="AX61" s="200"/>
      <c r="AY61" s="518"/>
      <c r="AZ61" s="518"/>
      <c r="BA61" s="518"/>
      <c r="BB61" s="418">
        <f>SUM(BC61:BG61)</f>
        <v>0</v>
      </c>
      <c r="BC61" s="200"/>
      <c r="BD61" s="200"/>
      <c r="BE61" s="200"/>
      <c r="BF61" s="200"/>
      <c r="BG61" s="200"/>
      <c r="BH61" s="518"/>
      <c r="BI61" s="418"/>
      <c r="BJ61" s="200"/>
      <c r="BK61" s="200"/>
      <c r="BL61" s="200"/>
      <c r="BM61" s="200"/>
      <c r="BN61" s="200"/>
      <c r="BO61" s="200"/>
      <c r="BP61" s="200"/>
      <c r="BQ61" s="202"/>
      <c r="BR61" s="530" t="str">
        <f>'Учебный план'!BZ79</f>
        <v>64-4</v>
      </c>
      <c r="BS61" s="530" t="str">
        <f>'Учебный план'!CA79</f>
        <v>ОК 1-10; ПК 2.1-2.7</v>
      </c>
    </row>
    <row r="62" spans="1:71" s="248" customFormat="1" ht="26.1" customHeight="1" x14ac:dyDescent="0.2">
      <c r="A62" s="785" t="str">
        <f>'Учебный план'!A80</f>
        <v xml:space="preserve"> Экзамен квалификационный</v>
      </c>
      <c r="B62" s="786"/>
      <c r="C62" s="527"/>
      <c r="D62" s="469" t="s">
        <v>30</v>
      </c>
      <c r="E62" s="469"/>
      <c r="F62" s="469"/>
      <c r="G62" s="469"/>
      <c r="H62" s="469"/>
      <c r="I62" s="470"/>
      <c r="J62" s="469"/>
      <c r="K62" s="470">
        <f>'Учебный план'!K80</f>
        <v>0</v>
      </c>
      <c r="L62" s="470">
        <f>'Учебный план'!L80</f>
        <v>0</v>
      </c>
      <c r="M62" s="428"/>
      <c r="N62" s="428"/>
      <c r="O62" s="428"/>
      <c r="P62" s="428"/>
      <c r="Q62" s="428"/>
      <c r="R62" s="428"/>
      <c r="S62" s="428"/>
      <c r="T62" s="428"/>
      <c r="U62" s="428"/>
      <c r="V62" s="470"/>
      <c r="W62" s="470"/>
      <c r="X62" s="470"/>
      <c r="Y62" s="470"/>
      <c r="Z62" s="470"/>
      <c r="AA62" s="428"/>
      <c r="AB62" s="428"/>
      <c r="AC62" s="470"/>
      <c r="AD62" s="470"/>
      <c r="AE62" s="470"/>
      <c r="AF62" s="470"/>
      <c r="AG62" s="470"/>
      <c r="AH62" s="470"/>
      <c r="AI62" s="470"/>
      <c r="AJ62" s="470"/>
      <c r="AK62" s="428"/>
      <c r="AL62" s="470"/>
      <c r="AM62" s="470"/>
      <c r="AN62" s="470"/>
      <c r="AO62" s="470"/>
      <c r="AP62" s="470"/>
      <c r="AQ62" s="470"/>
      <c r="AR62" s="470"/>
      <c r="AS62" s="428"/>
      <c r="AT62" s="470"/>
      <c r="AU62" s="470"/>
      <c r="AV62" s="470"/>
      <c r="AW62" s="470"/>
      <c r="AX62" s="470"/>
      <c r="AY62" s="470"/>
      <c r="AZ62" s="470"/>
      <c r="BA62" s="470"/>
      <c r="BB62" s="428"/>
      <c r="BC62" s="470"/>
      <c r="BD62" s="470"/>
      <c r="BE62" s="470"/>
      <c r="BF62" s="470"/>
      <c r="BG62" s="470"/>
      <c r="BH62" s="470"/>
      <c r="BI62" s="428"/>
      <c r="BJ62" s="470"/>
      <c r="BK62" s="470"/>
      <c r="BL62" s="470"/>
      <c r="BM62" s="470"/>
      <c r="BN62" s="470"/>
      <c r="BO62" s="470"/>
      <c r="BP62" s="470"/>
      <c r="BQ62" s="470"/>
      <c r="BR62" s="469">
        <f>'Учебный план'!BZ80</f>
        <v>0</v>
      </c>
      <c r="BS62" s="528">
        <f>'Учебный план'!CA80</f>
        <v>0</v>
      </c>
    </row>
    <row r="63" spans="1:71" s="254" customFormat="1" ht="26.1" customHeight="1" x14ac:dyDescent="0.2">
      <c r="A63" s="525" t="str">
        <f>'Учебный план'!A81</f>
        <v>ПМ.03</v>
      </c>
      <c r="B63" s="805" t="str">
        <f>'Учебный план'!B81</f>
        <v>Обработка и размещение груза</v>
      </c>
      <c r="C63" s="806"/>
      <c r="D63" s="806"/>
      <c r="E63" s="806"/>
      <c r="F63" s="806"/>
      <c r="G63" s="806"/>
      <c r="H63" s="807"/>
      <c r="I63" s="419"/>
      <c r="J63" s="419"/>
      <c r="K63" s="419">
        <f>'Учебный план'!K81</f>
        <v>163</v>
      </c>
      <c r="L63" s="419">
        <f>'Учебный план'!L81</f>
        <v>110</v>
      </c>
      <c r="M63" s="419">
        <f>SUM(M65:M66)</f>
        <v>163</v>
      </c>
      <c r="N63" s="419">
        <f>SUM(N65:N66)</f>
        <v>36</v>
      </c>
      <c r="O63" s="419">
        <f t="shared" ref="O63:BG63" si="137">SUM(O65:O66)</f>
        <v>14</v>
      </c>
      <c r="P63" s="419">
        <f t="shared" si="137"/>
        <v>0</v>
      </c>
      <c r="Q63" s="419">
        <f t="shared" si="137"/>
        <v>22</v>
      </c>
      <c r="R63" s="419">
        <f t="shared" si="137"/>
        <v>0</v>
      </c>
      <c r="S63" s="419">
        <f t="shared" si="137"/>
        <v>127</v>
      </c>
      <c r="T63" s="419">
        <f t="shared" si="137"/>
        <v>0</v>
      </c>
      <c r="U63" s="419">
        <f t="shared" si="137"/>
        <v>0</v>
      </c>
      <c r="V63" s="419">
        <f t="shared" si="137"/>
        <v>0</v>
      </c>
      <c r="W63" s="419">
        <f t="shared" si="137"/>
        <v>0</v>
      </c>
      <c r="X63" s="419">
        <f t="shared" si="137"/>
        <v>0</v>
      </c>
      <c r="Y63" s="419">
        <f t="shared" si="137"/>
        <v>0</v>
      </c>
      <c r="Z63" s="419">
        <f t="shared" si="137"/>
        <v>0</v>
      </c>
      <c r="AA63" s="419">
        <f t="shared" ref="AA63:AB63" si="138">SUM(AA65:AA66)</f>
        <v>0</v>
      </c>
      <c r="AB63" s="419">
        <f t="shared" si="138"/>
        <v>0</v>
      </c>
      <c r="AC63" s="419">
        <f t="shared" ref="AC63:AG63" si="139">SUM(AC65:AC66)</f>
        <v>0</v>
      </c>
      <c r="AD63" s="419">
        <f t="shared" si="139"/>
        <v>0</v>
      </c>
      <c r="AE63" s="419">
        <f t="shared" si="139"/>
        <v>0</v>
      </c>
      <c r="AF63" s="419">
        <f t="shared" si="139"/>
        <v>0</v>
      </c>
      <c r="AG63" s="419">
        <f t="shared" si="139"/>
        <v>0</v>
      </c>
      <c r="AH63" s="419">
        <f t="shared" si="137"/>
        <v>0</v>
      </c>
      <c r="AI63" s="419"/>
      <c r="AJ63" s="419">
        <f t="shared" si="137"/>
        <v>0</v>
      </c>
      <c r="AK63" s="419">
        <f t="shared" si="137"/>
        <v>65</v>
      </c>
      <c r="AL63" s="419">
        <f t="shared" si="137"/>
        <v>8</v>
      </c>
      <c r="AM63" s="419">
        <f t="shared" si="137"/>
        <v>0</v>
      </c>
      <c r="AN63" s="419">
        <f t="shared" si="137"/>
        <v>0</v>
      </c>
      <c r="AO63" s="419">
        <f t="shared" si="137"/>
        <v>0</v>
      </c>
      <c r="AP63" s="419">
        <f t="shared" si="137"/>
        <v>57</v>
      </c>
      <c r="AQ63" s="419">
        <f t="shared" si="137"/>
        <v>0</v>
      </c>
      <c r="AR63" s="419">
        <f t="shared" si="137"/>
        <v>0</v>
      </c>
      <c r="AS63" s="419">
        <f t="shared" si="137"/>
        <v>98</v>
      </c>
      <c r="AT63" s="419">
        <f t="shared" si="137"/>
        <v>6</v>
      </c>
      <c r="AU63" s="419">
        <f t="shared" si="137"/>
        <v>0</v>
      </c>
      <c r="AV63" s="419">
        <f t="shared" si="137"/>
        <v>22</v>
      </c>
      <c r="AW63" s="419">
        <f t="shared" si="137"/>
        <v>0</v>
      </c>
      <c r="AX63" s="419">
        <f t="shared" si="137"/>
        <v>70</v>
      </c>
      <c r="AY63" s="419">
        <f t="shared" si="137"/>
        <v>0</v>
      </c>
      <c r="AZ63" s="419">
        <f t="shared" si="137"/>
        <v>0</v>
      </c>
      <c r="BA63" s="419">
        <f t="shared" si="137"/>
        <v>0</v>
      </c>
      <c r="BB63" s="419">
        <f t="shared" si="137"/>
        <v>0</v>
      </c>
      <c r="BC63" s="419">
        <f t="shared" si="137"/>
        <v>0</v>
      </c>
      <c r="BD63" s="419">
        <f t="shared" si="137"/>
        <v>0</v>
      </c>
      <c r="BE63" s="419">
        <f t="shared" si="137"/>
        <v>0</v>
      </c>
      <c r="BF63" s="419">
        <f t="shared" si="137"/>
        <v>0</v>
      </c>
      <c r="BG63" s="419">
        <f t="shared" si="137"/>
        <v>0</v>
      </c>
      <c r="BH63" s="419"/>
      <c r="BI63" s="419">
        <f t="shared" ref="BI63:BP63" si="140">SUM(BI65:BI66)</f>
        <v>0</v>
      </c>
      <c r="BJ63" s="419">
        <f t="shared" si="140"/>
        <v>0</v>
      </c>
      <c r="BK63" s="419">
        <f t="shared" si="140"/>
        <v>0</v>
      </c>
      <c r="BL63" s="419">
        <f t="shared" si="140"/>
        <v>0</v>
      </c>
      <c r="BM63" s="419">
        <f t="shared" si="140"/>
        <v>0</v>
      </c>
      <c r="BN63" s="419">
        <f t="shared" si="140"/>
        <v>0</v>
      </c>
      <c r="BO63" s="419">
        <f t="shared" si="140"/>
        <v>0</v>
      </c>
      <c r="BP63" s="419">
        <f t="shared" si="140"/>
        <v>0</v>
      </c>
      <c r="BQ63" s="419"/>
      <c r="BR63" s="487">
        <f>'Учебный план'!BZ81</f>
        <v>0</v>
      </c>
      <c r="BS63" s="491" t="str">
        <f>'Учебный план'!CA81</f>
        <v>ОК 1-10; ПК 3.1 - 3.2</v>
      </c>
    </row>
    <row r="64" spans="1:71" s="248" customFormat="1" ht="26.1" customHeight="1" x14ac:dyDescent="0.2">
      <c r="A64" s="562" t="str">
        <f>'Учебный план'!A82</f>
        <v>МДК 03.01</v>
      </c>
      <c r="B64" s="563" t="str">
        <f>'Учебный план'!B82</f>
        <v>Технология перевозки груза</v>
      </c>
      <c r="C64" s="564"/>
      <c r="D64" s="559"/>
      <c r="E64" s="559"/>
      <c r="F64" s="559"/>
      <c r="G64" s="559"/>
      <c r="H64" s="559"/>
      <c r="I64" s="556"/>
      <c r="J64" s="559"/>
      <c r="K64" s="556">
        <f>'Учебный план'!K82</f>
        <v>163</v>
      </c>
      <c r="L64" s="556">
        <f>'Учебный план'!L82</f>
        <v>110</v>
      </c>
      <c r="M64" s="561">
        <f>SUM(N64+S64)</f>
        <v>0</v>
      </c>
      <c r="N64" s="561">
        <f>SUM(O64:R64)</f>
        <v>0</v>
      </c>
      <c r="O64" s="561">
        <f>V64+AL64+AT64+BC64</f>
        <v>0</v>
      </c>
      <c r="P64" s="561">
        <f>W64+AM64+AU64+BD64</f>
        <v>0</v>
      </c>
      <c r="Q64" s="561">
        <f>X64+AN64+AV64+BE64</f>
        <v>0</v>
      </c>
      <c r="R64" s="561">
        <f>Y64+AO64+AW64+BF64</f>
        <v>0</v>
      </c>
      <c r="S64" s="561">
        <f>Z64+AP64+AX64+BG64</f>
        <v>0</v>
      </c>
      <c r="T64" s="561"/>
      <c r="U64" s="561">
        <f>SUM(V64:Z64)</f>
        <v>0</v>
      </c>
      <c r="V64" s="556">
        <v>0</v>
      </c>
      <c r="W64" s="556">
        <v>0</v>
      </c>
      <c r="X64" s="556">
        <v>0</v>
      </c>
      <c r="Y64" s="556">
        <v>0</v>
      </c>
      <c r="Z64" s="556">
        <v>0</v>
      </c>
      <c r="AA64" s="561"/>
      <c r="AB64" s="561">
        <f>SUM(AC64:AG64)</f>
        <v>0</v>
      </c>
      <c r="AC64" s="556">
        <v>0</v>
      </c>
      <c r="AD64" s="556">
        <v>0</v>
      </c>
      <c r="AE64" s="556">
        <v>0</v>
      </c>
      <c r="AF64" s="556">
        <v>0</v>
      </c>
      <c r="AG64" s="556">
        <v>0</v>
      </c>
      <c r="AH64" s="556"/>
      <c r="AI64" s="556"/>
      <c r="AJ64" s="556"/>
      <c r="AK64" s="561">
        <f>SUM(AL64:AP64)</f>
        <v>0</v>
      </c>
      <c r="AL64" s="556">
        <v>0</v>
      </c>
      <c r="AM64" s="556">
        <v>0</v>
      </c>
      <c r="AN64" s="556">
        <v>0</v>
      </c>
      <c r="AO64" s="556">
        <v>0</v>
      </c>
      <c r="AP64" s="556">
        <v>0</v>
      </c>
      <c r="AQ64" s="556"/>
      <c r="AR64" s="556"/>
      <c r="AS64" s="561">
        <f>SUM(AT64:AX64)</f>
        <v>0</v>
      </c>
      <c r="AT64" s="556">
        <v>0</v>
      </c>
      <c r="AU64" s="556">
        <v>0</v>
      </c>
      <c r="AV64" s="556">
        <v>0</v>
      </c>
      <c r="AW64" s="556">
        <v>0</v>
      </c>
      <c r="AX64" s="556">
        <v>0</v>
      </c>
      <c r="AY64" s="556"/>
      <c r="AZ64" s="556"/>
      <c r="BA64" s="556"/>
      <c r="BB64" s="561">
        <f>SUM(BC64:BG64)</f>
        <v>0</v>
      </c>
      <c r="BC64" s="556">
        <v>0</v>
      </c>
      <c r="BD64" s="556">
        <v>0</v>
      </c>
      <c r="BE64" s="556">
        <v>0</v>
      </c>
      <c r="BF64" s="556">
        <v>0</v>
      </c>
      <c r="BG64" s="556">
        <v>0</v>
      </c>
      <c r="BH64" s="556"/>
      <c r="BI64" s="561">
        <f t="shared" ref="BI64:BI66" si="141">SUM(BJ64:BP64)</f>
        <v>0</v>
      </c>
      <c r="BJ64" s="556">
        <v>0</v>
      </c>
      <c r="BK64" s="556">
        <v>0</v>
      </c>
      <c r="BL64" s="556">
        <v>0</v>
      </c>
      <c r="BM64" s="556">
        <v>0</v>
      </c>
      <c r="BN64" s="556">
        <v>0</v>
      </c>
      <c r="BO64" s="556">
        <v>0</v>
      </c>
      <c r="BP64" s="556">
        <v>0</v>
      </c>
      <c r="BQ64" s="556"/>
      <c r="BR64" s="559">
        <f>'Учебный план'!BZ82</f>
        <v>0</v>
      </c>
      <c r="BS64" s="565" t="str">
        <f>'Учебный план'!CA82</f>
        <v>ОК 1-10; ПК 3.1 - 3.2</v>
      </c>
    </row>
    <row r="65" spans="1:72" s="248" customFormat="1" ht="26.1" customHeight="1" x14ac:dyDescent="0.2">
      <c r="A65" s="529">
        <f>'Учебный план'!A83</f>
        <v>0</v>
      </c>
      <c r="B65" s="512" t="str">
        <f>'Учебный план'!B83</f>
        <v>Коммерческая эксплуатация</v>
      </c>
      <c r="C65" s="223"/>
      <c r="D65" s="425"/>
      <c r="E65" s="425" t="s">
        <v>30</v>
      </c>
      <c r="F65" s="425"/>
      <c r="G65" s="425"/>
      <c r="H65" s="103" t="s">
        <v>30</v>
      </c>
      <c r="I65" s="200">
        <f t="shared" ref="I65:I66" si="142">K65-M65</f>
        <v>0</v>
      </c>
      <c r="J65" s="425">
        <f t="shared" ref="J65:J66" si="143">L65*$J$1</f>
        <v>13.2</v>
      </c>
      <c r="K65" s="200">
        <f>'Учебный план'!K83</f>
        <v>65</v>
      </c>
      <c r="L65" s="200">
        <f>'Учебный план'!L83</f>
        <v>44</v>
      </c>
      <c r="M65" s="516">
        <f>SUM(N65+S65)</f>
        <v>65</v>
      </c>
      <c r="N65" s="516">
        <f>SUM(O65:R65)</f>
        <v>8</v>
      </c>
      <c r="O65" s="516">
        <f t="shared" ref="O65:R66" si="144">V65+AL65+AT65+BC65+AC65+BK65</f>
        <v>8</v>
      </c>
      <c r="P65" s="516">
        <f t="shared" si="144"/>
        <v>0</v>
      </c>
      <c r="Q65" s="516">
        <f t="shared" si="144"/>
        <v>0</v>
      </c>
      <c r="R65" s="516">
        <f t="shared" si="144"/>
        <v>0</v>
      </c>
      <c r="S65" s="516">
        <f>Z65+AP65+AX65+BG65+BP65+AG65</f>
        <v>57</v>
      </c>
      <c r="T65" s="517"/>
      <c r="U65" s="418">
        <f>SUM(V65:Z65)</f>
        <v>0</v>
      </c>
      <c r="V65" s="200"/>
      <c r="W65" s="200"/>
      <c r="X65" s="200"/>
      <c r="Y65" s="200"/>
      <c r="Z65" s="200"/>
      <c r="AA65" s="517"/>
      <c r="AB65" s="418">
        <f>SUM(AC65:AG65)</f>
        <v>0</v>
      </c>
      <c r="AC65" s="200"/>
      <c r="AD65" s="200"/>
      <c r="AE65" s="200"/>
      <c r="AF65" s="200"/>
      <c r="AG65" s="200"/>
      <c r="AH65" s="518"/>
      <c r="AI65" s="518"/>
      <c r="AJ65" s="518"/>
      <c r="AK65" s="418">
        <f>SUM(AL65:AP65)</f>
        <v>65</v>
      </c>
      <c r="AL65" s="200">
        <v>8</v>
      </c>
      <c r="AM65" s="200"/>
      <c r="AN65" s="200"/>
      <c r="AO65" s="200"/>
      <c r="AP65" s="200">
        <v>57</v>
      </c>
      <c r="AQ65" s="518"/>
      <c r="AR65" s="518"/>
      <c r="AS65" s="418">
        <f>SUM(AT65:AX65)</f>
        <v>0</v>
      </c>
      <c r="AT65" s="200"/>
      <c r="AU65" s="200"/>
      <c r="AV65" s="200"/>
      <c r="AW65" s="200"/>
      <c r="AX65" s="200"/>
      <c r="AY65" s="518"/>
      <c r="AZ65" s="518"/>
      <c r="BA65" s="518"/>
      <c r="BB65" s="418">
        <f>SUM(BC65:BG65)</f>
        <v>0</v>
      </c>
      <c r="BC65" s="200"/>
      <c r="BD65" s="200"/>
      <c r="BE65" s="200"/>
      <c r="BF65" s="200"/>
      <c r="BG65" s="200"/>
      <c r="BH65" s="518"/>
      <c r="BI65" s="418">
        <f t="shared" si="141"/>
        <v>0</v>
      </c>
      <c r="BJ65" s="200"/>
      <c r="BK65" s="200"/>
      <c r="BL65" s="200"/>
      <c r="BM65" s="200"/>
      <c r="BN65" s="200"/>
      <c r="BO65" s="200"/>
      <c r="BP65" s="200"/>
      <c r="BQ65" s="202"/>
      <c r="BR65" s="425" t="str">
        <f>'Учебный план'!BZ83</f>
        <v>64-9</v>
      </c>
      <c r="BS65" s="440" t="str">
        <f>'Учебный план'!CA83</f>
        <v>ОК 1-10; ПК 3.1 - 3.2</v>
      </c>
    </row>
    <row r="66" spans="1:72" s="248" customFormat="1" ht="26.1" customHeight="1" x14ac:dyDescent="0.2">
      <c r="A66" s="529">
        <f>'Учебный план'!A84</f>
        <v>0</v>
      </c>
      <c r="B66" s="512" t="str">
        <f>'Учебный план'!B84</f>
        <v>Технология перевозок</v>
      </c>
      <c r="C66" s="223"/>
      <c r="D66" s="425"/>
      <c r="E66" s="425" t="s">
        <v>40</v>
      </c>
      <c r="F66" s="425"/>
      <c r="G66" s="425" t="s">
        <v>40</v>
      </c>
      <c r="H66" s="103" t="s">
        <v>40</v>
      </c>
      <c r="I66" s="200">
        <f t="shared" si="142"/>
        <v>0</v>
      </c>
      <c r="J66" s="425">
        <f t="shared" si="143"/>
        <v>19.8</v>
      </c>
      <c r="K66" s="200">
        <f>'Учебный план'!K84</f>
        <v>98</v>
      </c>
      <c r="L66" s="200">
        <f>'Учебный план'!L84</f>
        <v>66</v>
      </c>
      <c r="M66" s="516">
        <f>SUM(N66+S66)</f>
        <v>98</v>
      </c>
      <c r="N66" s="516">
        <f>SUM(O66:R66)</f>
        <v>28</v>
      </c>
      <c r="O66" s="516">
        <f t="shared" si="144"/>
        <v>6</v>
      </c>
      <c r="P66" s="516">
        <f t="shared" si="144"/>
        <v>0</v>
      </c>
      <c r="Q66" s="516">
        <f t="shared" si="144"/>
        <v>22</v>
      </c>
      <c r="R66" s="516">
        <f t="shared" si="144"/>
        <v>0</v>
      </c>
      <c r="S66" s="516">
        <f>Z66+AP66+AX66+BG66+BP66+AG66</f>
        <v>70</v>
      </c>
      <c r="T66" s="517"/>
      <c r="U66" s="418">
        <f>SUM(V66:Z66)</f>
        <v>0</v>
      </c>
      <c r="V66" s="200"/>
      <c r="W66" s="200"/>
      <c r="X66" s="200"/>
      <c r="Y66" s="200"/>
      <c r="Z66" s="200"/>
      <c r="AA66" s="517"/>
      <c r="AB66" s="418">
        <f>SUM(AC66:AG66)</f>
        <v>0</v>
      </c>
      <c r="AC66" s="200"/>
      <c r="AD66" s="200"/>
      <c r="AE66" s="200"/>
      <c r="AF66" s="200"/>
      <c r="AG66" s="200"/>
      <c r="AH66" s="518"/>
      <c r="AI66" s="518"/>
      <c r="AJ66" s="518"/>
      <c r="AK66" s="418">
        <f>SUM(AL66:AP66)</f>
        <v>0</v>
      </c>
      <c r="AL66" s="200"/>
      <c r="AM66" s="200"/>
      <c r="AN66" s="200"/>
      <c r="AO66" s="200"/>
      <c r="AP66" s="200"/>
      <c r="AQ66" s="518"/>
      <c r="AR66" s="518"/>
      <c r="AS66" s="418">
        <f>SUM(AT66:AX66)</f>
        <v>98</v>
      </c>
      <c r="AT66" s="200">
        <v>6</v>
      </c>
      <c r="AU66" s="200"/>
      <c r="AV66" s="200">
        <v>22</v>
      </c>
      <c r="AW66" s="200"/>
      <c r="AX66" s="200">
        <v>70</v>
      </c>
      <c r="AY66" s="518"/>
      <c r="AZ66" s="518"/>
      <c r="BA66" s="518"/>
      <c r="BB66" s="418">
        <f>SUM(BC66:BG66)</f>
        <v>0</v>
      </c>
      <c r="BC66" s="200"/>
      <c r="BD66" s="200"/>
      <c r="BE66" s="200"/>
      <c r="BF66" s="200"/>
      <c r="BG66" s="200"/>
      <c r="BH66" s="518"/>
      <c r="BI66" s="418">
        <f t="shared" si="141"/>
        <v>0</v>
      </c>
      <c r="BJ66" s="200"/>
      <c r="BK66" s="200"/>
      <c r="BL66" s="200"/>
      <c r="BM66" s="200"/>
      <c r="BN66" s="200"/>
      <c r="BO66" s="200"/>
      <c r="BP66" s="200"/>
      <c r="BQ66" s="202"/>
      <c r="BR66" s="425" t="str">
        <f>'Учебный план'!BZ84</f>
        <v>64-9</v>
      </c>
      <c r="BS66" s="440" t="str">
        <f>'Учебный план'!CA84</f>
        <v>ОК 1-10; ПК 3.1 - 3.2</v>
      </c>
    </row>
    <row r="67" spans="1:72" s="248" customFormat="1" ht="26.1" customHeight="1" x14ac:dyDescent="0.2">
      <c r="A67" s="785" t="str">
        <f>'Учебный план'!A85</f>
        <v xml:space="preserve"> Экзамен квалификационный</v>
      </c>
      <c r="B67" s="786"/>
      <c r="C67" s="527"/>
      <c r="D67" s="575" t="s">
        <v>40</v>
      </c>
      <c r="E67" s="469"/>
      <c r="F67" s="469"/>
      <c r="G67" s="469"/>
      <c r="H67" s="469"/>
      <c r="I67" s="470"/>
      <c r="J67" s="469"/>
      <c r="K67" s="470">
        <f>'Учебный план'!K85</f>
        <v>0</v>
      </c>
      <c r="L67" s="470">
        <f>'Учебный план'!L85</f>
        <v>0</v>
      </c>
      <c r="M67" s="428"/>
      <c r="N67" s="428"/>
      <c r="O67" s="428"/>
      <c r="P67" s="428"/>
      <c r="Q67" s="428"/>
      <c r="R67" s="428"/>
      <c r="S67" s="428"/>
      <c r="T67" s="428"/>
      <c r="U67" s="428"/>
      <c r="V67" s="470"/>
      <c r="W67" s="470"/>
      <c r="X67" s="470"/>
      <c r="Y67" s="470"/>
      <c r="Z67" s="470"/>
      <c r="AA67" s="428"/>
      <c r="AB67" s="428"/>
      <c r="AC67" s="470"/>
      <c r="AD67" s="470"/>
      <c r="AE67" s="470"/>
      <c r="AF67" s="470"/>
      <c r="AG67" s="470"/>
      <c r="AH67" s="470"/>
      <c r="AI67" s="470"/>
      <c r="AJ67" s="470"/>
      <c r="AK67" s="428"/>
      <c r="AL67" s="470"/>
      <c r="AM67" s="470"/>
      <c r="AN67" s="470"/>
      <c r="AO67" s="470"/>
      <c r="AP67" s="470"/>
      <c r="AQ67" s="470"/>
      <c r="AR67" s="470"/>
      <c r="AS67" s="428"/>
      <c r="AT67" s="470"/>
      <c r="AU67" s="470"/>
      <c r="AV67" s="470"/>
      <c r="AW67" s="470"/>
      <c r="AX67" s="470"/>
      <c r="AY67" s="470"/>
      <c r="AZ67" s="470"/>
      <c r="BA67" s="470"/>
      <c r="BB67" s="428"/>
      <c r="BC67" s="470"/>
      <c r="BD67" s="470"/>
      <c r="BE67" s="470"/>
      <c r="BF67" s="470"/>
      <c r="BG67" s="470"/>
      <c r="BH67" s="470"/>
      <c r="BI67" s="428"/>
      <c r="BJ67" s="470"/>
      <c r="BK67" s="470"/>
      <c r="BL67" s="470"/>
      <c r="BM67" s="470"/>
      <c r="BN67" s="470"/>
      <c r="BO67" s="470"/>
      <c r="BP67" s="470"/>
      <c r="BQ67" s="470"/>
      <c r="BR67" s="469">
        <f>'Учебный план'!BZ85</f>
        <v>0</v>
      </c>
      <c r="BS67" s="528">
        <f>'Учебный план'!CA85</f>
        <v>0</v>
      </c>
    </row>
    <row r="68" spans="1:72" s="254" customFormat="1" ht="26.1" customHeight="1" x14ac:dyDescent="0.2">
      <c r="A68" s="525" t="str">
        <f>'Учебный план'!A86</f>
        <v>ПМ.04</v>
      </c>
      <c r="B68" s="805" t="str">
        <f>'Учебный план'!B86</f>
        <v>Анализ эффективности работы судна</v>
      </c>
      <c r="C68" s="806"/>
      <c r="D68" s="806"/>
      <c r="E68" s="806"/>
      <c r="F68" s="806"/>
      <c r="G68" s="806"/>
      <c r="H68" s="807"/>
      <c r="I68" s="419"/>
      <c r="J68" s="487"/>
      <c r="K68" s="419">
        <f>'Учебный план'!K86</f>
        <v>89</v>
      </c>
      <c r="L68" s="419">
        <f>'Учебный план'!L86</f>
        <v>60</v>
      </c>
      <c r="M68" s="419">
        <f>M69</f>
        <v>89</v>
      </c>
      <c r="N68" s="419">
        <f t="shared" ref="N68:S68" si="145">N69</f>
        <v>10</v>
      </c>
      <c r="O68" s="419">
        <f t="shared" si="145"/>
        <v>10</v>
      </c>
      <c r="P68" s="419">
        <f t="shared" si="145"/>
        <v>0</v>
      </c>
      <c r="Q68" s="419">
        <f t="shared" si="145"/>
        <v>0</v>
      </c>
      <c r="R68" s="419">
        <f t="shared" si="145"/>
        <v>0</v>
      </c>
      <c r="S68" s="419">
        <f t="shared" si="145"/>
        <v>79</v>
      </c>
      <c r="T68" s="419"/>
      <c r="U68" s="419">
        <f>U69</f>
        <v>0</v>
      </c>
      <c r="V68" s="419">
        <f t="shared" ref="V68:Z68" si="146">V69</f>
        <v>0</v>
      </c>
      <c r="W68" s="419">
        <f t="shared" si="146"/>
        <v>0</v>
      </c>
      <c r="X68" s="419">
        <f t="shared" si="146"/>
        <v>0</v>
      </c>
      <c r="Y68" s="419">
        <f t="shared" si="146"/>
        <v>0</v>
      </c>
      <c r="Z68" s="419">
        <f t="shared" si="146"/>
        <v>0</v>
      </c>
      <c r="AA68" s="419"/>
      <c r="AB68" s="419">
        <f>AB69</f>
        <v>0</v>
      </c>
      <c r="AC68" s="419">
        <f t="shared" ref="AC68:AG68" si="147">AC69</f>
        <v>0</v>
      </c>
      <c r="AD68" s="419">
        <f t="shared" si="147"/>
        <v>0</v>
      </c>
      <c r="AE68" s="419">
        <f t="shared" si="147"/>
        <v>0</v>
      </c>
      <c r="AF68" s="419">
        <f t="shared" si="147"/>
        <v>0</v>
      </c>
      <c r="AG68" s="419">
        <f t="shared" si="147"/>
        <v>0</v>
      </c>
      <c r="AH68" s="419"/>
      <c r="AI68" s="419"/>
      <c r="AJ68" s="419"/>
      <c r="AK68" s="419">
        <f>AK69</f>
        <v>0</v>
      </c>
      <c r="AL68" s="419">
        <f t="shared" ref="AL68:AP68" si="148">AL69</f>
        <v>0</v>
      </c>
      <c r="AM68" s="419">
        <f t="shared" si="148"/>
        <v>0</v>
      </c>
      <c r="AN68" s="419">
        <f t="shared" si="148"/>
        <v>0</v>
      </c>
      <c r="AO68" s="419">
        <f t="shared" si="148"/>
        <v>0</v>
      </c>
      <c r="AP68" s="419">
        <f t="shared" si="148"/>
        <v>0</v>
      </c>
      <c r="AQ68" s="419"/>
      <c r="AR68" s="419"/>
      <c r="AS68" s="419">
        <f>AS69</f>
        <v>89</v>
      </c>
      <c r="AT68" s="419">
        <f t="shared" ref="AT68:AX68" si="149">AT69</f>
        <v>10</v>
      </c>
      <c r="AU68" s="419">
        <f t="shared" si="149"/>
        <v>0</v>
      </c>
      <c r="AV68" s="419">
        <f t="shared" si="149"/>
        <v>0</v>
      </c>
      <c r="AW68" s="419">
        <f t="shared" si="149"/>
        <v>0</v>
      </c>
      <c r="AX68" s="419">
        <f t="shared" si="149"/>
        <v>79</v>
      </c>
      <c r="AY68" s="419"/>
      <c r="AZ68" s="419"/>
      <c r="BA68" s="419"/>
      <c r="BB68" s="419">
        <f>BB69</f>
        <v>0</v>
      </c>
      <c r="BC68" s="419">
        <f t="shared" ref="BC68:BG68" si="150">BC69</f>
        <v>0</v>
      </c>
      <c r="BD68" s="419">
        <f t="shared" si="150"/>
        <v>0</v>
      </c>
      <c r="BE68" s="419">
        <f t="shared" si="150"/>
        <v>0</v>
      </c>
      <c r="BF68" s="419">
        <f t="shared" si="150"/>
        <v>0</v>
      </c>
      <c r="BG68" s="419">
        <f t="shared" si="150"/>
        <v>0</v>
      </c>
      <c r="BH68" s="419"/>
      <c r="BI68" s="419">
        <f>BI69</f>
        <v>0</v>
      </c>
      <c r="BJ68" s="419">
        <f t="shared" ref="BJ68:BP68" si="151">BJ69</f>
        <v>0</v>
      </c>
      <c r="BK68" s="419">
        <f t="shared" si="151"/>
        <v>0</v>
      </c>
      <c r="BL68" s="419">
        <f t="shared" si="151"/>
        <v>0</v>
      </c>
      <c r="BM68" s="419">
        <f t="shared" si="151"/>
        <v>0</v>
      </c>
      <c r="BN68" s="419">
        <f t="shared" si="151"/>
        <v>0</v>
      </c>
      <c r="BO68" s="419">
        <f t="shared" si="151"/>
        <v>0</v>
      </c>
      <c r="BP68" s="419">
        <f t="shared" si="151"/>
        <v>0</v>
      </c>
      <c r="BQ68" s="419"/>
      <c r="BR68" s="531">
        <f>'Учебный план'!BZ86</f>
        <v>0</v>
      </c>
      <c r="BS68" s="531">
        <f>'Учебный план'!CA86</f>
        <v>0</v>
      </c>
    </row>
    <row r="69" spans="1:72" s="248" customFormat="1" ht="26.1" customHeight="1" x14ac:dyDescent="0.2">
      <c r="A69" s="557" t="str">
        <f>'Учебный план'!A87</f>
        <v>МДК.04.01</v>
      </c>
      <c r="B69" s="557" t="str">
        <f>'Учебный план'!B87</f>
        <v>Основы анализа эффективности работы судна с применением информационных технологий</v>
      </c>
      <c r="C69" s="558"/>
      <c r="D69" s="559"/>
      <c r="E69" s="559" t="s">
        <v>40</v>
      </c>
      <c r="F69" s="559"/>
      <c r="G69" s="559"/>
      <c r="H69" s="560" t="s">
        <v>40</v>
      </c>
      <c r="I69" s="556">
        <f>K69-M69</f>
        <v>0</v>
      </c>
      <c r="J69" s="559">
        <f t="shared" ref="J69" si="152">L69*$J$1</f>
        <v>18</v>
      </c>
      <c r="K69" s="556">
        <f>'Учебный план'!K87</f>
        <v>89</v>
      </c>
      <c r="L69" s="556">
        <f>'Учебный план'!L87</f>
        <v>60</v>
      </c>
      <c r="M69" s="561">
        <f>SUM(N69+S69)</f>
        <v>89</v>
      </c>
      <c r="N69" s="561">
        <f>SUM(O69:R69)</f>
        <v>10</v>
      </c>
      <c r="O69" s="561">
        <f>V69+AL69+AT69+BC69+AC69+BK69</f>
        <v>10</v>
      </c>
      <c r="P69" s="561">
        <f>W69+AM69+AU69+BD69+AD69+BL69</f>
        <v>0</v>
      </c>
      <c r="Q69" s="561">
        <f>X69+AN69+AV69+BE69+AE69+BM69</f>
        <v>0</v>
      </c>
      <c r="R69" s="561">
        <f>Y69+AO69+AW69+BF69+AF69+BN69</f>
        <v>0</v>
      </c>
      <c r="S69" s="561">
        <f>Z69+AP69+AX69+BG69+BP69+AG69</f>
        <v>79</v>
      </c>
      <c r="T69" s="561"/>
      <c r="U69" s="561">
        <f>SUM(V69:Z69)</f>
        <v>0</v>
      </c>
      <c r="V69" s="556"/>
      <c r="W69" s="556"/>
      <c r="X69" s="556"/>
      <c r="Y69" s="556"/>
      <c r="Z69" s="556"/>
      <c r="AA69" s="561"/>
      <c r="AB69" s="561">
        <f>SUM(AC69:AG69)</f>
        <v>0</v>
      </c>
      <c r="AC69" s="556"/>
      <c r="AD69" s="556"/>
      <c r="AE69" s="556"/>
      <c r="AF69" s="556"/>
      <c r="AG69" s="556"/>
      <c r="AH69" s="556"/>
      <c r="AI69" s="556"/>
      <c r="AJ69" s="556"/>
      <c r="AK69" s="561">
        <f>SUM(AL69:AP69)</f>
        <v>0</v>
      </c>
      <c r="AL69" s="556"/>
      <c r="AM69" s="556"/>
      <c r="AN69" s="556"/>
      <c r="AO69" s="556"/>
      <c r="AP69" s="556"/>
      <c r="AQ69" s="556"/>
      <c r="AR69" s="556"/>
      <c r="AS69" s="561">
        <f>SUM(AT69:AX69)</f>
        <v>89</v>
      </c>
      <c r="AT69" s="556">
        <v>10</v>
      </c>
      <c r="AU69" s="556"/>
      <c r="AV69" s="556"/>
      <c r="AW69" s="556"/>
      <c r="AX69" s="556">
        <v>79</v>
      </c>
      <c r="AY69" s="556"/>
      <c r="AZ69" s="556"/>
      <c r="BA69" s="556"/>
      <c r="BB69" s="561">
        <f>SUM(BC69:BG69)</f>
        <v>0</v>
      </c>
      <c r="BC69" s="556"/>
      <c r="BD69" s="556"/>
      <c r="BE69" s="556"/>
      <c r="BF69" s="556"/>
      <c r="BG69" s="556"/>
      <c r="BH69" s="556"/>
      <c r="BI69" s="561">
        <f t="shared" ref="BI69" si="153">SUM(BJ69:BP69)</f>
        <v>0</v>
      </c>
      <c r="BJ69" s="556">
        <v>0</v>
      </c>
      <c r="BK69" s="556"/>
      <c r="BL69" s="556"/>
      <c r="BM69" s="556"/>
      <c r="BN69" s="556"/>
      <c r="BO69" s="556"/>
      <c r="BP69" s="556"/>
      <c r="BQ69" s="556"/>
      <c r="BR69" s="559" t="str">
        <f>'Учебный план'!BZ87</f>
        <v>64-5</v>
      </c>
      <c r="BS69" s="559" t="str">
        <f>'Учебный план'!CA87</f>
        <v>ОК 1-10; ПК 4.1 - 4.3</v>
      </c>
    </row>
    <row r="70" spans="1:72" s="248" customFormat="1" ht="26.1" customHeight="1" x14ac:dyDescent="0.2">
      <c r="A70" s="785" t="str">
        <f>'Учебный план'!A88</f>
        <v xml:space="preserve"> Экзамен квалификационный</v>
      </c>
      <c r="B70" s="786"/>
      <c r="C70" s="527"/>
      <c r="D70" s="575" t="s">
        <v>40</v>
      </c>
      <c r="E70" s="469"/>
      <c r="F70" s="469"/>
      <c r="G70" s="469"/>
      <c r="H70" s="469"/>
      <c r="I70" s="470"/>
      <c r="J70" s="469"/>
      <c r="K70" s="470">
        <f>'Учебный план'!K88</f>
        <v>0</v>
      </c>
      <c r="L70" s="470">
        <f>'Учебный план'!L88</f>
        <v>0</v>
      </c>
      <c r="M70" s="428"/>
      <c r="N70" s="428"/>
      <c r="O70" s="428"/>
      <c r="P70" s="428"/>
      <c r="Q70" s="428"/>
      <c r="R70" s="428"/>
      <c r="S70" s="428"/>
      <c r="T70" s="428"/>
      <c r="U70" s="428"/>
      <c r="V70" s="470"/>
      <c r="W70" s="470"/>
      <c r="X70" s="470"/>
      <c r="Y70" s="470"/>
      <c r="Z70" s="470"/>
      <c r="AA70" s="428"/>
      <c r="AB70" s="428"/>
      <c r="AC70" s="470"/>
      <c r="AD70" s="470"/>
      <c r="AE70" s="470"/>
      <c r="AF70" s="470"/>
      <c r="AG70" s="470"/>
      <c r="AH70" s="470"/>
      <c r="AI70" s="470"/>
      <c r="AJ70" s="470"/>
      <c r="AK70" s="428"/>
      <c r="AL70" s="470"/>
      <c r="AM70" s="470"/>
      <c r="AN70" s="470"/>
      <c r="AO70" s="470"/>
      <c r="AP70" s="470"/>
      <c r="AQ70" s="470"/>
      <c r="AR70" s="470"/>
      <c r="AS70" s="428"/>
      <c r="AT70" s="470"/>
      <c r="AU70" s="470"/>
      <c r="AV70" s="470"/>
      <c r="AW70" s="470"/>
      <c r="AX70" s="470"/>
      <c r="AY70" s="470"/>
      <c r="AZ70" s="470"/>
      <c r="BA70" s="470"/>
      <c r="BB70" s="428"/>
      <c r="BC70" s="470"/>
      <c r="BD70" s="470"/>
      <c r="BE70" s="470"/>
      <c r="BF70" s="470"/>
      <c r="BG70" s="470"/>
      <c r="BH70" s="470"/>
      <c r="BI70" s="428"/>
      <c r="BJ70" s="470"/>
      <c r="BK70" s="470"/>
      <c r="BL70" s="470"/>
      <c r="BM70" s="470"/>
      <c r="BN70" s="470"/>
      <c r="BO70" s="470"/>
      <c r="BP70" s="470"/>
      <c r="BQ70" s="470"/>
      <c r="BR70" s="469">
        <f>'Учебный план'!BZ88</f>
        <v>0</v>
      </c>
      <c r="BS70" s="528">
        <f>'Учебный план'!CA88</f>
        <v>0</v>
      </c>
    </row>
    <row r="71" spans="1:72" s="254" customFormat="1" ht="26.1" customHeight="1" x14ac:dyDescent="0.2">
      <c r="A71" s="525" t="str">
        <f>'Учебный план'!A89</f>
        <v>ПМ 05</v>
      </c>
      <c r="B71" s="805" t="str">
        <f>'Учебный план'!B89</f>
        <v>Выполнение работ по одной или нескольким профессиям рабочих, должностям служащих</v>
      </c>
      <c r="C71" s="806"/>
      <c r="D71" s="806"/>
      <c r="E71" s="806"/>
      <c r="F71" s="806"/>
      <c r="G71" s="806"/>
      <c r="H71" s="807"/>
      <c r="I71" s="419"/>
      <c r="J71" s="487"/>
      <c r="K71" s="419">
        <f>'Учебный план'!K89</f>
        <v>100</v>
      </c>
      <c r="L71" s="419">
        <f>'Учебный план'!L89</f>
        <v>68</v>
      </c>
      <c r="M71" s="419">
        <f t="shared" ref="M71:S71" si="154" xml:space="preserve"> SUM(M73:M73)</f>
        <v>100</v>
      </c>
      <c r="N71" s="419">
        <f t="shared" si="154"/>
        <v>16</v>
      </c>
      <c r="O71" s="419">
        <f t="shared" si="154"/>
        <v>16</v>
      </c>
      <c r="P71" s="419">
        <f t="shared" si="154"/>
        <v>0</v>
      </c>
      <c r="Q71" s="419">
        <f t="shared" si="154"/>
        <v>0</v>
      </c>
      <c r="R71" s="419">
        <f t="shared" si="154"/>
        <v>0</v>
      </c>
      <c r="S71" s="419">
        <f t="shared" si="154"/>
        <v>84</v>
      </c>
      <c r="T71" s="419">
        <f xml:space="preserve"> SUM(T72:T73)</f>
        <v>0</v>
      </c>
      <c r="U71" s="419">
        <f t="shared" ref="U71:Z71" si="155" xml:space="preserve"> SUM(U73:U73)</f>
        <v>0</v>
      </c>
      <c r="V71" s="419">
        <f t="shared" si="155"/>
        <v>0</v>
      </c>
      <c r="W71" s="419">
        <f t="shared" si="155"/>
        <v>0</v>
      </c>
      <c r="X71" s="419">
        <f t="shared" si="155"/>
        <v>0</v>
      </c>
      <c r="Y71" s="419">
        <f t="shared" si="155"/>
        <v>0</v>
      </c>
      <c r="Z71" s="419">
        <f t="shared" si="155"/>
        <v>0</v>
      </c>
      <c r="AA71" s="419">
        <f xml:space="preserve"> SUM(AA72:AA73)</f>
        <v>0</v>
      </c>
      <c r="AB71" s="419">
        <f t="shared" ref="AB71:AG71" si="156" xml:space="preserve"> SUM(AB73:AB73)</f>
        <v>100</v>
      </c>
      <c r="AC71" s="419">
        <f t="shared" si="156"/>
        <v>16</v>
      </c>
      <c r="AD71" s="419">
        <f t="shared" si="156"/>
        <v>0</v>
      </c>
      <c r="AE71" s="419">
        <f t="shared" si="156"/>
        <v>0</v>
      </c>
      <c r="AF71" s="419">
        <f t="shared" si="156"/>
        <v>0</v>
      </c>
      <c r="AG71" s="419">
        <f t="shared" si="156"/>
        <v>84</v>
      </c>
      <c r="AH71" s="419"/>
      <c r="AI71" s="419"/>
      <c r="AJ71" s="419"/>
      <c r="AK71" s="419">
        <f t="shared" ref="AK71:AP71" si="157" xml:space="preserve"> SUM(AK73:AK73)</f>
        <v>0</v>
      </c>
      <c r="AL71" s="419">
        <f xml:space="preserve"> SUM(AL73:AL73)</f>
        <v>0</v>
      </c>
      <c r="AM71" s="419">
        <f t="shared" si="157"/>
        <v>0</v>
      </c>
      <c r="AN71" s="419">
        <f t="shared" si="157"/>
        <v>0</v>
      </c>
      <c r="AO71" s="419">
        <f t="shared" si="157"/>
        <v>0</v>
      </c>
      <c r="AP71" s="419">
        <f t="shared" si="157"/>
        <v>0</v>
      </c>
      <c r="AQ71" s="419"/>
      <c r="AR71" s="419"/>
      <c r="AS71" s="419">
        <f t="shared" ref="AS71:AX71" si="158" xml:space="preserve"> SUM(AS73:AS73)</f>
        <v>0</v>
      </c>
      <c r="AT71" s="419">
        <f t="shared" si="158"/>
        <v>0</v>
      </c>
      <c r="AU71" s="419">
        <f t="shared" si="158"/>
        <v>0</v>
      </c>
      <c r="AV71" s="419">
        <f t="shared" si="158"/>
        <v>0</v>
      </c>
      <c r="AW71" s="419">
        <f t="shared" si="158"/>
        <v>0</v>
      </c>
      <c r="AX71" s="419">
        <f t="shared" si="158"/>
        <v>0</v>
      </c>
      <c r="AY71" s="419"/>
      <c r="AZ71" s="419"/>
      <c r="BA71" s="419"/>
      <c r="BB71" s="419">
        <f t="shared" ref="BB71:BG71" si="159" xml:space="preserve"> SUM(BB73:BB73)</f>
        <v>0</v>
      </c>
      <c r="BC71" s="419">
        <f t="shared" si="159"/>
        <v>0</v>
      </c>
      <c r="BD71" s="419">
        <f t="shared" si="159"/>
        <v>0</v>
      </c>
      <c r="BE71" s="419">
        <f t="shared" si="159"/>
        <v>0</v>
      </c>
      <c r="BF71" s="419">
        <f t="shared" si="159"/>
        <v>0</v>
      </c>
      <c r="BG71" s="419">
        <f t="shared" si="159"/>
        <v>0</v>
      </c>
      <c r="BH71" s="419"/>
      <c r="BI71" s="419">
        <f t="shared" ref="BI71:BP71" si="160" xml:space="preserve"> SUM(BI73:BI73)</f>
        <v>0</v>
      </c>
      <c r="BJ71" s="419">
        <f t="shared" si="160"/>
        <v>0</v>
      </c>
      <c r="BK71" s="419">
        <f t="shared" si="160"/>
        <v>0</v>
      </c>
      <c r="BL71" s="419">
        <f t="shared" si="160"/>
        <v>0</v>
      </c>
      <c r="BM71" s="419">
        <f t="shared" si="160"/>
        <v>0</v>
      </c>
      <c r="BN71" s="419">
        <f t="shared" si="160"/>
        <v>0</v>
      </c>
      <c r="BO71" s="419">
        <f t="shared" si="160"/>
        <v>0</v>
      </c>
      <c r="BP71" s="419">
        <f t="shared" si="160"/>
        <v>0</v>
      </c>
      <c r="BQ71" s="185"/>
      <c r="BR71" s="531">
        <f>'Учебный план'!BZ89</f>
        <v>0</v>
      </c>
      <c r="BS71" s="531">
        <f>'Учебный план'!CA89</f>
        <v>0</v>
      </c>
      <c r="BT71" s="372"/>
    </row>
    <row r="72" spans="1:72" s="248" customFormat="1" ht="26.1" hidden="1" customHeight="1" x14ac:dyDescent="0.2">
      <c r="A72" s="532" t="str">
        <f>'Учебный план'!A90</f>
        <v>МДК 05.01</v>
      </c>
      <c r="B72" s="533" t="str">
        <f>'Учебный план'!B90</f>
        <v>Судовождение на вспомогательном уровне</v>
      </c>
      <c r="C72" s="534"/>
      <c r="D72" s="425"/>
      <c r="E72" s="425"/>
      <c r="F72" s="425"/>
      <c r="G72" s="425"/>
      <c r="H72" s="425"/>
      <c r="I72" s="200"/>
      <c r="J72" s="425"/>
      <c r="K72" s="200">
        <f>'Учебный план'!K90</f>
        <v>0</v>
      </c>
      <c r="L72" s="200">
        <f>'Учебный план'!L90</f>
        <v>0</v>
      </c>
      <c r="M72" s="516"/>
      <c r="N72" s="516"/>
      <c r="O72" s="516"/>
      <c r="P72" s="516"/>
      <c r="Q72" s="516"/>
      <c r="R72" s="516"/>
      <c r="S72" s="516"/>
      <c r="T72" s="517"/>
      <c r="U72" s="418"/>
      <c r="V72" s="200"/>
      <c r="W72" s="200"/>
      <c r="X72" s="200"/>
      <c r="Y72" s="200"/>
      <c r="Z72" s="200"/>
      <c r="AA72" s="517"/>
      <c r="AB72" s="418"/>
      <c r="AC72" s="200"/>
      <c r="AD72" s="200"/>
      <c r="AE72" s="200"/>
      <c r="AF72" s="200"/>
      <c r="AG72" s="200"/>
      <c r="AH72" s="518"/>
      <c r="AI72" s="518"/>
      <c r="AJ72" s="518"/>
      <c r="AK72" s="418"/>
      <c r="AL72" s="200"/>
      <c r="AM72" s="200"/>
      <c r="AN72" s="200"/>
      <c r="AO72" s="200"/>
      <c r="AP72" s="200"/>
      <c r="AQ72" s="518"/>
      <c r="AR72" s="518"/>
      <c r="AS72" s="418"/>
      <c r="AT72" s="200"/>
      <c r="AU72" s="200"/>
      <c r="AV72" s="200"/>
      <c r="AW72" s="200"/>
      <c r="AX72" s="200"/>
      <c r="AY72" s="518"/>
      <c r="AZ72" s="518"/>
      <c r="BA72" s="518"/>
      <c r="BB72" s="418"/>
      <c r="BC72" s="200"/>
      <c r="BD72" s="200"/>
      <c r="BE72" s="200"/>
      <c r="BF72" s="200"/>
      <c r="BG72" s="200"/>
      <c r="BH72" s="518"/>
      <c r="BI72" s="418"/>
      <c r="BJ72" s="200"/>
      <c r="BK72" s="200"/>
      <c r="BL72" s="200"/>
      <c r="BM72" s="200"/>
      <c r="BN72" s="200"/>
      <c r="BO72" s="200"/>
      <c r="BP72" s="200"/>
      <c r="BQ72" s="202"/>
      <c r="BR72" s="535">
        <f>'Учебный план'!BZ90</f>
        <v>0</v>
      </c>
      <c r="BS72" s="203">
        <f>'Учебный план'!CA90</f>
        <v>0</v>
      </c>
    </row>
    <row r="73" spans="1:72" s="248" customFormat="1" ht="26.1" customHeight="1" x14ac:dyDescent="0.2">
      <c r="A73" s="512">
        <f>'Учебный план'!A91</f>
        <v>0</v>
      </c>
      <c r="B73" s="512" t="str">
        <f>'Учебный план'!B91</f>
        <v>Судовождение на вспомогательном уровне</v>
      </c>
      <c r="C73" s="223"/>
      <c r="D73" s="425"/>
      <c r="E73" s="425" t="s">
        <v>31</v>
      </c>
      <c r="F73" s="425"/>
      <c r="G73" s="425"/>
      <c r="H73" s="425"/>
      <c r="I73" s="200">
        <f>K73-M73</f>
        <v>0</v>
      </c>
      <c r="J73" s="425">
        <f>L73*$J$1</f>
        <v>20.399999999999999</v>
      </c>
      <c r="K73" s="200">
        <f>'Учебный план'!K91</f>
        <v>100</v>
      </c>
      <c r="L73" s="200">
        <f>'Учебный план'!L91</f>
        <v>68</v>
      </c>
      <c r="M73" s="516">
        <f>SUM(N73+S73)</f>
        <v>100</v>
      </c>
      <c r="N73" s="516">
        <f>SUM(O73:R73)</f>
        <v>16</v>
      </c>
      <c r="O73" s="516">
        <f>V73+AL73+AT73+BC73+AC73+BK73</f>
        <v>16</v>
      </c>
      <c r="P73" s="516">
        <f>W73+AM73+AU73+BD73+AD73+BL73</f>
        <v>0</v>
      </c>
      <c r="Q73" s="516">
        <f>X73+AN73+AV73+BE73+AE73+BM73</f>
        <v>0</v>
      </c>
      <c r="R73" s="516">
        <f>Y73+AO73+AW73+BF73+AF73+BN73</f>
        <v>0</v>
      </c>
      <c r="S73" s="516">
        <f>Z73+AP73+AX73+BG73+BP73+AG73</f>
        <v>84</v>
      </c>
      <c r="T73" s="517"/>
      <c r="U73" s="418">
        <f>SUM(V73:Z73)</f>
        <v>0</v>
      </c>
      <c r="V73" s="200"/>
      <c r="W73" s="200"/>
      <c r="X73" s="200"/>
      <c r="Y73" s="200"/>
      <c r="Z73" s="200"/>
      <c r="AA73" s="517"/>
      <c r="AB73" s="418">
        <f>SUM(AC73:AG73)</f>
        <v>100</v>
      </c>
      <c r="AC73" s="200">
        <v>16</v>
      </c>
      <c r="AD73" s="200"/>
      <c r="AE73" s="200"/>
      <c r="AF73" s="200"/>
      <c r="AG73" s="200">
        <v>84</v>
      </c>
      <c r="AH73" s="518"/>
      <c r="AI73" s="518"/>
      <c r="AJ73" s="518"/>
      <c r="AK73" s="418">
        <f>SUM(AL73:AP73)</f>
        <v>0</v>
      </c>
      <c r="AL73" s="200"/>
      <c r="AM73" s="200"/>
      <c r="AN73" s="200"/>
      <c r="AO73" s="200"/>
      <c r="AP73" s="200"/>
      <c r="AQ73" s="518"/>
      <c r="AR73" s="518"/>
      <c r="AS73" s="418">
        <f>SUM(AT73:AX73)</f>
        <v>0</v>
      </c>
      <c r="AT73" s="200"/>
      <c r="AU73" s="200"/>
      <c r="AV73" s="200"/>
      <c r="AW73" s="200"/>
      <c r="AX73" s="200"/>
      <c r="AY73" s="518"/>
      <c r="AZ73" s="518"/>
      <c r="BA73" s="518"/>
      <c r="BB73" s="418">
        <f>SUM(BC73:BG73)</f>
        <v>0</v>
      </c>
      <c r="BC73" s="200"/>
      <c r="BD73" s="200"/>
      <c r="BE73" s="200"/>
      <c r="BF73" s="200"/>
      <c r="BG73" s="200"/>
      <c r="BH73" s="518"/>
      <c r="BI73" s="418">
        <f t="shared" ref="BI73" si="161">SUM(BJ73:BP73)</f>
        <v>0</v>
      </c>
      <c r="BJ73" s="200"/>
      <c r="BK73" s="200"/>
      <c r="BL73" s="200"/>
      <c r="BM73" s="200"/>
      <c r="BN73" s="200"/>
      <c r="BO73" s="200"/>
      <c r="BP73" s="200"/>
      <c r="BQ73" s="202"/>
      <c r="BR73" s="425" t="str">
        <f>'Учебный план'!BZ91</f>
        <v>64-5</v>
      </c>
      <c r="BS73" s="440" t="str">
        <f>'Учебный план'!CA91</f>
        <v>ОК-1-10</v>
      </c>
    </row>
    <row r="74" spans="1:72" s="248" customFormat="1" ht="26.1" customHeight="1" x14ac:dyDescent="0.2">
      <c r="A74" s="785" t="str">
        <f>'Учебный план'!A92</f>
        <v xml:space="preserve"> Экзамен квалификационный</v>
      </c>
      <c r="B74" s="786"/>
      <c r="C74" s="527"/>
      <c r="D74" s="469" t="s">
        <v>30</v>
      </c>
      <c r="E74" s="469"/>
      <c r="F74" s="469"/>
      <c r="G74" s="469"/>
      <c r="H74" s="469"/>
      <c r="I74" s="470"/>
      <c r="J74" s="469"/>
      <c r="K74" s="470">
        <f>'Учебный план'!K92</f>
        <v>0</v>
      </c>
      <c r="L74" s="470">
        <f>'Учебный план'!L92</f>
        <v>0</v>
      </c>
      <c r="M74" s="428"/>
      <c r="N74" s="428"/>
      <c r="O74" s="428"/>
      <c r="P74" s="428"/>
      <c r="Q74" s="428"/>
      <c r="R74" s="428"/>
      <c r="S74" s="428"/>
      <c r="T74" s="428"/>
      <c r="U74" s="428"/>
      <c r="V74" s="470"/>
      <c r="W74" s="470"/>
      <c r="X74" s="470"/>
      <c r="Y74" s="470"/>
      <c r="Z74" s="470"/>
      <c r="AA74" s="428"/>
      <c r="AB74" s="428"/>
      <c r="AC74" s="470"/>
      <c r="AD74" s="470"/>
      <c r="AE74" s="470"/>
      <c r="AF74" s="470"/>
      <c r="AG74" s="470"/>
      <c r="AH74" s="470"/>
      <c r="AI74" s="470"/>
      <c r="AJ74" s="470"/>
      <c r="AK74" s="428"/>
      <c r="AL74" s="470"/>
      <c r="AM74" s="470"/>
      <c r="AN74" s="470"/>
      <c r="AO74" s="470"/>
      <c r="AP74" s="470"/>
      <c r="AQ74" s="470"/>
      <c r="AR74" s="470"/>
      <c r="AS74" s="428"/>
      <c r="AT74" s="470"/>
      <c r="AU74" s="470"/>
      <c r="AV74" s="470"/>
      <c r="AW74" s="470"/>
      <c r="AX74" s="470"/>
      <c r="AY74" s="470"/>
      <c r="AZ74" s="470"/>
      <c r="BA74" s="470"/>
      <c r="BB74" s="428"/>
      <c r="BC74" s="470"/>
      <c r="BD74" s="470"/>
      <c r="BE74" s="470"/>
      <c r="BF74" s="470"/>
      <c r="BG74" s="470"/>
      <c r="BH74" s="470"/>
      <c r="BI74" s="428"/>
      <c r="BJ74" s="470"/>
      <c r="BK74" s="470"/>
      <c r="BL74" s="470"/>
      <c r="BM74" s="470"/>
      <c r="BN74" s="470"/>
      <c r="BO74" s="470"/>
      <c r="BP74" s="470"/>
      <c r="BQ74" s="470"/>
      <c r="BR74" s="469">
        <f>'Учебный план'!BZ92</f>
        <v>0</v>
      </c>
      <c r="BS74" s="528">
        <f>'Учебный план'!CA92</f>
        <v>0</v>
      </c>
    </row>
    <row r="75" spans="1:72" s="254" customFormat="1" ht="26.1" customHeight="1" x14ac:dyDescent="0.2">
      <c r="A75" s="536" t="str">
        <f>'Учебный план'!A93</f>
        <v>ВЧ.00</v>
      </c>
      <c r="B75" s="817" t="str">
        <f>'Учебный план'!B93</f>
        <v>Вариативная часть циклов ППССЗ</v>
      </c>
      <c r="C75" s="818"/>
      <c r="D75" s="818"/>
      <c r="E75" s="818"/>
      <c r="F75" s="818"/>
      <c r="G75" s="818"/>
      <c r="H75" s="819"/>
      <c r="I75" s="474"/>
      <c r="J75" s="472"/>
      <c r="K75" s="474">
        <f>'Учебный план'!K93</f>
        <v>225</v>
      </c>
      <c r="L75" s="474">
        <f>'Учебный план'!L93</f>
        <v>150</v>
      </c>
      <c r="M75" s="474">
        <f>SUM(M76:M77)</f>
        <v>225</v>
      </c>
      <c r="N75" s="474">
        <f t="shared" ref="N75:S75" si="162">SUM(N76:N77)</f>
        <v>30</v>
      </c>
      <c r="O75" s="474">
        <f t="shared" si="162"/>
        <v>26</v>
      </c>
      <c r="P75" s="474">
        <f t="shared" si="162"/>
        <v>4</v>
      </c>
      <c r="Q75" s="474">
        <f t="shared" si="162"/>
        <v>0</v>
      </c>
      <c r="R75" s="474">
        <f t="shared" si="162"/>
        <v>0</v>
      </c>
      <c r="S75" s="474">
        <f t="shared" si="162"/>
        <v>195</v>
      </c>
      <c r="T75" s="474"/>
      <c r="U75" s="474">
        <f xml:space="preserve"> SUM(U76:U77)</f>
        <v>0</v>
      </c>
      <c r="V75" s="474">
        <f xml:space="preserve"> SUM(V76:V77)</f>
        <v>0</v>
      </c>
      <c r="W75" s="474">
        <f t="shared" ref="W75" si="163" xml:space="preserve"> SUM(W76:W77)</f>
        <v>0</v>
      </c>
      <c r="X75" s="474">
        <f t="shared" ref="X75" si="164" xml:space="preserve"> SUM(X76:X77)</f>
        <v>0</v>
      </c>
      <c r="Y75" s="474">
        <f t="shared" ref="Y75" si="165" xml:space="preserve"> SUM(Y76:Y77)</f>
        <v>0</v>
      </c>
      <c r="Z75" s="474">
        <f t="shared" ref="Z75" si="166" xml:space="preserve"> SUM(Z76:Z77)</f>
        <v>0</v>
      </c>
      <c r="AA75" s="474"/>
      <c r="AB75" s="474">
        <f xml:space="preserve"> SUM(AB76:AB77)</f>
        <v>150</v>
      </c>
      <c r="AC75" s="474">
        <f xml:space="preserve"> SUM(AC76:AC77)</f>
        <v>18</v>
      </c>
      <c r="AD75" s="474">
        <f t="shared" ref="AD75:AG75" si="167" xml:space="preserve"> SUM(AD76:AD77)</f>
        <v>4</v>
      </c>
      <c r="AE75" s="474">
        <f t="shared" si="167"/>
        <v>0</v>
      </c>
      <c r="AF75" s="474">
        <f t="shared" si="167"/>
        <v>0</v>
      </c>
      <c r="AG75" s="474">
        <f t="shared" si="167"/>
        <v>128</v>
      </c>
      <c r="AH75" s="474"/>
      <c r="AI75" s="474"/>
      <c r="AJ75" s="474"/>
      <c r="AK75" s="474">
        <f xml:space="preserve"> SUM(AK76:AK77)</f>
        <v>0</v>
      </c>
      <c r="AL75" s="474">
        <f xml:space="preserve"> SUM(AL76:AL77)</f>
        <v>0</v>
      </c>
      <c r="AM75" s="474">
        <f t="shared" ref="AM75" si="168" xml:space="preserve"> SUM(AM76:AM77)</f>
        <v>0</v>
      </c>
      <c r="AN75" s="474">
        <f t="shared" ref="AN75" si="169" xml:space="preserve"> SUM(AN76:AN77)</f>
        <v>0</v>
      </c>
      <c r="AO75" s="474">
        <f t="shared" ref="AO75" si="170" xml:space="preserve"> SUM(AO76:AO77)</f>
        <v>0</v>
      </c>
      <c r="AP75" s="474">
        <f t="shared" ref="AP75" si="171" xml:space="preserve"> SUM(AP76:AP77)</f>
        <v>0</v>
      </c>
      <c r="AQ75" s="474"/>
      <c r="AR75" s="474"/>
      <c r="AS75" s="474">
        <f xml:space="preserve"> SUM(AS76:AS77)</f>
        <v>75</v>
      </c>
      <c r="AT75" s="474">
        <f xml:space="preserve"> SUM(AT76:AT77)</f>
        <v>8</v>
      </c>
      <c r="AU75" s="474">
        <f t="shared" ref="AU75" si="172" xml:space="preserve"> SUM(AU76:AU77)</f>
        <v>0</v>
      </c>
      <c r="AV75" s="474">
        <f t="shared" ref="AV75" si="173" xml:space="preserve"> SUM(AV76:AV77)</f>
        <v>0</v>
      </c>
      <c r="AW75" s="474">
        <f t="shared" ref="AW75" si="174" xml:space="preserve"> SUM(AW76:AW77)</f>
        <v>0</v>
      </c>
      <c r="AX75" s="474">
        <f t="shared" ref="AX75" si="175" xml:space="preserve"> SUM(AX76:AX77)</f>
        <v>67</v>
      </c>
      <c r="AY75" s="474"/>
      <c r="AZ75" s="474"/>
      <c r="BA75" s="474"/>
      <c r="BB75" s="474">
        <f xml:space="preserve"> SUM(BB76:BB77)</f>
        <v>0</v>
      </c>
      <c r="BC75" s="474">
        <f xml:space="preserve"> SUM(BC76:BC77)</f>
        <v>0</v>
      </c>
      <c r="BD75" s="474">
        <f t="shared" ref="BD75" si="176" xml:space="preserve"> SUM(BD76:BD77)</f>
        <v>0</v>
      </c>
      <c r="BE75" s="474">
        <f t="shared" ref="BE75" si="177" xml:space="preserve"> SUM(BE76:BE77)</f>
        <v>0</v>
      </c>
      <c r="BF75" s="474">
        <f t="shared" ref="BF75" si="178" xml:space="preserve"> SUM(BF76:BF77)</f>
        <v>0</v>
      </c>
      <c r="BG75" s="474">
        <f t="shared" ref="BG75" si="179" xml:space="preserve"> SUM(BG76:BG77)</f>
        <v>0</v>
      </c>
      <c r="BH75" s="474" t="e">
        <f>SUM(#REF!)</f>
        <v>#REF!</v>
      </c>
      <c r="BI75" s="474"/>
      <c r="BJ75" s="474"/>
      <c r="BK75" s="474"/>
      <c r="BL75" s="474"/>
      <c r="BM75" s="474"/>
      <c r="BN75" s="474"/>
      <c r="BO75" s="474"/>
      <c r="BP75" s="474"/>
      <c r="BQ75" s="474"/>
      <c r="BR75" s="472">
        <f>'Учебный план'!BZ93</f>
        <v>0</v>
      </c>
      <c r="BS75" s="538">
        <f>'Учебный план'!CA93</f>
        <v>0</v>
      </c>
    </row>
    <row r="76" spans="1:72" s="248" customFormat="1" ht="26.1" customHeight="1" x14ac:dyDescent="0.2">
      <c r="A76" s="462" t="str">
        <f>'Учебный план'!A94</f>
        <v>ВЧ.01</v>
      </c>
      <c r="B76" s="512" t="str">
        <f>'Учебный план'!B94</f>
        <v>Эксплуатация судовых энергетических установок на вспомогательном уровне</v>
      </c>
      <c r="C76" s="223"/>
      <c r="D76" s="425" t="s">
        <v>31</v>
      </c>
      <c r="E76" s="425"/>
      <c r="F76" s="425"/>
      <c r="G76" s="425"/>
      <c r="H76" s="103" t="s">
        <v>31</v>
      </c>
      <c r="I76" s="200">
        <f t="shared" ref="I76:I77" si="180">K76-M76</f>
        <v>0</v>
      </c>
      <c r="J76" s="425">
        <f t="shared" ref="J76" si="181">L76*$J$1</f>
        <v>30</v>
      </c>
      <c r="K76" s="200">
        <f>'Учебный план'!K94</f>
        <v>150</v>
      </c>
      <c r="L76" s="200">
        <f>'Учебный план'!L94</f>
        <v>100</v>
      </c>
      <c r="M76" s="516">
        <f>SUM(N76+S76)</f>
        <v>150</v>
      </c>
      <c r="N76" s="516">
        <f>SUM(O76:R76)</f>
        <v>22</v>
      </c>
      <c r="O76" s="516">
        <f t="shared" ref="O76:R77" si="182">V76+AL76+AT76+BC76+AC76+BK76</f>
        <v>18</v>
      </c>
      <c r="P76" s="516">
        <f t="shared" si="182"/>
        <v>4</v>
      </c>
      <c r="Q76" s="516">
        <f t="shared" si="182"/>
        <v>0</v>
      </c>
      <c r="R76" s="516">
        <f t="shared" si="182"/>
        <v>0</v>
      </c>
      <c r="S76" s="516">
        <f>Z76+AP76+AX76+BG76+BP76+AG76</f>
        <v>128</v>
      </c>
      <c r="T76" s="517"/>
      <c r="U76" s="418">
        <f>SUM(V76:Z76)</f>
        <v>0</v>
      </c>
      <c r="V76" s="200"/>
      <c r="W76" s="200"/>
      <c r="X76" s="200"/>
      <c r="Y76" s="200"/>
      <c r="Z76" s="200"/>
      <c r="AA76" s="517"/>
      <c r="AB76" s="418">
        <f>SUM(AC76:AG76)</f>
        <v>150</v>
      </c>
      <c r="AC76" s="200">
        <v>18</v>
      </c>
      <c r="AD76" s="200">
        <v>4</v>
      </c>
      <c r="AE76" s="200"/>
      <c r="AF76" s="200"/>
      <c r="AG76" s="200">
        <v>128</v>
      </c>
      <c r="AH76" s="518"/>
      <c r="AI76" s="518"/>
      <c r="AJ76" s="518"/>
      <c r="AK76" s="418">
        <f>SUM(AL76:AP76)</f>
        <v>0</v>
      </c>
      <c r="AL76" s="200"/>
      <c r="AM76" s="200"/>
      <c r="AN76" s="200"/>
      <c r="AO76" s="200"/>
      <c r="AP76" s="200"/>
      <c r="AQ76" s="518"/>
      <c r="AR76" s="518"/>
      <c r="AS76" s="418">
        <f>SUM(AT76:AX76)</f>
        <v>0</v>
      </c>
      <c r="AT76" s="200"/>
      <c r="AU76" s="200"/>
      <c r="AV76" s="200"/>
      <c r="AW76" s="200"/>
      <c r="AX76" s="200"/>
      <c r="AY76" s="518"/>
      <c r="AZ76" s="518"/>
      <c r="BA76" s="518"/>
      <c r="BB76" s="418">
        <f>SUM(BC76:BG76)</f>
        <v>0</v>
      </c>
      <c r="BC76" s="200"/>
      <c r="BD76" s="200"/>
      <c r="BE76" s="200"/>
      <c r="BF76" s="200"/>
      <c r="BG76" s="200"/>
      <c r="BH76" s="518"/>
      <c r="BI76" s="418">
        <f t="shared" ref="BI76" si="183">SUM(BJ76:BP76)</f>
        <v>0</v>
      </c>
      <c r="BJ76" s="200"/>
      <c r="BK76" s="200"/>
      <c r="BL76" s="200"/>
      <c r="BM76" s="200"/>
      <c r="BN76" s="200"/>
      <c r="BO76" s="200"/>
      <c r="BP76" s="200"/>
      <c r="BQ76" s="202"/>
      <c r="BR76" s="425" t="str">
        <f>'Учебный план'!BZ94</f>
        <v>64-5</v>
      </c>
      <c r="BS76" s="440" t="str">
        <f>'Учебный план'!CA94</f>
        <v>ОК 1-10, ПК-1.3</v>
      </c>
    </row>
    <row r="77" spans="1:72" s="254" customFormat="1" ht="26.1" customHeight="1" x14ac:dyDescent="0.2">
      <c r="A77" s="462" t="str">
        <f>'Учебный план'!A95</f>
        <v>ВЧ.02</v>
      </c>
      <c r="B77" s="512" t="str">
        <f>'Учебный план'!B95</f>
        <v>Профессиональный                  английский язык</v>
      </c>
      <c r="C77" s="539"/>
      <c r="D77" s="105"/>
      <c r="E77" s="105" t="s">
        <v>40</v>
      </c>
      <c r="F77" s="105"/>
      <c r="G77" s="105"/>
      <c r="H77" s="105"/>
      <c r="I77" s="200">
        <f t="shared" si="180"/>
        <v>0</v>
      </c>
      <c r="J77" s="425">
        <f t="shared" ref="J77" si="184">L77*$J$1</f>
        <v>15</v>
      </c>
      <c r="K77" s="200">
        <f>'Учебный план'!K95</f>
        <v>75</v>
      </c>
      <c r="L77" s="200">
        <f>'Учебный план'!L95</f>
        <v>50</v>
      </c>
      <c r="M77" s="516">
        <f>SUM(N77+S77)</f>
        <v>75</v>
      </c>
      <c r="N77" s="516">
        <f>SUM(O77:R77)</f>
        <v>8</v>
      </c>
      <c r="O77" s="516">
        <f t="shared" si="182"/>
        <v>8</v>
      </c>
      <c r="P77" s="516">
        <f t="shared" si="182"/>
        <v>0</v>
      </c>
      <c r="Q77" s="516">
        <f t="shared" si="182"/>
        <v>0</v>
      </c>
      <c r="R77" s="516">
        <f t="shared" si="182"/>
        <v>0</v>
      </c>
      <c r="S77" s="516">
        <f>Z77+AP77+AX77+BG77+BP77+AG77</f>
        <v>67</v>
      </c>
      <c r="T77" s="185"/>
      <c r="U77" s="418">
        <f>SUM(V77:Z77)</f>
        <v>0</v>
      </c>
      <c r="V77" s="185"/>
      <c r="W77" s="185"/>
      <c r="X77" s="185"/>
      <c r="Y77" s="185"/>
      <c r="Z77" s="185"/>
      <c r="AA77" s="185"/>
      <c r="AB77" s="418">
        <f>SUM(AC77:AG77)</f>
        <v>0</v>
      </c>
      <c r="AC77" s="185"/>
      <c r="AD77" s="185"/>
      <c r="AE77" s="185"/>
      <c r="AF77" s="185"/>
      <c r="AG77" s="185"/>
      <c r="AH77" s="185"/>
      <c r="AI77" s="185"/>
      <c r="AJ77" s="185"/>
      <c r="AK77" s="418">
        <f>SUM(AL77:AP77)</f>
        <v>0</v>
      </c>
      <c r="AL77" s="185"/>
      <c r="AM77" s="185"/>
      <c r="AN77" s="185"/>
      <c r="AO77" s="185"/>
      <c r="AP77" s="185"/>
      <c r="AQ77" s="185"/>
      <c r="AR77" s="185"/>
      <c r="AS77" s="418">
        <f>SUM(AT77:AX77)</f>
        <v>75</v>
      </c>
      <c r="AT77" s="185">
        <v>8</v>
      </c>
      <c r="AU77" s="185"/>
      <c r="AV77" s="185"/>
      <c r="AW77" s="185"/>
      <c r="AX77" s="185">
        <v>67</v>
      </c>
      <c r="AY77" s="185"/>
      <c r="AZ77" s="185"/>
      <c r="BA77" s="185"/>
      <c r="BB77" s="418">
        <f>SUM(BC77:BG77)</f>
        <v>0</v>
      </c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425" t="str">
        <f>'Учебный план'!BZ95</f>
        <v>64-1</v>
      </c>
      <c r="BS77" s="440" t="str">
        <f>'Учебный план'!CA95</f>
        <v>ОК 1-10; ПК 2,4, 2.6, 2,7</v>
      </c>
    </row>
    <row r="78" spans="1:72" s="254" customFormat="1" ht="26.1" customHeight="1" x14ac:dyDescent="0.2">
      <c r="A78" s="536" t="str">
        <f>'Учебный план'!A96</f>
        <v>УП.00</v>
      </c>
      <c r="B78" s="537" t="str">
        <f>'Учебный план'!B96</f>
        <v>Учебная практика</v>
      </c>
      <c r="C78" s="537"/>
      <c r="D78" s="472"/>
      <c r="E78" s="472" t="s">
        <v>31</v>
      </c>
      <c r="F78" s="472"/>
      <c r="G78" s="472"/>
      <c r="H78" s="472"/>
      <c r="I78" s="474"/>
      <c r="J78" s="472"/>
      <c r="K78" s="473">
        <f>'Учебный план'!K96</f>
        <v>324</v>
      </c>
      <c r="L78" s="473">
        <f>'Учебный план'!L96</f>
        <v>324</v>
      </c>
      <c r="M78" s="474">
        <v>324</v>
      </c>
      <c r="N78" s="474">
        <v>324</v>
      </c>
      <c r="O78" s="474">
        <f t="shared" ref="O78:BG78" si="185">SUM(O79:O82)</f>
        <v>0</v>
      </c>
      <c r="P78" s="474">
        <f t="shared" si="185"/>
        <v>0</v>
      </c>
      <c r="Q78" s="474">
        <f t="shared" si="185"/>
        <v>0</v>
      </c>
      <c r="R78" s="474">
        <v>324</v>
      </c>
      <c r="S78" s="474">
        <f t="shared" si="185"/>
        <v>0</v>
      </c>
      <c r="T78" s="474">
        <f t="shared" si="185"/>
        <v>0</v>
      </c>
      <c r="U78" s="474">
        <v>324</v>
      </c>
      <c r="V78" s="474">
        <f t="shared" si="185"/>
        <v>0</v>
      </c>
      <c r="W78" s="474">
        <f t="shared" si="185"/>
        <v>0</v>
      </c>
      <c r="X78" s="474">
        <f t="shared" si="185"/>
        <v>0</v>
      </c>
      <c r="Y78" s="474">
        <f>9*36</f>
        <v>324</v>
      </c>
      <c r="Z78" s="474">
        <f t="shared" si="185"/>
        <v>0</v>
      </c>
      <c r="AA78" s="474">
        <f t="shared" ref="AA78:AG78" si="186">SUM(AA79:AA82)</f>
        <v>0</v>
      </c>
      <c r="AB78" s="474">
        <f t="shared" si="186"/>
        <v>0</v>
      </c>
      <c r="AC78" s="474">
        <f t="shared" si="186"/>
        <v>0</v>
      </c>
      <c r="AD78" s="474">
        <f t="shared" si="186"/>
        <v>0</v>
      </c>
      <c r="AE78" s="474">
        <f t="shared" si="186"/>
        <v>0</v>
      </c>
      <c r="AF78" s="474">
        <f t="shared" si="186"/>
        <v>0</v>
      </c>
      <c r="AG78" s="474">
        <f t="shared" si="186"/>
        <v>0</v>
      </c>
      <c r="AH78" s="474">
        <f t="shared" si="185"/>
        <v>0</v>
      </c>
      <c r="AI78" s="474"/>
      <c r="AJ78" s="474">
        <f t="shared" si="185"/>
        <v>0</v>
      </c>
      <c r="AK78" s="474">
        <f t="shared" si="185"/>
        <v>0</v>
      </c>
      <c r="AL78" s="474">
        <f t="shared" si="185"/>
        <v>0</v>
      </c>
      <c r="AM78" s="474">
        <f t="shared" si="185"/>
        <v>0</v>
      </c>
      <c r="AN78" s="474">
        <f t="shared" si="185"/>
        <v>0</v>
      </c>
      <c r="AO78" s="474">
        <f t="shared" si="185"/>
        <v>0</v>
      </c>
      <c r="AP78" s="474">
        <f t="shared" si="185"/>
        <v>0</v>
      </c>
      <c r="AQ78" s="474">
        <f t="shared" si="185"/>
        <v>0</v>
      </c>
      <c r="AR78" s="474">
        <f t="shared" si="185"/>
        <v>0</v>
      </c>
      <c r="AS78" s="474">
        <f t="shared" si="185"/>
        <v>0</v>
      </c>
      <c r="AT78" s="474">
        <f t="shared" si="185"/>
        <v>0</v>
      </c>
      <c r="AU78" s="474">
        <f t="shared" si="185"/>
        <v>0</v>
      </c>
      <c r="AV78" s="474">
        <f t="shared" si="185"/>
        <v>0</v>
      </c>
      <c r="AW78" s="474">
        <f t="shared" si="185"/>
        <v>0</v>
      </c>
      <c r="AX78" s="474">
        <f t="shared" si="185"/>
        <v>0</v>
      </c>
      <c r="AY78" s="474">
        <f t="shared" si="185"/>
        <v>0</v>
      </c>
      <c r="AZ78" s="474">
        <f t="shared" si="185"/>
        <v>0</v>
      </c>
      <c r="BA78" s="474">
        <f t="shared" si="185"/>
        <v>0</v>
      </c>
      <c r="BB78" s="474">
        <f t="shared" si="185"/>
        <v>0</v>
      </c>
      <c r="BC78" s="474">
        <f t="shared" si="185"/>
        <v>0</v>
      </c>
      <c r="BD78" s="474">
        <f t="shared" si="185"/>
        <v>0</v>
      </c>
      <c r="BE78" s="474">
        <f t="shared" si="185"/>
        <v>0</v>
      </c>
      <c r="BF78" s="474">
        <f t="shared" si="185"/>
        <v>0</v>
      </c>
      <c r="BG78" s="474">
        <f t="shared" si="185"/>
        <v>0</v>
      </c>
      <c r="BH78" s="474">
        <f>SUM(BH79:BH83)</f>
        <v>0</v>
      </c>
      <c r="BI78" s="474">
        <f t="shared" ref="BI78:BP78" si="187">SUM(BI79:BI82)</f>
        <v>0</v>
      </c>
      <c r="BJ78" s="474">
        <f t="shared" si="187"/>
        <v>0</v>
      </c>
      <c r="BK78" s="474">
        <f t="shared" si="187"/>
        <v>0</v>
      </c>
      <c r="BL78" s="474">
        <f t="shared" si="187"/>
        <v>0</v>
      </c>
      <c r="BM78" s="474">
        <f t="shared" si="187"/>
        <v>0</v>
      </c>
      <c r="BN78" s="474">
        <f t="shared" si="187"/>
        <v>0</v>
      </c>
      <c r="BO78" s="474">
        <f t="shared" si="187"/>
        <v>0</v>
      </c>
      <c r="BP78" s="474">
        <f t="shared" si="187"/>
        <v>0</v>
      </c>
      <c r="BQ78" s="474"/>
      <c r="BR78" s="483" t="str">
        <f>'Учебный план'!BZ96</f>
        <v>64-4</v>
      </c>
      <c r="BS78" s="483" t="str">
        <f>'Учебный план'!CA96</f>
        <v>ОК 1-10; ПК 1.1-1.3, 2.1-2.7, 3.1-3.2</v>
      </c>
    </row>
    <row r="79" spans="1:72" s="247" customFormat="1" ht="26.1" hidden="1" customHeight="1" x14ac:dyDescent="0.2">
      <c r="A79" s="437" t="str">
        <f>'Учебный план'!A97</f>
        <v>УП.01</v>
      </c>
      <c r="B79" s="437" t="str">
        <f>'Учебный план'!B97</f>
        <v>Слесарная практика</v>
      </c>
      <c r="C79" s="223"/>
      <c r="D79" s="425"/>
      <c r="E79" s="425"/>
      <c r="F79" s="425"/>
      <c r="G79" s="425"/>
      <c r="H79" s="425"/>
      <c r="I79" s="200"/>
      <c r="J79" s="425"/>
      <c r="K79" s="200">
        <f>'Учебный план'!K97</f>
        <v>36</v>
      </c>
      <c r="L79" s="200">
        <f>'Учебный план'!L97</f>
        <v>36</v>
      </c>
      <c r="M79" s="516">
        <f>SUM(N79+S79)</f>
        <v>0</v>
      </c>
      <c r="N79" s="516">
        <f>SUM(O79:R79)</f>
        <v>0</v>
      </c>
      <c r="O79" s="516">
        <f t="shared" ref="O79:R82" si="188">V79+AL79+AT79+BC79+AC79+BK79</f>
        <v>0</v>
      </c>
      <c r="P79" s="516">
        <f t="shared" si="188"/>
        <v>0</v>
      </c>
      <c r="Q79" s="516">
        <f t="shared" si="188"/>
        <v>0</v>
      </c>
      <c r="R79" s="516">
        <f t="shared" si="188"/>
        <v>0</v>
      </c>
      <c r="S79" s="516">
        <f>Z79+AP79+AX79+BG79+BP79+AG79</f>
        <v>0</v>
      </c>
      <c r="T79" s="517"/>
      <c r="U79" s="418">
        <f>SUM(V79:Z79)</f>
        <v>0</v>
      </c>
      <c r="V79" s="200"/>
      <c r="W79" s="200"/>
      <c r="X79" s="200"/>
      <c r="Y79" s="200"/>
      <c r="Z79" s="200"/>
      <c r="AA79" s="517"/>
      <c r="AB79" s="418">
        <f>SUM(AC79:AG79)</f>
        <v>0</v>
      </c>
      <c r="AC79" s="200"/>
      <c r="AD79" s="200"/>
      <c r="AE79" s="200"/>
      <c r="AF79" s="200"/>
      <c r="AG79" s="200"/>
      <c r="AH79" s="518">
        <f>LEN(H79)-LEN(SUBSTITUTE(H79,"2",""))</f>
        <v>0</v>
      </c>
      <c r="AI79" s="518"/>
      <c r="AJ79" s="518">
        <f>LEN(H79)-LEN(SUBSTITUTE(H79,"3",""))</f>
        <v>0</v>
      </c>
      <c r="AK79" s="418">
        <f>SUM(AL79:AP79)</f>
        <v>0</v>
      </c>
      <c r="AL79" s="200"/>
      <c r="AM79" s="200"/>
      <c r="AN79" s="200"/>
      <c r="AO79" s="200"/>
      <c r="AP79" s="200"/>
      <c r="AQ79" s="518"/>
      <c r="AR79" s="518"/>
      <c r="AS79" s="418">
        <f>SUM(AT79:AX79)</f>
        <v>0</v>
      </c>
      <c r="AT79" s="200"/>
      <c r="AU79" s="200"/>
      <c r="AV79" s="200"/>
      <c r="AW79" s="200"/>
      <c r="AX79" s="200"/>
      <c r="AY79" s="518"/>
      <c r="AZ79" s="518"/>
      <c r="BA79" s="518"/>
      <c r="BB79" s="418">
        <f>SUM(BC79:BG79)</f>
        <v>0</v>
      </c>
      <c r="BC79" s="200"/>
      <c r="BD79" s="200"/>
      <c r="BE79" s="200"/>
      <c r="BF79" s="200"/>
      <c r="BG79" s="200"/>
      <c r="BH79" s="518">
        <f>LEN(H79)-LEN(SUBSTITUTE(H79,"9",""))</f>
        <v>0</v>
      </c>
      <c r="BI79" s="418">
        <f t="shared" ref="BI79:BI82" si="189">SUM(BJ79:BP79)</f>
        <v>0</v>
      </c>
      <c r="BJ79" s="200"/>
      <c r="BK79" s="200"/>
      <c r="BL79" s="200"/>
      <c r="BM79" s="200"/>
      <c r="BN79" s="200"/>
      <c r="BO79" s="200"/>
      <c r="BP79" s="200"/>
      <c r="BQ79" s="202"/>
      <c r="BR79" s="530" t="str">
        <f>'Учебный план'!BZ97</f>
        <v>64-4</v>
      </c>
      <c r="BS79" s="448" t="str">
        <f>'Учебный план'!CA97</f>
        <v>ОК 1-10; ПК 1.1-1.3, 2.1-2.7, 3.1-3.2</v>
      </c>
    </row>
    <row r="80" spans="1:72" s="247" customFormat="1" ht="26.1" hidden="1" customHeight="1" x14ac:dyDescent="0.2">
      <c r="A80" s="437" t="str">
        <f>'Учебный план'!A98</f>
        <v>УП.02</v>
      </c>
      <c r="B80" s="437" t="str">
        <f>'Учебный план'!B98</f>
        <v>Шлюпочно-такелажная практика</v>
      </c>
      <c r="C80" s="223"/>
      <c r="D80" s="425"/>
      <c r="E80" s="425"/>
      <c r="F80" s="425"/>
      <c r="G80" s="425"/>
      <c r="H80" s="425"/>
      <c r="I80" s="200"/>
      <c r="J80" s="425"/>
      <c r="K80" s="200">
        <f>'Учебный план'!K98</f>
        <v>72</v>
      </c>
      <c r="L80" s="200">
        <f>'Учебный план'!L98</f>
        <v>72</v>
      </c>
      <c r="M80" s="516">
        <f>SUM(N80+S80)</f>
        <v>0</v>
      </c>
      <c r="N80" s="516">
        <f>SUM(O80:R80)</f>
        <v>0</v>
      </c>
      <c r="O80" s="516">
        <f t="shared" si="188"/>
        <v>0</v>
      </c>
      <c r="P80" s="516">
        <f t="shared" si="188"/>
        <v>0</v>
      </c>
      <c r="Q80" s="516">
        <f t="shared" si="188"/>
        <v>0</v>
      </c>
      <c r="R80" s="516">
        <f t="shared" si="188"/>
        <v>0</v>
      </c>
      <c r="S80" s="516">
        <f>Z80+AP80+AX80+BG80+BP80+AG80</f>
        <v>0</v>
      </c>
      <c r="T80" s="517"/>
      <c r="U80" s="418">
        <f>SUM(V80:Z80)</f>
        <v>0</v>
      </c>
      <c r="V80" s="200"/>
      <c r="W80" s="200"/>
      <c r="X80" s="200"/>
      <c r="Y80" s="200"/>
      <c r="Z80" s="200"/>
      <c r="AA80" s="517"/>
      <c r="AB80" s="418">
        <f>SUM(AC80:AG80)</f>
        <v>0</v>
      </c>
      <c r="AC80" s="200"/>
      <c r="AD80" s="200"/>
      <c r="AE80" s="200"/>
      <c r="AF80" s="200"/>
      <c r="AG80" s="200"/>
      <c r="AH80" s="518"/>
      <c r="AI80" s="518"/>
      <c r="AJ80" s="518"/>
      <c r="AK80" s="418">
        <f>SUM(AL80:AP80)</f>
        <v>0</v>
      </c>
      <c r="AL80" s="200"/>
      <c r="AM80" s="200"/>
      <c r="AN80" s="200"/>
      <c r="AO80" s="200"/>
      <c r="AP80" s="200"/>
      <c r="AQ80" s="518"/>
      <c r="AR80" s="518"/>
      <c r="AS80" s="418">
        <f>SUM(AT80:AX80)</f>
        <v>0</v>
      </c>
      <c r="AT80" s="200"/>
      <c r="AU80" s="200"/>
      <c r="AV80" s="200"/>
      <c r="AW80" s="200"/>
      <c r="AX80" s="200"/>
      <c r="AY80" s="518"/>
      <c r="AZ80" s="518"/>
      <c r="BA80" s="518"/>
      <c r="BB80" s="418">
        <f>SUM(BC80:BG80)</f>
        <v>0</v>
      </c>
      <c r="BC80" s="200"/>
      <c r="BD80" s="200"/>
      <c r="BE80" s="200"/>
      <c r="BF80" s="200"/>
      <c r="BG80" s="200"/>
      <c r="BH80" s="518"/>
      <c r="BI80" s="418">
        <f t="shared" si="189"/>
        <v>0</v>
      </c>
      <c r="BJ80" s="200"/>
      <c r="BK80" s="200"/>
      <c r="BL80" s="200"/>
      <c r="BM80" s="200"/>
      <c r="BN80" s="200"/>
      <c r="BO80" s="200"/>
      <c r="BP80" s="200"/>
      <c r="BQ80" s="202"/>
      <c r="BR80" s="530" t="str">
        <f>'Учебный план'!BZ98</f>
        <v>64-4</v>
      </c>
      <c r="BS80" s="448" t="str">
        <f>'Учебный план'!CA98</f>
        <v>ОК 1-10; ПК 1.1-1.3, 2.1-2.7, 3.1-3.2</v>
      </c>
    </row>
    <row r="81" spans="1:71" s="247" customFormat="1" ht="26.1" hidden="1" customHeight="1" x14ac:dyDescent="0.2">
      <c r="A81" s="437" t="str">
        <f>'Учебный план'!A99</f>
        <v>УП.03</v>
      </c>
      <c r="B81" s="437" t="str">
        <f>'Учебный план'!B99</f>
        <v>Практика по БЖС и ОСПС</v>
      </c>
      <c r="C81" s="223"/>
      <c r="D81" s="425"/>
      <c r="E81" s="425"/>
      <c r="F81" s="425"/>
      <c r="G81" s="425"/>
      <c r="H81" s="425"/>
      <c r="I81" s="200"/>
      <c r="J81" s="425"/>
      <c r="K81" s="200">
        <f>'Учебный план'!K99</f>
        <v>82</v>
      </c>
      <c r="L81" s="200">
        <f>'Учебный план'!L99</f>
        <v>82</v>
      </c>
      <c r="M81" s="516">
        <f>SUM(N81+S81)</f>
        <v>0</v>
      </c>
      <c r="N81" s="516">
        <f>SUM(O81:R81)</f>
        <v>0</v>
      </c>
      <c r="O81" s="516">
        <f t="shared" si="188"/>
        <v>0</v>
      </c>
      <c r="P81" s="516">
        <f t="shared" si="188"/>
        <v>0</v>
      </c>
      <c r="Q81" s="516">
        <f t="shared" si="188"/>
        <v>0</v>
      </c>
      <c r="R81" s="516">
        <f t="shared" si="188"/>
        <v>0</v>
      </c>
      <c r="S81" s="516">
        <f>Z81+AP81+AX81+BG81+BP81+AG81</f>
        <v>0</v>
      </c>
      <c r="T81" s="517"/>
      <c r="U81" s="418">
        <f>SUM(V81:Z81)</f>
        <v>0</v>
      </c>
      <c r="V81" s="200"/>
      <c r="W81" s="200"/>
      <c r="X81" s="200"/>
      <c r="Y81" s="200"/>
      <c r="Z81" s="200"/>
      <c r="AA81" s="517"/>
      <c r="AB81" s="418">
        <f>SUM(AC81:AG81)</f>
        <v>0</v>
      </c>
      <c r="AC81" s="200"/>
      <c r="AD81" s="200"/>
      <c r="AE81" s="200"/>
      <c r="AF81" s="200"/>
      <c r="AG81" s="200"/>
      <c r="AH81" s="518"/>
      <c r="AI81" s="518"/>
      <c r="AJ81" s="518"/>
      <c r="AK81" s="418">
        <f>SUM(AL81:AP81)</f>
        <v>0</v>
      </c>
      <c r="AL81" s="200"/>
      <c r="AM81" s="200"/>
      <c r="AN81" s="200"/>
      <c r="AO81" s="200"/>
      <c r="AP81" s="200"/>
      <c r="AQ81" s="518"/>
      <c r="AR81" s="518"/>
      <c r="AS81" s="418">
        <f>SUM(AT81:AX81)</f>
        <v>0</v>
      </c>
      <c r="AT81" s="200"/>
      <c r="AU81" s="200"/>
      <c r="AV81" s="200"/>
      <c r="AW81" s="200"/>
      <c r="AX81" s="200"/>
      <c r="AY81" s="518"/>
      <c r="AZ81" s="518"/>
      <c r="BA81" s="518"/>
      <c r="BB81" s="418">
        <f>SUM(BC81:BG81)</f>
        <v>0</v>
      </c>
      <c r="BC81" s="200"/>
      <c r="BD81" s="200"/>
      <c r="BE81" s="200"/>
      <c r="BF81" s="200"/>
      <c r="BG81" s="200"/>
      <c r="BH81" s="518"/>
      <c r="BI81" s="418">
        <f t="shared" si="189"/>
        <v>0</v>
      </c>
      <c r="BJ81" s="200"/>
      <c r="BK81" s="200"/>
      <c r="BL81" s="200"/>
      <c r="BM81" s="200"/>
      <c r="BN81" s="200"/>
      <c r="BO81" s="200"/>
      <c r="BP81" s="200"/>
      <c r="BQ81" s="202"/>
      <c r="BR81" s="530" t="str">
        <f>'Учебный план'!BZ99</f>
        <v>5</v>
      </c>
      <c r="BS81" s="448" t="str">
        <f>'Учебный план'!CA99</f>
        <v>ОК-1-10</v>
      </c>
    </row>
    <row r="82" spans="1:71" s="247" customFormat="1" ht="26.1" hidden="1" customHeight="1" x14ac:dyDescent="0.2">
      <c r="A82" s="437" t="str">
        <f>'Учебный план'!A100</f>
        <v>УП.04</v>
      </c>
      <c r="B82" s="437" t="str">
        <f>'Учебный план'!B100</f>
        <v>Учебная плавательная (групповая)</v>
      </c>
      <c r="C82" s="223"/>
      <c r="D82" s="425"/>
      <c r="E82" s="425"/>
      <c r="F82" s="425"/>
      <c r="G82" s="425"/>
      <c r="H82" s="425"/>
      <c r="I82" s="200"/>
      <c r="J82" s="425"/>
      <c r="K82" s="200">
        <f>'Учебный план'!K100</f>
        <v>134</v>
      </c>
      <c r="L82" s="200">
        <f>'Учебный план'!L100</f>
        <v>134</v>
      </c>
      <c r="M82" s="516">
        <f>SUM(N82+S82)</f>
        <v>0</v>
      </c>
      <c r="N82" s="516">
        <f>SUM(O82:R82)</f>
        <v>0</v>
      </c>
      <c r="O82" s="516">
        <f t="shared" si="188"/>
        <v>0</v>
      </c>
      <c r="P82" s="516">
        <f t="shared" si="188"/>
        <v>0</v>
      </c>
      <c r="Q82" s="516">
        <f t="shared" si="188"/>
        <v>0</v>
      </c>
      <c r="R82" s="516">
        <f t="shared" si="188"/>
        <v>0</v>
      </c>
      <c r="S82" s="516">
        <f>Z82+AP82+AX82+BG82+BP82+AG82</f>
        <v>0</v>
      </c>
      <c r="T82" s="517"/>
      <c r="U82" s="418">
        <f>SUM(V82:Z82)</f>
        <v>0</v>
      </c>
      <c r="V82" s="200"/>
      <c r="W82" s="200"/>
      <c r="X82" s="200"/>
      <c r="Y82" s="200"/>
      <c r="Z82" s="200"/>
      <c r="AA82" s="517"/>
      <c r="AB82" s="418">
        <f>SUM(AC82:AG82)</f>
        <v>0</v>
      </c>
      <c r="AC82" s="200"/>
      <c r="AD82" s="200"/>
      <c r="AE82" s="200"/>
      <c r="AF82" s="200"/>
      <c r="AG82" s="200"/>
      <c r="AH82" s="518"/>
      <c r="AI82" s="518"/>
      <c r="AJ82" s="518"/>
      <c r="AK82" s="418">
        <f>SUM(AL82:AP82)</f>
        <v>0</v>
      </c>
      <c r="AL82" s="200"/>
      <c r="AM82" s="200"/>
      <c r="AN82" s="200"/>
      <c r="AO82" s="200"/>
      <c r="AP82" s="200"/>
      <c r="AQ82" s="518"/>
      <c r="AR82" s="518"/>
      <c r="AS82" s="418">
        <f>SUM(AT82:AX82)</f>
        <v>0</v>
      </c>
      <c r="AT82" s="200"/>
      <c r="AU82" s="200"/>
      <c r="AV82" s="200"/>
      <c r="AW82" s="200"/>
      <c r="AX82" s="200"/>
      <c r="AY82" s="518"/>
      <c r="AZ82" s="518"/>
      <c r="BA82" s="518"/>
      <c r="BB82" s="418">
        <f>SUM(BC82:BG82)</f>
        <v>0</v>
      </c>
      <c r="BC82" s="200"/>
      <c r="BD82" s="200"/>
      <c r="BE82" s="200"/>
      <c r="BF82" s="200"/>
      <c r="BG82" s="200"/>
      <c r="BH82" s="518"/>
      <c r="BI82" s="418">
        <f t="shared" si="189"/>
        <v>0</v>
      </c>
      <c r="BJ82" s="200"/>
      <c r="BK82" s="200"/>
      <c r="BL82" s="200"/>
      <c r="BM82" s="200"/>
      <c r="BN82" s="200"/>
      <c r="BO82" s="200"/>
      <c r="BP82" s="200"/>
      <c r="BQ82" s="202"/>
      <c r="BR82" s="448" t="str">
        <f>'Учебный план'!BZ100</f>
        <v>64-4</v>
      </c>
      <c r="BS82" s="203" t="str">
        <f>'Учебный план'!CA100</f>
        <v>ОК 1-10; ПК 1.1-1.3; 2.1-2.7; 3.2.</v>
      </c>
    </row>
    <row r="83" spans="1:71" s="247" customFormat="1" ht="26.1" customHeight="1" x14ac:dyDescent="0.2">
      <c r="A83" s="540" t="str">
        <f>'Учебный план'!A101</f>
        <v>ПП.00</v>
      </c>
      <c r="B83" s="541" t="str">
        <f>'Учебный план'!B101</f>
        <v>Производственная практика</v>
      </c>
      <c r="C83" s="542"/>
      <c r="D83" s="543"/>
      <c r="E83" s="543"/>
      <c r="F83" s="543"/>
      <c r="G83" s="543"/>
      <c r="H83" s="543"/>
      <c r="I83" s="544"/>
      <c r="J83" s="543"/>
      <c r="K83" s="473">
        <f>'Учебный план'!K101</f>
        <v>1656</v>
      </c>
      <c r="L83" s="473">
        <f>'Учебный план'!L101</f>
        <v>1656</v>
      </c>
      <c r="M83" s="432">
        <f t="shared" ref="M83:S83" si="190">SUM(M84:M85)</f>
        <v>1656</v>
      </c>
      <c r="N83" s="432">
        <f t="shared" si="190"/>
        <v>1656</v>
      </c>
      <c r="O83" s="432">
        <f t="shared" si="190"/>
        <v>0</v>
      </c>
      <c r="P83" s="432">
        <f t="shared" si="190"/>
        <v>0</v>
      </c>
      <c r="Q83" s="432">
        <f t="shared" si="190"/>
        <v>0</v>
      </c>
      <c r="R83" s="432">
        <f t="shared" si="190"/>
        <v>1656</v>
      </c>
      <c r="S83" s="432">
        <f t="shared" si="190"/>
        <v>0</v>
      </c>
      <c r="T83" s="432"/>
      <c r="U83" s="432">
        <f>SUM(U84:U85)</f>
        <v>0</v>
      </c>
      <c r="V83" s="432">
        <f t="shared" ref="V83:Z83" si="191">SUM(V84:V85)</f>
        <v>0</v>
      </c>
      <c r="W83" s="432">
        <f>SUM(W84:W85)</f>
        <v>0</v>
      </c>
      <c r="X83" s="432">
        <f t="shared" si="191"/>
        <v>0</v>
      </c>
      <c r="Y83" s="432">
        <f t="shared" si="191"/>
        <v>0</v>
      </c>
      <c r="Z83" s="432">
        <f t="shared" si="191"/>
        <v>0</v>
      </c>
      <c r="AA83" s="432"/>
      <c r="AB83" s="432">
        <f t="shared" ref="AB83:AG83" si="192">SUM(AB84:AB85)</f>
        <v>0</v>
      </c>
      <c r="AC83" s="432">
        <f t="shared" si="192"/>
        <v>0</v>
      </c>
      <c r="AD83" s="432">
        <f t="shared" si="192"/>
        <v>0</v>
      </c>
      <c r="AE83" s="432">
        <f t="shared" si="192"/>
        <v>0</v>
      </c>
      <c r="AF83" s="432">
        <f t="shared" si="192"/>
        <v>0</v>
      </c>
      <c r="AG83" s="432">
        <f t="shared" si="192"/>
        <v>0</v>
      </c>
      <c r="AH83" s="544">
        <f>LEN(H83)-LEN(SUBSTITUTE(H83,"2",""))</f>
        <v>0</v>
      </c>
      <c r="AI83" s="544"/>
      <c r="AJ83" s="544">
        <f>LEN(H83)-LEN(SUBSTITUTE(H83,"3",""))</f>
        <v>0</v>
      </c>
      <c r="AK83" s="432">
        <f>SUM(AK84:AK85)</f>
        <v>0</v>
      </c>
      <c r="AL83" s="432">
        <f t="shared" ref="AL83" si="193">SUM(AL84:AL85)</f>
        <v>0</v>
      </c>
      <c r="AM83" s="432">
        <f t="shared" ref="AM83" si="194">SUM(AM84:AM85)</f>
        <v>0</v>
      </c>
      <c r="AN83" s="432">
        <f t="shared" ref="AN83" si="195">SUM(AN84:AN85)</f>
        <v>0</v>
      </c>
      <c r="AO83" s="432">
        <f t="shared" ref="AO83" si="196">SUM(AO84:AO85)</f>
        <v>396</v>
      </c>
      <c r="AP83" s="432">
        <f t="shared" ref="AP83" si="197">SUM(AP84:AP85)</f>
        <v>0</v>
      </c>
      <c r="AQ83" s="544"/>
      <c r="AR83" s="544"/>
      <c r="AS83" s="432">
        <f>SUM(AS84:AS85)</f>
        <v>0</v>
      </c>
      <c r="AT83" s="432">
        <f t="shared" ref="AT83" si="198">SUM(AT84:AT85)</f>
        <v>0</v>
      </c>
      <c r="AU83" s="432">
        <f t="shared" ref="AU83" si="199">SUM(AU84:AU85)</f>
        <v>0</v>
      </c>
      <c r="AV83" s="432">
        <f t="shared" ref="AV83" si="200">SUM(AV84:AV85)</f>
        <v>0</v>
      </c>
      <c r="AW83" s="432">
        <f t="shared" ref="AW83" si="201">SUM(AW84:AW85)</f>
        <v>828</v>
      </c>
      <c r="AX83" s="432">
        <f t="shared" ref="AX83" si="202">SUM(AX84:AX85)</f>
        <v>0</v>
      </c>
      <c r="AY83" s="544"/>
      <c r="AZ83" s="544"/>
      <c r="BA83" s="544"/>
      <c r="BB83" s="432">
        <f>SUM(BB84:BB85)</f>
        <v>432</v>
      </c>
      <c r="BC83" s="432">
        <f t="shared" ref="BC83" si="203">SUM(BC84:BC85)</f>
        <v>0</v>
      </c>
      <c r="BD83" s="432">
        <f t="shared" ref="BD83" si="204">SUM(BD84:BD85)</f>
        <v>0</v>
      </c>
      <c r="BE83" s="432">
        <f t="shared" ref="BE83" si="205">SUM(BE84:BE85)</f>
        <v>0</v>
      </c>
      <c r="BF83" s="432">
        <f t="shared" ref="BF83" si="206">SUM(BF84:BF85)</f>
        <v>432</v>
      </c>
      <c r="BG83" s="432">
        <f t="shared" ref="BG83" si="207">SUM(BG84:BG85)</f>
        <v>0</v>
      </c>
      <c r="BH83" s="544">
        <f>LEN(H83)-LEN(SUBSTITUTE(H83,"9",""))</f>
        <v>0</v>
      </c>
      <c r="BI83" s="432">
        <f>SUM(BI84:BI85)</f>
        <v>0</v>
      </c>
      <c r="BJ83" s="432">
        <f t="shared" ref="BJ83" si="208">SUM(BJ84:BJ85)</f>
        <v>0</v>
      </c>
      <c r="BK83" s="432">
        <f t="shared" ref="BK83" si="209">SUM(BK84:BK85)</f>
        <v>0</v>
      </c>
      <c r="BL83" s="432">
        <f t="shared" ref="BL83" si="210">SUM(BL84:BL85)</f>
        <v>0</v>
      </c>
      <c r="BM83" s="432">
        <f t="shared" ref="BM83" si="211">SUM(BM84:BM85)</f>
        <v>0</v>
      </c>
      <c r="BN83" s="432">
        <f t="shared" ref="BN83" si="212">SUM(BN84:BN85)</f>
        <v>0</v>
      </c>
      <c r="BO83" s="432">
        <f t="shared" ref="BO83" si="213">SUM(BO84:BO85)</f>
        <v>0</v>
      </c>
      <c r="BP83" s="432">
        <f t="shared" ref="BP83" si="214">SUM(BP84:BP85)</f>
        <v>0</v>
      </c>
      <c r="BQ83" s="202"/>
      <c r="BR83" s="483">
        <f>'Учебный план'!BZ101</f>
        <v>0</v>
      </c>
      <c r="BS83" s="479">
        <f>'Учебный план'!CA101</f>
        <v>0</v>
      </c>
    </row>
    <row r="84" spans="1:71" s="233" customFormat="1" ht="26.1" customHeight="1" x14ac:dyDescent="0.2">
      <c r="A84" s="437" t="str">
        <f>'Учебный план'!A102</f>
        <v>ПП.01</v>
      </c>
      <c r="B84" s="437" t="str">
        <f>'Учебный план'!B102</f>
        <v>Производственная практика (по профилю специальности)</v>
      </c>
      <c r="C84" s="482"/>
      <c r="D84" s="482"/>
      <c r="E84" s="545">
        <v>4.5</v>
      </c>
      <c r="F84" s="482"/>
      <c r="G84" s="482"/>
      <c r="H84" s="482"/>
      <c r="I84" s="546"/>
      <c r="J84" s="482"/>
      <c r="K84" s="200">
        <f>'Учебный план'!K101</f>
        <v>1656</v>
      </c>
      <c r="L84" s="200">
        <f>'Учебный план'!L101</f>
        <v>1656</v>
      </c>
      <c r="M84" s="516">
        <f>SUM(N84+S84)</f>
        <v>1512</v>
      </c>
      <c r="N84" s="516">
        <f>SUM(O84:R84)</f>
        <v>1512</v>
      </c>
      <c r="O84" s="516">
        <f t="shared" ref="O84:R85" si="215">V84+AL84+AT84+BC84+AC84+BK84</f>
        <v>0</v>
      </c>
      <c r="P84" s="516">
        <f t="shared" si="215"/>
        <v>0</v>
      </c>
      <c r="Q84" s="516">
        <f t="shared" si="215"/>
        <v>0</v>
      </c>
      <c r="R84" s="516">
        <f t="shared" si="215"/>
        <v>1512</v>
      </c>
      <c r="S84" s="516">
        <f>Z84+AP84+AX84+BG84+BP84+AG84</f>
        <v>0</v>
      </c>
      <c r="T84" s="482"/>
      <c r="U84" s="418"/>
      <c r="V84" s="482"/>
      <c r="W84" s="482"/>
      <c r="X84" s="482"/>
      <c r="Y84" s="482"/>
      <c r="Z84" s="482"/>
      <c r="AA84" s="482"/>
      <c r="AB84" s="418"/>
      <c r="AC84" s="482"/>
      <c r="AD84" s="482"/>
      <c r="AE84" s="482"/>
      <c r="AF84" s="482"/>
      <c r="AG84" s="545"/>
      <c r="AH84" s="545"/>
      <c r="AI84" s="545"/>
      <c r="AJ84" s="545"/>
      <c r="AK84" s="418"/>
      <c r="AL84" s="545"/>
      <c r="AM84" s="545"/>
      <c r="AN84" s="545"/>
      <c r="AO84" s="545">
        <v>396</v>
      </c>
      <c r="AP84" s="545"/>
      <c r="AQ84" s="545"/>
      <c r="AR84" s="545"/>
      <c r="AS84" s="418"/>
      <c r="AT84" s="545"/>
      <c r="AU84" s="545"/>
      <c r="AV84" s="545"/>
      <c r="AW84" s="545">
        <v>828</v>
      </c>
      <c r="AX84" s="545"/>
      <c r="AY84" s="545"/>
      <c r="AZ84" s="545"/>
      <c r="BA84" s="545"/>
      <c r="BB84" s="418">
        <f>SUM(BC84:BG84)</f>
        <v>288</v>
      </c>
      <c r="BC84" s="545"/>
      <c r="BD84" s="545"/>
      <c r="BE84" s="545"/>
      <c r="BF84" s="545">
        <v>288</v>
      </c>
      <c r="BG84" s="545"/>
      <c r="BH84" s="545"/>
      <c r="BI84" s="418">
        <f t="shared" ref="BI84" si="216">SUM(BJ84:BP84)</f>
        <v>0</v>
      </c>
      <c r="BJ84" s="545"/>
      <c r="BK84" s="545"/>
      <c r="BL84" s="545"/>
      <c r="BM84" s="545"/>
      <c r="BN84" s="545"/>
      <c r="BO84" s="545"/>
      <c r="BP84" s="545"/>
      <c r="BQ84" s="475"/>
      <c r="BR84" s="425" t="str">
        <f>'Учебный план'!BZ102</f>
        <v>64-4, 64-5</v>
      </c>
      <c r="BS84" s="440" t="str">
        <f>'Учебный план'!CA102</f>
        <v>ОК 1-10; ПК 1.1-1.3; 2.1-2.7; 3.2.</v>
      </c>
    </row>
    <row r="85" spans="1:71" s="233" customFormat="1" ht="26.1" customHeight="1" x14ac:dyDescent="0.2">
      <c r="A85" s="437" t="str">
        <f>'Учебный план'!A103</f>
        <v>ПП.02</v>
      </c>
      <c r="B85" s="437" t="str">
        <f>'Учебный план'!B103</f>
        <v>Преддипломная практика</v>
      </c>
      <c r="C85" s="482"/>
      <c r="D85" s="482"/>
      <c r="E85" s="545">
        <v>5</v>
      </c>
      <c r="F85" s="482"/>
      <c r="G85" s="482"/>
      <c r="H85" s="482"/>
      <c r="I85" s="546"/>
      <c r="J85" s="482"/>
      <c r="K85" s="200">
        <f>'Учебный план'!K103</f>
        <v>144</v>
      </c>
      <c r="L85" s="200">
        <f>'Учебный план'!L103</f>
        <v>144</v>
      </c>
      <c r="M85" s="516">
        <f>SUM(N85+S85)</f>
        <v>144</v>
      </c>
      <c r="N85" s="516">
        <f>SUM(O85:R85)</f>
        <v>144</v>
      </c>
      <c r="O85" s="516">
        <f t="shared" si="215"/>
        <v>0</v>
      </c>
      <c r="P85" s="516">
        <f t="shared" si="215"/>
        <v>0</v>
      </c>
      <c r="Q85" s="516">
        <f t="shared" si="215"/>
        <v>0</v>
      </c>
      <c r="R85" s="516">
        <f t="shared" si="215"/>
        <v>144</v>
      </c>
      <c r="S85" s="516">
        <f>Z85+AP85+AX85+BG85+BP85+AG85</f>
        <v>0</v>
      </c>
      <c r="T85" s="482"/>
      <c r="U85" s="418"/>
      <c r="V85" s="482"/>
      <c r="W85" s="482"/>
      <c r="X85" s="482"/>
      <c r="Y85" s="482"/>
      <c r="Z85" s="482"/>
      <c r="AA85" s="482"/>
      <c r="AB85" s="418"/>
      <c r="AC85" s="482"/>
      <c r="AD85" s="482"/>
      <c r="AE85" s="482"/>
      <c r="AF85" s="482"/>
      <c r="AG85" s="545"/>
      <c r="AH85" s="545"/>
      <c r="AI85" s="545"/>
      <c r="AJ85" s="545"/>
      <c r="AK85" s="418"/>
      <c r="AL85" s="545"/>
      <c r="AM85" s="545"/>
      <c r="AN85" s="545"/>
      <c r="AO85" s="545"/>
      <c r="AP85" s="545"/>
      <c r="AQ85" s="545"/>
      <c r="AR85" s="545"/>
      <c r="AS85" s="418"/>
      <c r="AT85" s="545"/>
      <c r="AU85" s="545"/>
      <c r="AV85" s="545"/>
      <c r="AW85" s="545"/>
      <c r="AX85" s="545"/>
      <c r="AY85" s="545"/>
      <c r="AZ85" s="545"/>
      <c r="BA85" s="545"/>
      <c r="BB85" s="418">
        <f>SUM(BC85:BG85)</f>
        <v>144</v>
      </c>
      <c r="BC85" s="545"/>
      <c r="BD85" s="545"/>
      <c r="BE85" s="545"/>
      <c r="BF85" s="545">
        <v>144</v>
      </c>
      <c r="BG85" s="545"/>
      <c r="BH85" s="545"/>
      <c r="BI85" s="418">
        <f t="shared" ref="BI85" si="217">SUM(BJ85:BP85)</f>
        <v>0</v>
      </c>
      <c r="BJ85" s="545"/>
      <c r="BK85" s="545"/>
      <c r="BL85" s="545"/>
      <c r="BM85" s="545"/>
      <c r="BN85" s="545"/>
      <c r="BO85" s="545"/>
      <c r="BP85" s="545"/>
      <c r="BQ85" s="475"/>
      <c r="BR85" s="425" t="str">
        <f>'Учебный план'!BZ103</f>
        <v>64-4, 64-5</v>
      </c>
      <c r="BS85" s="440" t="str">
        <f>'Учебный план'!CA103</f>
        <v>ОК 1-10; ПК 1.1-1.3; 2.1-2.7; 3.2.</v>
      </c>
    </row>
    <row r="86" spans="1:71" s="254" customFormat="1" ht="26.1" customHeight="1" x14ac:dyDescent="0.2">
      <c r="A86" s="430" t="str">
        <f>'Учебный план'!A104</f>
        <v>ГИА.00</v>
      </c>
      <c r="B86" s="820" t="str">
        <f>'Учебный план'!B104</f>
        <v>Государственная итоговая аттестация</v>
      </c>
      <c r="C86" s="821"/>
      <c r="D86" s="821"/>
      <c r="E86" s="821"/>
      <c r="F86" s="821"/>
      <c r="G86" s="821"/>
      <c r="H86" s="822"/>
      <c r="I86" s="432"/>
      <c r="J86" s="433"/>
      <c r="K86" s="473">
        <f>'Учебный план'!K104</f>
        <v>216</v>
      </c>
      <c r="L86" s="473">
        <f>'Учебный план'!L104</f>
        <v>0</v>
      </c>
      <c r="M86" s="432">
        <f>M87</f>
        <v>216</v>
      </c>
      <c r="N86" s="432">
        <f>N87</f>
        <v>0</v>
      </c>
      <c r="O86" s="432">
        <f t="shared" ref="O86:S86" si="218">O87</f>
        <v>0</v>
      </c>
      <c r="P86" s="432">
        <f t="shared" si="218"/>
        <v>0</v>
      </c>
      <c r="Q86" s="432">
        <f t="shared" si="218"/>
        <v>0</v>
      </c>
      <c r="R86" s="432">
        <f t="shared" si="218"/>
        <v>0</v>
      </c>
      <c r="S86" s="432">
        <f t="shared" si="218"/>
        <v>216</v>
      </c>
      <c r="T86" s="432" t="e">
        <f>SUM(#REF!)</f>
        <v>#REF!</v>
      </c>
      <c r="U86" s="432">
        <v>0</v>
      </c>
      <c r="V86" s="432">
        <v>0</v>
      </c>
      <c r="W86" s="432">
        <v>0</v>
      </c>
      <c r="X86" s="432">
        <v>0</v>
      </c>
      <c r="Y86" s="432">
        <v>0</v>
      </c>
      <c r="Z86" s="432">
        <v>0</v>
      </c>
      <c r="AA86" s="432" t="e">
        <f>SUM(#REF!)</f>
        <v>#REF!</v>
      </c>
      <c r="AB86" s="432">
        <v>0</v>
      </c>
      <c r="AC86" s="432">
        <v>0</v>
      </c>
      <c r="AD86" s="432">
        <v>0</v>
      </c>
      <c r="AE86" s="432">
        <v>0</v>
      </c>
      <c r="AF86" s="432">
        <v>0</v>
      </c>
      <c r="AG86" s="432">
        <v>0</v>
      </c>
      <c r="AH86" s="432" t="e">
        <f>SUM(#REF!)</f>
        <v>#REF!</v>
      </c>
      <c r="AI86" s="432"/>
      <c r="AJ86" s="432" t="e">
        <f>SUM(#REF!)</f>
        <v>#REF!</v>
      </c>
      <c r="AK86" s="432">
        <v>0</v>
      </c>
      <c r="AL86" s="432">
        <v>0</v>
      </c>
      <c r="AM86" s="432">
        <v>0</v>
      </c>
      <c r="AN86" s="432">
        <v>0</v>
      </c>
      <c r="AO86" s="432">
        <v>0</v>
      </c>
      <c r="AP86" s="432">
        <v>0</v>
      </c>
      <c r="AQ86" s="432" t="e">
        <f>SUM(#REF!)</f>
        <v>#REF!</v>
      </c>
      <c r="AR86" s="432" t="e">
        <f>SUM(#REF!)</f>
        <v>#REF!</v>
      </c>
      <c r="AS86" s="432">
        <v>0</v>
      </c>
      <c r="AT86" s="432">
        <v>0</v>
      </c>
      <c r="AU86" s="432">
        <v>0</v>
      </c>
      <c r="AV86" s="432">
        <v>0</v>
      </c>
      <c r="AW86" s="432">
        <v>0</v>
      </c>
      <c r="AX86" s="432">
        <v>0</v>
      </c>
      <c r="AY86" s="432" t="e">
        <f>SUM(#REF!)</f>
        <v>#REF!</v>
      </c>
      <c r="AZ86" s="432" t="e">
        <f>SUM(#REF!)</f>
        <v>#REF!</v>
      </c>
      <c r="BA86" s="432" t="e">
        <f>SUM(#REF!)</f>
        <v>#REF!</v>
      </c>
      <c r="BB86" s="432">
        <f>BB87</f>
        <v>216</v>
      </c>
      <c r="BC86" s="432">
        <f t="shared" ref="BC86:BG86" si="219">BC87</f>
        <v>0</v>
      </c>
      <c r="BD86" s="432">
        <f t="shared" si="219"/>
        <v>0</v>
      </c>
      <c r="BE86" s="432">
        <f t="shared" si="219"/>
        <v>0</v>
      </c>
      <c r="BF86" s="432">
        <f t="shared" si="219"/>
        <v>0</v>
      </c>
      <c r="BG86" s="432">
        <f t="shared" si="219"/>
        <v>216</v>
      </c>
      <c r="BH86" s="432" t="e">
        <f>SUM(#REF!)</f>
        <v>#REF!</v>
      </c>
      <c r="BI86" s="432">
        <f>BI87</f>
        <v>0</v>
      </c>
      <c r="BJ86" s="432">
        <f t="shared" ref="BJ86:BP86" si="220">BJ87</f>
        <v>0</v>
      </c>
      <c r="BK86" s="432">
        <f t="shared" si="220"/>
        <v>0</v>
      </c>
      <c r="BL86" s="432">
        <f t="shared" si="220"/>
        <v>0</v>
      </c>
      <c r="BM86" s="432">
        <f t="shared" si="220"/>
        <v>0</v>
      </c>
      <c r="BN86" s="432">
        <f t="shared" si="220"/>
        <v>0</v>
      </c>
      <c r="BO86" s="432">
        <f t="shared" si="220"/>
        <v>0</v>
      </c>
      <c r="BP86" s="432">
        <f t="shared" si="220"/>
        <v>0</v>
      </c>
      <c r="BQ86" s="185"/>
      <c r="BR86" s="483">
        <f>'Учебный план'!BZ104</f>
        <v>0</v>
      </c>
      <c r="BS86" s="479">
        <f>'Учебный план'!CA104</f>
        <v>0</v>
      </c>
    </row>
    <row r="87" spans="1:71" s="254" customFormat="1" ht="26.25" hidden="1" thickBot="1" x14ac:dyDescent="0.25">
      <c r="A87" s="323" t="str">
        <f>'Учебный план'!A105</f>
        <v>ГИА.01</v>
      </c>
      <c r="B87" s="324" t="str">
        <f>'Учебный план'!B105</f>
        <v>Государственная итоговая аттестация</v>
      </c>
      <c r="C87" s="325"/>
      <c r="D87" s="326"/>
      <c r="E87" s="326"/>
      <c r="F87" s="326"/>
      <c r="G87" s="326"/>
      <c r="H87" s="326"/>
      <c r="I87" s="364"/>
      <c r="J87" s="327"/>
      <c r="K87" s="320">
        <f>'Учебный план'!K105</f>
        <v>216</v>
      </c>
      <c r="L87" s="321">
        <f>'Учебный план'!L105</f>
        <v>0</v>
      </c>
      <c r="M87" s="250">
        <f>SUM(N87+S87)</f>
        <v>216</v>
      </c>
      <c r="N87" s="251">
        <f>SUM(O87:R87)</f>
        <v>0</v>
      </c>
      <c r="O87" s="251">
        <f>V87+AL87+AT87+BC87+AC87+BK87</f>
        <v>0</v>
      </c>
      <c r="P87" s="251">
        <f>W87+AM87+AU87+BD87+AD87+BL87</f>
        <v>0</v>
      </c>
      <c r="Q87" s="251">
        <f>X87+AN87+AV87+BE87+AE87+BM87</f>
        <v>0</v>
      </c>
      <c r="R87" s="251">
        <f>Y87+AO87+AW87+BF87+AF87+BN87</f>
        <v>0</v>
      </c>
      <c r="S87" s="251">
        <f>Z87+AP87+AX87+BG87+BP87+AG87</f>
        <v>216</v>
      </c>
      <c r="T87" s="328"/>
      <c r="U87" s="328"/>
      <c r="V87" s="329"/>
      <c r="W87" s="329"/>
      <c r="X87" s="329"/>
      <c r="Y87" s="329"/>
      <c r="Z87" s="330"/>
      <c r="AA87" s="328"/>
      <c r="AB87" s="328"/>
      <c r="AC87" s="329"/>
      <c r="AD87" s="329"/>
      <c r="AE87" s="329"/>
      <c r="AF87" s="329"/>
      <c r="AG87" s="330"/>
      <c r="AH87" s="328"/>
      <c r="AI87" s="328"/>
      <c r="AJ87" s="329"/>
      <c r="AK87" s="328"/>
      <c r="AL87" s="329"/>
      <c r="AM87" s="329"/>
      <c r="AN87" s="329"/>
      <c r="AO87" s="329"/>
      <c r="AP87" s="329"/>
      <c r="AQ87" s="329"/>
      <c r="AR87" s="331"/>
      <c r="AS87" s="332"/>
      <c r="AT87" s="329"/>
      <c r="AU87" s="329"/>
      <c r="AV87" s="329"/>
      <c r="AW87" s="329"/>
      <c r="AX87" s="333"/>
      <c r="AY87" s="328"/>
      <c r="AZ87" s="329"/>
      <c r="BA87" s="329"/>
      <c r="BB87" s="249">
        <f>SUM(BC87:BG87)</f>
        <v>216</v>
      </c>
      <c r="BC87" s="329"/>
      <c r="BD87" s="329"/>
      <c r="BE87" s="329"/>
      <c r="BF87" s="329"/>
      <c r="BG87" s="329">
        <v>216</v>
      </c>
      <c r="BH87" s="331"/>
      <c r="BI87" s="322">
        <f t="shared" ref="BI87" si="221">SUM(BJ87:BP87)</f>
        <v>0</v>
      </c>
      <c r="BJ87" s="508"/>
      <c r="BK87" s="508"/>
      <c r="BL87" s="508"/>
      <c r="BM87" s="508"/>
      <c r="BN87" s="508"/>
      <c r="BO87" s="508"/>
      <c r="BP87" s="509"/>
      <c r="BQ87" s="336"/>
      <c r="BR87" s="510" t="str">
        <f>'Учебный план'!BZ105</f>
        <v>64-4, 64-5</v>
      </c>
      <c r="BS87" s="511" t="str">
        <f>'Учебный план'!CA105</f>
        <v>ОК 1-10, ПК 1.1 - 1.4, 2.1 - 2.7, 3.1- 3.2, 4.1 - 4.3</v>
      </c>
    </row>
    <row r="88" spans="1:71" s="254" customFormat="1" ht="13.5" hidden="1" thickBot="1" x14ac:dyDescent="0.25">
      <c r="A88" s="259"/>
      <c r="B88" s="260" t="s">
        <v>190</v>
      </c>
      <c r="C88" s="261"/>
      <c r="D88" s="255"/>
      <c r="E88" s="255"/>
      <c r="F88" s="255"/>
      <c r="G88" s="255"/>
      <c r="H88" s="255"/>
      <c r="I88" s="365"/>
      <c r="J88" s="255"/>
      <c r="K88" s="318">
        <v>0</v>
      </c>
      <c r="L88" s="319" t="str">
        <f>[3]Нормы!E21</f>
        <v>-</v>
      </c>
      <c r="M88" s="256"/>
      <c r="N88" s="257"/>
      <c r="O88" s="257"/>
      <c r="P88" s="257"/>
      <c r="Q88" s="257"/>
      <c r="R88" s="257"/>
      <c r="S88" s="257"/>
      <c r="T88" s="257"/>
      <c r="U88" s="263"/>
      <c r="V88" s="257"/>
      <c r="W88" s="257"/>
      <c r="X88" s="257"/>
      <c r="Y88" s="257"/>
      <c r="Z88" s="257"/>
      <c r="AA88" s="257"/>
      <c r="AB88" s="263"/>
      <c r="AC88" s="257"/>
      <c r="AD88" s="257"/>
      <c r="AE88" s="257"/>
      <c r="AF88" s="257"/>
      <c r="AG88" s="257"/>
      <c r="AH88" s="257"/>
      <c r="AI88" s="257"/>
      <c r="AJ88" s="257"/>
      <c r="AK88" s="263"/>
      <c r="AL88" s="257"/>
      <c r="AM88" s="257"/>
      <c r="AN88" s="257"/>
      <c r="AO88" s="257"/>
      <c r="AP88" s="257"/>
      <c r="AQ88" s="257"/>
      <c r="AR88" s="257"/>
      <c r="AS88" s="263"/>
      <c r="AT88" s="257"/>
      <c r="AU88" s="257"/>
      <c r="AV88" s="257"/>
      <c r="AW88" s="257"/>
      <c r="AX88" s="262"/>
      <c r="AY88" s="256"/>
      <c r="AZ88" s="257"/>
      <c r="BA88" s="257"/>
      <c r="BB88" s="264"/>
      <c r="BC88" s="257"/>
      <c r="BD88" s="257"/>
      <c r="BE88" s="257"/>
      <c r="BF88" s="257"/>
      <c r="BG88" s="257"/>
      <c r="BH88" s="257"/>
      <c r="BI88" s="334"/>
      <c r="BJ88" s="335"/>
      <c r="BK88" s="335"/>
      <c r="BL88" s="335"/>
      <c r="BM88" s="335"/>
      <c r="BN88" s="335"/>
      <c r="BO88" s="335"/>
      <c r="BP88" s="335"/>
      <c r="BQ88" s="258"/>
      <c r="BR88" s="337"/>
      <c r="BS88" s="338"/>
    </row>
    <row r="89" spans="1:71" x14ac:dyDescent="0.2">
      <c r="A89" s="265"/>
      <c r="B89" s="266"/>
      <c r="C89" s="266"/>
      <c r="D89" s="267"/>
      <c r="E89" s="267"/>
      <c r="F89" s="267"/>
      <c r="G89" s="267"/>
      <c r="H89" s="267"/>
      <c r="I89" s="268"/>
      <c r="J89" s="267"/>
      <c r="K89" s="317"/>
      <c r="L89" s="317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9"/>
    </row>
    <row r="90" spans="1:71" x14ac:dyDescent="0.2">
      <c r="A90" s="69"/>
      <c r="B90" s="811" t="s">
        <v>614</v>
      </c>
      <c r="C90" s="812"/>
      <c r="D90" s="812"/>
      <c r="E90" s="812"/>
      <c r="F90" s="812"/>
      <c r="G90" s="812"/>
      <c r="H90" s="813"/>
      <c r="I90" s="366"/>
      <c r="J90" s="305"/>
      <c r="K90" s="270">
        <v>4118</v>
      </c>
      <c r="L90" s="270">
        <f>L9+L75</f>
        <v>3744</v>
      </c>
      <c r="M90" s="288">
        <f>M75+M9</f>
        <v>4117</v>
      </c>
      <c r="N90" s="271">
        <f t="shared" ref="N90:S90" si="222">N9+N75</f>
        <v>571</v>
      </c>
      <c r="O90" s="271">
        <f t="shared" si="222"/>
        <v>383</v>
      </c>
      <c r="P90" s="271">
        <f t="shared" si="222"/>
        <v>131</v>
      </c>
      <c r="Q90" s="271">
        <f t="shared" si="222"/>
        <v>57</v>
      </c>
      <c r="R90" s="271">
        <f t="shared" si="222"/>
        <v>0</v>
      </c>
      <c r="S90" s="271">
        <f t="shared" si="222"/>
        <v>3546</v>
      </c>
      <c r="T90" s="313"/>
      <c r="U90" s="277">
        <f>SUM(V90:Z90)</f>
        <v>1073</v>
      </c>
      <c r="V90" s="274">
        <f>V9+V75</f>
        <v>122</v>
      </c>
      <c r="W90" s="274">
        <f>W9+W75</f>
        <v>38</v>
      </c>
      <c r="X90" s="274">
        <f>X9+X75</f>
        <v>0</v>
      </c>
      <c r="Y90" s="274">
        <f>Y9+Y75</f>
        <v>0</v>
      </c>
      <c r="Z90" s="274">
        <f>Z9+Z75</f>
        <v>913</v>
      </c>
      <c r="AA90" s="313"/>
      <c r="AB90" s="277">
        <f>SUM(AC90:AG90)</f>
        <v>1143</v>
      </c>
      <c r="AC90" s="274">
        <f>AC9+AC75</f>
        <v>142</v>
      </c>
      <c r="AD90" s="274">
        <f>AD9+AD75</f>
        <v>18</v>
      </c>
      <c r="AE90" s="274">
        <f>AE9+AE75</f>
        <v>0</v>
      </c>
      <c r="AF90" s="274">
        <f>AF9+AF75</f>
        <v>0</v>
      </c>
      <c r="AG90" s="274">
        <f>AG9+AG75</f>
        <v>983</v>
      </c>
      <c r="AH90" s="585"/>
      <c r="AI90" s="313"/>
      <c r="AJ90" s="272"/>
      <c r="AK90" s="277">
        <f>SUM(AL90:AP90)</f>
        <v>1182</v>
      </c>
      <c r="AL90" s="274">
        <f>AL9+AL75</f>
        <v>116</v>
      </c>
      <c r="AM90" s="274">
        <f>AM9+AM75</f>
        <v>44</v>
      </c>
      <c r="AN90" s="274">
        <f>AN9+AN75</f>
        <v>0</v>
      </c>
      <c r="AO90" s="274">
        <f>AO9+AO75</f>
        <v>0</v>
      </c>
      <c r="AP90" s="274">
        <f>AP9+AP75</f>
        <v>1022</v>
      </c>
      <c r="AQ90" s="585"/>
      <c r="AR90" s="272"/>
      <c r="AS90" s="277">
        <f>SUM(AT90:AX90)</f>
        <v>1208</v>
      </c>
      <c r="AT90" s="274">
        <f>AT9+AT75</f>
        <v>102</v>
      </c>
      <c r="AU90" s="274">
        <f>AU9+AU75</f>
        <v>36</v>
      </c>
      <c r="AV90" s="274">
        <f>AV9+AV75</f>
        <v>22</v>
      </c>
      <c r="AW90" s="274">
        <f>AW9+AW75</f>
        <v>0</v>
      </c>
      <c r="AX90" s="274">
        <f>AX9+AX75</f>
        <v>1048</v>
      </c>
      <c r="AY90" s="585"/>
      <c r="AZ90" s="272"/>
      <c r="BA90" s="548"/>
      <c r="BB90" s="277">
        <f>SUM(BC90:BG90)</f>
        <v>961</v>
      </c>
      <c r="BC90" s="274">
        <f>BC9+BC75</f>
        <v>41</v>
      </c>
      <c r="BD90" s="274">
        <f>BD9+BD75</f>
        <v>51</v>
      </c>
      <c r="BE90" s="274">
        <f>BE9+BE75</f>
        <v>68</v>
      </c>
      <c r="BF90" s="274">
        <f>BF9+BF75</f>
        <v>0</v>
      </c>
      <c r="BG90" s="274">
        <f>BG9+BG75</f>
        <v>801</v>
      </c>
      <c r="BH90" s="313"/>
      <c r="BI90" s="273">
        <f>SUM(BJ90:BP90)</f>
        <v>0</v>
      </c>
      <c r="BJ90" s="274">
        <f>BJ9+BJ75+BJ20</f>
        <v>0</v>
      </c>
      <c r="BK90" s="274">
        <f>BK9+BK75+BK20</f>
        <v>0</v>
      </c>
      <c r="BL90" s="274">
        <f>BL9+BL75</f>
        <v>0</v>
      </c>
      <c r="BM90" s="274">
        <f>BM9+BM75</f>
        <v>0</v>
      </c>
      <c r="BN90" s="274">
        <f>BN9+BN75</f>
        <v>0</v>
      </c>
      <c r="BO90" s="274">
        <f>BO9+BO75</f>
        <v>0</v>
      </c>
      <c r="BP90" s="274">
        <f>BP9+BP75</f>
        <v>0</v>
      </c>
      <c r="BQ90" s="275"/>
    </row>
    <row r="91" spans="1:71" x14ac:dyDescent="0.2">
      <c r="A91" s="69"/>
      <c r="B91" s="811" t="s">
        <v>274</v>
      </c>
      <c r="C91" s="812"/>
      <c r="D91" s="812"/>
      <c r="E91" s="812"/>
      <c r="F91" s="812"/>
      <c r="G91" s="812"/>
      <c r="H91" s="813"/>
      <c r="I91" s="366"/>
      <c r="J91" s="305"/>
      <c r="K91" s="270">
        <v>2808</v>
      </c>
      <c r="L91" s="270">
        <v>1872</v>
      </c>
      <c r="M91" s="288">
        <f t="shared" ref="M91:S91" si="223">M83+M78</f>
        <v>1980</v>
      </c>
      <c r="N91" s="271">
        <f t="shared" si="223"/>
        <v>1980</v>
      </c>
      <c r="O91" s="271">
        <f t="shared" si="223"/>
        <v>0</v>
      </c>
      <c r="P91" s="271">
        <f t="shared" si="223"/>
        <v>0</v>
      </c>
      <c r="Q91" s="271">
        <f t="shared" si="223"/>
        <v>0</v>
      </c>
      <c r="R91" s="271">
        <f t="shared" si="223"/>
        <v>1980</v>
      </c>
      <c r="S91" s="271">
        <f t="shared" si="223"/>
        <v>0</v>
      </c>
      <c r="T91" s="313"/>
      <c r="U91" s="554">
        <f t="shared" ref="U91:Z91" si="224">U83+U78</f>
        <v>324</v>
      </c>
      <c r="V91" s="277">
        <f t="shared" si="224"/>
        <v>0</v>
      </c>
      <c r="W91" s="277">
        <f t="shared" si="224"/>
        <v>0</v>
      </c>
      <c r="X91" s="277">
        <f t="shared" si="224"/>
        <v>0</v>
      </c>
      <c r="Y91" s="277">
        <f t="shared" si="224"/>
        <v>324</v>
      </c>
      <c r="Z91" s="274">
        <f t="shared" si="224"/>
        <v>0</v>
      </c>
      <c r="AA91" s="313"/>
      <c r="AB91" s="277">
        <f>SUM(AC91:AG91)</f>
        <v>0</v>
      </c>
      <c r="AC91" s="277">
        <f>AC83+AC78</f>
        <v>0</v>
      </c>
      <c r="AD91" s="277">
        <f>AD83+AD78</f>
        <v>0</v>
      </c>
      <c r="AE91" s="277">
        <f>AE83+AE78</f>
        <v>0</v>
      </c>
      <c r="AF91" s="277">
        <f>AF83+AF78</f>
        <v>0</v>
      </c>
      <c r="AG91" s="274">
        <f>AG83+AG78</f>
        <v>0</v>
      </c>
      <c r="AH91" s="585"/>
      <c r="AI91" s="313"/>
      <c r="AJ91" s="272"/>
      <c r="AK91" s="277">
        <f>SUM(AL91:AP91)</f>
        <v>396</v>
      </c>
      <c r="AL91" s="277">
        <f>AL83+AL78</f>
        <v>0</v>
      </c>
      <c r="AM91" s="277">
        <f>AM83+AM78</f>
        <v>0</v>
      </c>
      <c r="AN91" s="277">
        <f>AN83+AN78</f>
        <v>0</v>
      </c>
      <c r="AO91" s="277">
        <f>AO83+AO78</f>
        <v>396</v>
      </c>
      <c r="AP91" s="274">
        <f>AP83+AP78</f>
        <v>0</v>
      </c>
      <c r="AQ91" s="585"/>
      <c r="AR91" s="272"/>
      <c r="AS91" s="277">
        <f>SUM(AT91:AX91)</f>
        <v>828</v>
      </c>
      <c r="AT91" s="277">
        <f>AT83+AT78</f>
        <v>0</v>
      </c>
      <c r="AU91" s="277">
        <f>AU83+AU78</f>
        <v>0</v>
      </c>
      <c r="AV91" s="277">
        <f>AV83+AV78</f>
        <v>0</v>
      </c>
      <c r="AW91" s="277">
        <f>AW83+AW78</f>
        <v>828</v>
      </c>
      <c r="AX91" s="274">
        <f>AX83+AX78</f>
        <v>0</v>
      </c>
      <c r="AY91" s="585"/>
      <c r="AZ91" s="272"/>
      <c r="BA91" s="548"/>
      <c r="BB91" s="554">
        <f t="shared" ref="BB91:BG91" si="225">BB83+BB78</f>
        <v>432</v>
      </c>
      <c r="BC91" s="277">
        <f t="shared" si="225"/>
        <v>0</v>
      </c>
      <c r="BD91" s="277">
        <f t="shared" si="225"/>
        <v>0</v>
      </c>
      <c r="BE91" s="277">
        <f t="shared" si="225"/>
        <v>0</v>
      </c>
      <c r="BF91" s="277">
        <f t="shared" si="225"/>
        <v>432</v>
      </c>
      <c r="BG91" s="274">
        <f t="shared" si="225"/>
        <v>0</v>
      </c>
      <c r="BH91" s="313"/>
      <c r="BI91" s="276">
        <f>BI83+BI78</f>
        <v>0</v>
      </c>
      <c r="BJ91" s="277">
        <f t="shared" ref="BJ91:BO91" si="226">BJ83+BJ78</f>
        <v>0</v>
      </c>
      <c r="BK91" s="277">
        <f t="shared" si="226"/>
        <v>0</v>
      </c>
      <c r="BL91" s="277">
        <f t="shared" si="226"/>
        <v>0</v>
      </c>
      <c r="BM91" s="277">
        <f t="shared" si="226"/>
        <v>0</v>
      </c>
      <c r="BN91" s="277">
        <f t="shared" si="226"/>
        <v>0</v>
      </c>
      <c r="BO91" s="278">
        <f t="shared" si="226"/>
        <v>0</v>
      </c>
      <c r="BP91" s="274">
        <f>BP83+BP78</f>
        <v>0</v>
      </c>
      <c r="BQ91" s="275"/>
    </row>
    <row r="92" spans="1:71" x14ac:dyDescent="0.2">
      <c r="A92" s="69"/>
      <c r="B92" s="811" t="s">
        <v>604</v>
      </c>
      <c r="C92" s="812"/>
      <c r="D92" s="812"/>
      <c r="E92" s="812"/>
      <c r="F92" s="812"/>
      <c r="G92" s="812"/>
      <c r="H92" s="813"/>
      <c r="I92" s="366"/>
      <c r="J92" s="305"/>
      <c r="K92" s="270">
        <f t="shared" ref="K92:S92" si="227">K86</f>
        <v>216</v>
      </c>
      <c r="L92" s="270">
        <f t="shared" si="227"/>
        <v>0</v>
      </c>
      <c r="M92" s="288">
        <f t="shared" si="227"/>
        <v>216</v>
      </c>
      <c r="N92" s="271">
        <f t="shared" si="227"/>
        <v>0</v>
      </c>
      <c r="O92" s="271">
        <f t="shared" si="227"/>
        <v>0</v>
      </c>
      <c r="P92" s="271">
        <f t="shared" si="227"/>
        <v>0</v>
      </c>
      <c r="Q92" s="271">
        <f t="shared" si="227"/>
        <v>0</v>
      </c>
      <c r="R92" s="271">
        <f t="shared" si="227"/>
        <v>0</v>
      </c>
      <c r="S92" s="288">
        <f t="shared" si="227"/>
        <v>216</v>
      </c>
      <c r="T92" s="313"/>
      <c r="U92" s="277">
        <f t="shared" ref="U92:Z92" si="228">U86</f>
        <v>0</v>
      </c>
      <c r="V92" s="274">
        <f t="shared" si="228"/>
        <v>0</v>
      </c>
      <c r="W92" s="274">
        <f t="shared" si="228"/>
        <v>0</v>
      </c>
      <c r="X92" s="274">
        <f t="shared" si="228"/>
        <v>0</v>
      </c>
      <c r="Y92" s="274">
        <f t="shared" si="228"/>
        <v>0</v>
      </c>
      <c r="Z92" s="274">
        <f t="shared" si="228"/>
        <v>0</v>
      </c>
      <c r="AA92" s="313"/>
      <c r="AB92" s="277">
        <f>SUM(AC92:AG92)</f>
        <v>0</v>
      </c>
      <c r="AC92" s="274">
        <f>AC86</f>
        <v>0</v>
      </c>
      <c r="AD92" s="274">
        <f>AD86</f>
        <v>0</v>
      </c>
      <c r="AE92" s="274">
        <f>AE86</f>
        <v>0</v>
      </c>
      <c r="AF92" s="274">
        <f>AF86</f>
        <v>0</v>
      </c>
      <c r="AG92" s="274">
        <f>AG86</f>
        <v>0</v>
      </c>
      <c r="AH92" s="585"/>
      <c r="AI92" s="313"/>
      <c r="AJ92" s="272"/>
      <c r="AK92" s="277">
        <f>SUM(AL92:AP92)</f>
        <v>0</v>
      </c>
      <c r="AL92" s="274">
        <f>AL86</f>
        <v>0</v>
      </c>
      <c r="AM92" s="274">
        <f>AM86</f>
        <v>0</v>
      </c>
      <c r="AN92" s="274">
        <f>AN86</f>
        <v>0</v>
      </c>
      <c r="AO92" s="274">
        <f>AO86</f>
        <v>0</v>
      </c>
      <c r="AP92" s="274">
        <f>AP86</f>
        <v>0</v>
      </c>
      <c r="AQ92" s="585"/>
      <c r="AR92" s="272"/>
      <c r="AS92" s="277">
        <f>SUM(AT92:AX92)</f>
        <v>0</v>
      </c>
      <c r="AT92" s="274">
        <f>AT86</f>
        <v>0</v>
      </c>
      <c r="AU92" s="274">
        <f>AU86</f>
        <v>0</v>
      </c>
      <c r="AV92" s="274">
        <f>AV86</f>
        <v>0</v>
      </c>
      <c r="AW92" s="274">
        <f>AW86</f>
        <v>0</v>
      </c>
      <c r="AX92" s="274">
        <f>AX86</f>
        <v>0</v>
      </c>
      <c r="AY92" s="585"/>
      <c r="AZ92" s="272"/>
      <c r="BA92" s="548"/>
      <c r="BB92" s="277">
        <f t="shared" ref="BB92:BG92" si="229">BB86</f>
        <v>216</v>
      </c>
      <c r="BC92" s="274">
        <f t="shared" si="229"/>
        <v>0</v>
      </c>
      <c r="BD92" s="274">
        <f t="shared" si="229"/>
        <v>0</v>
      </c>
      <c r="BE92" s="274">
        <f t="shared" si="229"/>
        <v>0</v>
      </c>
      <c r="BF92" s="274">
        <f t="shared" si="229"/>
        <v>0</v>
      </c>
      <c r="BG92" s="274">
        <f t="shared" si="229"/>
        <v>216</v>
      </c>
      <c r="BH92" s="281" t="e">
        <f t="shared" ref="BH92" si="230">BH86</f>
        <v>#REF!</v>
      </c>
      <c r="BI92" s="273">
        <f>BI86</f>
        <v>0</v>
      </c>
      <c r="BJ92" s="274">
        <f>BJ86</f>
        <v>0</v>
      </c>
      <c r="BK92" s="274">
        <f>BK86</f>
        <v>0</v>
      </c>
      <c r="BL92" s="274">
        <f t="shared" ref="BL92:BO92" si="231">BL86</f>
        <v>0</v>
      </c>
      <c r="BM92" s="274">
        <f t="shared" si="231"/>
        <v>0</v>
      </c>
      <c r="BN92" s="274">
        <f t="shared" si="231"/>
        <v>0</v>
      </c>
      <c r="BO92" s="274">
        <f t="shared" si="231"/>
        <v>0</v>
      </c>
      <c r="BP92" s="274">
        <f>BP86</f>
        <v>0</v>
      </c>
      <c r="BQ92" s="279"/>
    </row>
    <row r="93" spans="1:71" s="246" customFormat="1" x14ac:dyDescent="0.2">
      <c r="A93" s="70"/>
      <c r="B93" s="814" t="s">
        <v>316</v>
      </c>
      <c r="C93" s="815"/>
      <c r="D93" s="815"/>
      <c r="E93" s="815"/>
      <c r="F93" s="815"/>
      <c r="G93" s="815"/>
      <c r="H93" s="816"/>
      <c r="I93" s="367"/>
      <c r="J93" s="306"/>
      <c r="K93" s="280">
        <f t="shared" ref="K93:S93" si="232">K88</f>
        <v>0</v>
      </c>
      <c r="L93" s="280" t="str">
        <f t="shared" si="232"/>
        <v>-</v>
      </c>
      <c r="M93" s="274">
        <f t="shared" si="232"/>
        <v>0</v>
      </c>
      <c r="N93" s="281">
        <f t="shared" si="232"/>
        <v>0</v>
      </c>
      <c r="O93" s="281">
        <f t="shared" si="232"/>
        <v>0</v>
      </c>
      <c r="P93" s="281">
        <f t="shared" si="232"/>
        <v>0</v>
      </c>
      <c r="Q93" s="281">
        <f t="shared" si="232"/>
        <v>0</v>
      </c>
      <c r="R93" s="281">
        <f t="shared" si="232"/>
        <v>0</v>
      </c>
      <c r="S93" s="281">
        <f t="shared" si="232"/>
        <v>0</v>
      </c>
      <c r="T93" s="314"/>
      <c r="U93" s="555">
        <f>U88</f>
        <v>0</v>
      </c>
      <c r="V93" s="274">
        <f>V88</f>
        <v>0</v>
      </c>
      <c r="W93" s="274">
        <f>W88</f>
        <v>0</v>
      </c>
      <c r="X93" s="274">
        <f>X88</f>
        <v>0</v>
      </c>
      <c r="Y93" s="274">
        <f>Y88</f>
        <v>0</v>
      </c>
      <c r="Z93" s="281">
        <f>Z86</f>
        <v>0</v>
      </c>
      <c r="AA93" s="314"/>
      <c r="AB93" s="555">
        <f>AB88</f>
        <v>0</v>
      </c>
      <c r="AC93" s="274">
        <f>AC88</f>
        <v>0</v>
      </c>
      <c r="AD93" s="274">
        <f>AD88</f>
        <v>0</v>
      </c>
      <c r="AE93" s="274">
        <f>AE88</f>
        <v>0</v>
      </c>
      <c r="AF93" s="274">
        <f>AF88</f>
        <v>0</v>
      </c>
      <c r="AG93" s="281">
        <f>AG86</f>
        <v>0</v>
      </c>
      <c r="AH93" s="586"/>
      <c r="AI93" s="314"/>
      <c r="AJ93" s="253"/>
      <c r="AK93" s="277">
        <f>SUM(AL93:AP93)</f>
        <v>0</v>
      </c>
      <c r="AL93" s="274">
        <f>AL88</f>
        <v>0</v>
      </c>
      <c r="AM93" s="274">
        <f>AM88</f>
        <v>0</v>
      </c>
      <c r="AN93" s="274">
        <f>AN88</f>
        <v>0</v>
      </c>
      <c r="AO93" s="274">
        <f>AO88</f>
        <v>0</v>
      </c>
      <c r="AP93" s="281">
        <f>AP86</f>
        <v>0</v>
      </c>
      <c r="AQ93" s="586"/>
      <c r="AR93" s="253"/>
      <c r="AS93" s="277">
        <f>SUM(AT93:AX93)</f>
        <v>0</v>
      </c>
      <c r="AT93" s="274">
        <f>AT88</f>
        <v>0</v>
      </c>
      <c r="AU93" s="274">
        <f>AU88</f>
        <v>0</v>
      </c>
      <c r="AV93" s="274">
        <f>AV88</f>
        <v>0</v>
      </c>
      <c r="AW93" s="274">
        <f>AW88</f>
        <v>0</v>
      </c>
      <c r="AX93" s="281">
        <f>AX86</f>
        <v>0</v>
      </c>
      <c r="AY93" s="586"/>
      <c r="AZ93" s="253"/>
      <c r="BA93" s="549"/>
      <c r="BB93" s="555">
        <f>BB88</f>
        <v>0</v>
      </c>
      <c r="BC93" s="274">
        <f>BC88</f>
        <v>0</v>
      </c>
      <c r="BD93" s="274">
        <f>BD88</f>
        <v>0</v>
      </c>
      <c r="BE93" s="274">
        <f>BE88</f>
        <v>0</v>
      </c>
      <c r="BF93" s="274">
        <f>BF88</f>
        <v>0</v>
      </c>
      <c r="BG93" s="281">
        <f>BG86</f>
        <v>216</v>
      </c>
      <c r="BH93" s="314"/>
      <c r="BI93" s="283">
        <f t="shared" ref="BI93:BO93" si="233">BI88</f>
        <v>0</v>
      </c>
      <c r="BJ93" s="274">
        <f t="shared" si="233"/>
        <v>0</v>
      </c>
      <c r="BK93" s="274">
        <f t="shared" si="233"/>
        <v>0</v>
      </c>
      <c r="BL93" s="274">
        <f t="shared" si="233"/>
        <v>0</v>
      </c>
      <c r="BM93" s="274">
        <f t="shared" si="233"/>
        <v>0</v>
      </c>
      <c r="BN93" s="274">
        <f t="shared" si="233"/>
        <v>0</v>
      </c>
      <c r="BO93" s="274">
        <f t="shared" si="233"/>
        <v>0</v>
      </c>
      <c r="BP93" s="282">
        <f>BP86</f>
        <v>0</v>
      </c>
      <c r="BQ93" s="284"/>
      <c r="BR93" s="285"/>
      <c r="BS93" s="285"/>
    </row>
    <row r="94" spans="1:71" x14ac:dyDescent="0.2">
      <c r="A94" s="286"/>
      <c r="B94" s="811" t="s">
        <v>233</v>
      </c>
      <c r="C94" s="812"/>
      <c r="D94" s="812"/>
      <c r="E94" s="812"/>
      <c r="F94" s="812"/>
      <c r="G94" s="812"/>
      <c r="H94" s="812"/>
      <c r="I94" s="368"/>
      <c r="J94" s="307"/>
      <c r="K94" s="287">
        <f>SUM(K90:K92)</f>
        <v>7142</v>
      </c>
      <c r="L94" s="287">
        <f>SUM(L90:L92)</f>
        <v>5616</v>
      </c>
      <c r="M94" s="288">
        <f>SUM(M90:M92)</f>
        <v>6313</v>
      </c>
      <c r="N94" s="288">
        <f t="shared" ref="N94:R94" si="234">SUM(N90:N92)</f>
        <v>2551</v>
      </c>
      <c r="O94" s="288">
        <f t="shared" si="234"/>
        <v>383</v>
      </c>
      <c r="P94" s="288">
        <f t="shared" si="234"/>
        <v>131</v>
      </c>
      <c r="Q94" s="288">
        <f t="shared" si="234"/>
        <v>57</v>
      </c>
      <c r="R94" s="288">
        <f t="shared" si="234"/>
        <v>1980</v>
      </c>
      <c r="S94" s="288">
        <f>SUM(S90:S92)</f>
        <v>3762</v>
      </c>
      <c r="T94" s="313"/>
      <c r="U94" s="277">
        <f t="shared" ref="U94:AH94" si="235">SUM(U90:U92)</f>
        <v>1397</v>
      </c>
      <c r="V94" s="274">
        <f t="shared" si="235"/>
        <v>122</v>
      </c>
      <c r="W94" s="274">
        <f t="shared" si="235"/>
        <v>38</v>
      </c>
      <c r="X94" s="274">
        <f t="shared" si="235"/>
        <v>0</v>
      </c>
      <c r="Y94" s="274">
        <f t="shared" si="235"/>
        <v>324</v>
      </c>
      <c r="Z94" s="274">
        <f t="shared" si="235"/>
        <v>913</v>
      </c>
      <c r="AA94" s="313"/>
      <c r="AB94" s="277">
        <f t="shared" ref="AB94:AG94" si="236">SUM(AB90:AB92)</f>
        <v>1143</v>
      </c>
      <c r="AC94" s="274">
        <f t="shared" si="236"/>
        <v>142</v>
      </c>
      <c r="AD94" s="274">
        <f t="shared" si="236"/>
        <v>18</v>
      </c>
      <c r="AE94" s="274">
        <f t="shared" si="236"/>
        <v>0</v>
      </c>
      <c r="AF94" s="274">
        <f t="shared" si="236"/>
        <v>0</v>
      </c>
      <c r="AG94" s="274">
        <f t="shared" si="236"/>
        <v>983</v>
      </c>
      <c r="AH94" s="587">
        <f t="shared" si="235"/>
        <v>0</v>
      </c>
      <c r="AI94" s="315"/>
      <c r="AJ94" s="272"/>
      <c r="AK94" s="277">
        <f t="shared" ref="AK94:AQ94" si="237">SUM(AK90:AK92)</f>
        <v>1578</v>
      </c>
      <c r="AL94" s="274">
        <f t="shared" si="237"/>
        <v>116</v>
      </c>
      <c r="AM94" s="274">
        <f t="shared" si="237"/>
        <v>44</v>
      </c>
      <c r="AN94" s="274">
        <f t="shared" si="237"/>
        <v>0</v>
      </c>
      <c r="AO94" s="274">
        <f t="shared" si="237"/>
        <v>396</v>
      </c>
      <c r="AP94" s="274">
        <f t="shared" si="237"/>
        <v>1022</v>
      </c>
      <c r="AQ94" s="587">
        <f t="shared" si="237"/>
        <v>0</v>
      </c>
      <c r="AR94" s="272"/>
      <c r="AS94" s="277">
        <f t="shared" ref="AS94:AY94" si="238">SUM(AS90:AS92)</f>
        <v>2036</v>
      </c>
      <c r="AT94" s="274">
        <f t="shared" si="238"/>
        <v>102</v>
      </c>
      <c r="AU94" s="274">
        <f t="shared" si="238"/>
        <v>36</v>
      </c>
      <c r="AV94" s="274">
        <f t="shared" si="238"/>
        <v>22</v>
      </c>
      <c r="AW94" s="274">
        <f t="shared" si="238"/>
        <v>828</v>
      </c>
      <c r="AX94" s="274">
        <f t="shared" si="238"/>
        <v>1048</v>
      </c>
      <c r="AY94" s="587">
        <f t="shared" si="238"/>
        <v>0</v>
      </c>
      <c r="AZ94" s="272"/>
      <c r="BA94" s="550">
        <f t="shared" ref="BA94:BG94" si="239">SUM(BA90:BA92)</f>
        <v>0</v>
      </c>
      <c r="BB94" s="277">
        <f t="shared" si="239"/>
        <v>1609</v>
      </c>
      <c r="BC94" s="274">
        <f t="shared" si="239"/>
        <v>41</v>
      </c>
      <c r="BD94" s="274">
        <f t="shared" si="239"/>
        <v>51</v>
      </c>
      <c r="BE94" s="274">
        <f t="shared" si="239"/>
        <v>68</v>
      </c>
      <c r="BF94" s="274">
        <f t="shared" si="239"/>
        <v>432</v>
      </c>
      <c r="BG94" s="274">
        <f t="shared" si="239"/>
        <v>1017</v>
      </c>
      <c r="BH94" s="313"/>
      <c r="BI94" s="273">
        <f t="shared" ref="BI94:BP94" si="240">SUM(BI90:BI92)</f>
        <v>0</v>
      </c>
      <c r="BJ94" s="274">
        <f t="shared" si="240"/>
        <v>0</v>
      </c>
      <c r="BK94" s="274">
        <f t="shared" si="240"/>
        <v>0</v>
      </c>
      <c r="BL94" s="274">
        <f t="shared" si="240"/>
        <v>0</v>
      </c>
      <c r="BM94" s="274">
        <f t="shared" si="240"/>
        <v>0</v>
      </c>
      <c r="BN94" s="274">
        <f t="shared" si="240"/>
        <v>0</v>
      </c>
      <c r="BO94" s="274">
        <f t="shared" si="240"/>
        <v>0</v>
      </c>
      <c r="BP94" s="289">
        <f t="shared" si="240"/>
        <v>0</v>
      </c>
      <c r="BQ94" s="275"/>
    </row>
    <row r="95" spans="1:71" x14ac:dyDescent="0.2">
      <c r="A95" s="286"/>
      <c r="B95" s="814" t="s">
        <v>275</v>
      </c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08">
        <f>COUNTIF(M11:M15,"&gt;0")+COUNTIF(M17:M19,"&gt;0")+COUNTIF(M22:M28,"&gt;0")+COUNTIF(M32:M36,"&gt;0")+COUNTIF(M57:M61,"&gt;0")+COUNTIF(M64:M66,"&gt;0")+COUNTIF(M73:M73,"&gt;0")+COUNTIF(M69,"&gt;0")+COUNTIF(M52:M54,"&gt;0")+COUNTIF(M45:M50,"&gt;0")+COUNTIF(M38:M43,"&gt;0")</f>
        <v>42</v>
      </c>
      <c r="N95" s="809"/>
      <c r="O95" s="809"/>
      <c r="P95" s="809"/>
      <c r="Q95" s="809"/>
      <c r="R95" s="809"/>
      <c r="S95" s="810"/>
      <c r="T95" s="313"/>
      <c r="U95" s="828">
        <f>COUNTIF(U11:U15,"&gt;0")+COUNTIF(U17:U19,"&gt;0")+COUNTIF(U22:U28,"&gt;0")+COUNTIF(U32:U36,"&gt;0")+COUNTIF(U65:U66,"&gt;0")+COUNTIF(U38:U43,"&gt;0")+COUNTIF(U58:U60,"&gt;0")+COUNTIF(U73:U73,"&gt;0")+COUNTIF(U45:U50,"&gt;0")+COUNTIF(U52:U54,"&gt;0")+COUNTIF(U69,"&gt;0")</f>
        <v>14</v>
      </c>
      <c r="V95" s="826"/>
      <c r="W95" s="826"/>
      <c r="X95" s="826"/>
      <c r="Y95" s="826"/>
      <c r="Z95" s="829"/>
      <c r="AA95" s="313"/>
      <c r="AB95" s="828">
        <f>COUNTIF(AB11:AB15,"&gt;0")+COUNTIF(AB17:AB19,"&gt;0")+COUNTIF(AB22:AB28,"&gt;0")+COUNTIF(AB32:AB36,"&gt;0")+COUNTIF(AB65:AB66,"&gt;0")+COUNTIF(AB38:AB43,"&gt;0")+COUNTIF(AB58:AB60,"&gt;0")+COUNTIF(AB73:AB73,"&gt;0")+COUNTIF(AB45:AB50,"&gt;0")+COUNTIF(AB52:AB54,"&gt;0")+COUNTIF(AB69,"&gt;0")</f>
        <v>12</v>
      </c>
      <c r="AC95" s="826"/>
      <c r="AD95" s="826"/>
      <c r="AE95" s="826"/>
      <c r="AF95" s="826"/>
      <c r="AG95" s="829"/>
      <c r="AH95" s="585"/>
      <c r="AI95" s="313"/>
      <c r="AJ95" s="272"/>
      <c r="AK95" s="828">
        <f>COUNTIF(AK11:AK15,"&gt;0")+COUNTIF(AK17:AK19,"&gt;0")+COUNTIF(AK22:AK28,"&gt;0")+COUNTIF(AK32:AK36,"&gt;0")+COUNTIF(AK65:AK66,"&gt;0")+COUNTIF(AK38:AK43,"&gt;0")+COUNTIF(AK58:AK60,"&gt;0")+COUNTIF(AK73:AK73,"&gt;0")+COUNTIF(AK45:AK50,"&gt;0")+COUNTIF(AK52:AK54,"&gt;0")+COUNTIF(AK69,"&gt;0")</f>
        <v>15</v>
      </c>
      <c r="AL95" s="826"/>
      <c r="AM95" s="826"/>
      <c r="AN95" s="826"/>
      <c r="AO95" s="826"/>
      <c r="AP95" s="829"/>
      <c r="AQ95" s="585"/>
      <c r="AR95" s="272"/>
      <c r="AS95" s="828">
        <f>COUNTIF(AS11:AS15,"&gt;0")+COUNTIF(AS17:AS19,"&gt;0")+COUNTIF(AS22:AS28,"&gt;0")+COUNTIF(AS32:AS36,"&gt;0")+COUNTIF(AS65:AS66,"&gt;0")+COUNTIF(AS38:AS43,"&gt;0")+COUNTIF(AS58:AS60,"&gt;0")+COUNTIF(AS73:AS73,"&gt;0")+COUNTIF(AS45:AS50,"&gt;0")+COUNTIF(AS52:AS54,"&gt;0")+COUNTIF(AS69,"&gt;0")</f>
        <v>14</v>
      </c>
      <c r="AT95" s="826"/>
      <c r="AU95" s="826"/>
      <c r="AV95" s="826"/>
      <c r="AW95" s="826"/>
      <c r="AX95" s="829"/>
      <c r="AY95" s="585"/>
      <c r="AZ95" s="290"/>
      <c r="BA95" s="548"/>
      <c r="BB95" s="828">
        <f>COUNTIF(BB11:BB15,"&gt;0")+COUNTIF(BB17:BB19,"&gt;0")+COUNTIF(BB22:BB28,"&gt;0")+COUNTIF(BB32:BB36,"&gt;0")+COUNTIF(BB65:BB66,"&gt;0")+COUNTIF(BB38:BB43,"&gt;0")+COUNTIF(BB58:BB60,"&gt;0")+COUNTIF(BB73:BB73,"&gt;0")+COUNTIF(BB45:BB50,"&gt;0")+COUNTIF(BB52:BB54,"&gt;0")+COUNTIF(BB69,"&gt;0")</f>
        <v>9</v>
      </c>
      <c r="BC95" s="826"/>
      <c r="BD95" s="826"/>
      <c r="BE95" s="826"/>
      <c r="BF95" s="826"/>
      <c r="BG95" s="829"/>
      <c r="BH95" s="552"/>
      <c r="BI95" s="825">
        <f>COUNTIF(BI11:BI15,"&gt;0")+COUNTIF(BI17:BI19,"&gt;0")+COUNTIF(BI22:BI28,"&gt;0")+COUNTIF(BI32:BI36,"&gt;0")+COUNTIF(BI65:BI66,"&gt;0")+COUNTIF(BI38:BI43,"&gt;0")+COUNTIF(BI58:BI60,"&gt;0")+COUNTIF(BI73:BI73,"&gt;0")+COUNTIF(BI45:BI50,"&gt;0")+COUNTIF(BI52:BI54,"&gt;0")+COUNTIF(BI69,"&gt;0")</f>
        <v>0</v>
      </c>
      <c r="BJ95" s="826"/>
      <c r="BK95" s="826"/>
      <c r="BL95" s="826"/>
      <c r="BM95" s="826"/>
      <c r="BN95" s="826"/>
      <c r="BO95" s="826"/>
      <c r="BP95" s="842"/>
      <c r="BQ95" s="275"/>
    </row>
    <row r="96" spans="1:71" x14ac:dyDescent="0.2">
      <c r="A96" s="286"/>
      <c r="B96" s="814" t="s">
        <v>88</v>
      </c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43">
        <f>COUNTIF(M79:M82,"&gt;0")+COUNTIF(M84:M84,"&gt;0")</f>
        <v>1</v>
      </c>
      <c r="N96" s="844"/>
      <c r="O96" s="844"/>
      <c r="P96" s="844"/>
      <c r="Q96" s="844"/>
      <c r="R96" s="844"/>
      <c r="S96" s="845"/>
      <c r="T96" s="313"/>
      <c r="U96" s="846">
        <f>COUNTIF(U79:U82,"&gt;0")+COUNTIF(U84:U84,"&gt;0")</f>
        <v>0</v>
      </c>
      <c r="V96" s="847"/>
      <c r="W96" s="847"/>
      <c r="X96" s="847"/>
      <c r="Y96" s="847"/>
      <c r="Z96" s="848"/>
      <c r="AA96" s="313"/>
      <c r="AB96" s="846">
        <f>COUNTIF(AB79:AB82,"&gt;0")+COUNTIF(AB84:AB84,"&gt;0")</f>
        <v>0</v>
      </c>
      <c r="AC96" s="847"/>
      <c r="AD96" s="847"/>
      <c r="AE96" s="847"/>
      <c r="AF96" s="847"/>
      <c r="AG96" s="848"/>
      <c r="AH96" s="585"/>
      <c r="AI96" s="313"/>
      <c r="AJ96" s="272"/>
      <c r="AK96" s="846">
        <f>COUNTIF(AK79:AK82,"&gt;0")+COUNTIF(AK84:AK84,"&gt;0")</f>
        <v>0</v>
      </c>
      <c r="AL96" s="847"/>
      <c r="AM96" s="847"/>
      <c r="AN96" s="847"/>
      <c r="AO96" s="847"/>
      <c r="AP96" s="848"/>
      <c r="AQ96" s="585"/>
      <c r="AR96" s="272"/>
      <c r="AS96" s="846">
        <f>COUNTIF(AS79:AS82,"&gt;0")+COUNTIF(AS84:AS84,"&gt;0")</f>
        <v>0</v>
      </c>
      <c r="AT96" s="847"/>
      <c r="AU96" s="847"/>
      <c r="AV96" s="847"/>
      <c r="AW96" s="847"/>
      <c r="AX96" s="848"/>
      <c r="AY96" s="585"/>
      <c r="AZ96" s="290"/>
      <c r="BA96" s="548"/>
      <c r="BB96" s="846">
        <f>COUNTIF(BB79:BB82,"&gt;0")+COUNTIF(BB84:BB84,"&gt;0")</f>
        <v>1</v>
      </c>
      <c r="BC96" s="847"/>
      <c r="BD96" s="847"/>
      <c r="BE96" s="847"/>
      <c r="BF96" s="847"/>
      <c r="BG96" s="848"/>
      <c r="BH96" s="552"/>
      <c r="BI96" s="847">
        <f>COUNTIF(BI79:BI82,"&gt;0")+COUNTIF(BI84:BI84,"&gt;0")</f>
        <v>0</v>
      </c>
      <c r="BJ96" s="847"/>
      <c r="BK96" s="847"/>
      <c r="BL96" s="847"/>
      <c r="BM96" s="847"/>
      <c r="BN96" s="847"/>
      <c r="BO96" s="847"/>
      <c r="BP96" s="825"/>
      <c r="BQ96" s="275"/>
    </row>
    <row r="97" spans="1:69" x14ac:dyDescent="0.2">
      <c r="A97" s="291"/>
      <c r="B97" s="838" t="s">
        <v>615</v>
      </c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33">
        <f>M94/(X3+AO3+AV3+BE3)</f>
        <v>42.1</v>
      </c>
      <c r="N97" s="834"/>
      <c r="O97" s="834"/>
      <c r="P97" s="834"/>
      <c r="Q97" s="834"/>
      <c r="R97" s="834"/>
      <c r="S97" s="835"/>
      <c r="T97" s="313"/>
      <c r="U97" s="839">
        <f>U90/X3</f>
        <v>35.799999999999997</v>
      </c>
      <c r="V97" s="840"/>
      <c r="W97" s="840"/>
      <c r="X97" s="840"/>
      <c r="Y97" s="840"/>
      <c r="Z97" s="841"/>
      <c r="AA97" s="313"/>
      <c r="AB97" s="839">
        <f>AB90/AE3</f>
        <v>38.1</v>
      </c>
      <c r="AC97" s="840"/>
      <c r="AD97" s="840"/>
      <c r="AE97" s="840"/>
      <c r="AF97" s="840"/>
      <c r="AG97" s="841"/>
      <c r="AH97" s="585"/>
      <c r="AI97" s="313"/>
      <c r="AJ97" s="272"/>
      <c r="AK97" s="839">
        <f>AK90/AO3</f>
        <v>29.6</v>
      </c>
      <c r="AL97" s="840"/>
      <c r="AM97" s="840"/>
      <c r="AN97" s="840"/>
      <c r="AO97" s="840"/>
      <c r="AP97" s="841"/>
      <c r="AQ97" s="585"/>
      <c r="AR97" s="272"/>
      <c r="AS97" s="839">
        <f>AS90/AV3</f>
        <v>30.2</v>
      </c>
      <c r="AT97" s="840"/>
      <c r="AU97" s="840"/>
      <c r="AV97" s="840"/>
      <c r="AW97" s="840"/>
      <c r="AX97" s="841"/>
      <c r="AY97" s="585"/>
      <c r="AZ97" s="290"/>
      <c r="BA97" s="548"/>
      <c r="BB97" s="839">
        <f>BB90/BE3</f>
        <v>24</v>
      </c>
      <c r="BC97" s="840"/>
      <c r="BD97" s="840"/>
      <c r="BE97" s="840"/>
      <c r="BF97" s="840"/>
      <c r="BG97" s="841"/>
      <c r="BH97" s="552"/>
      <c r="BI97" s="840">
        <f>BI94/BM3</f>
        <v>0</v>
      </c>
      <c r="BJ97" s="840"/>
      <c r="BK97" s="840"/>
      <c r="BL97" s="840"/>
      <c r="BM97" s="840"/>
      <c r="BN97" s="840"/>
      <c r="BO97" s="840"/>
      <c r="BP97" s="830"/>
      <c r="BQ97" s="275"/>
    </row>
    <row r="98" spans="1:69" x14ac:dyDescent="0.2">
      <c r="A98" s="292"/>
      <c r="B98" s="814" t="s">
        <v>273</v>
      </c>
      <c r="C98" s="815"/>
      <c r="D98" s="815"/>
      <c r="E98" s="815"/>
      <c r="F98" s="815"/>
      <c r="G98" s="815"/>
      <c r="H98" s="815"/>
      <c r="I98" s="815"/>
      <c r="J98" s="815"/>
      <c r="K98" s="815"/>
      <c r="L98" s="815"/>
      <c r="M98" s="833">
        <f>IF('Титул заочное обучение'!BD30=0,0,IF(M90=0,0,M90/(X3+AO3+AV3+BE3)))</f>
        <v>27.4</v>
      </c>
      <c r="N98" s="834"/>
      <c r="O98" s="834"/>
      <c r="P98" s="834"/>
      <c r="Q98" s="834"/>
      <c r="R98" s="834"/>
      <c r="S98" s="835"/>
      <c r="T98" s="313"/>
      <c r="U98" s="836">
        <f>SUM(V90:X90)/X3*6</f>
        <v>32</v>
      </c>
      <c r="V98" s="831"/>
      <c r="W98" s="831"/>
      <c r="X98" s="831"/>
      <c r="Y98" s="831"/>
      <c r="Z98" s="837"/>
      <c r="AA98" s="313"/>
      <c r="AB98" s="836">
        <f>SUM(AC90:AE90)/AE3*6</f>
        <v>32</v>
      </c>
      <c r="AC98" s="831"/>
      <c r="AD98" s="831"/>
      <c r="AE98" s="831"/>
      <c r="AF98" s="831"/>
      <c r="AG98" s="837"/>
      <c r="AH98" s="585"/>
      <c r="AI98" s="313"/>
      <c r="AJ98" s="272"/>
      <c r="AK98" s="836">
        <f>SUM(AL90:AN90)/AO3*6</f>
        <v>24</v>
      </c>
      <c r="AL98" s="831"/>
      <c r="AM98" s="831"/>
      <c r="AN98" s="831"/>
      <c r="AO98" s="831"/>
      <c r="AP98" s="837"/>
      <c r="AQ98" s="585"/>
      <c r="AR98" s="272"/>
      <c r="AS98" s="836">
        <f>SUM(AT90:AV90)/AV3*6</f>
        <v>24</v>
      </c>
      <c r="AT98" s="831"/>
      <c r="AU98" s="831"/>
      <c r="AV98" s="831"/>
      <c r="AW98" s="831"/>
      <c r="AX98" s="837"/>
      <c r="AY98" s="585"/>
      <c r="AZ98" s="290"/>
      <c r="BA98" s="548"/>
      <c r="BB98" s="836">
        <f>SUM(BC90:BE90)/BE3*7</f>
        <v>28</v>
      </c>
      <c r="BC98" s="831"/>
      <c r="BD98" s="831"/>
      <c r="BE98" s="831"/>
      <c r="BF98" s="831"/>
      <c r="BG98" s="837"/>
      <c r="BH98" s="552"/>
      <c r="BI98" s="830">
        <f>SUM(BK90:BM90)/BM3*7</f>
        <v>0</v>
      </c>
      <c r="BJ98" s="831"/>
      <c r="BK98" s="831"/>
      <c r="BL98" s="831"/>
      <c r="BM98" s="831"/>
      <c r="BN98" s="831"/>
      <c r="BO98" s="831"/>
      <c r="BP98" s="832"/>
      <c r="BQ98" s="275"/>
    </row>
    <row r="99" spans="1:69" x14ac:dyDescent="0.2">
      <c r="A99" s="292"/>
      <c r="B99" s="814" t="s">
        <v>272</v>
      </c>
      <c r="C99" s="815"/>
      <c r="D99" s="815"/>
      <c r="E99" s="815"/>
      <c r="F99" s="815"/>
      <c r="G99" s="815"/>
      <c r="H99" s="815"/>
      <c r="I99" s="815"/>
      <c r="J99" s="815"/>
      <c r="K99" s="815"/>
      <c r="L99" s="815"/>
      <c r="M99" s="808">
        <f>U99+AK99+AS99+BB99</f>
        <v>12</v>
      </c>
      <c r="N99" s="809"/>
      <c r="O99" s="809"/>
      <c r="P99" s="809"/>
      <c r="Q99" s="809"/>
      <c r="R99" s="809"/>
      <c r="S99" s="810"/>
      <c r="T99" s="316"/>
      <c r="U99" s="828">
        <f>COUNTIF($D$9:$D$75,"*1*")</f>
        <v>3</v>
      </c>
      <c r="V99" s="826"/>
      <c r="W99" s="826"/>
      <c r="X99" s="826"/>
      <c r="Y99" s="826"/>
      <c r="Z99" s="829"/>
      <c r="AA99" s="316"/>
      <c r="AB99" s="828">
        <f>COUNTIF($D$9:$D$75,"*2*")</f>
        <v>2</v>
      </c>
      <c r="AC99" s="826"/>
      <c r="AD99" s="826"/>
      <c r="AE99" s="826"/>
      <c r="AF99" s="826"/>
      <c r="AG99" s="829"/>
      <c r="AH99" s="588"/>
      <c r="AI99" s="316"/>
      <c r="AJ99" s="584"/>
      <c r="AK99" s="828">
        <f>COUNTIF($D$9:$D$75,"*3*")</f>
        <v>3</v>
      </c>
      <c r="AL99" s="826"/>
      <c r="AM99" s="826"/>
      <c r="AN99" s="826"/>
      <c r="AO99" s="826"/>
      <c r="AP99" s="829"/>
      <c r="AQ99" s="588"/>
      <c r="AR99" s="584"/>
      <c r="AS99" s="828">
        <f>COUNTIF($D$9:$D$75,"*4*")</f>
        <v>5</v>
      </c>
      <c r="AT99" s="826"/>
      <c r="AU99" s="826"/>
      <c r="AV99" s="826"/>
      <c r="AW99" s="826"/>
      <c r="AX99" s="829"/>
      <c r="AY99" s="588"/>
      <c r="AZ99" s="293"/>
      <c r="BA99" s="551"/>
      <c r="BB99" s="828">
        <f>COUNTIF($D$9:$D$75,"*5*")</f>
        <v>1</v>
      </c>
      <c r="BC99" s="826"/>
      <c r="BD99" s="826"/>
      <c r="BE99" s="826"/>
      <c r="BF99" s="826"/>
      <c r="BG99" s="829"/>
      <c r="BH99" s="553"/>
      <c r="BI99" s="825">
        <f>COUNTIF($D$9:$D$75,"*6*")</f>
        <v>0</v>
      </c>
      <c r="BJ99" s="826"/>
      <c r="BK99" s="826"/>
      <c r="BL99" s="826"/>
      <c r="BM99" s="826"/>
      <c r="BN99" s="826"/>
      <c r="BO99" s="826"/>
      <c r="BP99" s="827"/>
      <c r="BQ99" s="294"/>
    </row>
    <row r="100" spans="1:69" x14ac:dyDescent="0.2">
      <c r="A100" s="286"/>
      <c r="B100" s="814" t="s">
        <v>271</v>
      </c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08">
        <f>U100+AK100+AS100+BB100</f>
        <v>29</v>
      </c>
      <c r="N100" s="809"/>
      <c r="O100" s="809"/>
      <c r="P100" s="809"/>
      <c r="Q100" s="809"/>
      <c r="R100" s="809"/>
      <c r="S100" s="810"/>
      <c r="T100" s="316"/>
      <c r="U100" s="828">
        <f>COUNTIF($E$9:$E$75,"*1*")</f>
        <v>7</v>
      </c>
      <c r="V100" s="826"/>
      <c r="W100" s="826"/>
      <c r="X100" s="826"/>
      <c r="Y100" s="826"/>
      <c r="Z100" s="829"/>
      <c r="AA100" s="316"/>
      <c r="AB100" s="828">
        <f>COUNTIF($E$9:$E$75,"*2*")</f>
        <v>5</v>
      </c>
      <c r="AC100" s="826"/>
      <c r="AD100" s="826"/>
      <c r="AE100" s="826"/>
      <c r="AF100" s="826"/>
      <c r="AG100" s="829"/>
      <c r="AH100" s="588"/>
      <c r="AI100" s="316"/>
      <c r="AJ100" s="584"/>
      <c r="AK100" s="828">
        <f>COUNTIF($E$9:$E$75,"*3*")</f>
        <v>7</v>
      </c>
      <c r="AL100" s="826"/>
      <c r="AM100" s="826"/>
      <c r="AN100" s="826"/>
      <c r="AO100" s="826"/>
      <c r="AP100" s="829"/>
      <c r="AQ100" s="588"/>
      <c r="AR100" s="584"/>
      <c r="AS100" s="828">
        <f>COUNTIF($E$9:$E$75,"*4*")</f>
        <v>8</v>
      </c>
      <c r="AT100" s="826"/>
      <c r="AU100" s="826"/>
      <c r="AV100" s="826"/>
      <c r="AW100" s="826"/>
      <c r="AX100" s="829"/>
      <c r="AY100" s="588"/>
      <c r="AZ100" s="293"/>
      <c r="BA100" s="551"/>
      <c r="BB100" s="828">
        <f>COUNTIF($E$9:$E$75,"*5*")</f>
        <v>7</v>
      </c>
      <c r="BC100" s="826"/>
      <c r="BD100" s="826"/>
      <c r="BE100" s="826"/>
      <c r="BF100" s="826"/>
      <c r="BG100" s="829"/>
      <c r="BH100" s="553"/>
      <c r="BI100" s="825">
        <f>COUNTIF($E$9:$E$75,"*6*")</f>
        <v>0</v>
      </c>
      <c r="BJ100" s="826"/>
      <c r="BK100" s="826"/>
      <c r="BL100" s="826"/>
      <c r="BM100" s="826"/>
      <c r="BN100" s="826"/>
      <c r="BO100" s="826"/>
      <c r="BP100" s="827"/>
      <c r="BQ100" s="294"/>
    </row>
    <row r="101" spans="1:69" x14ac:dyDescent="0.2">
      <c r="A101" s="286"/>
      <c r="B101" s="814" t="s">
        <v>269</v>
      </c>
      <c r="C101" s="815"/>
      <c r="D101" s="815"/>
      <c r="E101" s="815"/>
      <c r="F101" s="815"/>
      <c r="G101" s="815"/>
      <c r="H101" s="815"/>
      <c r="I101" s="815"/>
      <c r="J101" s="815"/>
      <c r="K101" s="815"/>
      <c r="L101" s="815"/>
      <c r="M101" s="808">
        <f>U101+AK101+AS101+BB101</f>
        <v>4</v>
      </c>
      <c r="N101" s="809"/>
      <c r="O101" s="809"/>
      <c r="P101" s="809"/>
      <c r="Q101" s="809"/>
      <c r="R101" s="809"/>
      <c r="S101" s="810"/>
      <c r="T101" s="316"/>
      <c r="U101" s="702">
        <f>COUNTIF($G$9:$G$74,"*1*")</f>
        <v>0</v>
      </c>
      <c r="V101" s="701"/>
      <c r="W101" s="701"/>
      <c r="X101" s="701"/>
      <c r="Y101" s="701"/>
      <c r="Z101" s="703"/>
      <c r="AA101" s="316"/>
      <c r="AB101" s="702">
        <f>COUNTIF($G$9:$G$74,"*2*")</f>
        <v>0</v>
      </c>
      <c r="AC101" s="701"/>
      <c r="AD101" s="701"/>
      <c r="AE101" s="701"/>
      <c r="AF101" s="701"/>
      <c r="AG101" s="703"/>
      <c r="AH101" s="588"/>
      <c r="AI101" s="316"/>
      <c r="AJ101" s="584"/>
      <c r="AK101" s="702">
        <f>COUNTIF($F$9:$F$75,"*3*")</f>
        <v>1</v>
      </c>
      <c r="AL101" s="701"/>
      <c r="AM101" s="701"/>
      <c r="AN101" s="701"/>
      <c r="AO101" s="701"/>
      <c r="AP101" s="703"/>
      <c r="AQ101" s="588"/>
      <c r="AR101" s="584"/>
      <c r="AS101" s="702">
        <f>COUNTIF($F$9:$F$75,"*4*")</f>
        <v>1</v>
      </c>
      <c r="AT101" s="701"/>
      <c r="AU101" s="701"/>
      <c r="AV101" s="701"/>
      <c r="AW101" s="701"/>
      <c r="AX101" s="703"/>
      <c r="AY101" s="588"/>
      <c r="AZ101" s="293"/>
      <c r="BA101" s="551"/>
      <c r="BB101" s="702">
        <f>COUNTIF($F$9:$F$75,"*5*")</f>
        <v>2</v>
      </c>
      <c r="BC101" s="701"/>
      <c r="BD101" s="701"/>
      <c r="BE101" s="701"/>
      <c r="BF101" s="701"/>
      <c r="BG101" s="703"/>
      <c r="BH101" s="553"/>
      <c r="BI101" s="716">
        <f>COUNTIF($F$9:$F$75,"*6*")</f>
        <v>0</v>
      </c>
      <c r="BJ101" s="701"/>
      <c r="BK101" s="701"/>
      <c r="BL101" s="701"/>
      <c r="BM101" s="701"/>
      <c r="BN101" s="701"/>
      <c r="BO101" s="701"/>
      <c r="BP101" s="824"/>
      <c r="BQ101" s="294"/>
    </row>
    <row r="102" spans="1:69" x14ac:dyDescent="0.2">
      <c r="A102" s="286"/>
      <c r="B102" s="814" t="s">
        <v>268</v>
      </c>
      <c r="C102" s="815"/>
      <c r="D102" s="815"/>
      <c r="E102" s="815"/>
      <c r="F102" s="815"/>
      <c r="G102" s="815"/>
      <c r="H102" s="815"/>
      <c r="I102" s="815"/>
      <c r="J102" s="815"/>
      <c r="K102" s="815"/>
      <c r="L102" s="815"/>
      <c r="M102" s="808">
        <f>U102+AK102+AS102+BB102</f>
        <v>3</v>
      </c>
      <c r="N102" s="809"/>
      <c r="O102" s="809"/>
      <c r="P102" s="809"/>
      <c r="Q102" s="809"/>
      <c r="R102" s="809"/>
      <c r="S102" s="810"/>
      <c r="T102" s="316"/>
      <c r="U102" s="702">
        <f>COUNTIF($G$9:$G$75,"*1*")</f>
        <v>0</v>
      </c>
      <c r="V102" s="701"/>
      <c r="W102" s="701"/>
      <c r="X102" s="701"/>
      <c r="Y102" s="701"/>
      <c r="Z102" s="703"/>
      <c r="AA102" s="316"/>
      <c r="AB102" s="702">
        <f>COUNTIF($G$9:$G$75,"*2*")</f>
        <v>0</v>
      </c>
      <c r="AC102" s="701"/>
      <c r="AD102" s="701"/>
      <c r="AE102" s="701"/>
      <c r="AF102" s="701"/>
      <c r="AG102" s="703"/>
      <c r="AH102" s="588"/>
      <c r="AI102" s="316"/>
      <c r="AJ102" s="584"/>
      <c r="AK102" s="702">
        <f>COUNTIF($G$9:$G$75,"*3*")</f>
        <v>0</v>
      </c>
      <c r="AL102" s="701"/>
      <c r="AM102" s="701"/>
      <c r="AN102" s="701"/>
      <c r="AO102" s="701"/>
      <c r="AP102" s="703"/>
      <c r="AQ102" s="588"/>
      <c r="AR102" s="584"/>
      <c r="AS102" s="702">
        <f>COUNTIF($G$9:$G$75,"*4*")</f>
        <v>1</v>
      </c>
      <c r="AT102" s="701"/>
      <c r="AU102" s="701"/>
      <c r="AV102" s="701"/>
      <c r="AW102" s="701"/>
      <c r="AX102" s="703"/>
      <c r="AY102" s="588"/>
      <c r="AZ102" s="293"/>
      <c r="BA102" s="551"/>
      <c r="BB102" s="702">
        <f>COUNTIF($G$9:$G$75,"*5*")</f>
        <v>2</v>
      </c>
      <c r="BC102" s="701"/>
      <c r="BD102" s="701"/>
      <c r="BE102" s="701"/>
      <c r="BF102" s="701"/>
      <c r="BG102" s="703"/>
      <c r="BH102" s="553"/>
      <c r="BI102" s="716">
        <f>COUNTIF($G$9:$G$75,"*6*")</f>
        <v>0</v>
      </c>
      <c r="BJ102" s="701"/>
      <c r="BK102" s="701"/>
      <c r="BL102" s="701"/>
      <c r="BM102" s="701"/>
      <c r="BN102" s="701"/>
      <c r="BO102" s="701"/>
      <c r="BP102" s="824"/>
      <c r="BQ102" s="294"/>
    </row>
    <row r="103" spans="1:69" x14ac:dyDescent="0.2">
      <c r="A103" s="295"/>
      <c r="B103" s="814" t="s">
        <v>270</v>
      </c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08">
        <f>U103+AK103+AS103+BB103</f>
        <v>22</v>
      </c>
      <c r="N103" s="809"/>
      <c r="O103" s="809"/>
      <c r="P103" s="809"/>
      <c r="Q103" s="809"/>
      <c r="R103" s="809"/>
      <c r="S103" s="810"/>
      <c r="T103" s="316"/>
      <c r="U103" s="702">
        <f>COUNTIF($H$9:$H$74,"*1*")</f>
        <v>4</v>
      </c>
      <c r="V103" s="701"/>
      <c r="W103" s="701"/>
      <c r="X103" s="701"/>
      <c r="Y103" s="701"/>
      <c r="Z103" s="703"/>
      <c r="AA103" s="316"/>
      <c r="AB103" s="702">
        <f>COUNTIF($H$9:$H$74,"*1*")</f>
        <v>4</v>
      </c>
      <c r="AC103" s="701"/>
      <c r="AD103" s="701"/>
      <c r="AE103" s="701"/>
      <c r="AF103" s="701"/>
      <c r="AG103" s="703"/>
      <c r="AH103" s="588"/>
      <c r="AI103" s="316"/>
      <c r="AJ103" s="584"/>
      <c r="AK103" s="702">
        <f>COUNTIF($H$9:$H$75,"*3*")</f>
        <v>8</v>
      </c>
      <c r="AL103" s="701"/>
      <c r="AM103" s="701"/>
      <c r="AN103" s="701"/>
      <c r="AO103" s="701"/>
      <c r="AP103" s="703"/>
      <c r="AQ103" s="588"/>
      <c r="AR103" s="584"/>
      <c r="AS103" s="702">
        <f>COUNTIF($H$9:$H$75,"*4*")</f>
        <v>6</v>
      </c>
      <c r="AT103" s="701"/>
      <c r="AU103" s="701"/>
      <c r="AV103" s="701"/>
      <c r="AW103" s="701"/>
      <c r="AX103" s="703"/>
      <c r="AY103" s="588"/>
      <c r="AZ103" s="293"/>
      <c r="BA103" s="551"/>
      <c r="BB103" s="702">
        <f>COUNTIF($H$9:$H$75,"*5*")</f>
        <v>4</v>
      </c>
      <c r="BC103" s="701"/>
      <c r="BD103" s="701"/>
      <c r="BE103" s="701"/>
      <c r="BF103" s="701"/>
      <c r="BG103" s="703"/>
      <c r="BH103" s="553"/>
      <c r="BI103" s="716">
        <f>COUNTIF($H$9:$H$75,"*6*")</f>
        <v>0</v>
      </c>
      <c r="BJ103" s="701"/>
      <c r="BK103" s="701"/>
      <c r="BL103" s="701"/>
      <c r="BM103" s="701"/>
      <c r="BN103" s="701"/>
      <c r="BO103" s="701"/>
      <c r="BP103" s="824"/>
      <c r="BQ103" s="294"/>
    </row>
    <row r="106" spans="1:69" hidden="1" x14ac:dyDescent="0.2">
      <c r="A106" s="768" t="s">
        <v>298</v>
      </c>
      <c r="B106" s="768"/>
      <c r="C106" s="767" t="s">
        <v>299</v>
      </c>
      <c r="D106" s="767"/>
      <c r="E106" s="767" t="s">
        <v>320</v>
      </c>
      <c r="F106" s="767"/>
    </row>
    <row r="107" spans="1:69" hidden="1" x14ac:dyDescent="0.2">
      <c r="A107" s="73">
        <v>1</v>
      </c>
      <c r="B107" s="73">
        <v>11</v>
      </c>
      <c r="C107" s="74">
        <v>2</v>
      </c>
      <c r="D107" s="75" t="s">
        <v>41</v>
      </c>
      <c r="E107" s="74">
        <v>2</v>
      </c>
      <c r="F107" s="75" t="s">
        <v>40</v>
      </c>
    </row>
    <row r="108" spans="1:69" ht="51" hidden="1" x14ac:dyDescent="0.2">
      <c r="A108" s="73" t="s">
        <v>278</v>
      </c>
      <c r="B108" s="73" t="s">
        <v>155</v>
      </c>
      <c r="C108" s="73" t="s">
        <v>7</v>
      </c>
      <c r="D108" s="76" t="s">
        <v>301</v>
      </c>
      <c r="E108" s="73" t="s">
        <v>7</v>
      </c>
      <c r="F108" s="76" t="s">
        <v>301</v>
      </c>
    </row>
    <row r="109" spans="1:69" hidden="1" x14ac:dyDescent="0.2">
      <c r="A109" s="73">
        <v>1</v>
      </c>
      <c r="B109" s="73">
        <v>21</v>
      </c>
      <c r="C109" s="74">
        <v>2</v>
      </c>
      <c r="D109" s="75" t="s">
        <v>41</v>
      </c>
      <c r="E109" s="74">
        <v>2</v>
      </c>
      <c r="F109" s="75" t="s">
        <v>40</v>
      </c>
    </row>
    <row r="110" spans="1:69" ht="51" hidden="1" x14ac:dyDescent="0.2">
      <c r="A110" s="73" t="s">
        <v>278</v>
      </c>
      <c r="B110" s="73" t="s">
        <v>155</v>
      </c>
      <c r="C110" s="73" t="s">
        <v>7</v>
      </c>
      <c r="D110" s="76" t="s">
        <v>302</v>
      </c>
      <c r="E110" s="73" t="s">
        <v>7</v>
      </c>
      <c r="F110" s="76" t="s">
        <v>302</v>
      </c>
    </row>
    <row r="111" spans="1:69" hidden="1" x14ac:dyDescent="0.2">
      <c r="A111" s="73">
        <v>1</v>
      </c>
      <c r="B111" s="73">
        <v>30</v>
      </c>
      <c r="C111" s="74">
        <v>2</v>
      </c>
      <c r="D111" s="75" t="s">
        <v>41</v>
      </c>
      <c r="E111" s="74">
        <v>2</v>
      </c>
      <c r="F111" s="75" t="s">
        <v>40</v>
      </c>
    </row>
    <row r="112" spans="1:69" ht="51" hidden="1" x14ac:dyDescent="0.2">
      <c r="A112" s="73" t="s">
        <v>278</v>
      </c>
      <c r="B112" s="73" t="s">
        <v>155</v>
      </c>
      <c r="C112" s="73" t="s">
        <v>7</v>
      </c>
      <c r="D112" s="76" t="s">
        <v>303</v>
      </c>
      <c r="E112" s="73" t="s">
        <v>7</v>
      </c>
      <c r="F112" s="76" t="s">
        <v>303</v>
      </c>
    </row>
    <row r="113" spans="1:6" hidden="1" x14ac:dyDescent="0.2">
      <c r="A113" s="73">
        <v>1</v>
      </c>
      <c r="B113" s="73">
        <v>39</v>
      </c>
      <c r="C113" s="74">
        <v>2</v>
      </c>
      <c r="D113" s="75" t="s">
        <v>41</v>
      </c>
      <c r="E113" s="74">
        <v>2</v>
      </c>
      <c r="F113" s="75" t="s">
        <v>40</v>
      </c>
    </row>
    <row r="114" spans="1:6" ht="51" hidden="1" x14ac:dyDescent="0.2">
      <c r="A114" s="73" t="s">
        <v>278</v>
      </c>
      <c r="B114" s="73" t="s">
        <v>155</v>
      </c>
      <c r="C114" s="73" t="s">
        <v>7</v>
      </c>
      <c r="D114" s="76" t="s">
        <v>304</v>
      </c>
      <c r="E114" s="73" t="s">
        <v>7</v>
      </c>
      <c r="F114" s="76" t="s">
        <v>304</v>
      </c>
    </row>
    <row r="115" spans="1:6" hidden="1" x14ac:dyDescent="0.2">
      <c r="A115" s="73">
        <v>1</v>
      </c>
      <c r="B115" s="73">
        <v>48</v>
      </c>
      <c r="C115" s="74">
        <v>2</v>
      </c>
      <c r="D115" s="75" t="s">
        <v>41</v>
      </c>
      <c r="E115" s="74">
        <v>2</v>
      </c>
      <c r="F115" s="75" t="s">
        <v>40</v>
      </c>
    </row>
    <row r="116" spans="1:6" ht="51" hidden="1" x14ac:dyDescent="0.2">
      <c r="A116" s="73" t="s">
        <v>278</v>
      </c>
      <c r="B116" s="73" t="s">
        <v>155</v>
      </c>
      <c r="C116" s="73" t="s">
        <v>7</v>
      </c>
      <c r="D116" s="76" t="s">
        <v>305</v>
      </c>
      <c r="E116" s="73" t="s">
        <v>7</v>
      </c>
      <c r="F116" s="76" t="s">
        <v>305</v>
      </c>
    </row>
    <row r="117" spans="1:6" hidden="1" x14ac:dyDescent="0.2">
      <c r="A117" s="73">
        <v>1</v>
      </c>
      <c r="B117" s="73">
        <v>57</v>
      </c>
      <c r="C117" s="74">
        <v>2</v>
      </c>
      <c r="D117" s="75" t="s">
        <v>41</v>
      </c>
      <c r="E117" s="74">
        <v>2</v>
      </c>
      <c r="F117" s="75" t="s">
        <v>40</v>
      </c>
    </row>
    <row r="118" spans="1:6" ht="51" hidden="1" x14ac:dyDescent="0.2">
      <c r="A118" s="73" t="s">
        <v>278</v>
      </c>
      <c r="B118" s="73" t="s">
        <v>155</v>
      </c>
      <c r="C118" s="73" t="s">
        <v>7</v>
      </c>
      <c r="D118" s="76" t="s">
        <v>306</v>
      </c>
      <c r="E118" s="73" t="s">
        <v>7</v>
      </c>
      <c r="F118" s="76" t="s">
        <v>306</v>
      </c>
    </row>
    <row r="119" spans="1:6" hidden="1" x14ac:dyDescent="0.2">
      <c r="A119" s="73">
        <v>1</v>
      </c>
      <c r="B119" s="73">
        <v>66</v>
      </c>
      <c r="C119" s="74">
        <v>2</v>
      </c>
      <c r="D119" s="75" t="s">
        <v>41</v>
      </c>
      <c r="E119" s="74">
        <v>2</v>
      </c>
      <c r="F119" s="75" t="s">
        <v>40</v>
      </c>
    </row>
    <row r="120" spans="1:6" ht="51" hidden="1" x14ac:dyDescent="0.2">
      <c r="A120" s="73" t="s">
        <v>278</v>
      </c>
      <c r="B120" s="73" t="s">
        <v>155</v>
      </c>
      <c r="C120" s="73" t="s">
        <v>7</v>
      </c>
      <c r="D120" s="76" t="s">
        <v>307</v>
      </c>
      <c r="E120" s="73" t="s">
        <v>7</v>
      </c>
      <c r="F120" s="76" t="s">
        <v>307</v>
      </c>
    </row>
    <row r="121" spans="1:6" hidden="1" x14ac:dyDescent="0.2">
      <c r="A121" s="73">
        <v>1</v>
      </c>
      <c r="B121" s="73">
        <v>75</v>
      </c>
      <c r="C121" s="74">
        <v>2</v>
      </c>
      <c r="D121" s="75" t="s">
        <v>41</v>
      </c>
      <c r="E121" s="74">
        <v>2</v>
      </c>
      <c r="F121" s="75" t="s">
        <v>40</v>
      </c>
    </row>
    <row r="122" spans="1:6" ht="51" hidden="1" x14ac:dyDescent="0.2">
      <c r="A122" s="73" t="s">
        <v>278</v>
      </c>
      <c r="B122" s="73" t="s">
        <v>155</v>
      </c>
      <c r="C122" s="73" t="s">
        <v>7</v>
      </c>
      <c r="D122" s="76" t="s">
        <v>308</v>
      </c>
      <c r="E122" s="73" t="s">
        <v>7</v>
      </c>
      <c r="F122" s="76" t="s">
        <v>308</v>
      </c>
    </row>
    <row r="123" spans="1:6" hidden="1" x14ac:dyDescent="0.2">
      <c r="A123" s="73">
        <v>1</v>
      </c>
      <c r="B123" s="73">
        <v>84</v>
      </c>
      <c r="C123" s="74">
        <v>2</v>
      </c>
      <c r="D123" s="75" t="s">
        <v>41</v>
      </c>
      <c r="E123" s="74">
        <v>2</v>
      </c>
      <c r="F123" s="75" t="s">
        <v>40</v>
      </c>
    </row>
    <row r="124" spans="1:6" ht="51" hidden="1" x14ac:dyDescent="0.2">
      <c r="A124" s="73" t="s">
        <v>278</v>
      </c>
      <c r="B124" s="73" t="s">
        <v>155</v>
      </c>
      <c r="C124" s="73" t="s">
        <v>7</v>
      </c>
      <c r="D124" s="76" t="s">
        <v>309</v>
      </c>
      <c r="E124" s="73" t="s">
        <v>7</v>
      </c>
      <c r="F124" s="76" t="s">
        <v>309</v>
      </c>
    </row>
    <row r="125" spans="1:6" hidden="1" x14ac:dyDescent="0.2">
      <c r="A125" s="73">
        <v>1</v>
      </c>
      <c r="B125" s="73">
        <v>93</v>
      </c>
      <c r="C125" s="74">
        <v>2</v>
      </c>
      <c r="D125" s="75" t="s">
        <v>41</v>
      </c>
      <c r="E125" s="74">
        <v>2</v>
      </c>
      <c r="F125" s="75" t="s">
        <v>40</v>
      </c>
    </row>
    <row r="126" spans="1:6" ht="51" hidden="1" x14ac:dyDescent="0.2">
      <c r="A126" s="73" t="s">
        <v>278</v>
      </c>
      <c r="B126" s="73" t="s">
        <v>155</v>
      </c>
      <c r="C126" s="73" t="s">
        <v>7</v>
      </c>
      <c r="D126" s="76" t="s">
        <v>310</v>
      </c>
      <c r="E126" s="73" t="s">
        <v>7</v>
      </c>
      <c r="F126" s="76" t="s">
        <v>310</v>
      </c>
    </row>
    <row r="127" spans="1:6" hidden="1" x14ac:dyDescent="0.2">
      <c r="A127" s="73">
        <v>1</v>
      </c>
      <c r="B127" s="73">
        <v>102</v>
      </c>
      <c r="C127" s="71"/>
    </row>
    <row r="128" spans="1:6" hidden="1" x14ac:dyDescent="0.2">
      <c r="A128" s="73" t="s">
        <v>278</v>
      </c>
      <c r="B128" s="73" t="s">
        <v>155</v>
      </c>
      <c r="C128" s="71"/>
    </row>
  </sheetData>
  <sheetProtection password="CC6B" sheet="1" objects="1" scenarios="1" selectLockedCells="1" sort="0" autoFilter="0" pivotTables="0" selectUnlockedCells="1"/>
  <autoFilter ref="A8:BV88"/>
  <mergeCells count="167">
    <mergeCell ref="O3:R3"/>
    <mergeCell ref="S3:S7"/>
    <mergeCell ref="U3:V3"/>
    <mergeCell ref="A1:A7"/>
    <mergeCell ref="B1:B7"/>
    <mergeCell ref="C1:C7"/>
    <mergeCell ref="D1:H2"/>
    <mergeCell ref="K1:L6"/>
    <mergeCell ref="M1:S1"/>
    <mergeCell ref="V1:BH1"/>
    <mergeCell ref="AS3:AT3"/>
    <mergeCell ref="AV3:AW3"/>
    <mergeCell ref="BB3:BC3"/>
    <mergeCell ref="BB5:BC5"/>
    <mergeCell ref="BB6:BC6"/>
    <mergeCell ref="AS5:AT5"/>
    <mergeCell ref="AS6:AT6"/>
    <mergeCell ref="AK5:AL5"/>
    <mergeCell ref="AK6:AL6"/>
    <mergeCell ref="D3:D7"/>
    <mergeCell ref="E3:E7"/>
    <mergeCell ref="BH2:BQ2"/>
    <mergeCell ref="J1:J7"/>
    <mergeCell ref="AB3:AC3"/>
    <mergeCell ref="BR1:BR7"/>
    <mergeCell ref="BS1:BS7"/>
    <mergeCell ref="G3:G7"/>
    <mergeCell ref="H3:H7"/>
    <mergeCell ref="N3:N7"/>
    <mergeCell ref="M2:M7"/>
    <mergeCell ref="N2:S2"/>
    <mergeCell ref="AJ2:AQ2"/>
    <mergeCell ref="AR2:AY2"/>
    <mergeCell ref="BE3:BF3"/>
    <mergeCell ref="BI3:BK3"/>
    <mergeCell ref="BM3:BO3"/>
    <mergeCell ref="O4:O7"/>
    <mergeCell ref="P4:P7"/>
    <mergeCell ref="Q4:Q7"/>
    <mergeCell ref="R4:R7"/>
    <mergeCell ref="U4:V4"/>
    <mergeCell ref="X4:Y4"/>
    <mergeCell ref="X3:Y3"/>
    <mergeCell ref="AK3:AL3"/>
    <mergeCell ref="AO3:AP3"/>
    <mergeCell ref="AZ2:BG2"/>
    <mergeCell ref="BJ6:BN6"/>
    <mergeCell ref="BI4:BK4"/>
    <mergeCell ref="BM4:BO4"/>
    <mergeCell ref="BJ5:BK5"/>
    <mergeCell ref="AK4:AL4"/>
    <mergeCell ref="AO4:AP4"/>
    <mergeCell ref="AS4:AT4"/>
    <mergeCell ref="AV4:AW4"/>
    <mergeCell ref="BB4:BC4"/>
    <mergeCell ref="BE4:BF4"/>
    <mergeCell ref="BI96:BP96"/>
    <mergeCell ref="BI97:BP97"/>
    <mergeCell ref="AK95:AP95"/>
    <mergeCell ref="AS95:AX95"/>
    <mergeCell ref="BB95:BG95"/>
    <mergeCell ref="BI95:BP95"/>
    <mergeCell ref="B96:L96"/>
    <mergeCell ref="M96:S96"/>
    <mergeCell ref="U96:Z96"/>
    <mergeCell ref="AK96:AP96"/>
    <mergeCell ref="AS96:AX96"/>
    <mergeCell ref="BB96:BG96"/>
    <mergeCell ref="AB95:AG95"/>
    <mergeCell ref="AB96:AG96"/>
    <mergeCell ref="AB97:AG97"/>
    <mergeCell ref="B95:L95"/>
    <mergeCell ref="M95:S95"/>
    <mergeCell ref="U95:Z95"/>
    <mergeCell ref="AK98:AP98"/>
    <mergeCell ref="AS98:AX98"/>
    <mergeCell ref="BB98:BG98"/>
    <mergeCell ref="AB98:AG98"/>
    <mergeCell ref="AB99:AG99"/>
    <mergeCell ref="B97:L97"/>
    <mergeCell ref="M97:S97"/>
    <mergeCell ref="U97:Z97"/>
    <mergeCell ref="AK97:AP97"/>
    <mergeCell ref="AS97:AX97"/>
    <mergeCell ref="BB97:BG97"/>
    <mergeCell ref="B56:H56"/>
    <mergeCell ref="AK101:AP101"/>
    <mergeCell ref="AS101:AX101"/>
    <mergeCell ref="BB101:BG101"/>
    <mergeCell ref="BI101:BP101"/>
    <mergeCell ref="AB101:AG101"/>
    <mergeCell ref="B100:L100"/>
    <mergeCell ref="M100:S100"/>
    <mergeCell ref="U100:Z100"/>
    <mergeCell ref="AK100:AP100"/>
    <mergeCell ref="AS100:AX100"/>
    <mergeCell ref="BB100:BG100"/>
    <mergeCell ref="AB100:AG100"/>
    <mergeCell ref="BI98:BP98"/>
    <mergeCell ref="B99:L99"/>
    <mergeCell ref="M99:S99"/>
    <mergeCell ref="U99:Z99"/>
    <mergeCell ref="AK99:AP99"/>
    <mergeCell ref="AS99:AX99"/>
    <mergeCell ref="BB99:BG99"/>
    <mergeCell ref="BI99:BP99"/>
    <mergeCell ref="B98:L98"/>
    <mergeCell ref="M98:S98"/>
    <mergeCell ref="U98:Z98"/>
    <mergeCell ref="B75:H75"/>
    <mergeCell ref="B86:H86"/>
    <mergeCell ref="AE3:AF3"/>
    <mergeCell ref="AB4:AC4"/>
    <mergeCell ref="AE4:AF4"/>
    <mergeCell ref="BI102:BP102"/>
    <mergeCell ref="B103:L103"/>
    <mergeCell ref="M103:S103"/>
    <mergeCell ref="U103:Z103"/>
    <mergeCell ref="AK103:AP103"/>
    <mergeCell ref="AS103:AX103"/>
    <mergeCell ref="BB103:BG103"/>
    <mergeCell ref="BI103:BP103"/>
    <mergeCell ref="AB102:AG102"/>
    <mergeCell ref="AB103:AG103"/>
    <mergeCell ref="B102:L102"/>
    <mergeCell ref="M102:S102"/>
    <mergeCell ref="U102:Z102"/>
    <mergeCell ref="AK102:AP102"/>
    <mergeCell ref="AS102:AX102"/>
    <mergeCell ref="BB102:BG102"/>
    <mergeCell ref="BI100:BP100"/>
    <mergeCell ref="B101:L101"/>
    <mergeCell ref="B44:H44"/>
    <mergeCell ref="A106:B106"/>
    <mergeCell ref="C106:D106"/>
    <mergeCell ref="E106:F106"/>
    <mergeCell ref="M101:S101"/>
    <mergeCell ref="U101:Z101"/>
    <mergeCell ref="B92:H92"/>
    <mergeCell ref="B93:H93"/>
    <mergeCell ref="B94:H94"/>
    <mergeCell ref="B90:H90"/>
    <mergeCell ref="B91:H91"/>
    <mergeCell ref="AB5:AC5"/>
    <mergeCell ref="AB6:AC6"/>
    <mergeCell ref="U5:V5"/>
    <mergeCell ref="U6:V6"/>
    <mergeCell ref="U2:Z2"/>
    <mergeCell ref="AB2:AG2"/>
    <mergeCell ref="A74:B74"/>
    <mergeCell ref="A70:B70"/>
    <mergeCell ref="A67:B67"/>
    <mergeCell ref="A62:B62"/>
    <mergeCell ref="A55:B55"/>
    <mergeCell ref="B9:H9"/>
    <mergeCell ref="B10:H10"/>
    <mergeCell ref="B16:H16"/>
    <mergeCell ref="B20:H20"/>
    <mergeCell ref="B21:H21"/>
    <mergeCell ref="B29:H29"/>
    <mergeCell ref="B30:H30"/>
    <mergeCell ref="B31:H31"/>
    <mergeCell ref="B37:H37"/>
    <mergeCell ref="B63:H63"/>
    <mergeCell ref="B68:H68"/>
    <mergeCell ref="B71:H71"/>
    <mergeCell ref="B51:H51"/>
  </mergeCells>
  <conditionalFormatting sqref="BR17:BR19 BR22:BR28 BR32:BR36 BR11:BR15 BR79:BR86 BR63:BR77 BR51:BR55">
    <cfRule type="expression" dxfId="5" priority="3" stopIfTrue="1">
      <formula>AND(M11&gt;0,BR11=0)</formula>
    </cfRule>
    <cfRule type="expression" dxfId="4" priority="4" stopIfTrue="1">
      <formula>AND(M11=0,BR11&lt;&gt;0)</formula>
    </cfRule>
  </conditionalFormatting>
  <conditionalFormatting sqref="BR62">
    <cfRule type="expression" dxfId="3" priority="1" stopIfTrue="1">
      <formula>AND(M62&gt;0,BR62=0)</formula>
    </cfRule>
    <cfRule type="expression" dxfId="2" priority="2" stopIfTrue="1">
      <formula>AND(M62=0,BR62&lt;&gt;0)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6"/>
  <sheetViews>
    <sheetView showZeros="0" topLeftCell="A2" zoomScale="90" zoomScaleNormal="90" workbookViewId="0">
      <pane xSplit="11" ySplit="8" topLeftCell="L79" activePane="bottomRight" state="frozen"/>
      <selection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RowHeight="12.75" x14ac:dyDescent="0.2"/>
  <cols>
    <col min="1" max="1" width="16.1640625" customWidth="1"/>
    <col min="2" max="2" width="0" hidden="1" customWidth="1"/>
    <col min="8" max="8" width="9.33203125" style="303"/>
  </cols>
  <sheetData>
    <row r="1" spans="1:13" s="233" customFormat="1" ht="13.5" hidden="1" thickBot="1" x14ac:dyDescent="0.25">
      <c r="H1" s="303"/>
    </row>
    <row r="2" spans="1:13" ht="12.75" customHeight="1" thickBot="1" x14ac:dyDescent="0.25">
      <c r="A2" s="869" t="s">
        <v>74</v>
      </c>
      <c r="B2" s="869" t="s">
        <v>75</v>
      </c>
      <c r="C2" s="868" t="s">
        <v>4</v>
      </c>
      <c r="D2" s="868"/>
      <c r="E2" s="868"/>
      <c r="F2" s="868"/>
      <c r="G2" s="868"/>
      <c r="I2" s="868" t="s">
        <v>4</v>
      </c>
      <c r="J2" s="868"/>
      <c r="K2" s="868"/>
      <c r="L2" s="868"/>
      <c r="M2" s="868"/>
    </row>
    <row r="3" spans="1:13" ht="13.5" thickBot="1" x14ac:dyDescent="0.25">
      <c r="A3" s="869"/>
      <c r="B3" s="869"/>
      <c r="C3" s="868"/>
      <c r="D3" s="868"/>
      <c r="E3" s="868"/>
      <c r="F3" s="868"/>
      <c r="G3" s="868"/>
      <c r="I3" s="868"/>
      <c r="J3" s="868"/>
      <c r="K3" s="868"/>
      <c r="L3" s="868"/>
      <c r="M3" s="868"/>
    </row>
    <row r="4" spans="1:13" ht="12.75" customHeight="1" thickBot="1" x14ac:dyDescent="0.25">
      <c r="A4" s="869"/>
      <c r="B4" s="869"/>
      <c r="C4" s="867" t="s">
        <v>65</v>
      </c>
      <c r="D4" s="867" t="s">
        <v>66</v>
      </c>
      <c r="E4" s="867" t="s">
        <v>67</v>
      </c>
      <c r="F4" s="867" t="s">
        <v>68</v>
      </c>
      <c r="G4" s="867" t="s">
        <v>69</v>
      </c>
      <c r="I4" s="867" t="s">
        <v>65</v>
      </c>
      <c r="J4" s="867" t="s">
        <v>66</v>
      </c>
      <c r="K4" s="867" t="s">
        <v>67</v>
      </c>
      <c r="L4" s="867" t="s">
        <v>68</v>
      </c>
      <c r="M4" s="867" t="s">
        <v>69</v>
      </c>
    </row>
    <row r="5" spans="1:13" ht="12.75" customHeight="1" thickBot="1" x14ac:dyDescent="0.25">
      <c r="A5" s="869"/>
      <c r="B5" s="869"/>
      <c r="C5" s="867"/>
      <c r="D5" s="867"/>
      <c r="E5" s="867"/>
      <c r="F5" s="867"/>
      <c r="G5" s="867"/>
      <c r="I5" s="867"/>
      <c r="J5" s="867"/>
      <c r="K5" s="867"/>
      <c r="L5" s="867"/>
      <c r="M5" s="867"/>
    </row>
    <row r="6" spans="1:13" ht="13.5" thickBot="1" x14ac:dyDescent="0.25">
      <c r="A6" s="869"/>
      <c r="B6" s="869"/>
      <c r="C6" s="867"/>
      <c r="D6" s="867"/>
      <c r="E6" s="867"/>
      <c r="F6" s="867"/>
      <c r="G6" s="867"/>
      <c r="I6" s="867"/>
      <c r="J6" s="867"/>
      <c r="K6" s="867"/>
      <c r="L6" s="867"/>
      <c r="M6" s="867"/>
    </row>
    <row r="7" spans="1:13" ht="13.5" thickBot="1" x14ac:dyDescent="0.25">
      <c r="A7" s="869"/>
      <c r="B7" s="869"/>
      <c r="C7" s="867"/>
      <c r="D7" s="867"/>
      <c r="E7" s="867"/>
      <c r="F7" s="867"/>
      <c r="G7" s="867"/>
      <c r="I7" s="867"/>
      <c r="J7" s="867"/>
      <c r="K7" s="867"/>
      <c r="L7" s="867"/>
      <c r="M7" s="867"/>
    </row>
    <row r="8" spans="1:13" ht="13.5" thickBot="1" x14ac:dyDescent="0.25">
      <c r="A8" s="869"/>
      <c r="B8" s="869"/>
      <c r="C8" s="867"/>
      <c r="D8" s="867"/>
      <c r="E8" s="867"/>
      <c r="F8" s="867"/>
      <c r="G8" s="867"/>
      <c r="I8" s="867"/>
      <c r="J8" s="867"/>
      <c r="K8" s="867"/>
      <c r="L8" s="867"/>
      <c r="M8" s="867"/>
    </row>
    <row r="9" spans="1:13" ht="39" thickBot="1" x14ac:dyDescent="0.25">
      <c r="A9" s="299" t="str">
        <f>'Учебный план'!B27</f>
        <v>Обязательная часть циклов ППССЗ</v>
      </c>
      <c r="B9" s="299">
        <f>'Учебный план'!C27</f>
        <v>0</v>
      </c>
      <c r="C9" s="299">
        <f>'Учебный план'!D27</f>
        <v>0</v>
      </c>
      <c r="D9" s="299">
        <f>'Учебный план'!E27</f>
        <v>0</v>
      </c>
      <c r="E9" s="299">
        <f>'Учебный план'!G27</f>
        <v>0</v>
      </c>
      <c r="F9" s="299" t="e">
        <f>'Учебный план'!#REF!</f>
        <v>#REF!</v>
      </c>
      <c r="G9" s="299">
        <f>'Учебный план'!H27</f>
        <v>0</v>
      </c>
      <c r="H9" s="304"/>
      <c r="I9" s="300">
        <f>'УП заочное обучение'!D9</f>
        <v>0</v>
      </c>
      <c r="J9" s="300">
        <f>'УП заочное обучение'!E9</f>
        <v>0</v>
      </c>
      <c r="K9" s="300">
        <f>'УП заочное обучение'!F9</f>
        <v>0</v>
      </c>
      <c r="L9" s="300">
        <f>'УП заочное обучение'!G9</f>
        <v>0</v>
      </c>
      <c r="M9" s="300">
        <f>'УП заочное обучение'!H9</f>
        <v>0</v>
      </c>
    </row>
    <row r="10" spans="1:13" ht="64.5" thickBot="1" x14ac:dyDescent="0.25">
      <c r="A10" s="299" t="str">
        <f>'Учебный план'!B28</f>
        <v>Общий гумманитарный и социально-экономический цикл</v>
      </c>
      <c r="B10" s="299">
        <f>'Учебный план'!C28</f>
        <v>0</v>
      </c>
      <c r="C10" s="299">
        <f>'Учебный план'!D28</f>
        <v>0</v>
      </c>
      <c r="D10" s="299">
        <f>'Учебный план'!E28</f>
        <v>0</v>
      </c>
      <c r="E10" s="299">
        <f>'Учебный план'!G28</f>
        <v>0</v>
      </c>
      <c r="F10" s="299" t="e">
        <f>'Учебный план'!#REF!</f>
        <v>#REF!</v>
      </c>
      <c r="G10" s="299">
        <f>'Учебный план'!H28</f>
        <v>0</v>
      </c>
      <c r="H10" s="304"/>
      <c r="I10" s="300">
        <f>'УП заочное обучение'!D10</f>
        <v>0</v>
      </c>
      <c r="J10" s="300">
        <f>'УП заочное обучение'!E10</f>
        <v>0</v>
      </c>
      <c r="K10" s="300">
        <f>'УП заочное обучение'!F10</f>
        <v>0</v>
      </c>
      <c r="L10" s="300">
        <f>'УП заочное обучение'!G10</f>
        <v>0</v>
      </c>
      <c r="M10" s="300">
        <f>'УП заочное обучение'!H10</f>
        <v>0</v>
      </c>
    </row>
    <row r="11" spans="1:13" ht="26.25" thickBot="1" x14ac:dyDescent="0.25">
      <c r="A11" s="301" t="str">
        <f>'Учебный план'!B29</f>
        <v>Основы философии</v>
      </c>
      <c r="B11" s="301">
        <f>'Учебный план'!C29</f>
        <v>0</v>
      </c>
      <c r="C11" s="301">
        <f>'Учебный план'!D29</f>
        <v>0</v>
      </c>
      <c r="D11" s="301" t="str">
        <f>'Учебный план'!E29</f>
        <v>3</v>
      </c>
      <c r="E11" s="301">
        <f>'Учебный план'!G29</f>
        <v>0</v>
      </c>
      <c r="F11" s="301" t="e">
        <f>'Учебный план'!#REF!</f>
        <v>#REF!</v>
      </c>
      <c r="G11" s="301">
        <f>'Учебный план'!H29</f>
        <v>0</v>
      </c>
      <c r="I11" s="302">
        <f>'УП заочное обучение'!D11</f>
        <v>0</v>
      </c>
      <c r="J11" s="302" t="str">
        <f>'УП заочное обучение'!E11</f>
        <v>1</v>
      </c>
      <c r="K11" s="302">
        <f>'УП заочное обучение'!F11</f>
        <v>0</v>
      </c>
      <c r="L11" s="302">
        <f>'УП заочное обучение'!G11</f>
        <v>0</v>
      </c>
      <c r="M11" s="302">
        <f>'УП заочное обучение'!H11</f>
        <v>0</v>
      </c>
    </row>
    <row r="12" spans="1:13" ht="13.5" thickBot="1" x14ac:dyDescent="0.25">
      <c r="A12" s="301" t="str">
        <f>'Учебный план'!B30</f>
        <v>История</v>
      </c>
      <c r="B12" s="301">
        <f>'Учебный план'!C30</f>
        <v>0</v>
      </c>
      <c r="C12" s="301">
        <f>'Учебный план'!D30</f>
        <v>0</v>
      </c>
      <c r="D12" s="301" t="str">
        <f>'Учебный план'!E30</f>
        <v>3</v>
      </c>
      <c r="E12" s="301">
        <f>'Учебный план'!G30</f>
        <v>0</v>
      </c>
      <c r="F12" s="301" t="e">
        <f>'Учебный план'!#REF!</f>
        <v>#REF!</v>
      </c>
      <c r="G12" s="301">
        <f>'Учебный план'!H30</f>
        <v>0</v>
      </c>
      <c r="I12" s="302">
        <f>'УП заочное обучение'!D12</f>
        <v>0</v>
      </c>
      <c r="J12" s="302" t="str">
        <f>'УП заочное обучение'!E12</f>
        <v>1</v>
      </c>
      <c r="K12" s="302">
        <f>'УП заочное обучение'!F12</f>
        <v>0</v>
      </c>
      <c r="L12" s="302">
        <f>'УП заочное обучение'!G12</f>
        <v>0</v>
      </c>
      <c r="M12" s="302">
        <f>'УП заочное обучение'!H12</f>
        <v>0</v>
      </c>
    </row>
    <row r="13" spans="1:13" ht="26.25" thickBot="1" x14ac:dyDescent="0.25">
      <c r="A13" s="301" t="str">
        <f>'Учебный план'!B31</f>
        <v>Психология общения</v>
      </c>
      <c r="B13" s="301">
        <f>'Учебный план'!C31</f>
        <v>0</v>
      </c>
      <c r="C13" s="301">
        <f>'Учебный план'!D31</f>
        <v>0</v>
      </c>
      <c r="D13" s="301" t="str">
        <f>'Учебный план'!E31</f>
        <v>5</v>
      </c>
      <c r="E13" s="301">
        <f>'Учебный план'!G31</f>
        <v>0</v>
      </c>
      <c r="F13" s="301" t="e">
        <f>'Учебный план'!#REF!</f>
        <v>#REF!</v>
      </c>
      <c r="G13" s="301">
        <f>'Учебный план'!H31</f>
        <v>0</v>
      </c>
      <c r="I13" s="302">
        <f>'УП заочное обучение'!D13</f>
        <v>0</v>
      </c>
      <c r="J13" s="302" t="str">
        <f>'УП заочное обучение'!E13</f>
        <v>2</v>
      </c>
      <c r="K13" s="302">
        <f>'УП заочное обучение'!F13</f>
        <v>0</v>
      </c>
      <c r="L13" s="302">
        <f>'УП заочное обучение'!G13</f>
        <v>0</v>
      </c>
      <c r="M13" s="302">
        <f>'УП заочное обучение'!H13</f>
        <v>0</v>
      </c>
    </row>
    <row r="14" spans="1:13" ht="26.25" thickBot="1" x14ac:dyDescent="0.25">
      <c r="A14" s="301" t="str">
        <f>'Учебный план'!B32</f>
        <v>Иностранный язык</v>
      </c>
      <c r="B14" s="301">
        <f>'Учебный план'!C32</f>
        <v>0</v>
      </c>
      <c r="C14" s="301" t="str">
        <f>'Учебный план'!D32</f>
        <v>5</v>
      </c>
      <c r="D14" s="301" t="str">
        <f>'Учебный план'!E32</f>
        <v>8,Х</v>
      </c>
      <c r="E14" s="301">
        <f>'Учебный план'!G32</f>
        <v>0</v>
      </c>
      <c r="F14" s="301" t="e">
        <f>'Учебный план'!#REF!</f>
        <v>#REF!</v>
      </c>
      <c r="G14" s="301" t="str">
        <f>'Учебный план'!H32</f>
        <v>3,4,6,7,9</v>
      </c>
      <c r="I14" s="302" t="str">
        <f>'УП заочное обучение'!D14</f>
        <v>3</v>
      </c>
      <c r="J14" s="302" t="str">
        <f>'УП заочное обучение'!E14</f>
        <v>4,5</v>
      </c>
      <c r="K14" s="302">
        <f>'УП заочное обучение'!F14</f>
        <v>0</v>
      </c>
      <c r="L14" s="302">
        <f>'УП заочное обучение'!G14</f>
        <v>0</v>
      </c>
      <c r="M14" s="302" t="str">
        <f>'УП заочное обучение'!H14</f>
        <v>1,2</v>
      </c>
    </row>
    <row r="15" spans="1:13" ht="26.25" thickBot="1" x14ac:dyDescent="0.25">
      <c r="A15" s="301" t="str">
        <f>'Учебный план'!B33</f>
        <v>Физическая культура</v>
      </c>
      <c r="B15" s="301">
        <f>'Учебный план'!C33</f>
        <v>0</v>
      </c>
      <c r="C15" s="301">
        <f>'Учебный план'!D33</f>
        <v>0</v>
      </c>
      <c r="D15" s="301">
        <f>'Учебный план'!E33</f>
        <v>0</v>
      </c>
      <c r="E15" s="301">
        <f>'Учебный план'!G33</f>
        <v>0</v>
      </c>
      <c r="F15" s="301" t="e">
        <f>'Учебный план'!#REF!</f>
        <v>#REF!</v>
      </c>
      <c r="G15" s="301">
        <f>'Учебный план'!H33</f>
        <v>0</v>
      </c>
      <c r="I15" s="302">
        <f>'УП заочное обучение'!D15</f>
        <v>0</v>
      </c>
      <c r="J15" s="302" t="str">
        <f>'УП заочное обучение'!E15</f>
        <v>5</v>
      </c>
      <c r="K15" s="302">
        <f>'УП заочное обучение'!F15</f>
        <v>0</v>
      </c>
      <c r="L15" s="302">
        <f>'УП заочное обучение'!G15</f>
        <v>0</v>
      </c>
      <c r="M15" s="302">
        <f>'УП заочное обучение'!H15</f>
        <v>0</v>
      </c>
    </row>
    <row r="16" spans="1:13" ht="51.75" thickBot="1" x14ac:dyDescent="0.25">
      <c r="A16" s="299" t="str">
        <f>'Учебный план'!B34</f>
        <v>Математический и общий естественнонаучный цикл</v>
      </c>
      <c r="B16" s="299">
        <f>'Учебный план'!C34</f>
        <v>0</v>
      </c>
      <c r="C16" s="299">
        <f>'Учебный план'!D34</f>
        <v>0</v>
      </c>
      <c r="D16" s="299">
        <f>'Учебный план'!E34</f>
        <v>0</v>
      </c>
      <c r="E16" s="299">
        <f>'Учебный план'!G34</f>
        <v>0</v>
      </c>
      <c r="F16" s="299" t="e">
        <f>'Учебный план'!#REF!</f>
        <v>#REF!</v>
      </c>
      <c r="G16" s="299">
        <f>'Учебный план'!H34</f>
        <v>0</v>
      </c>
      <c r="H16" s="304"/>
      <c r="I16" s="300">
        <f>'УП заочное обучение'!D16</f>
        <v>0</v>
      </c>
      <c r="J16" s="300">
        <f>'УП заочное обучение'!E16</f>
        <v>0</v>
      </c>
      <c r="K16" s="300">
        <f>'УП заочное обучение'!F16</f>
        <v>0</v>
      </c>
      <c r="L16" s="300">
        <f>'УП заочное обучение'!G16</f>
        <v>0</v>
      </c>
      <c r="M16" s="300">
        <f>'УП заочное обучение'!H16</f>
        <v>0</v>
      </c>
    </row>
    <row r="17" spans="1:13" ht="13.5" thickBot="1" x14ac:dyDescent="0.25">
      <c r="A17" s="301" t="str">
        <f>'Учебный план'!B35</f>
        <v>Математика</v>
      </c>
      <c r="B17" s="301">
        <f>'Учебный план'!C35</f>
        <v>0</v>
      </c>
      <c r="C17" s="301" t="str">
        <f>'Учебный план'!D35</f>
        <v>3</v>
      </c>
      <c r="D17" s="301">
        <f>'Учебный план'!E35</f>
        <v>0</v>
      </c>
      <c r="E17" s="301">
        <f>'Учебный план'!G35</f>
        <v>0</v>
      </c>
      <c r="F17" s="301" t="e">
        <f>'Учебный план'!#REF!</f>
        <v>#REF!</v>
      </c>
      <c r="G17" s="301">
        <f>'Учебный план'!H35</f>
        <v>0</v>
      </c>
      <c r="I17" s="302" t="str">
        <f>'УП заочное обучение'!D17</f>
        <v>1</v>
      </c>
      <c r="J17" s="302">
        <f>'УП заочное обучение'!E17</f>
        <v>0</v>
      </c>
      <c r="K17" s="302">
        <f>'УП заочное обучение'!F17</f>
        <v>0</v>
      </c>
      <c r="L17" s="302">
        <f>'УП заочное обучение'!G17</f>
        <v>0</v>
      </c>
      <c r="M17" s="302">
        <f>'УП заочное обучение'!H17</f>
        <v>0</v>
      </c>
    </row>
    <row r="18" spans="1:13" ht="13.5" thickBot="1" x14ac:dyDescent="0.25">
      <c r="A18" s="301" t="str">
        <f>'Учебный план'!B36</f>
        <v>Информатика</v>
      </c>
      <c r="B18" s="301">
        <f>'Учебный план'!C36</f>
        <v>0</v>
      </c>
      <c r="C18" s="301">
        <f>'Учебный план'!D36</f>
        <v>0</v>
      </c>
      <c r="D18" s="301" t="str">
        <f>'Учебный план'!E36</f>
        <v>3</v>
      </c>
      <c r="E18" s="301">
        <f>'Учебный план'!G36</f>
        <v>0</v>
      </c>
      <c r="F18" s="301" t="e">
        <f>'Учебный план'!#REF!</f>
        <v>#REF!</v>
      </c>
      <c r="G18" s="301">
        <f>'Учебный план'!H36</f>
        <v>0</v>
      </c>
      <c r="I18" s="302">
        <f>'УП заочное обучение'!D18</f>
        <v>0</v>
      </c>
      <c r="J18" s="302" t="str">
        <f>'УП заочное обучение'!E18</f>
        <v>1</v>
      </c>
      <c r="K18" s="302">
        <f>'УП заочное обучение'!F18</f>
        <v>0</v>
      </c>
      <c r="L18" s="302">
        <f>'УП заочное обучение'!G18</f>
        <v>0</v>
      </c>
      <c r="M18" s="302">
        <f>'УП заочное обучение'!H18</f>
        <v>0</v>
      </c>
    </row>
    <row r="19" spans="1:13" ht="51.75" thickBot="1" x14ac:dyDescent="0.25">
      <c r="A19" s="301" t="str">
        <f>'Учебный план'!B37</f>
        <v>Экологические основы природопользования</v>
      </c>
      <c r="B19" s="301">
        <f>'Учебный план'!C37</f>
        <v>0</v>
      </c>
      <c r="C19" s="301">
        <f>'Учебный план'!D37</f>
        <v>0</v>
      </c>
      <c r="D19" s="301" t="str">
        <f>'Учебный план'!E37</f>
        <v>3</v>
      </c>
      <c r="E19" s="301">
        <f>'Учебный план'!G37</f>
        <v>0</v>
      </c>
      <c r="F19" s="301" t="e">
        <f>'Учебный план'!#REF!</f>
        <v>#REF!</v>
      </c>
      <c r="G19" s="301">
        <f>'Учебный план'!H37</f>
        <v>0</v>
      </c>
      <c r="I19" s="302">
        <f>'УП заочное обучение'!D19</f>
        <v>0</v>
      </c>
      <c r="J19" s="302" t="str">
        <f>'УП заочное обучение'!E19</f>
        <v>1</v>
      </c>
      <c r="K19" s="302">
        <f>'УП заочное обучение'!F19</f>
        <v>0</v>
      </c>
      <c r="L19" s="302">
        <f>'УП заочное обучение'!G19</f>
        <v>0</v>
      </c>
      <c r="M19" s="302">
        <f>'УП заочное обучение'!H19</f>
        <v>0</v>
      </c>
    </row>
    <row r="20" spans="1:13" ht="26.25" thickBot="1" x14ac:dyDescent="0.25">
      <c r="A20" s="301" t="str">
        <f>'Учебный план'!B38</f>
        <v>Профессиональный цикл</v>
      </c>
      <c r="B20" s="301">
        <f>'Учебный план'!C38</f>
        <v>0</v>
      </c>
      <c r="C20" s="301" t="str">
        <f>'Учебный план'!D38</f>
        <v xml:space="preserve"> </v>
      </c>
      <c r="D20" s="301">
        <f>'Учебный план'!E38</f>
        <v>0</v>
      </c>
      <c r="E20" s="301">
        <f>'Учебный план'!G38</f>
        <v>0</v>
      </c>
      <c r="F20" s="301" t="e">
        <f>'Учебный план'!#REF!</f>
        <v>#REF!</v>
      </c>
      <c r="G20" s="301">
        <f>'Учебный план'!H38</f>
        <v>0</v>
      </c>
      <c r="I20" s="302">
        <f>'УП заочное обучение'!D20</f>
        <v>0</v>
      </c>
      <c r="J20" s="302">
        <f>'УП заочное обучение'!E20</f>
        <v>0</v>
      </c>
      <c r="K20" s="302">
        <f>'УП заочное обучение'!F20</f>
        <v>0</v>
      </c>
      <c r="L20" s="302">
        <f>'УП заочное обучение'!G20</f>
        <v>0</v>
      </c>
      <c r="M20" s="302">
        <f>'УП заочное обучение'!H20</f>
        <v>0</v>
      </c>
    </row>
    <row r="21" spans="1:13" ht="39" thickBot="1" x14ac:dyDescent="0.25">
      <c r="A21" s="301" t="str">
        <f>'Учебный план'!B39</f>
        <v>Общепрофессиональные дисциплины</v>
      </c>
      <c r="B21" s="301">
        <f>'Учебный план'!C39</f>
        <v>0</v>
      </c>
      <c r="C21" s="301">
        <f>'Учебный план'!D39</f>
        <v>0</v>
      </c>
      <c r="D21" s="301">
        <f>'Учебный план'!E39</f>
        <v>0</v>
      </c>
      <c r="E21" s="301">
        <f>'Учебный план'!G39</f>
        <v>0</v>
      </c>
      <c r="F21" s="301" t="e">
        <f>'Учебный план'!#REF!</f>
        <v>#REF!</v>
      </c>
      <c r="G21" s="301">
        <f>'Учебный план'!H39</f>
        <v>0</v>
      </c>
      <c r="I21" s="302">
        <f>'УП заочное обучение'!D21</f>
        <v>0</v>
      </c>
      <c r="J21" s="302">
        <f>'УП заочное обучение'!E21</f>
        <v>0</v>
      </c>
      <c r="K21" s="302">
        <f>'УП заочное обучение'!F21</f>
        <v>0</v>
      </c>
      <c r="L21" s="302">
        <f>'УП заочное обучение'!G21</f>
        <v>0</v>
      </c>
      <c r="M21" s="302">
        <f>'УП заочное обучение'!H21</f>
        <v>0</v>
      </c>
    </row>
    <row r="22" spans="1:13" ht="26.25" thickBot="1" x14ac:dyDescent="0.25">
      <c r="A22" s="301" t="str">
        <f>'Учебный план'!B40</f>
        <v>Инженерная графика</v>
      </c>
      <c r="B22" s="301">
        <f>'Учебный план'!C40</f>
        <v>0</v>
      </c>
      <c r="C22" s="301">
        <f>'Учебный план'!D40</f>
        <v>0</v>
      </c>
      <c r="D22" s="301" t="str">
        <f>'Учебный план'!E40</f>
        <v>4</v>
      </c>
      <c r="E22" s="301">
        <f>'Учебный план'!G40</f>
        <v>0</v>
      </c>
      <c r="F22" s="301" t="e">
        <f>'Учебный план'!#REF!</f>
        <v>#REF!</v>
      </c>
      <c r="G22" s="301" t="str">
        <f>'Учебный план'!H40</f>
        <v>3</v>
      </c>
      <c r="I22" s="302">
        <f>'УП заочное обучение'!D22</f>
        <v>0</v>
      </c>
      <c r="J22" s="302" t="str">
        <f>'УП заочное обучение'!E22</f>
        <v>1</v>
      </c>
      <c r="K22" s="302">
        <f>'УП заочное обучение'!F22</f>
        <v>0</v>
      </c>
      <c r="L22" s="302">
        <f>'УП заочное обучение'!G22</f>
        <v>0</v>
      </c>
      <c r="M22" s="302" t="str">
        <f>'УП заочное обучение'!H22</f>
        <v>1</v>
      </c>
    </row>
    <row r="23" spans="1:13" ht="13.5" thickBot="1" x14ac:dyDescent="0.25">
      <c r="A23" s="301" t="str">
        <f>'Учебный план'!B41</f>
        <v>Механика</v>
      </c>
      <c r="B23" s="301">
        <f>'Учебный план'!C41</f>
        <v>0</v>
      </c>
      <c r="C23" s="301">
        <f>'Учебный план'!D41</f>
        <v>0</v>
      </c>
      <c r="D23" s="301" t="str">
        <f>'Учебный план'!E41</f>
        <v>4</v>
      </c>
      <c r="E23" s="301">
        <f>'Учебный план'!G41</f>
        <v>0</v>
      </c>
      <c r="F23" s="301" t="e">
        <f>'Учебный план'!#REF!</f>
        <v>#REF!</v>
      </c>
      <c r="G23" s="301">
        <f>'Учебный план'!H41</f>
        <v>0</v>
      </c>
      <c r="I23" s="302">
        <f>'УП заочное обучение'!D23</f>
        <v>0</v>
      </c>
      <c r="J23" s="302" t="str">
        <f>'УП заочное обучение'!E23</f>
        <v>2</v>
      </c>
      <c r="K23" s="302">
        <f>'УП заочное обучение'!F23</f>
        <v>0</v>
      </c>
      <c r="L23" s="302">
        <f>'УП заочное обучение'!G23</f>
        <v>0</v>
      </c>
      <c r="M23" s="302">
        <f>'УП заочное обучение'!H23</f>
        <v>0</v>
      </c>
    </row>
    <row r="24" spans="1:13" ht="26.25" thickBot="1" x14ac:dyDescent="0.25">
      <c r="A24" s="301" t="str">
        <f>'Учебный план'!B42</f>
        <v>Электроника и электротехника</v>
      </c>
      <c r="B24" s="301" t="str">
        <f>'Учебный план'!C42</f>
        <v>Электроника</v>
      </c>
      <c r="C24" s="301">
        <f>'Учебный план'!D42</f>
        <v>0</v>
      </c>
      <c r="D24" s="301" t="str">
        <f>'Учебный план'!E42</f>
        <v>3</v>
      </c>
      <c r="E24" s="301">
        <f>'Учебный план'!G42</f>
        <v>0</v>
      </c>
      <c r="F24" s="301" t="e">
        <f>'Учебный план'!#REF!</f>
        <v>#REF!</v>
      </c>
      <c r="G24" s="301">
        <f>'Учебный план'!H42</f>
        <v>0</v>
      </c>
      <c r="I24" s="302">
        <f>'УП заочное обучение'!D24</f>
        <v>0</v>
      </c>
      <c r="J24" s="302" t="str">
        <f>'УП заочное обучение'!E24</f>
        <v>1</v>
      </c>
      <c r="K24" s="302">
        <f>'УП заочное обучение'!F24</f>
        <v>0</v>
      </c>
      <c r="L24" s="302">
        <f>'УП заочное обучение'!G24</f>
        <v>0</v>
      </c>
      <c r="M24" s="302">
        <f>'УП заочное обучение'!H24</f>
        <v>0</v>
      </c>
    </row>
    <row r="25" spans="1:13" ht="64.5" thickBot="1" x14ac:dyDescent="0.25">
      <c r="A25" s="301" t="str">
        <f>'Учебный план'!B43</f>
        <v xml:space="preserve">Правовые основы профессиональной деятельности                                               </v>
      </c>
      <c r="B25" s="301" t="str">
        <f>'Учебный план'!C43</f>
        <v>ПОПД</v>
      </c>
      <c r="C25" s="301" t="str">
        <f>'Учебный план'!D43</f>
        <v>8</v>
      </c>
      <c r="D25" s="301">
        <f>'Учебный план'!E43</f>
        <v>0</v>
      </c>
      <c r="E25" s="301">
        <f>'Учебный план'!G43</f>
        <v>0</v>
      </c>
      <c r="F25" s="301" t="e">
        <f>'Учебный план'!#REF!</f>
        <v>#REF!</v>
      </c>
      <c r="G25" s="301" t="str">
        <f>'Учебный план'!H43</f>
        <v>7</v>
      </c>
      <c r="I25" s="302" t="str">
        <f>'УП заочное обучение'!D25</f>
        <v>1</v>
      </c>
      <c r="J25" s="302">
        <f>'УП заочное обучение'!E25</f>
        <v>0</v>
      </c>
      <c r="K25" s="302">
        <f>'УП заочное обучение'!F25</f>
        <v>0</v>
      </c>
      <c r="L25" s="302">
        <f>'УП заочное обучение'!G25</f>
        <v>0</v>
      </c>
      <c r="M25" s="302" t="str">
        <f>'УП заочное обучение'!H25</f>
        <v>1</v>
      </c>
    </row>
    <row r="26" spans="1:13" ht="26.25" thickBot="1" x14ac:dyDescent="0.25">
      <c r="A26" s="301" t="str">
        <f>'Учебный план'!B44</f>
        <v>Метрология и стандартизация</v>
      </c>
      <c r="B26" s="301">
        <f>'Учебный план'!C44</f>
        <v>0</v>
      </c>
      <c r="C26" s="301">
        <f>'Учебный план'!D44</f>
        <v>0</v>
      </c>
      <c r="D26" s="301" t="str">
        <f>'Учебный план'!E44</f>
        <v>3</v>
      </c>
      <c r="E26" s="301">
        <f>'Учебный план'!G44</f>
        <v>0</v>
      </c>
      <c r="F26" s="301" t="e">
        <f>'Учебный план'!#REF!</f>
        <v>#REF!</v>
      </c>
      <c r="G26" s="301">
        <f>'Учебный план'!H44</f>
        <v>0</v>
      </c>
      <c r="I26" s="302">
        <f>'УП заочное обучение'!D26</f>
        <v>0</v>
      </c>
      <c r="J26" s="302" t="str">
        <f>'УП заочное обучение'!E26</f>
        <v>1</v>
      </c>
      <c r="K26" s="302">
        <f>'УП заочное обучение'!F26</f>
        <v>0</v>
      </c>
      <c r="L26" s="302">
        <f>'УП заочное обучение'!G26</f>
        <v>0</v>
      </c>
      <c r="M26" s="302">
        <f>'УП заочное обучение'!H26</f>
        <v>0</v>
      </c>
    </row>
    <row r="27" spans="1:13" ht="39" thickBot="1" x14ac:dyDescent="0.25">
      <c r="A27" s="301" t="str">
        <f>'Учебный план'!B45</f>
        <v>Теория и устройство судна</v>
      </c>
      <c r="B27" s="301" t="str">
        <f>'Учебный план'!C45</f>
        <v>ТУС</v>
      </c>
      <c r="C27" s="301" t="str">
        <f>'Учебный план'!D45</f>
        <v>4</v>
      </c>
      <c r="D27" s="301">
        <f>'Учебный план'!E45</f>
        <v>0</v>
      </c>
      <c r="E27" s="301">
        <f>'Учебный план'!G45</f>
        <v>0</v>
      </c>
      <c r="F27" s="301" t="e">
        <f>'Учебный план'!#REF!</f>
        <v>#REF!</v>
      </c>
      <c r="G27" s="301" t="str">
        <f>'Учебный план'!H45</f>
        <v>3</v>
      </c>
      <c r="I27" s="302" t="str">
        <f>'УП заочное обучение'!D27</f>
        <v>2</v>
      </c>
      <c r="J27" s="302">
        <f>'УП заочное обучение'!E27</f>
        <v>0</v>
      </c>
      <c r="K27" s="302">
        <f>'УП заочное обучение'!F27</f>
        <v>0</v>
      </c>
      <c r="L27" s="302">
        <f>'УП заочное обучение'!G27</f>
        <v>0</v>
      </c>
      <c r="M27" s="302" t="str">
        <f>'УП заочное обучение'!H27</f>
        <v>1</v>
      </c>
    </row>
    <row r="28" spans="1:13" ht="39" thickBot="1" x14ac:dyDescent="0.25">
      <c r="A28" s="301" t="str">
        <f>'Учебный план'!B46</f>
        <v>Безопасность жизнедеятельности</v>
      </c>
      <c r="B28" s="301">
        <f>'Учебный план'!C46</f>
        <v>0</v>
      </c>
      <c r="C28" s="301" t="str">
        <f>'Учебный план'!D46</f>
        <v>3</v>
      </c>
      <c r="D28" s="301">
        <f>'Учебный план'!E46</f>
        <v>0</v>
      </c>
      <c r="E28" s="301">
        <f>'Учебный план'!G46</f>
        <v>0</v>
      </c>
      <c r="F28" s="301" t="e">
        <f>'Учебный план'!#REF!</f>
        <v>#REF!</v>
      </c>
      <c r="G28" s="301">
        <f>'Учебный план'!H46</f>
        <v>0</v>
      </c>
      <c r="I28" s="302" t="str">
        <f>'УП заочное обучение'!D28</f>
        <v>1</v>
      </c>
      <c r="J28" s="302">
        <f>'УП заочное обучение'!E28</f>
        <v>0</v>
      </c>
      <c r="K28" s="302">
        <f>'УП заочное обучение'!F28</f>
        <v>0</v>
      </c>
      <c r="L28" s="302">
        <f>'УП заочное обучение'!G28</f>
        <v>0</v>
      </c>
      <c r="M28" s="302">
        <f>'УП заочное обучение'!H28</f>
        <v>0</v>
      </c>
    </row>
    <row r="29" spans="1:13" ht="26.25" thickBot="1" x14ac:dyDescent="0.25">
      <c r="A29" s="299" t="str">
        <f>'Учебный план'!B47</f>
        <v>Профессиональные модули</v>
      </c>
      <c r="B29" s="299">
        <f>'Учебный план'!C47</f>
        <v>0</v>
      </c>
      <c r="C29" s="299">
        <f>'Учебный план'!D47</f>
        <v>0</v>
      </c>
      <c r="D29" s="299">
        <f>'Учебный план'!E47</f>
        <v>0</v>
      </c>
      <c r="E29" s="299">
        <f>'Учебный план'!G47</f>
        <v>0</v>
      </c>
      <c r="F29" s="299" t="e">
        <f>'Учебный план'!#REF!</f>
        <v>#REF!</v>
      </c>
      <c r="G29" s="299">
        <f>'Учебный план'!H47</f>
        <v>0</v>
      </c>
      <c r="H29" s="304"/>
      <c r="I29" s="300">
        <f>'УП заочное обучение'!D29</f>
        <v>0</v>
      </c>
      <c r="J29" s="300">
        <f>'УП заочное обучение'!E29</f>
        <v>0</v>
      </c>
      <c r="K29" s="300">
        <f>'УП заочное обучение'!F29</f>
        <v>0</v>
      </c>
      <c r="L29" s="300">
        <f>'УП заочное обучение'!G29</f>
        <v>0</v>
      </c>
      <c r="M29" s="300">
        <f>'УП заочное обучение'!H29</f>
        <v>0</v>
      </c>
    </row>
    <row r="30" spans="1:13" ht="90" thickBot="1" x14ac:dyDescent="0.25">
      <c r="A30" s="299" t="str">
        <f>'Учебный план'!B48</f>
        <v>Управление и эксплуатация судна с правом эксплуатации
судовых энергетических установок</v>
      </c>
      <c r="B30" s="299">
        <f>'Учебный план'!C48</f>
        <v>0</v>
      </c>
      <c r="C30" s="299">
        <f>'Учебный план'!D48</f>
        <v>0</v>
      </c>
      <c r="D30" s="299">
        <f>'Учебный план'!E48</f>
        <v>0</v>
      </c>
      <c r="E30" s="299">
        <f>'Учебный план'!G48</f>
        <v>0</v>
      </c>
      <c r="F30" s="299" t="e">
        <f>'Учебный план'!#REF!</f>
        <v>#REF!</v>
      </c>
      <c r="G30" s="299">
        <f>'Учебный план'!H48</f>
        <v>0</v>
      </c>
      <c r="H30" s="304"/>
      <c r="I30" s="300">
        <f>'УП заочное обучение'!D30</f>
        <v>0</v>
      </c>
      <c r="J30" s="300">
        <f>'УП заочное обучение'!E30</f>
        <v>0</v>
      </c>
      <c r="K30" s="300">
        <f>'УП заочное обучение'!F30</f>
        <v>0</v>
      </c>
      <c r="L30" s="300">
        <f>'УП заочное обучение'!G30</f>
        <v>0</v>
      </c>
      <c r="M30" s="300">
        <f>'УП заочное обучение'!H30</f>
        <v>0</v>
      </c>
    </row>
    <row r="31" spans="1:13" ht="51.75" thickBot="1" x14ac:dyDescent="0.25">
      <c r="A31" s="299" t="str">
        <f>'Учебный план'!B49</f>
        <v>Навигация, навигационная гидрометеорология и лоция</v>
      </c>
      <c r="B31" s="299">
        <f>'Учебный план'!C49</f>
        <v>0</v>
      </c>
      <c r="C31" s="299">
        <f>'Учебный план'!D49</f>
        <v>0</v>
      </c>
      <c r="D31" s="299">
        <f>'Учебный план'!E49</f>
        <v>0</v>
      </c>
      <c r="E31" s="299">
        <f>'Учебный план'!G49</f>
        <v>0</v>
      </c>
      <c r="F31" s="299" t="e">
        <f>'Учебный план'!#REF!</f>
        <v>#REF!</v>
      </c>
      <c r="G31" s="299">
        <f>'Учебный план'!H49</f>
        <v>0</v>
      </c>
      <c r="H31" s="304"/>
      <c r="I31" s="300">
        <f>'УП заочное обучение'!D31</f>
        <v>0</v>
      </c>
      <c r="J31" s="300">
        <f>'УП заочное обучение'!E31</f>
        <v>0</v>
      </c>
      <c r="K31" s="300">
        <f>'УП заочное обучение'!F31</f>
        <v>0</v>
      </c>
      <c r="L31" s="300">
        <f>'УП заочное обучение'!G31</f>
        <v>0</v>
      </c>
      <c r="M31" s="300">
        <f>'УП заочное обучение'!H31</f>
        <v>0</v>
      </c>
    </row>
    <row r="32" spans="1:13" ht="26.25" thickBot="1" x14ac:dyDescent="0.25">
      <c r="A32" s="301" t="str">
        <f>'Учебный план'!B50</f>
        <v>Навигация и лоция</v>
      </c>
      <c r="B32" s="301">
        <f>'Учебный план'!C50</f>
        <v>0</v>
      </c>
      <c r="C32" s="301">
        <f>'Учебный план'!D50</f>
        <v>0</v>
      </c>
      <c r="D32" s="301" t="str">
        <f>'Учебный план'!E50</f>
        <v>7,Х</v>
      </c>
      <c r="E32" s="301" t="str">
        <f>'Учебный план'!G50</f>
        <v>Х</v>
      </c>
      <c r="F32" s="301" t="e">
        <f>'Учебный план'!#REF!</f>
        <v>#REF!</v>
      </c>
      <c r="G32" s="301" t="str">
        <f>'Учебный план'!H50</f>
        <v>5,6,8,9</v>
      </c>
      <c r="I32" s="302">
        <f>'УП заочное обучение'!D32</f>
        <v>0</v>
      </c>
      <c r="J32" s="302" t="str">
        <f>'УП заочное обучение'!E32</f>
        <v>5</v>
      </c>
      <c r="K32" s="302">
        <f>'УП заочное обучение'!F32</f>
        <v>0</v>
      </c>
      <c r="L32" s="302" t="str">
        <f>'УП заочное обучение'!G32</f>
        <v>5</v>
      </c>
      <c r="M32" s="302" t="str">
        <f>'УП заочное обучение'!H32</f>
        <v>3,4</v>
      </c>
    </row>
    <row r="33" spans="1:13" ht="42" customHeight="1" thickBot="1" x14ac:dyDescent="0.25">
      <c r="A33" s="301" t="str">
        <f>'Учебный план'!B51</f>
        <v>Основы картографии и навигационные карты</v>
      </c>
      <c r="B33" s="301">
        <f>'Учебный план'!C51</f>
        <v>0</v>
      </c>
      <c r="C33" s="301">
        <f>'Учебный план'!D51</f>
        <v>0</v>
      </c>
      <c r="D33" s="301" t="str">
        <f>'Учебный план'!E51</f>
        <v>5</v>
      </c>
      <c r="E33" s="301">
        <f>'Учебный план'!G51</f>
        <v>0</v>
      </c>
      <c r="F33" s="301" t="e">
        <f>'Учебный план'!#REF!</f>
        <v>#REF!</v>
      </c>
      <c r="G33" s="301" t="str">
        <f>'Учебный план'!H51</f>
        <v>4</v>
      </c>
      <c r="I33" s="302">
        <f>'УП заочное обучение'!D33</f>
        <v>0</v>
      </c>
      <c r="J33" s="302" t="str">
        <f>'УП заочное обучение'!E33</f>
        <v>3</v>
      </c>
      <c r="K33" s="302">
        <f>'УП заочное обучение'!F33</f>
        <v>0</v>
      </c>
      <c r="L33" s="302">
        <f>'УП заочное обучение'!G33</f>
        <v>0</v>
      </c>
      <c r="M33" s="302" t="str">
        <f>'УП заочное обучение'!H33</f>
        <v>2</v>
      </c>
    </row>
    <row r="34" spans="1:13" ht="38.25" customHeight="1" thickBot="1" x14ac:dyDescent="0.25">
      <c r="A34" s="301" t="str">
        <f>'Учебный план'!B52</f>
        <v>Навигационная гидрометеорология</v>
      </c>
      <c r="B34" s="301">
        <f>'Учебный план'!C52</f>
        <v>0</v>
      </c>
      <c r="C34" s="301">
        <f>'Учебный план'!D52</f>
        <v>0</v>
      </c>
      <c r="D34" s="301" t="str">
        <f>'Учебный план'!E52</f>
        <v>8</v>
      </c>
      <c r="E34" s="301">
        <f>'Учебный план'!G52</f>
        <v>0</v>
      </c>
      <c r="F34" s="301" t="e">
        <f>'Учебный план'!#REF!</f>
        <v>#REF!</v>
      </c>
      <c r="G34" s="301" t="str">
        <f>'Учебный план'!H52</f>
        <v>6,7</v>
      </c>
      <c r="I34" s="302">
        <f>'УП заочное обучение'!D34</f>
        <v>0</v>
      </c>
      <c r="J34" s="302" t="str">
        <f>'УП заочное обучение'!E34</f>
        <v>5</v>
      </c>
      <c r="K34" s="302">
        <f>'УП заочное обучение'!F34</f>
        <v>0</v>
      </c>
      <c r="L34" s="302">
        <f>'УП заочное обучение'!G34</f>
        <v>0</v>
      </c>
      <c r="M34" s="302" t="str">
        <f>'УП заочное обучение'!H34</f>
        <v>5</v>
      </c>
    </row>
    <row r="35" spans="1:13" ht="38.25" customHeight="1" thickBot="1" x14ac:dyDescent="0.25">
      <c r="A35" s="301" t="str">
        <f>'Учебный план'!B53</f>
        <v>Мореходная астрономия</v>
      </c>
      <c r="B35" s="301">
        <f>'Учебный план'!C53</f>
        <v>0</v>
      </c>
      <c r="C35" s="301" t="str">
        <f>'Учебный план'!D53</f>
        <v>8</v>
      </c>
      <c r="D35" s="301">
        <f>'Учебный план'!E53</f>
        <v>0</v>
      </c>
      <c r="E35" s="301">
        <f>'Учебный план'!G53</f>
        <v>0</v>
      </c>
      <c r="F35" s="301" t="e">
        <f>'Учебный план'!#REF!</f>
        <v>#REF!</v>
      </c>
      <c r="G35" s="301" t="str">
        <f>'Учебный план'!H53</f>
        <v>6,7</v>
      </c>
      <c r="I35" s="302" t="str">
        <f>'УП заочное обучение'!D35</f>
        <v>4</v>
      </c>
      <c r="J35" s="302">
        <f>'УП заочное обучение'!E35</f>
        <v>0</v>
      </c>
      <c r="K35" s="302">
        <f>'УП заочное обучение'!F35</f>
        <v>0</v>
      </c>
      <c r="L35" s="302">
        <f>'УП заочное обучение'!G35</f>
        <v>0</v>
      </c>
      <c r="M35" s="302" t="str">
        <f>'УП заочное обучение'!H35</f>
        <v>3</v>
      </c>
    </row>
    <row r="36" spans="1:13" ht="56.25" customHeight="1" thickBot="1" x14ac:dyDescent="0.25">
      <c r="A36" s="301" t="str">
        <f>'Учебный план'!B54</f>
        <v>Тренажерная подготовка. Использование ЭКНИС</v>
      </c>
      <c r="B36" s="301" t="str">
        <f>'Учебный план'!C54</f>
        <v>ЭКНИС</v>
      </c>
      <c r="C36" s="301">
        <f>'Учебный план'!D54</f>
        <v>0</v>
      </c>
      <c r="D36" s="301">
        <f>'Учебный план'!E54</f>
        <v>0</v>
      </c>
      <c r="E36" s="301">
        <f>'Учебный план'!G54</f>
        <v>0</v>
      </c>
      <c r="F36" s="301" t="e">
        <f>'Учебный план'!#REF!</f>
        <v>#REF!</v>
      </c>
      <c r="G36" s="301">
        <f>'Учебный план'!H54</f>
        <v>0</v>
      </c>
      <c r="I36" s="302">
        <f>'УП заочное обучение'!D36</f>
        <v>0</v>
      </c>
      <c r="J36" s="302">
        <f>'УП заочное обучение'!E36</f>
        <v>0</v>
      </c>
      <c r="K36" s="302" t="str">
        <f>'УП заочное обучение'!F36</f>
        <v>3</v>
      </c>
      <c r="L36" s="302">
        <f>'УП заочное обучение'!G36</f>
        <v>0</v>
      </c>
      <c r="M36" s="302">
        <f>'УП заочное обучение'!H36</f>
        <v>0</v>
      </c>
    </row>
    <row r="37" spans="1:13" ht="64.5" thickBot="1" x14ac:dyDescent="0.25">
      <c r="A37" s="299" t="str">
        <f>'Учебный план'!B55</f>
        <v>Управление судном и технические средства судовождения</v>
      </c>
      <c r="B37" s="299">
        <f>'Учебный план'!C55</f>
        <v>0</v>
      </c>
      <c r="C37" s="299">
        <f>'Учебный план'!D55</f>
        <v>0</v>
      </c>
      <c r="D37" s="299">
        <f>'Учебный план'!E55</f>
        <v>0</v>
      </c>
      <c r="E37" s="299">
        <f>'Учебный план'!G55</f>
        <v>0</v>
      </c>
      <c r="F37" s="299" t="e">
        <f>'Учебный план'!#REF!</f>
        <v>#REF!</v>
      </c>
      <c r="G37" s="299">
        <f>'Учебный план'!H55</f>
        <v>0</v>
      </c>
      <c r="H37" s="304"/>
      <c r="I37" s="300">
        <f>'УП заочное обучение'!D37</f>
        <v>0</v>
      </c>
      <c r="J37" s="300">
        <f>'УП заочное обучение'!E37</f>
        <v>0</v>
      </c>
      <c r="K37" s="300">
        <f>'УП заочное обучение'!F37</f>
        <v>0</v>
      </c>
      <c r="L37" s="300">
        <f>'УП заочное обучение'!G37</f>
        <v>0</v>
      </c>
      <c r="M37" s="300">
        <f>'УП заочное обучение'!H37</f>
        <v>0</v>
      </c>
    </row>
    <row r="38" spans="1:13" ht="32.25" customHeight="1" thickBot="1" x14ac:dyDescent="0.25">
      <c r="A38" s="301" t="str">
        <f>'Учебный план'!B56</f>
        <v>Управление судном</v>
      </c>
      <c r="B38" s="301">
        <f>'Учебный план'!C56</f>
        <v>0</v>
      </c>
      <c r="C38" s="301">
        <f>'Учебный план'!D56</f>
        <v>0</v>
      </c>
      <c r="D38" s="301" t="str">
        <f>'Учебный план'!E56</f>
        <v>7</v>
      </c>
      <c r="E38" s="301">
        <f>'Учебный план'!G56</f>
        <v>0</v>
      </c>
      <c r="F38" s="301" t="e">
        <f>'Учебный план'!#REF!</f>
        <v>#REF!</v>
      </c>
      <c r="G38" s="301" t="str">
        <f>'Учебный план'!H56</f>
        <v>6</v>
      </c>
      <c r="I38" s="302">
        <f>'УП заочное обучение'!D38</f>
        <v>0</v>
      </c>
      <c r="J38" s="302" t="str">
        <f>'УП заочное обучение'!E38</f>
        <v>4</v>
      </c>
      <c r="K38" s="302">
        <f>'УП заочное обучение'!F38</f>
        <v>0</v>
      </c>
      <c r="L38" s="302">
        <f>'УП заочное обучение'!G38</f>
        <v>0</v>
      </c>
      <c r="M38" s="302" t="str">
        <f>'УП заочное обучение'!H38</f>
        <v>3</v>
      </c>
    </row>
    <row r="39" spans="1:13" ht="45.75" customHeight="1" thickBot="1" x14ac:dyDescent="0.25">
      <c r="A39" s="301" t="str">
        <f>'Учебный план'!B57</f>
        <v xml:space="preserve">Радионавигационные системы </v>
      </c>
      <c r="B39" s="301" t="str">
        <f>'Учебный план'!C57</f>
        <v>РНС</v>
      </c>
      <c r="C39" s="301">
        <f>'Учебный план'!D57</f>
        <v>0</v>
      </c>
      <c r="D39" s="301" t="str">
        <f>'Учебный план'!E57</f>
        <v>5</v>
      </c>
      <c r="E39" s="301">
        <f>'Учебный план'!G57</f>
        <v>0</v>
      </c>
      <c r="F39" s="301" t="e">
        <f>'Учебный план'!#REF!</f>
        <v>#REF!</v>
      </c>
      <c r="G39" s="301" t="str">
        <f>'Учебный план'!H57</f>
        <v>4</v>
      </c>
      <c r="I39" s="302">
        <f>'УП заочное обучение'!D39</f>
        <v>0</v>
      </c>
      <c r="J39" s="302" t="str">
        <f>'УП заочное обучение'!E39</f>
        <v>3</v>
      </c>
      <c r="K39" s="302">
        <f>'УП заочное обучение'!F39</f>
        <v>0</v>
      </c>
      <c r="L39" s="302">
        <f>'УП заочное обучение'!G39</f>
        <v>0</v>
      </c>
      <c r="M39" s="302" t="str">
        <f>'УП заочное обучение'!H39</f>
        <v>4</v>
      </c>
    </row>
    <row r="40" spans="1:13" ht="53.25" customHeight="1" thickBot="1" x14ac:dyDescent="0.25">
      <c r="A40" s="301" t="str">
        <f>'Учебный план'!B58</f>
        <v>Электронавигационные приборы и системы</v>
      </c>
      <c r="B40" s="301" t="str">
        <f>'Учебный план'!C58</f>
        <v>ЭНПиС</v>
      </c>
      <c r="C40" s="301" t="str">
        <f>'Учебный план'!D58</f>
        <v>6</v>
      </c>
      <c r="D40" s="301">
        <f>'Учебный план'!E58</f>
        <v>0</v>
      </c>
      <c r="E40" s="301">
        <f>'Учебный план'!G58</f>
        <v>0</v>
      </c>
      <c r="F40" s="301" t="e">
        <f>'Учебный план'!#REF!</f>
        <v>#REF!</v>
      </c>
      <c r="G40" s="301" t="str">
        <f>'Учебный план'!H58</f>
        <v>4,5</v>
      </c>
      <c r="I40" s="302" t="str">
        <f>'УП заочное обучение'!D40</f>
        <v>4</v>
      </c>
      <c r="J40" s="302">
        <f>'УП заочное обучение'!E40</f>
        <v>0</v>
      </c>
      <c r="K40" s="302">
        <f>'УП заочное обучение'!F40</f>
        <v>0</v>
      </c>
      <c r="L40" s="302">
        <f>'УП заочное обучение'!G40</f>
        <v>0</v>
      </c>
      <c r="M40" s="302" t="str">
        <f>'УП заочное обучение'!H40</f>
        <v>3</v>
      </c>
    </row>
    <row r="41" spans="1:13" ht="58.5" customHeight="1" thickBot="1" x14ac:dyDescent="0.25">
      <c r="A41" s="301" t="str">
        <f>'Учебный план'!B59</f>
        <v>Тренажерная подготовка. Использование РЛС и САРП</v>
      </c>
      <c r="B41" s="301" t="str">
        <f>'Учебный план'!C59</f>
        <v>РЛС и САРП</v>
      </c>
      <c r="C41" s="301">
        <f>'Учебный план'!D59</f>
        <v>0</v>
      </c>
      <c r="D41" s="301">
        <f>'Учебный план'!E59</f>
        <v>0</v>
      </c>
      <c r="E41" s="301">
        <f>'Учебный план'!G59</f>
        <v>0</v>
      </c>
      <c r="F41" s="301" t="e">
        <f>'Учебный план'!#REF!</f>
        <v>#REF!</v>
      </c>
      <c r="G41" s="301" t="str">
        <f>'Учебный план'!H59</f>
        <v>9</v>
      </c>
      <c r="I41" s="302">
        <f>'УП заочное обучение'!D41</f>
        <v>0</v>
      </c>
      <c r="J41" s="302">
        <f>'УП заочное обучение'!E41</f>
        <v>0</v>
      </c>
      <c r="K41" s="302" t="str">
        <f>'УП заочное обучение'!F41</f>
        <v>5</v>
      </c>
      <c r="L41" s="302">
        <f>'УП заочное обучение'!G41</f>
        <v>0</v>
      </c>
      <c r="M41" s="302" t="str">
        <f>'УП заочное обучение'!H41</f>
        <v>5</v>
      </c>
    </row>
    <row r="42" spans="1:13" ht="69.75" customHeight="1" thickBot="1" x14ac:dyDescent="0.25">
      <c r="A42" s="301" t="str">
        <f>'Учебный план'!B61</f>
        <v>Оператор связи ГМССБ</v>
      </c>
      <c r="B42" s="301" t="str">
        <f>'Учебный план'!C61</f>
        <v>ГМССБ</v>
      </c>
      <c r="C42" s="301">
        <f>'Учебный план'!D61</f>
        <v>0</v>
      </c>
      <c r="D42" s="301">
        <f>'Учебный план'!E61</f>
        <v>0</v>
      </c>
      <c r="E42" s="301">
        <f>'Учебный план'!G61</f>
        <v>0</v>
      </c>
      <c r="F42" s="301" t="e">
        <f>'Учебный план'!#REF!</f>
        <v>#REF!</v>
      </c>
      <c r="G42" s="301" t="str">
        <f>'Учебный план'!H61</f>
        <v>8,9</v>
      </c>
      <c r="I42" s="302">
        <f>'УП заочное обучение'!D43</f>
        <v>0</v>
      </c>
      <c r="J42" s="302">
        <f>'УП заочное обучение'!E43</f>
        <v>0</v>
      </c>
      <c r="K42" s="302" t="str">
        <f>'УП заочное обучение'!F43</f>
        <v>5</v>
      </c>
      <c r="L42" s="302">
        <f>'УП заочное обучение'!G43</f>
        <v>0</v>
      </c>
      <c r="M42" s="302" t="str">
        <f>'УП заочное обучение'!H43</f>
        <v>5</v>
      </c>
    </row>
    <row r="43" spans="1:13" ht="64.5" thickBot="1" x14ac:dyDescent="0.25">
      <c r="A43" s="299" t="str">
        <f>'Учебный план'!B62</f>
        <v>Судовые энергетические установки и электрооборудование судов</v>
      </c>
      <c r="B43" s="299">
        <f>'Учебный план'!C62</f>
        <v>0</v>
      </c>
      <c r="C43" s="299">
        <f>'Учебный план'!D62</f>
        <v>0</v>
      </c>
      <c r="D43" s="299">
        <f>'Учебный план'!E62</f>
        <v>0</v>
      </c>
      <c r="E43" s="299">
        <f>'Учебный план'!G62</f>
        <v>0</v>
      </c>
      <c r="F43" s="299" t="e">
        <f>'Учебный план'!#REF!</f>
        <v>#REF!</v>
      </c>
      <c r="G43" s="299">
        <f>'Учебный план'!H62</f>
        <v>0</v>
      </c>
      <c r="H43" s="304"/>
      <c r="I43" s="300">
        <f>'УП заочное обучение'!D44</f>
        <v>0</v>
      </c>
      <c r="J43" s="300">
        <f>'УП заочное обучение'!E44</f>
        <v>0</v>
      </c>
      <c r="K43" s="300">
        <f>'УП заочное обучение'!F44</f>
        <v>0</v>
      </c>
      <c r="L43" s="300">
        <f>'УП заочное обучение'!G44</f>
        <v>0</v>
      </c>
      <c r="M43" s="300">
        <f>'УП заочное обучение'!H44</f>
        <v>0</v>
      </c>
    </row>
    <row r="44" spans="1:13" ht="51.75" thickBot="1" x14ac:dyDescent="0.25">
      <c r="A44" s="301" t="str">
        <f>'Учебный план'!B63</f>
        <v>Судовые вспомогательные механизмы и системы</v>
      </c>
      <c r="B44" s="301" t="str">
        <f>'Учебный план'!C63</f>
        <v>СВМиС</v>
      </c>
      <c r="C44" s="301">
        <f>'Учебный план'!D63</f>
        <v>0</v>
      </c>
      <c r="D44" s="301" t="str">
        <f>'Учебный план'!E63</f>
        <v>5</v>
      </c>
      <c r="E44" s="301">
        <f>'Учебный план'!G63</f>
        <v>0</v>
      </c>
      <c r="F44" s="301" t="e">
        <f>'Учебный план'!#REF!</f>
        <v>#REF!</v>
      </c>
      <c r="G44" s="301" t="str">
        <f>'Учебный план'!H63</f>
        <v>4</v>
      </c>
      <c r="I44" s="302">
        <f>'УП заочное обучение'!D45</f>
        <v>0</v>
      </c>
      <c r="J44" s="302" t="str">
        <f>'УП заочное обучение'!E45</f>
        <v>3</v>
      </c>
      <c r="K44" s="302">
        <f>'УП заочное обучение'!F45</f>
        <v>0</v>
      </c>
      <c r="L44" s="302">
        <f>'УП заочное обучение'!G45</f>
        <v>0</v>
      </c>
      <c r="M44" s="302" t="str">
        <f>'УП заочное обучение'!H45</f>
        <v>2</v>
      </c>
    </row>
    <row r="45" spans="1:13" ht="90" thickBot="1" x14ac:dyDescent="0.25">
      <c r="A45" s="301" t="str">
        <f>'Учебный план'!B64</f>
        <v>Судовые энергетические установки (включая тренажер вахтенного механика)</v>
      </c>
      <c r="B45" s="301" t="str">
        <f>'Учебный план'!C64</f>
        <v>СЭУ</v>
      </c>
      <c r="C45" s="301">
        <f>'Учебный план'!D64</f>
        <v>0</v>
      </c>
      <c r="D45" s="301" t="str">
        <f>'Учебный план'!E64</f>
        <v>6,8,Х</v>
      </c>
      <c r="E45" s="301">
        <f>'Учебный план'!G64</f>
        <v>0</v>
      </c>
      <c r="F45" s="301" t="e">
        <f>'Учебный план'!#REF!</f>
        <v>#REF!</v>
      </c>
      <c r="G45" s="301" t="str">
        <f>'Учебный план'!H64</f>
        <v>5,7,9</v>
      </c>
      <c r="I45" s="302">
        <f>'УП заочное обучение'!D46</f>
        <v>0</v>
      </c>
      <c r="J45" s="302" t="str">
        <f>'УП заочное обучение'!E46</f>
        <v>3,4,5</v>
      </c>
      <c r="K45" s="302">
        <f>'УП заочное обучение'!F46</f>
        <v>0</v>
      </c>
      <c r="L45" s="302">
        <f>'УП заочное обучение'!G46</f>
        <v>0</v>
      </c>
      <c r="M45" s="302" t="str">
        <f>'УП заочное обучение'!H46</f>
        <v>2</v>
      </c>
    </row>
    <row r="46" spans="1:13" ht="64.5" thickBot="1" x14ac:dyDescent="0.25">
      <c r="A46" s="301" t="str">
        <f>'Учебный план'!B65</f>
        <v>Судовая автоматика и контрольно-измерительные приборы</v>
      </c>
      <c r="B46" s="301" t="str">
        <f>'Учебный план'!C65</f>
        <v>САиКИП</v>
      </c>
      <c r="C46" s="301">
        <f>'Учебный план'!D65</f>
        <v>0</v>
      </c>
      <c r="D46" s="301" t="str">
        <f>'Учебный план'!E65</f>
        <v>6</v>
      </c>
      <c r="E46" s="301">
        <f>'Учебный план'!G65</f>
        <v>0</v>
      </c>
      <c r="F46" s="301" t="e">
        <f>'Учебный план'!#REF!</f>
        <v>#REF!</v>
      </c>
      <c r="G46" s="301" t="str">
        <f>'Учебный план'!H65</f>
        <v>5</v>
      </c>
      <c r="I46" s="302">
        <f>'УП заочное обучение'!D47</f>
        <v>0</v>
      </c>
      <c r="J46" s="302" t="str">
        <f>'УП заочное обучение'!E47</f>
        <v>4</v>
      </c>
      <c r="K46" s="302">
        <f>'УП заочное обучение'!F47</f>
        <v>0</v>
      </c>
      <c r="L46" s="302">
        <f>'УП заочное обучение'!G47</f>
        <v>0</v>
      </c>
      <c r="M46" s="302" t="str">
        <f>'УП заочное обучение'!H47</f>
        <v>4</v>
      </c>
    </row>
    <row r="47" spans="1:13" ht="64.5" thickBot="1" x14ac:dyDescent="0.25">
      <c r="A47" s="301" t="str">
        <f>'Учебный план'!B66</f>
        <v>Обслуживание и ремонт судовых энергетических установок</v>
      </c>
      <c r="B47" s="301">
        <f>'Учебный план'!C66</f>
        <v>0</v>
      </c>
      <c r="C47" s="301">
        <f>'Учебный план'!D66</f>
        <v>0</v>
      </c>
      <c r="D47" s="301" t="str">
        <f>'Учебный план'!E66</f>
        <v>Х</v>
      </c>
      <c r="E47" s="301">
        <f>'Учебный план'!G66</f>
        <v>0</v>
      </c>
      <c r="F47" s="301" t="e">
        <f>'Учебный план'!#REF!</f>
        <v>#REF!</v>
      </c>
      <c r="G47" s="301" t="str">
        <f>'Учебный план'!H66</f>
        <v>9</v>
      </c>
      <c r="I47" s="302">
        <f>'УП заочное обучение'!D48</f>
        <v>0</v>
      </c>
      <c r="J47" s="302" t="str">
        <f>'УП заочное обучение'!E48</f>
        <v>5</v>
      </c>
      <c r="K47" s="302">
        <f>'УП заочное обучение'!F48</f>
        <v>0</v>
      </c>
      <c r="L47" s="302">
        <f>'УП заочное обучение'!G48</f>
        <v>0</v>
      </c>
      <c r="M47" s="302" t="str">
        <f>'УП заочное обучение'!H48</f>
        <v>5</v>
      </c>
    </row>
    <row r="48" spans="1:13" ht="26.25" thickBot="1" x14ac:dyDescent="0.25">
      <c r="A48" s="301" t="str">
        <f>'Учебный план'!B67</f>
        <v>Электрооборудование судов</v>
      </c>
      <c r="B48" s="301">
        <f>'Учебный план'!C67</f>
        <v>0</v>
      </c>
      <c r="C48" s="301">
        <f>'Учебный план'!D67</f>
        <v>0</v>
      </c>
      <c r="D48" s="301" t="str">
        <f>'Учебный план'!E67</f>
        <v>6</v>
      </c>
      <c r="E48" s="301">
        <f>'Учебный план'!G67</f>
        <v>0</v>
      </c>
      <c r="F48" s="301" t="e">
        <f>'Учебный план'!#REF!</f>
        <v>#REF!</v>
      </c>
      <c r="G48" s="301">
        <f>'Учебный план'!H67</f>
        <v>0</v>
      </c>
      <c r="I48" s="302">
        <f>'УП заочное обучение'!D49</f>
        <v>0</v>
      </c>
      <c r="J48" s="302" t="str">
        <f>'УП заочное обучение'!E49</f>
        <v>3</v>
      </c>
      <c r="K48" s="302">
        <f>'УП заочное обучение'!F49</f>
        <v>0</v>
      </c>
      <c r="L48" s="302">
        <f>'УП заочное обучение'!G49</f>
        <v>0</v>
      </c>
      <c r="M48" s="302" t="str">
        <f>'УП заочное обучение'!H49</f>
        <v>3</v>
      </c>
    </row>
    <row r="49" spans="1:13" ht="77.25" thickBot="1" x14ac:dyDescent="0.25">
      <c r="A49" s="301" t="str">
        <f>'Учебный план'!B68</f>
        <v>Обслуживание и ремонт судового электрического и электронного оборудования</v>
      </c>
      <c r="B49" s="301">
        <f>'Учебный план'!C68</f>
        <v>0</v>
      </c>
      <c r="C49" s="301">
        <f>'Учебный план'!D68</f>
        <v>0</v>
      </c>
      <c r="D49" s="301" t="str">
        <f>'Учебный план'!E68</f>
        <v>7</v>
      </c>
      <c r="E49" s="301">
        <f>'Учебный план'!G68</f>
        <v>0</v>
      </c>
      <c r="F49" s="301" t="e">
        <f>'Учебный план'!#REF!</f>
        <v>#REF!</v>
      </c>
      <c r="G49" s="301">
        <f>'Учебный план'!H68</f>
        <v>0</v>
      </c>
      <c r="I49" s="302">
        <f>'УП заочное обучение'!D50</f>
        <v>0</v>
      </c>
      <c r="J49" s="302" t="str">
        <f>'УП заочное обучение'!E50</f>
        <v>4</v>
      </c>
      <c r="K49" s="302">
        <f>'УП заочное обучение'!F50</f>
        <v>0</v>
      </c>
      <c r="L49" s="302">
        <f>'УП заочное обучение'!G50</f>
        <v>0</v>
      </c>
      <c r="M49" s="302">
        <f>'УП заочное обучение'!H50</f>
        <v>0</v>
      </c>
    </row>
    <row r="50" spans="1:13" ht="39" thickBot="1" x14ac:dyDescent="0.25">
      <c r="A50" s="299" t="str">
        <f>'Учебный план'!B69</f>
        <v>Судовождение на внутренних водных путях</v>
      </c>
      <c r="B50" s="299">
        <f>'Учебный план'!C69</f>
        <v>0</v>
      </c>
      <c r="C50" s="299">
        <f>'Учебный план'!D69</f>
        <v>0</v>
      </c>
      <c r="D50" s="299">
        <f>'Учебный план'!E69</f>
        <v>0</v>
      </c>
      <c r="E50" s="299">
        <f>'Учебный план'!G69</f>
        <v>0</v>
      </c>
      <c r="F50" s="299" t="e">
        <f>'Учебный план'!#REF!</f>
        <v>#REF!</v>
      </c>
      <c r="G50" s="299">
        <f>'Учебный план'!H69</f>
        <v>0</v>
      </c>
      <c r="H50" s="304"/>
      <c r="I50" s="300">
        <f>'УП заочное обучение'!D51</f>
        <v>0</v>
      </c>
      <c r="J50" s="300">
        <f>'УП заочное обучение'!E51</f>
        <v>0</v>
      </c>
      <c r="K50" s="300">
        <f>'УП заочное обучение'!F51</f>
        <v>0</v>
      </c>
      <c r="L50" s="300">
        <f>'УП заочное обучение'!G51</f>
        <v>0</v>
      </c>
      <c r="M50" s="300">
        <f>'УП заочное обучение'!H51</f>
        <v>0</v>
      </c>
    </row>
    <row r="51" spans="1:13" ht="51.75" thickBot="1" x14ac:dyDescent="0.25">
      <c r="A51" s="301" t="str">
        <f>'Учебный план'!B70</f>
        <v>Правила плавания и управление судами на ВВП</v>
      </c>
      <c r="B51" s="301">
        <f>'Учебный план'!C70</f>
        <v>0</v>
      </c>
      <c r="C51" s="301" t="str">
        <f>'Учебный план'!D70</f>
        <v>6</v>
      </c>
      <c r="D51" s="301" t="str">
        <f>'Учебный план'!E70</f>
        <v>8</v>
      </c>
      <c r="E51" s="301" t="str">
        <f>'Учебный план'!G70</f>
        <v>8</v>
      </c>
      <c r="F51" s="301" t="e">
        <f>'Учебный план'!#REF!</f>
        <v>#REF!</v>
      </c>
      <c r="G51" s="301" t="str">
        <f>'Учебный план'!H70</f>
        <v>4,5,7</v>
      </c>
      <c r="I51" s="302" t="str">
        <f>'УП заочное обучение'!D52</f>
        <v>4</v>
      </c>
      <c r="J51" s="302" t="str">
        <f>'УП заочное обучение'!E52</f>
        <v>5</v>
      </c>
      <c r="K51" s="302">
        <f>'УП заочное обучение'!F52</f>
        <v>0</v>
      </c>
      <c r="L51" s="302" t="str">
        <f>'УП заочное обучение'!G52</f>
        <v>5</v>
      </c>
      <c r="M51" s="302" t="str">
        <f>'УП заочное обучение'!H52</f>
        <v>3</v>
      </c>
    </row>
    <row r="52" spans="1:13" ht="39" thickBot="1" x14ac:dyDescent="0.25">
      <c r="A52" s="301" t="str">
        <f>'Учебный план'!B71</f>
        <v>Лоция внутренних водных путей</v>
      </c>
      <c r="B52" s="301" t="str">
        <f>'Учебный план'!C71</f>
        <v>Лоция ВВП</v>
      </c>
      <c r="C52" s="301">
        <f>'Учебный план'!D71</f>
        <v>0</v>
      </c>
      <c r="D52" s="301" t="str">
        <f>'Учебный план'!E71</f>
        <v>5</v>
      </c>
      <c r="E52" s="301">
        <f>'Учебный план'!G71</f>
        <v>0</v>
      </c>
      <c r="F52" s="301" t="e">
        <f>'Учебный план'!#REF!</f>
        <v>#REF!</v>
      </c>
      <c r="G52" s="301" t="str">
        <f>'Учебный план'!H71</f>
        <v>4</v>
      </c>
      <c r="I52" s="302">
        <f>'УП заочное обучение'!D53</f>
        <v>0</v>
      </c>
      <c r="J52" s="302" t="str">
        <f>'УП заочное обучение'!E53</f>
        <v>3</v>
      </c>
      <c r="K52" s="302">
        <f>'УП заочное обучение'!F53</f>
        <v>0</v>
      </c>
      <c r="L52" s="302">
        <f>'УП заочное обучение'!G53</f>
        <v>0</v>
      </c>
      <c r="M52" s="302" t="str">
        <f>'УП заочное обучение'!H53</f>
        <v>3</v>
      </c>
    </row>
    <row r="53" spans="1:13" ht="26.25" thickBot="1" x14ac:dyDescent="0.25">
      <c r="A53" s="301" t="str">
        <f>'Учебный план'!B72</f>
        <v>Использование РЛС на ВВП</v>
      </c>
      <c r="B53" s="301" t="str">
        <f>'Учебный план'!C72</f>
        <v>РЛС на ВВП</v>
      </c>
      <c r="C53" s="301">
        <f>'Учебный план'!D72</f>
        <v>0</v>
      </c>
      <c r="D53" s="301">
        <f>'Учебный план'!E72</f>
        <v>0</v>
      </c>
      <c r="E53" s="301">
        <f>'Учебный план'!G72</f>
        <v>0</v>
      </c>
      <c r="F53" s="301" t="e">
        <f>'Учебный план'!#REF!</f>
        <v>#REF!</v>
      </c>
      <c r="G53" s="301" t="str">
        <f>'Учебный план'!H72</f>
        <v>5</v>
      </c>
      <c r="I53" s="302">
        <f>'УП заочное обучение'!D54</f>
        <v>0</v>
      </c>
      <c r="J53" s="302">
        <f>'УП заочное обучение'!E54</f>
        <v>0</v>
      </c>
      <c r="K53" s="302" t="str">
        <f>'УП заочное обучение'!F54</f>
        <v>4</v>
      </c>
      <c r="L53" s="302">
        <f>'УП заочное обучение'!G54</f>
        <v>0</v>
      </c>
      <c r="M53" s="302" t="str">
        <f>'УП заочное обучение'!H54</f>
        <v>4</v>
      </c>
    </row>
    <row r="54" spans="1:13" ht="13.5" thickBot="1" x14ac:dyDescent="0.25">
      <c r="A54" s="301">
        <f>'Учебный план'!B73</f>
        <v>0</v>
      </c>
      <c r="B54" s="301">
        <f>'Учебный план'!C73</f>
        <v>0</v>
      </c>
      <c r="C54" s="301" t="str">
        <f>'Учебный план'!D73</f>
        <v>Х</v>
      </c>
      <c r="D54" s="301">
        <f>'Учебный план'!E73</f>
        <v>0</v>
      </c>
      <c r="E54" s="301">
        <f>'Учебный план'!G73</f>
        <v>0</v>
      </c>
      <c r="F54" s="301" t="e">
        <f>'Учебный план'!#REF!</f>
        <v>#REF!</v>
      </c>
      <c r="G54" s="301">
        <f>'Учебный план'!H73</f>
        <v>0</v>
      </c>
      <c r="I54" s="302" t="str">
        <f>'УП заочное обучение'!D55</f>
        <v>5</v>
      </c>
      <c r="J54" s="302">
        <f>'УП заочное обучение'!E55</f>
        <v>0</v>
      </c>
      <c r="K54" s="302">
        <f>'УП заочное обучение'!F55</f>
        <v>0</v>
      </c>
      <c r="L54" s="302">
        <f>'УП заочное обучение'!G55</f>
        <v>0</v>
      </c>
      <c r="M54" s="302">
        <f>'УП заочное обучение'!H55</f>
        <v>0</v>
      </c>
    </row>
    <row r="55" spans="1:13" ht="39" thickBot="1" x14ac:dyDescent="0.25">
      <c r="A55" s="299" t="str">
        <f>'Учебный план'!B74</f>
        <v>Обеспечение безопасности плавания</v>
      </c>
      <c r="B55" s="299">
        <f>'Учебный план'!C74</f>
        <v>0</v>
      </c>
      <c r="C55" s="299">
        <f>'Учебный план'!D74</f>
        <v>0</v>
      </c>
      <c r="D55" s="299">
        <f>'Учебный план'!E74</f>
        <v>0</v>
      </c>
      <c r="E55" s="299">
        <f>'Учебный план'!G74</f>
        <v>0</v>
      </c>
      <c r="F55" s="299" t="e">
        <f>'Учебный план'!#REF!</f>
        <v>#REF!</v>
      </c>
      <c r="G55" s="299">
        <f>'Учебный план'!H74</f>
        <v>0</v>
      </c>
      <c r="H55" s="304"/>
      <c r="I55" s="300">
        <f>'УП заочное обучение'!D56</f>
        <v>0</v>
      </c>
      <c r="J55" s="300">
        <f>'УП заочное обучение'!E56</f>
        <v>0</v>
      </c>
      <c r="K55" s="300">
        <f>'УП заочное обучение'!F56</f>
        <v>0</v>
      </c>
      <c r="L55" s="300">
        <f>'УП заочное обучение'!G56</f>
        <v>0</v>
      </c>
      <c r="M55" s="300">
        <f>'УП заочное обучение'!H56</f>
        <v>0</v>
      </c>
    </row>
    <row r="56" spans="1:13" ht="64.5" thickBot="1" x14ac:dyDescent="0.25">
      <c r="A56" s="299" t="str">
        <f>'Учебный план'!B75</f>
        <v>Безопасность жизнедеятельности на судне и транспортная безопасность</v>
      </c>
      <c r="B56" s="299">
        <f>'Учебный план'!C75</f>
        <v>0</v>
      </c>
      <c r="C56" s="299">
        <f>'Учебный план'!D75</f>
        <v>0</v>
      </c>
      <c r="D56" s="299">
        <f>'Учебный план'!E75</f>
        <v>0</v>
      </c>
      <c r="E56" s="299">
        <f>'Учебный план'!G75</f>
        <v>0</v>
      </c>
      <c r="F56" s="299" t="e">
        <f>'Учебный план'!#REF!</f>
        <v>#REF!</v>
      </c>
      <c r="G56" s="299">
        <f>'Учебный план'!H75</f>
        <v>0</v>
      </c>
      <c r="H56" s="304"/>
      <c r="I56" s="300">
        <f>'УП заочное обучение'!D57</f>
        <v>0</v>
      </c>
      <c r="J56" s="300">
        <f>'УП заочное обучение'!E57</f>
        <v>0</v>
      </c>
      <c r="K56" s="300">
        <f>'УП заочное обучение'!F57</f>
        <v>0</v>
      </c>
      <c r="L56" s="300">
        <f>'УП заочное обучение'!G57</f>
        <v>0</v>
      </c>
      <c r="M56" s="300">
        <f>'УП заочное обучение'!H57</f>
        <v>0</v>
      </c>
    </row>
    <row r="57" spans="1:13" ht="39" thickBot="1" x14ac:dyDescent="0.25">
      <c r="A57" s="301" t="str">
        <f>'Учебный план'!B77</f>
        <v>Безопасность жизнедеятельности на судне</v>
      </c>
      <c r="B57" s="301" t="str">
        <f>'Учебный план'!C77</f>
        <v>БЖС</v>
      </c>
      <c r="C57" s="301">
        <f>'Учебный план'!D77</f>
        <v>0</v>
      </c>
      <c r="D57" s="301">
        <f>'Учебный план'!E77</f>
        <v>0</v>
      </c>
      <c r="E57" s="301">
        <f>'Учебный план'!G77</f>
        <v>0</v>
      </c>
      <c r="F57" s="301" t="e">
        <f>'Учебный план'!#REF!</f>
        <v>#REF!</v>
      </c>
      <c r="G57" s="301">
        <f>'Учебный план'!H77</f>
        <v>0</v>
      </c>
      <c r="I57" s="302">
        <f>'УП заочное обучение'!D59</f>
        <v>0</v>
      </c>
      <c r="J57" s="302" t="str">
        <f>'УП заочное обучение'!E59</f>
        <v>2</v>
      </c>
      <c r="K57" s="302">
        <f>'УП заочное обучение'!F59</f>
        <v>0</v>
      </c>
      <c r="L57" s="302">
        <f>'УП заочное обучение'!G59</f>
        <v>0</v>
      </c>
      <c r="M57" s="302">
        <f>'УП заочное обучение'!H59</f>
        <v>0</v>
      </c>
    </row>
    <row r="58" spans="1:13" ht="26.25" thickBot="1" x14ac:dyDescent="0.25">
      <c r="A58" s="301" t="str">
        <f>'Учебный план'!B78</f>
        <v>Транспортная безопасность</v>
      </c>
      <c r="B58" s="301">
        <f>'Учебный план'!C78</f>
        <v>0</v>
      </c>
      <c r="C58" s="301">
        <f>'Учебный план'!D78</f>
        <v>0</v>
      </c>
      <c r="D58" s="301" t="str">
        <f>'Учебный план'!E78</f>
        <v>Х</v>
      </c>
      <c r="E58" s="301">
        <f>'Учебный план'!G78</f>
        <v>0</v>
      </c>
      <c r="F58" s="301" t="e">
        <f>'Учебный план'!#REF!</f>
        <v>#REF!</v>
      </c>
      <c r="G58" s="301">
        <f>'Учебный план'!H78</f>
        <v>0</v>
      </c>
      <c r="I58" s="302">
        <f>'УП заочное обучение'!D60</f>
        <v>0</v>
      </c>
      <c r="J58" s="302" t="str">
        <f>'УП заочное обучение'!E60</f>
        <v>2</v>
      </c>
      <c r="K58" s="302">
        <f>'УП заочное обучение'!F60</f>
        <v>0</v>
      </c>
      <c r="L58" s="302">
        <f>'УП заочное обучение'!G60</f>
        <v>0</v>
      </c>
      <c r="M58" s="302">
        <f>'УП заочное обучение'!H60</f>
        <v>0</v>
      </c>
    </row>
    <row r="59" spans="1:13" ht="39" thickBot="1" x14ac:dyDescent="0.25">
      <c r="A59" s="301" t="str">
        <f>'Учебный план'!B79</f>
        <v>Техника безопасности на судах</v>
      </c>
      <c r="B59" s="301">
        <f>'Учебный план'!C79</f>
        <v>0</v>
      </c>
      <c r="C59" s="301" t="str">
        <f>'Учебный план'!D79</f>
        <v>5</v>
      </c>
      <c r="D59" s="301">
        <f>'Учебный план'!E79</f>
        <v>0</v>
      </c>
      <c r="E59" s="301">
        <f>'Учебный план'!G79</f>
        <v>0</v>
      </c>
      <c r="F59" s="301" t="e">
        <f>'Учебный план'!#REF!</f>
        <v>#REF!</v>
      </c>
      <c r="G59" s="301">
        <f>'Учебный план'!H79</f>
        <v>0</v>
      </c>
      <c r="I59" s="302" t="str">
        <f>'УП заочное обучение'!D61</f>
        <v>2</v>
      </c>
      <c r="J59" s="302">
        <f>'УП заочное обучение'!E61</f>
        <v>0</v>
      </c>
      <c r="K59" s="302">
        <f>'УП заочное обучение'!F61</f>
        <v>0</v>
      </c>
      <c r="L59" s="302">
        <f>'УП заочное обучение'!G61</f>
        <v>0</v>
      </c>
      <c r="M59" s="302">
        <f>'УП заочное обучение'!H61</f>
        <v>0</v>
      </c>
    </row>
    <row r="60" spans="1:13" ht="13.5" thickBot="1" x14ac:dyDescent="0.25">
      <c r="A60" s="301">
        <f>'Учебный план'!B80</f>
        <v>0</v>
      </c>
      <c r="B60" s="301">
        <f>'Учебный план'!C80</f>
        <v>0</v>
      </c>
      <c r="C60" s="301" t="str">
        <f>'Учебный план'!D80</f>
        <v>Х</v>
      </c>
      <c r="D60" s="301">
        <f>'Учебный план'!E80</f>
        <v>0</v>
      </c>
      <c r="E60" s="301">
        <f>'Учебный план'!G80</f>
        <v>0</v>
      </c>
      <c r="F60" s="301" t="e">
        <f>'Учебный план'!#REF!</f>
        <v>#REF!</v>
      </c>
      <c r="G60" s="301">
        <f>'Учебный план'!H80</f>
        <v>0</v>
      </c>
      <c r="I60" s="302" t="str">
        <f>'УП заочное обучение'!D62</f>
        <v>3</v>
      </c>
      <c r="J60" s="302">
        <f>'УП заочное обучение'!E62</f>
        <v>0</v>
      </c>
      <c r="K60" s="302">
        <f>'УП заочное обучение'!F62</f>
        <v>0</v>
      </c>
      <c r="L60" s="302">
        <f>'УП заочное обучение'!G62</f>
        <v>0</v>
      </c>
      <c r="M60" s="302">
        <f>'УП заочное обучение'!H62</f>
        <v>0</v>
      </c>
    </row>
    <row r="61" spans="1:13" ht="39" thickBot="1" x14ac:dyDescent="0.25">
      <c r="A61" s="299" t="str">
        <f>'Учебный план'!B81</f>
        <v>Обработка и размещение груза</v>
      </c>
      <c r="B61" s="299">
        <f>'Учебный план'!C81</f>
        <v>0</v>
      </c>
      <c r="C61" s="299">
        <f>'Учебный план'!D81</f>
        <v>0</v>
      </c>
      <c r="D61" s="299">
        <f>'Учебный план'!E81</f>
        <v>0</v>
      </c>
      <c r="E61" s="299">
        <f>'Учебный план'!G81</f>
        <v>0</v>
      </c>
      <c r="F61" s="299" t="e">
        <f>'Учебный план'!#REF!</f>
        <v>#REF!</v>
      </c>
      <c r="G61" s="299">
        <f>'Учебный план'!H81</f>
        <v>0</v>
      </c>
      <c r="H61" s="304"/>
      <c r="I61" s="300">
        <f>'УП заочное обучение'!D63</f>
        <v>0</v>
      </c>
      <c r="J61" s="300">
        <f>'УП заочное обучение'!E63</f>
        <v>0</v>
      </c>
      <c r="K61" s="300">
        <f>'УП заочное обучение'!F63</f>
        <v>0</v>
      </c>
      <c r="L61" s="300">
        <f>'УП заочное обучение'!G63</f>
        <v>0</v>
      </c>
      <c r="M61" s="300">
        <f>'УП заочное обучение'!H63</f>
        <v>0</v>
      </c>
    </row>
    <row r="62" spans="1:13" ht="39" thickBot="1" x14ac:dyDescent="0.25">
      <c r="A62" s="301" t="str">
        <f>'Учебный план'!B82</f>
        <v>Технология перевозки груза</v>
      </c>
      <c r="B62" s="301">
        <f>'Учебный план'!C82</f>
        <v>0</v>
      </c>
      <c r="C62" s="301">
        <f>'Учебный план'!D82</f>
        <v>0</v>
      </c>
      <c r="D62" s="301">
        <f>'Учебный план'!E82</f>
        <v>0</v>
      </c>
      <c r="E62" s="301">
        <f>'Учебный план'!G82</f>
        <v>0</v>
      </c>
      <c r="F62" s="301" t="e">
        <f>'Учебный план'!#REF!</f>
        <v>#REF!</v>
      </c>
      <c r="G62" s="301">
        <f>'Учебный план'!H82</f>
        <v>0</v>
      </c>
      <c r="I62" s="302">
        <f>'УП заочное обучение'!D64</f>
        <v>0</v>
      </c>
      <c r="J62" s="302">
        <f>'УП заочное обучение'!E64</f>
        <v>0</v>
      </c>
      <c r="K62" s="302">
        <f>'УП заочное обучение'!F64</f>
        <v>0</v>
      </c>
      <c r="L62" s="302">
        <f>'УП заочное обучение'!G64</f>
        <v>0</v>
      </c>
      <c r="M62" s="302">
        <f>'УП заочное обучение'!H64</f>
        <v>0</v>
      </c>
    </row>
    <row r="63" spans="1:13" ht="26.25" thickBot="1" x14ac:dyDescent="0.25">
      <c r="A63" s="301" t="str">
        <f>'Учебный план'!B83</f>
        <v>Коммерческая эксплуатация</v>
      </c>
      <c r="B63" s="301">
        <f>'Учебный план'!C83</f>
        <v>0</v>
      </c>
      <c r="C63" s="301">
        <f>'Учебный план'!D83</f>
        <v>0</v>
      </c>
      <c r="D63" s="301" t="str">
        <f>'Учебный план'!E83</f>
        <v>8</v>
      </c>
      <c r="E63" s="301">
        <f>'Учебный план'!G83</f>
        <v>0</v>
      </c>
      <c r="F63" s="301" t="e">
        <f>'Учебный план'!#REF!</f>
        <v>#REF!</v>
      </c>
      <c r="G63" s="301" t="str">
        <f>'Учебный план'!H83</f>
        <v>7</v>
      </c>
      <c r="I63" s="302">
        <f>'УП заочное обучение'!D65</f>
        <v>0</v>
      </c>
      <c r="J63" s="302" t="str">
        <f>'УП заочное обучение'!E65</f>
        <v>3</v>
      </c>
      <c r="K63" s="302">
        <f>'УП заочное обучение'!F65</f>
        <v>0</v>
      </c>
      <c r="L63" s="302">
        <f>'УП заочное обучение'!G65</f>
        <v>0</v>
      </c>
      <c r="M63" s="302" t="str">
        <f>'УП заочное обучение'!H65</f>
        <v>3</v>
      </c>
    </row>
    <row r="64" spans="1:13" ht="26.25" thickBot="1" x14ac:dyDescent="0.25">
      <c r="A64" s="301" t="str">
        <f>'Учебный план'!B84</f>
        <v>Технология перевозок</v>
      </c>
      <c r="B64" s="301">
        <f>'Учебный план'!C84</f>
        <v>0</v>
      </c>
      <c r="C64" s="301">
        <f>'Учебный план'!D84</f>
        <v>0</v>
      </c>
      <c r="D64" s="301" t="str">
        <f>'Учебный план'!E84</f>
        <v>8</v>
      </c>
      <c r="E64" s="301" t="str">
        <f>'Учебный план'!G84</f>
        <v>8</v>
      </c>
      <c r="F64" s="301" t="e">
        <f>'Учебный план'!#REF!</f>
        <v>#REF!</v>
      </c>
      <c r="G64" s="301" t="str">
        <f>'Учебный план'!H84</f>
        <v>7</v>
      </c>
      <c r="I64" s="302">
        <f>'УП заочное обучение'!D66</f>
        <v>0</v>
      </c>
      <c r="J64" s="302" t="str">
        <f>'УП заочное обучение'!E66</f>
        <v>4</v>
      </c>
      <c r="K64" s="302">
        <f>'УП заочное обучение'!F66</f>
        <v>0</v>
      </c>
      <c r="L64" s="302" t="str">
        <f>'УП заочное обучение'!G66</f>
        <v>4</v>
      </c>
      <c r="M64" s="302" t="str">
        <f>'УП заочное обучение'!H66</f>
        <v>4</v>
      </c>
    </row>
    <row r="65" spans="1:13" ht="13.5" thickBot="1" x14ac:dyDescent="0.25">
      <c r="A65" s="301">
        <f>'Учебный план'!B85</f>
        <v>0</v>
      </c>
      <c r="B65" s="301">
        <f>'Учебный план'!C85</f>
        <v>0</v>
      </c>
      <c r="C65" s="301">
        <f>'Учебный план'!D85</f>
        <v>8</v>
      </c>
      <c r="D65" s="301">
        <f>'Учебный план'!E85</f>
        <v>0</v>
      </c>
      <c r="E65" s="301">
        <f>'Учебный план'!G85</f>
        <v>0</v>
      </c>
      <c r="F65" s="301" t="e">
        <f>'Учебный план'!#REF!</f>
        <v>#REF!</v>
      </c>
      <c r="G65" s="301">
        <f>'Учебный план'!H85</f>
        <v>0</v>
      </c>
      <c r="I65" s="302" t="str">
        <f>'УП заочное обучение'!D67</f>
        <v>4</v>
      </c>
      <c r="J65" s="302">
        <f>'УП заочное обучение'!E67</f>
        <v>0</v>
      </c>
      <c r="K65" s="302">
        <f>'УП заочное обучение'!F67</f>
        <v>0</v>
      </c>
      <c r="L65" s="302">
        <f>'УП заочное обучение'!G67</f>
        <v>0</v>
      </c>
      <c r="M65" s="302">
        <f>'УП заочное обучение'!H67</f>
        <v>0</v>
      </c>
    </row>
    <row r="66" spans="1:13" ht="39" thickBot="1" x14ac:dyDescent="0.25">
      <c r="A66" s="299" t="str">
        <f>'Учебный план'!B86</f>
        <v>Анализ эффективности работы судна</v>
      </c>
      <c r="B66" s="299">
        <f>'Учебный план'!C86</f>
        <v>0</v>
      </c>
      <c r="C66" s="299">
        <f>'Учебный план'!D86</f>
        <v>0</v>
      </c>
      <c r="D66" s="299">
        <f>'Учебный план'!E86</f>
        <v>0</v>
      </c>
      <c r="E66" s="299">
        <f>'Учебный план'!G86</f>
        <v>0</v>
      </c>
      <c r="F66" s="299" t="e">
        <f>'Учебный план'!#REF!</f>
        <v>#REF!</v>
      </c>
      <c r="G66" s="299">
        <f>'Учебный план'!H86</f>
        <v>0</v>
      </c>
      <c r="H66" s="304"/>
      <c r="I66" s="300">
        <f>'УП заочное обучение'!D68</f>
        <v>0</v>
      </c>
      <c r="J66" s="300">
        <f>'УП заочное обучение'!E68</f>
        <v>0</v>
      </c>
      <c r="K66" s="300">
        <f>'УП заочное обучение'!F68</f>
        <v>0</v>
      </c>
      <c r="L66" s="300">
        <f>'УП заочное обучение'!G68</f>
        <v>0</v>
      </c>
      <c r="M66" s="300">
        <f>'УП заочное обучение'!H68</f>
        <v>0</v>
      </c>
    </row>
    <row r="67" spans="1:13" ht="90" thickBot="1" x14ac:dyDescent="0.25">
      <c r="A67" s="301" t="str">
        <f>'Учебный план'!B87</f>
        <v>Основы анализа эффективности работы судна с применением информационных технологий</v>
      </c>
      <c r="B67" s="301">
        <f>'Учебный план'!C87</f>
        <v>0</v>
      </c>
      <c r="C67" s="301">
        <f>'Учебный план'!D87</f>
        <v>0</v>
      </c>
      <c r="D67" s="301">
        <f>'Учебный план'!E87</f>
        <v>9</v>
      </c>
      <c r="E67" s="301">
        <f>'Учебный план'!G87</f>
        <v>0</v>
      </c>
      <c r="F67" s="301" t="e">
        <f>'Учебный план'!#REF!</f>
        <v>#REF!</v>
      </c>
      <c r="G67" s="301" t="str">
        <f>'Учебный план'!H87</f>
        <v>7,8</v>
      </c>
      <c r="I67" s="302">
        <f>'УП заочное обучение'!D69</f>
        <v>0</v>
      </c>
      <c r="J67" s="302" t="str">
        <f>'УП заочное обучение'!E69</f>
        <v>4</v>
      </c>
      <c r="K67" s="302">
        <f>'УП заочное обучение'!F69</f>
        <v>0</v>
      </c>
      <c r="L67" s="302">
        <f>'УП заочное обучение'!G69</f>
        <v>0</v>
      </c>
      <c r="M67" s="302" t="str">
        <f>'УП заочное обучение'!H69</f>
        <v>4</v>
      </c>
    </row>
    <row r="68" spans="1:13" ht="13.5" thickBot="1" x14ac:dyDescent="0.25">
      <c r="A68" s="301">
        <f>'Учебный план'!B88</f>
        <v>0</v>
      </c>
      <c r="B68" s="301">
        <f>'Учебный план'!C88</f>
        <v>0</v>
      </c>
      <c r="C68" s="301" t="str">
        <f>'Учебный план'!D88</f>
        <v>Х</v>
      </c>
      <c r="D68" s="301">
        <f>'Учебный план'!E88</f>
        <v>0</v>
      </c>
      <c r="E68" s="301">
        <f>'Учебный план'!G88</f>
        <v>0</v>
      </c>
      <c r="F68" s="301" t="e">
        <f>'Учебный план'!#REF!</f>
        <v>#REF!</v>
      </c>
      <c r="G68" s="301">
        <f>'Учебный план'!H88</f>
        <v>0</v>
      </c>
      <c r="I68" s="302" t="str">
        <f>'УП заочное обучение'!D70</f>
        <v>4</v>
      </c>
      <c r="J68" s="302">
        <f>'УП заочное обучение'!E70</f>
        <v>0</v>
      </c>
      <c r="K68" s="302">
        <f>'УП заочное обучение'!F70</f>
        <v>0</v>
      </c>
      <c r="L68" s="302">
        <f>'УП заочное обучение'!G70</f>
        <v>0</v>
      </c>
      <c r="M68" s="302">
        <f>'УП заочное обучение'!H70</f>
        <v>0</v>
      </c>
    </row>
    <row r="69" spans="1:13" ht="90" thickBot="1" x14ac:dyDescent="0.25">
      <c r="A69" s="299" t="str">
        <f>'Учебный план'!B89</f>
        <v>Выполнение работ по одной или нескольким профессиям рабочих, должностям служащих</v>
      </c>
      <c r="B69" s="299">
        <f>'Учебный план'!C89</f>
        <v>0</v>
      </c>
      <c r="C69" s="299">
        <f>'Учебный план'!D89</f>
        <v>0</v>
      </c>
      <c r="D69" s="299">
        <f>'Учебный план'!E89</f>
        <v>0</v>
      </c>
      <c r="E69" s="299">
        <f>'Учебный план'!G89</f>
        <v>0</v>
      </c>
      <c r="F69" s="299" t="e">
        <f>'Учебный план'!#REF!</f>
        <v>#REF!</v>
      </c>
      <c r="G69" s="299">
        <f>'Учебный план'!H89</f>
        <v>0</v>
      </c>
      <c r="H69" s="304"/>
      <c r="I69" s="300">
        <f>'УП заочное обучение'!D71</f>
        <v>0</v>
      </c>
      <c r="J69" s="300">
        <f>'УП заочное обучение'!E71</f>
        <v>0</v>
      </c>
      <c r="K69" s="300">
        <f>'УП заочное обучение'!F71</f>
        <v>0</v>
      </c>
      <c r="L69" s="300">
        <f>'УП заочное обучение'!G71</f>
        <v>0</v>
      </c>
      <c r="M69" s="300">
        <f>'УП заочное обучение'!H71</f>
        <v>0</v>
      </c>
    </row>
    <row r="70" spans="1:13" ht="51.75" thickBot="1" x14ac:dyDescent="0.25">
      <c r="A70" s="301" t="str">
        <f>'Учебный план'!B90</f>
        <v>Судовождение на вспомогательном уровне</v>
      </c>
      <c r="B70" s="301">
        <f>'Учебный план'!C90</f>
        <v>0</v>
      </c>
      <c r="C70" s="301">
        <f>'Учебный план'!D90</f>
        <v>0</v>
      </c>
      <c r="D70" s="301">
        <f>'Учебный план'!E90</f>
        <v>0</v>
      </c>
      <c r="E70" s="301">
        <f>'Учебный план'!G90</f>
        <v>0</v>
      </c>
      <c r="F70" s="301" t="e">
        <f>'Учебный план'!#REF!</f>
        <v>#REF!</v>
      </c>
      <c r="G70" s="301">
        <f>'Учебный план'!H90</f>
        <v>0</v>
      </c>
      <c r="I70" s="302">
        <f>'УП заочное обучение'!D72</f>
        <v>0</v>
      </c>
      <c r="J70" s="302">
        <f>'УП заочное обучение'!E72</f>
        <v>0</v>
      </c>
      <c r="K70" s="302">
        <f>'УП заочное обучение'!F72</f>
        <v>0</v>
      </c>
      <c r="L70" s="302">
        <f>'УП заочное обучение'!G72</f>
        <v>0</v>
      </c>
      <c r="M70" s="302">
        <f>'УП заочное обучение'!H72</f>
        <v>0</v>
      </c>
    </row>
    <row r="71" spans="1:13" ht="51.75" thickBot="1" x14ac:dyDescent="0.25">
      <c r="A71" s="301" t="str">
        <f>'Учебный план'!B91</f>
        <v>Судовождение на вспомогательном уровне</v>
      </c>
      <c r="B71" s="301">
        <f>'Учебный план'!C91</f>
        <v>0</v>
      </c>
      <c r="C71" s="301">
        <f>'Учебный план'!D91</f>
        <v>0</v>
      </c>
      <c r="D71" s="301" t="str">
        <f>'Учебный план'!E91</f>
        <v>4</v>
      </c>
      <c r="E71" s="301">
        <f>'Учебный план'!G91</f>
        <v>0</v>
      </c>
      <c r="F71" s="301" t="e">
        <f>'Учебный план'!#REF!</f>
        <v>#REF!</v>
      </c>
      <c r="G71" s="301">
        <f>'Учебный план'!H91</f>
        <v>0</v>
      </c>
      <c r="I71" s="302">
        <f>'УП заочное обучение'!D73</f>
        <v>0</v>
      </c>
      <c r="J71" s="302" t="str">
        <f>'УП заочное обучение'!E73</f>
        <v>2</v>
      </c>
      <c r="K71" s="302">
        <f>'УП заочное обучение'!F73</f>
        <v>0</v>
      </c>
      <c r="L71" s="302">
        <f>'УП заочное обучение'!G73</f>
        <v>0</v>
      </c>
      <c r="M71" s="302">
        <f>'УП заочное обучение'!H73</f>
        <v>0</v>
      </c>
    </row>
    <row r="72" spans="1:13" ht="13.5" thickBot="1" x14ac:dyDescent="0.25">
      <c r="A72" s="301">
        <f>'Учебный план'!B92</f>
        <v>0</v>
      </c>
      <c r="B72" s="301">
        <f>'Учебный план'!C92</f>
        <v>0</v>
      </c>
      <c r="C72" s="301">
        <f>'Учебный план'!D92</f>
        <v>5</v>
      </c>
      <c r="D72" s="301">
        <f>'Учебный план'!E92</f>
        <v>0</v>
      </c>
      <c r="E72" s="301">
        <f>'Учебный план'!G92</f>
        <v>0</v>
      </c>
      <c r="F72" s="301" t="e">
        <f>'Учебный план'!#REF!</f>
        <v>#REF!</v>
      </c>
      <c r="G72" s="301">
        <f>'Учебный план'!H92</f>
        <v>0</v>
      </c>
      <c r="I72" s="302" t="str">
        <f>'УП заочное обучение'!D74</f>
        <v>3</v>
      </c>
      <c r="J72" s="302">
        <f>'УП заочное обучение'!E74</f>
        <v>0</v>
      </c>
      <c r="K72" s="302">
        <f>'УП заочное обучение'!F74</f>
        <v>0</v>
      </c>
      <c r="L72" s="302">
        <f>'УП заочное обучение'!G74</f>
        <v>0</v>
      </c>
      <c r="M72" s="302">
        <f>'УП заочное обучение'!H74</f>
        <v>0</v>
      </c>
    </row>
    <row r="73" spans="1:13" ht="39" thickBot="1" x14ac:dyDescent="0.25">
      <c r="A73" s="299" t="str">
        <f>'Учебный план'!B93</f>
        <v>Вариативная часть циклов ППССЗ</v>
      </c>
      <c r="B73" s="299">
        <f>'Учебный план'!C93</f>
        <v>0</v>
      </c>
      <c r="C73" s="299">
        <f>'Учебный план'!D93</f>
        <v>0</v>
      </c>
      <c r="D73" s="299">
        <f>'Учебный план'!E93</f>
        <v>0</v>
      </c>
      <c r="E73" s="299">
        <f>'Учебный план'!G93</f>
        <v>0</v>
      </c>
      <c r="F73" s="299" t="e">
        <f>'Учебный план'!#REF!</f>
        <v>#REF!</v>
      </c>
      <c r="G73" s="299">
        <f>'Учебный план'!H93</f>
        <v>0</v>
      </c>
      <c r="H73" s="304"/>
      <c r="I73" s="300">
        <f>'УП заочное обучение'!D75</f>
        <v>0</v>
      </c>
      <c r="J73" s="300">
        <f>'УП заочное обучение'!E75</f>
        <v>0</v>
      </c>
      <c r="K73" s="300">
        <f>'УП заочное обучение'!F75</f>
        <v>0</v>
      </c>
      <c r="L73" s="300">
        <f>'УП заочное обучение'!G75</f>
        <v>0</v>
      </c>
      <c r="M73" s="300">
        <f>'УП заочное обучение'!H75</f>
        <v>0</v>
      </c>
    </row>
    <row r="74" spans="1:13" s="359" customFormat="1" ht="77.25" thickBot="1" x14ac:dyDescent="0.25">
      <c r="A74" s="369" t="str">
        <f>'Учебный план'!B94</f>
        <v>Эксплуатация судовых энергетических установок на вспомогательном уровне</v>
      </c>
      <c r="B74" s="369" t="str">
        <f>'Учебный план'!C94</f>
        <v>ЭСЭУ</v>
      </c>
      <c r="C74" s="369" t="str">
        <f>'Учебный план'!D94</f>
        <v>4</v>
      </c>
      <c r="D74" s="369">
        <f>'Учебный план'!E94</f>
        <v>0</v>
      </c>
      <c r="E74" s="369">
        <f>'Учебный план'!G94</f>
        <v>0</v>
      </c>
      <c r="F74" s="369" t="e">
        <f>'Учебный план'!#REF!</f>
        <v>#REF!</v>
      </c>
      <c r="G74" s="369" t="str">
        <f>'Учебный план'!H94</f>
        <v>3</v>
      </c>
      <c r="H74" s="370"/>
      <c r="I74" s="371" t="str">
        <f>'УП заочное обучение'!D76</f>
        <v>2</v>
      </c>
      <c r="J74" s="371">
        <f>'УП заочное обучение'!E76</f>
        <v>0</v>
      </c>
      <c r="K74" s="371">
        <f>'УП заочное обучение'!F76</f>
        <v>0</v>
      </c>
      <c r="L74" s="371">
        <f>'УП заочное обучение'!G76</f>
        <v>0</v>
      </c>
      <c r="M74" s="371" t="str">
        <f>'УП заочное обучение'!H76</f>
        <v>2</v>
      </c>
    </row>
    <row r="75" spans="1:13" s="359" customFormat="1" ht="51.75" thickBot="1" x14ac:dyDescent="0.25">
      <c r="A75" s="369" t="str">
        <f>'Учебный план'!B95</f>
        <v>Профессиональный                  английский язык</v>
      </c>
      <c r="B75" s="369">
        <f>'Учебный план'!C95</f>
        <v>0</v>
      </c>
      <c r="C75" s="369">
        <f>'Учебный план'!D95</f>
        <v>0</v>
      </c>
      <c r="D75" s="369" t="str">
        <f>'Учебный план'!E95</f>
        <v>Х</v>
      </c>
      <c r="E75" s="369">
        <f>'Учебный план'!G95</f>
        <v>0</v>
      </c>
      <c r="F75" s="369" t="e">
        <f>'Учебный план'!#REF!</f>
        <v>#REF!</v>
      </c>
      <c r="G75" s="369" t="str">
        <f>'Учебный план'!H95</f>
        <v>9</v>
      </c>
      <c r="H75" s="370"/>
      <c r="I75" s="371">
        <f>'УП заочное обучение'!D77</f>
        <v>0</v>
      </c>
      <c r="J75" s="371" t="str">
        <f>'УП заочное обучение'!E77</f>
        <v>4</v>
      </c>
      <c r="K75" s="371">
        <f>'УП заочное обучение'!F77</f>
        <v>0</v>
      </c>
      <c r="L75" s="371">
        <f>'УП заочное обучение'!G77</f>
        <v>0</v>
      </c>
      <c r="M75" s="371">
        <f>'УП заочное обучение'!H77</f>
        <v>0</v>
      </c>
    </row>
    <row r="76" spans="1:13" ht="26.25" thickBot="1" x14ac:dyDescent="0.25">
      <c r="A76" s="299" t="str">
        <f>'Учебный план'!B96</f>
        <v>Учебная практика</v>
      </c>
      <c r="B76" s="299">
        <f>'Учебный план'!C96</f>
        <v>0</v>
      </c>
      <c r="C76" s="299">
        <f>'Учебный план'!D96</f>
        <v>0</v>
      </c>
      <c r="D76" s="299">
        <f>'Учебный план'!E96</f>
        <v>0</v>
      </c>
      <c r="E76" s="299">
        <f>'Учебный план'!G96</f>
        <v>0</v>
      </c>
      <c r="F76" s="299" t="e">
        <f>'Учебный план'!#REF!</f>
        <v>#REF!</v>
      </c>
      <c r="G76" s="299">
        <f>'Учебный план'!H96</f>
        <v>0</v>
      </c>
      <c r="H76" s="304"/>
      <c r="I76" s="300">
        <f>'УП заочное обучение'!D78</f>
        <v>0</v>
      </c>
      <c r="J76" s="300" t="str">
        <f>'УП заочное обучение'!E78</f>
        <v>2</v>
      </c>
      <c r="K76" s="300">
        <f>'УП заочное обучение'!F78</f>
        <v>0</v>
      </c>
      <c r="L76" s="300">
        <f>'УП заочное обучение'!G78</f>
        <v>0</v>
      </c>
      <c r="M76" s="300">
        <f>'УП заочное обучение'!H78</f>
        <v>0</v>
      </c>
    </row>
    <row r="77" spans="1:13" ht="26.25" thickBot="1" x14ac:dyDescent="0.25">
      <c r="A77" s="301" t="str">
        <f>'Учебный план'!B97</f>
        <v>Слесарная практика</v>
      </c>
      <c r="B77" s="301">
        <f>'Учебный план'!C97</f>
        <v>0</v>
      </c>
      <c r="C77" s="301">
        <f>'Учебный план'!D97</f>
        <v>0</v>
      </c>
      <c r="D77" s="301" t="str">
        <f>'Учебный план'!E97</f>
        <v>4</v>
      </c>
      <c r="E77" s="301">
        <f>'Учебный план'!G97</f>
        <v>0</v>
      </c>
      <c r="F77" s="301" t="e">
        <f>'Учебный план'!#REF!</f>
        <v>#REF!</v>
      </c>
      <c r="G77" s="301">
        <f>'Учебный план'!H97</f>
        <v>0</v>
      </c>
      <c r="I77" s="302">
        <f>'УП заочное обучение'!D79</f>
        <v>0</v>
      </c>
      <c r="J77" s="302">
        <f>'УП заочное обучение'!E79</f>
        <v>0</v>
      </c>
      <c r="K77" s="302">
        <f>'УП заочное обучение'!F79</f>
        <v>0</v>
      </c>
      <c r="L77" s="302">
        <f>'УП заочное обучение'!G79</f>
        <v>0</v>
      </c>
      <c r="M77" s="302">
        <f>'УП заочное обучение'!H79</f>
        <v>0</v>
      </c>
    </row>
    <row r="78" spans="1:13" ht="39" thickBot="1" x14ac:dyDescent="0.25">
      <c r="A78" s="301" t="str">
        <f>'Учебный план'!B98</f>
        <v>Шлюпочно-такелажная практика</v>
      </c>
      <c r="B78" s="301">
        <f>'Учебный план'!C98</f>
        <v>0</v>
      </c>
      <c r="C78" s="301">
        <f>'Учебный план'!D98</f>
        <v>0</v>
      </c>
      <c r="D78" s="301" t="str">
        <f>'Учебный план'!E98</f>
        <v>4</v>
      </c>
      <c r="E78" s="301">
        <f>'Учебный план'!G98</f>
        <v>0</v>
      </c>
      <c r="F78" s="301" t="e">
        <f>'Учебный план'!#REF!</f>
        <v>#REF!</v>
      </c>
      <c r="G78" s="301">
        <f>'Учебный план'!H98</f>
        <v>0</v>
      </c>
      <c r="I78" s="302">
        <f>'УП заочное обучение'!D80</f>
        <v>0</v>
      </c>
      <c r="J78" s="302">
        <f>'УП заочное обучение'!E80</f>
        <v>0</v>
      </c>
      <c r="K78" s="302">
        <f>'УП заочное обучение'!F80</f>
        <v>0</v>
      </c>
      <c r="L78" s="302">
        <f>'УП заочное обучение'!G80</f>
        <v>0</v>
      </c>
      <c r="M78" s="302">
        <f>'УП заочное обучение'!H80</f>
        <v>0</v>
      </c>
    </row>
    <row r="79" spans="1:13" ht="26.25" thickBot="1" x14ac:dyDescent="0.25">
      <c r="A79" s="301" t="str">
        <f>'Учебный план'!B99</f>
        <v>Практика по БЖС и ОСПС</v>
      </c>
      <c r="B79" s="301">
        <f>'Учебный план'!C99</f>
        <v>0</v>
      </c>
      <c r="C79" s="301">
        <f>'Учебный план'!D99</f>
        <v>0</v>
      </c>
      <c r="D79" s="301" t="str">
        <f>'Учебный план'!E99</f>
        <v>4</v>
      </c>
      <c r="E79" s="301">
        <f>'Учебный план'!G99</f>
        <v>0</v>
      </c>
      <c r="F79" s="301" t="e">
        <f>'Учебный план'!#REF!</f>
        <v>#REF!</v>
      </c>
      <c r="G79" s="301">
        <f>'Учебный план'!H99</f>
        <v>0</v>
      </c>
      <c r="I79" s="302">
        <f>'УП заочное обучение'!D81</f>
        <v>0</v>
      </c>
      <c r="J79" s="302">
        <f>'УП заочное обучение'!E81</f>
        <v>0</v>
      </c>
      <c r="K79" s="302">
        <f>'УП заочное обучение'!F81</f>
        <v>0</v>
      </c>
      <c r="L79" s="302">
        <f>'УП заочное обучение'!G81</f>
        <v>0</v>
      </c>
      <c r="M79" s="302">
        <f>'УП заочное обучение'!H81</f>
        <v>0</v>
      </c>
    </row>
    <row r="80" spans="1:13" ht="39" thickBot="1" x14ac:dyDescent="0.25">
      <c r="A80" s="301" t="str">
        <f>'Учебный план'!B100</f>
        <v>Учебная плавательная (групповая)</v>
      </c>
      <c r="B80" s="301">
        <f>'Учебный план'!C100</f>
        <v>0</v>
      </c>
      <c r="C80" s="301">
        <f>'Учебный план'!D100</f>
        <v>0</v>
      </c>
      <c r="D80" s="301" t="str">
        <f>'Учебный план'!E100</f>
        <v>4</v>
      </c>
      <c r="E80" s="301">
        <f>'Учебный план'!G100</f>
        <v>0</v>
      </c>
      <c r="F80" s="301" t="e">
        <f>'Учебный план'!#REF!</f>
        <v>#REF!</v>
      </c>
      <c r="G80" s="301">
        <f>'Учебный план'!H100</f>
        <v>0</v>
      </c>
      <c r="I80" s="302">
        <f>'УП заочное обучение'!D82</f>
        <v>0</v>
      </c>
      <c r="J80" s="302">
        <f>'УП заочное обучение'!E82</f>
        <v>0</v>
      </c>
      <c r="K80" s="302">
        <f>'УП заочное обучение'!F82</f>
        <v>0</v>
      </c>
      <c r="L80" s="302">
        <f>'УП заочное обучение'!G82</f>
        <v>0</v>
      </c>
      <c r="M80" s="302">
        <f>'УП заочное обучение'!H82</f>
        <v>0</v>
      </c>
    </row>
    <row r="81" spans="1:13" ht="26.25" thickBot="1" x14ac:dyDescent="0.25">
      <c r="A81" s="299" t="str">
        <f>'Учебный план'!B101</f>
        <v>Производственная практика</v>
      </c>
      <c r="B81" s="299">
        <f>'Учебный план'!C101</f>
        <v>0</v>
      </c>
      <c r="C81" s="299">
        <f>'Учебный план'!D101</f>
        <v>0</v>
      </c>
      <c r="D81" s="299">
        <f>'Учебный план'!E101</f>
        <v>0</v>
      </c>
      <c r="E81" s="299">
        <f>'Учебный план'!G101</f>
        <v>0</v>
      </c>
      <c r="F81" s="299" t="e">
        <f>'Учебный план'!#REF!</f>
        <v>#REF!</v>
      </c>
      <c r="G81" s="299">
        <f>'Учебный план'!H101</f>
        <v>0</v>
      </c>
      <c r="H81" s="304"/>
      <c r="I81" s="300">
        <f>'УП заочное обучение'!D83</f>
        <v>0</v>
      </c>
      <c r="J81" s="300">
        <f>'УП заочное обучение'!E83</f>
        <v>0</v>
      </c>
      <c r="K81" s="300">
        <f>'УП заочное обучение'!F83</f>
        <v>0</v>
      </c>
      <c r="L81" s="300">
        <f>'УП заочное обучение'!G83</f>
        <v>0</v>
      </c>
      <c r="M81" s="300">
        <f>'УП заочное обучение'!H83</f>
        <v>0</v>
      </c>
    </row>
    <row r="82" spans="1:13" ht="51.75" thickBot="1" x14ac:dyDescent="0.25">
      <c r="A82" s="301" t="str">
        <f>'Учебный план'!B102</f>
        <v>Производственная практика (по профилю специальности)</v>
      </c>
      <c r="B82" s="301">
        <f>'Учебный план'!C102</f>
        <v>0</v>
      </c>
      <c r="C82" s="301">
        <f>'Учебный план'!D102</f>
        <v>0</v>
      </c>
      <c r="D82" s="301" t="str">
        <f>'Учебный план'!E102</f>
        <v>7,9</v>
      </c>
      <c r="E82" s="301">
        <f>'Учебный план'!G102</f>
        <v>0</v>
      </c>
      <c r="F82" s="301" t="e">
        <f>'Учебный план'!#REF!</f>
        <v>#REF!</v>
      </c>
      <c r="G82" s="301">
        <f>'Учебный план'!H102</f>
        <v>0</v>
      </c>
      <c r="I82" s="302">
        <f>'УП заочное обучение'!D84</f>
        <v>0</v>
      </c>
      <c r="J82" s="302">
        <f>'УП заочное обучение'!E84</f>
        <v>4.5</v>
      </c>
      <c r="K82" s="302">
        <f>'УП заочное обучение'!F84</f>
        <v>0</v>
      </c>
      <c r="L82" s="302">
        <f>'УП заочное обучение'!G84</f>
        <v>0</v>
      </c>
      <c r="M82" s="302">
        <f>'УП заочное обучение'!H84</f>
        <v>0</v>
      </c>
    </row>
    <row r="83" spans="1:13" ht="26.25" thickBot="1" x14ac:dyDescent="0.25">
      <c r="A83" s="301" t="str">
        <f>'Учебный план'!B103</f>
        <v>Преддипломная практика</v>
      </c>
      <c r="B83" s="301">
        <f>'Учебный план'!C103</f>
        <v>0</v>
      </c>
      <c r="C83" s="301">
        <f>'Учебный план'!D103</f>
        <v>0</v>
      </c>
      <c r="D83" s="301" t="str">
        <f>'Учебный план'!E103</f>
        <v>9</v>
      </c>
      <c r="E83" s="301">
        <f>'Учебный план'!G103</f>
        <v>0</v>
      </c>
      <c r="F83" s="301" t="e">
        <f>'Учебный план'!#REF!</f>
        <v>#REF!</v>
      </c>
      <c r="G83" s="301">
        <f>'Учебный план'!H103</f>
        <v>0</v>
      </c>
      <c r="I83" s="302">
        <f>'УП заочное обучение'!D85</f>
        <v>0</v>
      </c>
      <c r="J83" s="302">
        <f>'УП заочное обучение'!E85</f>
        <v>5</v>
      </c>
      <c r="K83" s="302">
        <f>'УП заочное обучение'!F85</f>
        <v>0</v>
      </c>
      <c r="L83" s="302">
        <f>'УП заочное обучение'!G85</f>
        <v>0</v>
      </c>
      <c r="M83" s="302">
        <f>'УП заочное обучение'!H85</f>
        <v>0</v>
      </c>
    </row>
    <row r="84" spans="1:13" ht="39" thickBot="1" x14ac:dyDescent="0.25">
      <c r="A84" s="299" t="str">
        <f>'Учебный план'!B104</f>
        <v>Государственная итоговая аттестация</v>
      </c>
      <c r="B84" s="299">
        <f>'Учебный план'!C104</f>
        <v>0</v>
      </c>
      <c r="C84" s="299">
        <f>'Учебный план'!D104</f>
        <v>0</v>
      </c>
      <c r="D84" s="299">
        <f>'Учебный план'!E104</f>
        <v>0</v>
      </c>
      <c r="E84" s="299">
        <f>'Учебный план'!G104</f>
        <v>0</v>
      </c>
      <c r="F84" s="299" t="e">
        <f>'Учебный план'!#REF!</f>
        <v>#REF!</v>
      </c>
      <c r="G84" s="299">
        <f>'Учебный план'!H104</f>
        <v>0</v>
      </c>
      <c r="H84" s="304"/>
      <c r="I84" s="300">
        <f>'УП заочное обучение'!D86</f>
        <v>0</v>
      </c>
      <c r="J84" s="300">
        <f>'УП заочное обучение'!E86</f>
        <v>0</v>
      </c>
      <c r="K84" s="300">
        <f>'УП заочное обучение'!F86</f>
        <v>0</v>
      </c>
      <c r="L84" s="300">
        <f>'УП заочное обучение'!G86</f>
        <v>0</v>
      </c>
      <c r="M84" s="300">
        <f>'УП заочное обучение'!H86</f>
        <v>0</v>
      </c>
    </row>
    <row r="85" spans="1:13" ht="39" thickBot="1" x14ac:dyDescent="0.25">
      <c r="A85" s="301" t="str">
        <f>'Учебный план'!B105</f>
        <v>Государственная итоговая аттестация</v>
      </c>
      <c r="B85" s="301">
        <f>'Учебный план'!C105</f>
        <v>0</v>
      </c>
      <c r="C85" s="301">
        <f>'Учебный план'!D105</f>
        <v>0</v>
      </c>
      <c r="D85" s="301">
        <f>'Учебный план'!E105</f>
        <v>0</v>
      </c>
      <c r="E85" s="301">
        <f>'Учебный план'!G105</f>
        <v>0</v>
      </c>
      <c r="F85" s="301" t="e">
        <f>'Учебный план'!#REF!</f>
        <v>#REF!</v>
      </c>
      <c r="G85" s="301">
        <f>'Учебный план'!H105</f>
        <v>0</v>
      </c>
      <c r="I85" s="302">
        <f>'УП заочное обучение'!D87</f>
        <v>0</v>
      </c>
      <c r="J85" s="302">
        <f>'УП заочное обучение'!E87</f>
        <v>0</v>
      </c>
      <c r="K85" s="302">
        <f>'УП заочное обучение'!F87</f>
        <v>0</v>
      </c>
      <c r="L85" s="302">
        <f>'УП заочное обучение'!G87</f>
        <v>0</v>
      </c>
      <c r="M85" s="302">
        <f>'УП заочное обучение'!H87</f>
        <v>0</v>
      </c>
    </row>
    <row r="86" spans="1:13" ht="13.5" thickBot="1" x14ac:dyDescent="0.25">
      <c r="A86" s="299" t="str">
        <f>'Учебный план'!B106</f>
        <v>Консультации</v>
      </c>
      <c r="B86" s="299">
        <f>'Учебный план'!C106</f>
        <v>0</v>
      </c>
      <c r="C86" s="299">
        <f>'Учебный план'!D106</f>
        <v>0</v>
      </c>
      <c r="D86" s="299">
        <f>'Учебный план'!E106</f>
        <v>0</v>
      </c>
      <c r="E86" s="299">
        <f>'Учебный план'!G106</f>
        <v>0</v>
      </c>
      <c r="F86" s="299" t="e">
        <f>'Учебный план'!#REF!</f>
        <v>#REF!</v>
      </c>
      <c r="G86" s="299">
        <f>'Учебный план'!H106</f>
        <v>0</v>
      </c>
      <c r="H86" s="304"/>
      <c r="I86" s="300">
        <f>'УП заочное обучение'!D88</f>
        <v>0</v>
      </c>
      <c r="J86" s="300">
        <f>'УП заочное обучение'!E88</f>
        <v>0</v>
      </c>
      <c r="K86" s="300">
        <f>'УП заочное обучение'!F88</f>
        <v>0</v>
      </c>
      <c r="L86" s="300">
        <f>'УП заочное обучение'!G88</f>
        <v>0</v>
      </c>
      <c r="M86" s="300">
        <f>'УП заочное обучение'!H88</f>
        <v>0</v>
      </c>
    </row>
  </sheetData>
  <sheetProtection password="8B06" sheet="1" objects="1" scenarios="1" selectLockedCells="1" selectUnlockedCells="1"/>
  <mergeCells count="14">
    <mergeCell ref="E4:E8"/>
    <mergeCell ref="F4:F8"/>
    <mergeCell ref="G4:G8"/>
    <mergeCell ref="A2:A8"/>
    <mergeCell ref="B2:B8"/>
    <mergeCell ref="C2:G3"/>
    <mergeCell ref="C4:C8"/>
    <mergeCell ref="D4:D8"/>
    <mergeCell ref="L4:L8"/>
    <mergeCell ref="M4:M8"/>
    <mergeCell ref="I2:M3"/>
    <mergeCell ref="I4:I8"/>
    <mergeCell ref="J4:J8"/>
    <mergeCell ref="K4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98"/>
  <sheetViews>
    <sheetView showZeros="0" zoomScale="80" zoomScaleNormal="80" workbookViewId="0">
      <selection activeCell="G13" sqref="G13"/>
    </sheetView>
  </sheetViews>
  <sheetFormatPr defaultRowHeight="12.75" x14ac:dyDescent="0.2"/>
  <cols>
    <col min="1" max="1" width="58.1640625" style="184" customWidth="1"/>
    <col min="2" max="2" width="12.6640625" style="184" customWidth="1"/>
    <col min="3" max="3" width="16.5" style="184" customWidth="1"/>
    <col min="4" max="5" width="16.1640625" style="184" customWidth="1"/>
    <col min="6" max="6" width="16.33203125" style="184" customWidth="1"/>
    <col min="7" max="7" width="15.5" style="184" customWidth="1"/>
    <col min="8" max="9" width="28.5" style="184" customWidth="1"/>
    <col min="10" max="16384" width="9.33203125" style="184"/>
  </cols>
  <sheetData>
    <row r="1" spans="1:9" s="145" customFormat="1" x14ac:dyDescent="0.2">
      <c r="A1" s="920" t="s">
        <v>106</v>
      </c>
      <c r="B1" s="920"/>
      <c r="C1" s="920"/>
      <c r="D1" s="920"/>
      <c r="E1" s="920"/>
      <c r="F1" s="920"/>
      <c r="G1" s="920"/>
      <c r="H1" s="920"/>
      <c r="I1" s="920"/>
    </row>
    <row r="2" spans="1:9" s="145" customFormat="1" ht="29.25" customHeight="1" x14ac:dyDescent="0.2">
      <c r="A2" s="876" t="s">
        <v>101</v>
      </c>
      <c r="B2" s="877"/>
      <c r="C2" s="878"/>
      <c r="D2" s="887" t="s">
        <v>105</v>
      </c>
      <c r="E2" s="889"/>
      <c r="F2" s="921" t="s">
        <v>107</v>
      </c>
      <c r="G2" s="921"/>
      <c r="H2" s="874" t="s">
        <v>152</v>
      </c>
      <c r="I2" s="875"/>
    </row>
    <row r="3" spans="1:9" s="145" customFormat="1" ht="63.75" x14ac:dyDescent="0.2">
      <c r="A3" s="879"/>
      <c r="B3" s="880"/>
      <c r="C3" s="881"/>
      <c r="D3" s="146" t="s">
        <v>179</v>
      </c>
      <c r="E3" s="146" t="s">
        <v>277</v>
      </c>
      <c r="F3" s="146" t="s">
        <v>179</v>
      </c>
      <c r="G3" s="146" t="s">
        <v>277</v>
      </c>
      <c r="H3" s="146" t="s">
        <v>179</v>
      </c>
      <c r="I3" s="146" t="s">
        <v>277</v>
      </c>
    </row>
    <row r="4" spans="1:9" s="145" customFormat="1" x14ac:dyDescent="0.2">
      <c r="A4" s="147" t="str">
        <f>'Титульный лист'!A11:N11</f>
        <v>Специфика:</v>
      </c>
      <c r="B4" s="148"/>
      <c r="C4" s="148"/>
      <c r="D4" s="148"/>
      <c r="E4" s="148"/>
      <c r="F4" s="148"/>
      <c r="G4" s="148"/>
      <c r="H4" s="148"/>
      <c r="I4" s="149"/>
    </row>
    <row r="5" spans="1:9" s="145" customFormat="1" hidden="1" x14ac:dyDescent="0.2">
      <c r="A5" s="150">
        <f>'Титульный лист'!O11:O11</f>
        <v>0</v>
      </c>
      <c r="B5" s="151"/>
      <c r="C5" s="151"/>
      <c r="D5" s="151"/>
      <c r="E5" s="151"/>
      <c r="F5" s="151"/>
      <c r="G5" s="151"/>
      <c r="H5" s="152"/>
      <c r="I5" s="153"/>
    </row>
    <row r="6" spans="1:9" s="145" customFormat="1" x14ac:dyDescent="0.2">
      <c r="A6" s="882" t="s">
        <v>552</v>
      </c>
      <c r="B6" s="883"/>
      <c r="C6" s="884"/>
      <c r="D6" s="354">
        <f>G33*G37</f>
        <v>2106</v>
      </c>
      <c r="E6" s="355">
        <v>1404</v>
      </c>
      <c r="F6" s="154">
        <f>'Учебный план'!K11</f>
        <v>2106</v>
      </c>
      <c r="G6" s="154">
        <f>'Учебный план'!L11</f>
        <v>1404</v>
      </c>
      <c r="H6" s="155" t="str">
        <f>IF(OR(D6="",E6=""),"введите данные ФГОС",IF('Учебный план'!K114=0,"заполняйте учебный план",IF(OR(D6="-",D6=F6),"норма",IF(F6&lt;D6,F6-D6,IF(F6&gt;D6,F6-D6,"норма")))))</f>
        <v>норма</v>
      </c>
      <c r="I6" s="155" t="str">
        <f>IF(OR(D6="",E6=""),"введите данные ФГОС",IF('Учебный план'!K114=0,"заполняйте учебный план",IF(OR(E6="-",E6=G6),"норма",IF(G6&lt;E6,G6-E6,IF(G6&gt;E6,G6-E6,"норма")))))</f>
        <v>норма</v>
      </c>
    </row>
    <row r="7" spans="1:9" s="145" customFormat="1" x14ac:dyDescent="0.2">
      <c r="A7" s="882" t="s">
        <v>553</v>
      </c>
      <c r="B7" s="883"/>
      <c r="C7" s="884"/>
      <c r="D7" s="354" t="s">
        <v>22</v>
      </c>
      <c r="E7" s="356" t="s">
        <v>22</v>
      </c>
      <c r="F7" s="154">
        <f>'Учебный план'!K12</f>
        <v>1314</v>
      </c>
      <c r="G7" s="154">
        <f>'Учебный план'!L12</f>
        <v>876</v>
      </c>
      <c r="H7" s="155" t="str">
        <f>IF(OR(D7="",E7=""),"введите данные ФГОС",IF('Учебный план'!K114=0,"заполняйте учебный план",IF(OR(D7="-",D7=F7),"норма",IF(F7&lt;D7,F7-D7,IF(F7&gt;D7,F7-D7,"норма")))))</f>
        <v>норма</v>
      </c>
      <c r="I7" s="155" t="str">
        <f>IF(OR(D7="",E7=""),"введите данные ФГОС",IF('Учебный план'!K114=0,"заполняйте учебный план",IF(OR(E7="-",E7=G7),"норма",IF(G7&lt;E7,G7-E7,IF(G7&gt;E7,G7-E7,"норма")))))</f>
        <v>норма</v>
      </c>
    </row>
    <row r="8" spans="1:9" s="145" customFormat="1" x14ac:dyDescent="0.2">
      <c r="A8" s="882" t="s">
        <v>554</v>
      </c>
      <c r="B8" s="883"/>
      <c r="C8" s="884"/>
      <c r="D8" s="354" t="s">
        <v>22</v>
      </c>
      <c r="E8" s="356" t="s">
        <v>22</v>
      </c>
      <c r="F8" s="154">
        <f>'Учебный план'!K21</f>
        <v>201</v>
      </c>
      <c r="G8" s="154">
        <f>'Учебный план'!L21</f>
        <v>134</v>
      </c>
      <c r="H8" s="155" t="str">
        <f>IF(OR(D8="",E8=""),"введите данные ФГОС",IF('Учебный план'!K114=0,"заполняйте учебный план",IF(OR(D8="-",D8=F8),"норма",IF(F8&lt;D8,F8-D8,IF(F8&gt;D8,F8-D8,"норма")))))</f>
        <v>норма</v>
      </c>
      <c r="I8" s="155" t="str">
        <f>IF(OR(D8="",E8=""),"введите данные ФГОС",IF('Учебный план'!K114=0,"заполняйте учебный план",IF(OR(E8="-",E8=G8),"норма",IF(G8&lt;E8,G8-E8,IF(G8&gt;E8,G8-E8,"норма")))))</f>
        <v>норма</v>
      </c>
    </row>
    <row r="9" spans="1:9" s="145" customFormat="1" x14ac:dyDescent="0.2">
      <c r="A9" s="882" t="s">
        <v>382</v>
      </c>
      <c r="B9" s="883"/>
      <c r="C9" s="884"/>
      <c r="D9" s="355">
        <v>3942</v>
      </c>
      <c r="E9" s="355">
        <v>2628</v>
      </c>
      <c r="F9" s="154">
        <f>'Учебный план'!K27</f>
        <v>5391</v>
      </c>
      <c r="G9" s="154">
        <f>'Учебный план'!L27</f>
        <v>3594</v>
      </c>
      <c r="H9" s="155">
        <f>IF(OR(D9="",E9=""),"введите данные ФГОС",IF('Учебный план'!K114=0,"заполняйте учебный план",IF(OR(D9="-",D9=F9),"норма",IF(F9&lt;D9,F9-D9,IF(F9&gt;D9,F9-D9,"норма")))))</f>
        <v>1449</v>
      </c>
      <c r="I9" s="155">
        <f>IF(OR(D9="",E9=""),"введите данные ФГОС",IF('Учебный план'!K114=0,"заполняйте учебный план",IF(OR(E9="-",E9=G9),"норма",IF(G9&lt;E9,G9-E9,IF(G9&gt;E9,G9-E9,"норма")))))</f>
        <v>966</v>
      </c>
    </row>
    <row r="10" spans="1:9" s="145" customFormat="1" x14ac:dyDescent="0.2">
      <c r="A10" s="885" t="s">
        <v>173</v>
      </c>
      <c r="B10" s="883"/>
      <c r="C10" s="884"/>
      <c r="D10" s="355">
        <v>944</v>
      </c>
      <c r="E10" s="355">
        <v>560</v>
      </c>
      <c r="F10" s="154">
        <f>'Учебный план'!K28</f>
        <v>943</v>
      </c>
      <c r="G10" s="154">
        <f>'Учебный план'!L28</f>
        <v>560</v>
      </c>
      <c r="H10" s="155">
        <f>IF(OR(D10="",E10=""),"введите данные ФГОС",IF('Учебный план'!K114=0,"заполняйте учебный план",IF(OR(D10="-",D10=F10),"норма",IF(F10&lt;D10,F10-D10,IF(F10&gt;D10,F10-D10,"норма")))))</f>
        <v>-1</v>
      </c>
      <c r="I10" s="155" t="str">
        <f>IF(OR(D10="",E10=""),"введите данные ФГОС",IF('Учебный план'!K114=0,"заполняйте учебный план",IF(OR(E10="-",E10=G10),"норма",IF(G10&lt;E10,G10-E10,IF(G10&gt;E10,G10-E10,"норма")))))</f>
        <v>норма</v>
      </c>
    </row>
    <row r="11" spans="1:9" s="145" customFormat="1" x14ac:dyDescent="0.2">
      <c r="A11" s="882" t="s">
        <v>292</v>
      </c>
      <c r="B11" s="883"/>
      <c r="C11" s="884"/>
      <c r="D11" s="355">
        <v>198</v>
      </c>
      <c r="E11" s="355">
        <v>132</v>
      </c>
      <c r="F11" s="154">
        <f>'Учебный план'!K34</f>
        <v>216</v>
      </c>
      <c r="G11" s="154">
        <f>'Учебный план'!L34</f>
        <v>144</v>
      </c>
      <c r="H11" s="155">
        <f>IF(OR(D11="",E11=""),"введите данные ФГОС",IF('Учебный план'!K114=0,"заполняйте учебный план",IF(OR(D11="-",D11=F11),"норма",IF(F11&lt;D11,F11-D11,IF(F11&gt;D11,F11-D11,"норма")))))</f>
        <v>18</v>
      </c>
      <c r="I11" s="155">
        <f>IF(OR(D11="",E11=""),"введите данные ФГОС",IF('Учебный план'!K114=0,"заполняйте учебный план",IF(OR(E11="-",E11=G11),"норма",IF(G11&lt;E11,G11-E11,IF(G11&gt;E11,G11-E11,"норма")))))</f>
        <v>12</v>
      </c>
    </row>
    <row r="12" spans="1:9" s="145" customFormat="1" x14ac:dyDescent="0.2">
      <c r="A12" s="885" t="s">
        <v>76</v>
      </c>
      <c r="B12" s="883"/>
      <c r="C12" s="884"/>
      <c r="D12" s="355">
        <v>2800</v>
      </c>
      <c r="E12" s="355">
        <v>1936</v>
      </c>
      <c r="F12" s="154">
        <f>'Учебный план'!K38</f>
        <v>4232</v>
      </c>
      <c r="G12" s="154">
        <f>'Учебный план'!L38</f>
        <v>2890</v>
      </c>
      <c r="H12" s="155">
        <f>IF(OR(D12="",E12=""),"введите данные ФГОС",IF('Учебный план'!K114=0,"заполняйте учебный план",IF(OR(D12="-",D12=F12),"норма",IF(F12&lt;D12,F12-D12,IF(F12&gt;D12,F12-D12,"норма")))))</f>
        <v>1432</v>
      </c>
      <c r="I12" s="155">
        <f>IF(OR(D12="",E12=""),"введите данные ФГОС",IF('Учебный план'!K114=0,"заполняйте учебный план",IF(OR(E12="-",E12=G12),"норма",IF(G12&lt;E12,G12-E12,IF(G12&gt;E12,G12-E12,"норма")))))</f>
        <v>954</v>
      </c>
    </row>
    <row r="13" spans="1:9" s="145" customFormat="1" x14ac:dyDescent="0.2">
      <c r="A13" s="882" t="s">
        <v>191</v>
      </c>
      <c r="B13" s="883"/>
      <c r="C13" s="884"/>
      <c r="D13" s="355">
        <v>552</v>
      </c>
      <c r="E13" s="355">
        <v>368</v>
      </c>
      <c r="F13" s="154">
        <f>'Учебный план'!K39</f>
        <v>640</v>
      </c>
      <c r="G13" s="154">
        <f>'Учебный план'!L39</f>
        <v>427</v>
      </c>
      <c r="H13" s="155">
        <f>IF(OR(D13="",E13=""),"введите данные ФГОС",IF('Учебный план'!K114=0,"заполняйте учебный план",IF(OR(D13="-",D13=F13),"норма",IF(F13&lt;D13,F13-D13,IF(F13&gt;D13,F13-D13,"норма")))))</f>
        <v>88</v>
      </c>
      <c r="I13" s="155">
        <f>IF(OR(D13="",E13=""),"введите данные ФГОС",IF('Учебный план'!K114=0,"заполняйте учебный план",IF(OR(E13="-",E13=G13),"норма",IF(G13&lt;E13,G13-E13,IF(G13&gt;E13,G13-E13,"норма")))))</f>
        <v>59</v>
      </c>
    </row>
    <row r="14" spans="1:9" s="145" customFormat="1" x14ac:dyDescent="0.2">
      <c r="A14" s="882" t="s">
        <v>189</v>
      </c>
      <c r="B14" s="883"/>
      <c r="C14" s="884"/>
      <c r="D14" s="355">
        <v>2248</v>
      </c>
      <c r="E14" s="355">
        <v>1568</v>
      </c>
      <c r="F14" s="154">
        <f>'Учебный план'!K47</f>
        <v>3592</v>
      </c>
      <c r="G14" s="154">
        <f>'Учебный план'!L47</f>
        <v>2463</v>
      </c>
      <c r="H14" s="155">
        <f>IF(OR(D14="",E14=""),"введите данные ФГОС",IF('Учебный план'!K114=0,"заполняйте учебный план",IF(OR(D14="-",D14=F14),"норма",IF(F14&lt;D14,F14-D14,IF(F14&gt;D14,F14-D14,"норма")))))</f>
        <v>1344</v>
      </c>
      <c r="I14" s="155">
        <f>IF(OR(D14="",E14=""),"введите данные ФГОС",IF('Учебный план'!K114=0,"заполняйте учебный план",IF(OR(E14="-",E14=G14),"норма",IF(G14&lt;E14,G14-E14,IF(G14&gt;E14,G14-E14,"норма")))))</f>
        <v>895</v>
      </c>
    </row>
    <row r="15" spans="1:9" s="145" customFormat="1" x14ac:dyDescent="0.2">
      <c r="A15" s="882" t="s">
        <v>388</v>
      </c>
      <c r="B15" s="883"/>
      <c r="C15" s="884"/>
      <c r="D15" s="355">
        <v>1674</v>
      </c>
      <c r="E15" s="355">
        <v>1116</v>
      </c>
      <c r="F15" s="154">
        <f>'Учебный план'!K93</f>
        <v>225</v>
      </c>
      <c r="G15" s="154">
        <f>'Учебный план'!L93</f>
        <v>150</v>
      </c>
      <c r="H15" s="155">
        <f>IF(OR(D15="",E15=""),"введите данные ФГОС",IF('Учебный план'!K114=0,"заполняйте учебный план",IF(OR(D15="-",D15=F15),"норма",IF(F15&lt;D15,F15-D15,IF(F15&gt;D15,F15-D15,"норма")))))</f>
        <v>-1449</v>
      </c>
      <c r="I15" s="155">
        <f>IF(OR(D15="",E15=""),"введите данные ФГОС",IF('Учебный план'!K114=0,"заполняйте учебный план",IF(OR(E15="-",E15=G15),"норма",IF(G15&lt;E15,G15-E15,IF(G15&gt;E15,G15-E15,"норма")))))</f>
        <v>-966</v>
      </c>
    </row>
    <row r="16" spans="1:9" s="145" customFormat="1" x14ac:dyDescent="0.2">
      <c r="A16" s="882" t="s">
        <v>389</v>
      </c>
      <c r="B16" s="883"/>
      <c r="C16" s="884"/>
      <c r="D16" s="355">
        <v>5616</v>
      </c>
      <c r="E16" s="355">
        <v>3744</v>
      </c>
      <c r="F16" s="154">
        <f>F9+F15</f>
        <v>5616</v>
      </c>
      <c r="G16" s="154">
        <f>G9+G15</f>
        <v>3744</v>
      </c>
      <c r="H16" s="155" t="str">
        <f>IF(OR(D16="",E16=""),"введите данные ФГОС",IF('Учебный план'!K114=0,"заполняйте учебный план",IF(OR(D16="-",D16=F16),"норма",IF(F16&lt;D16,F16-D16,IF(F16&gt;D16,F16-D16,"норма")))))</f>
        <v>норма</v>
      </c>
      <c r="I16" s="155" t="str">
        <f>IF(OR(D16="",E16=""),"введите данные ФГОС",IF('Учебный план'!K114=0,"заполняйте учебный план",IF(OR(E16="-",E16=G16),"норма",IF(G16&lt;E16,G16-E16,IF(G16&gt;E16,G16-E16,"норма")))))</f>
        <v>норма</v>
      </c>
    </row>
    <row r="17" spans="1:9" s="145" customFormat="1" hidden="1" x14ac:dyDescent="0.2">
      <c r="A17" s="885" t="s">
        <v>291</v>
      </c>
      <c r="B17" s="883"/>
      <c r="C17" s="884"/>
      <c r="D17" s="354">
        <v>2970</v>
      </c>
      <c r="E17" s="355">
        <v>1980</v>
      </c>
      <c r="F17" s="154">
        <f>'Учебный план'!K96+'Учебный план'!K101</f>
        <v>1980</v>
      </c>
      <c r="G17" s="154">
        <f>'Учебный план'!L96+'Учебный план'!L101</f>
        <v>1980</v>
      </c>
      <c r="H17" s="155">
        <f>IF(OR(D17="",E17=""),"введите данные ФГОС",IF('Учебный план'!K114=0,"заполняйте учебный план",IF(OR(D17="-",D17=F17),"норма",IF(F17&lt;D17,F17-D17,IF(F17&gt;D17,F17-D17,"норма")))))</f>
        <v>-990</v>
      </c>
      <c r="I17" s="155" t="str">
        <f>IF(OR(D17="",E17=""),"введите данные ФГОС",IF('Учебный план'!K114=0,"заполняйте учебный план",IF(OR(E17="-",E17=G17),"норма",IF(G17&lt;E17,G17-E17,IF(G17&gt;E17,G17-E17,"норма")))))</f>
        <v>норма</v>
      </c>
    </row>
    <row r="18" spans="1:9" s="145" customFormat="1" hidden="1" x14ac:dyDescent="0.2">
      <c r="A18" s="885" t="s">
        <v>6</v>
      </c>
      <c r="B18" s="883"/>
      <c r="C18" s="884"/>
      <c r="D18" s="354">
        <f>'Титульный лист'!BH25*G37</f>
        <v>486</v>
      </c>
      <c r="E18" s="354">
        <f>'Титульный лист'!BH25*Нормы!G38</f>
        <v>324</v>
      </c>
      <c r="F18" s="154">
        <f>'Учебный план'!K96</f>
        <v>324</v>
      </c>
      <c r="G18" s="154">
        <f>'Учебный план'!L96</f>
        <v>324</v>
      </c>
      <c r="H18" s="155">
        <f>IF(OR(D18="",E18=""),"введите данные ФГОС",IF('Учебный план'!K114=0,"заполняйте учебный план",IF(OR(D18="-",D18=F18),"норма",IF(F18&lt;D18,F18-D18,IF(F18&gt;D18,F18-D18,"норма")))))</f>
        <v>-162</v>
      </c>
      <c r="I18" s="155" t="str">
        <f>IF(OR(D18="",E18=""),"введите данные ФГОС",IF('Учебный план'!K114=0,"заполняйте учебный план",IF(OR(E18="-",E18=G18),"норма",IF(G18&lt;E18,G18-E18,IF(G18&gt;E18,G18-E18,"норма")))))</f>
        <v>норма</v>
      </c>
    </row>
    <row r="19" spans="1:9" s="145" customFormat="1" hidden="1" x14ac:dyDescent="0.2">
      <c r="A19" s="885" t="s">
        <v>146</v>
      </c>
      <c r="B19" s="883"/>
      <c r="C19" s="884"/>
      <c r="D19" s="354">
        <f>D17-D18</f>
        <v>2484</v>
      </c>
      <c r="E19" s="354">
        <v>1656</v>
      </c>
      <c r="F19" s="154">
        <f>'Учебный план'!K101</f>
        <v>1656</v>
      </c>
      <c r="G19" s="154">
        <f>'Учебный план'!L101</f>
        <v>1656</v>
      </c>
      <c r="H19" s="155">
        <f>IF(OR(D19="",E19=""),"введите данные ФГОС",IF('Учебный план'!K114=0,"заполняйте учебный план",IF(OR(D19="-",D19=F19),"норма",IF(F19&lt;D19,F19-D19,IF(F19&gt;D19,F19-D19,"норма")))))</f>
        <v>-828</v>
      </c>
      <c r="I19" s="155" t="str">
        <f>IF(OR(D19="",E19=""),"введите данные ФГОС",IF('Учебный план'!K114=0,"заполняйте учебный план",IF(OR(E19="-",E19=G19),"норма",IF(G19&lt;E19,G19-E19,IF(G19&gt;E19,G19-E19,"норма")))))</f>
        <v>норма</v>
      </c>
    </row>
    <row r="20" spans="1:9" s="145" customFormat="1" hidden="1" x14ac:dyDescent="0.2">
      <c r="A20" s="885" t="s">
        <v>221</v>
      </c>
      <c r="B20" s="883"/>
      <c r="C20" s="884"/>
      <c r="D20" s="354">
        <f>G30*G37</f>
        <v>216</v>
      </c>
      <c r="E20" s="354">
        <v>144</v>
      </c>
      <c r="F20" s="154">
        <f>'Учебный план'!K104</f>
        <v>216</v>
      </c>
      <c r="G20" s="154">
        <f>'Учебный план'!L104</f>
        <v>0</v>
      </c>
      <c r="H20" s="155" t="str">
        <f>IF(OR(D20="",E20=""),"введите данные ФГОС",IF('Учебный план'!K114=0,"заполняйте учебный план",IF(OR(D20="-",D20=F20),"норма",IF(F20&lt;D20,F20-D20,IF(F20&gt;D20,F20-D20,"норма")))))</f>
        <v>норма</v>
      </c>
      <c r="I20" s="155">
        <f>IF(OR(D20="",E20=""),"введите данные ФГОС",IF('Учебный план'!K114=0,"заполняйте учебный план",IF(OR(E20="-",E20=G20),"норма",IF(G20&lt;E20,G20-E20,IF(G20&gt;E20,G20-E20,"норма")))))</f>
        <v>-144</v>
      </c>
    </row>
    <row r="21" spans="1:9" s="145" customFormat="1" hidden="1" x14ac:dyDescent="0.2">
      <c r="A21" s="893" t="s">
        <v>99</v>
      </c>
      <c r="B21" s="894"/>
      <c r="C21" s="895"/>
      <c r="D21" s="354">
        <f>D6+D9+D15+D17+D20</f>
        <v>10908</v>
      </c>
      <c r="E21" s="354">
        <f>E6+E9+E15+SUM(E18:E20)</f>
        <v>7272</v>
      </c>
      <c r="F21" s="357">
        <f>F6+F9+F15+F17+F20</f>
        <v>9918</v>
      </c>
      <c r="G21" s="357">
        <f>G6+G9+G15+G17+G20</f>
        <v>7128</v>
      </c>
      <c r="H21" s="155">
        <f>IF(OR(D21="",E21=""),"введите данные ФГОС",IF('Учебный план'!K114=0,"заполняйте учебный план",IF(OR(D21="-",D21=F21),"норма",IF(F21&lt;D21,F21-D21,IF(F21&gt;D21,F21-D21,"норма")))))</f>
        <v>-990</v>
      </c>
      <c r="I21" s="155">
        <f>IF(OR(D21="",E21=""),"введите данные ФГОС",IF('Учебный план'!K114=0,"заполняйте учебный план",IF(OR(E21="-",E21=G21),"норма",IF(G21&lt;E21,G21-E21,IF(G21&gt;E21,G21-E21,"норма")))))</f>
        <v>-144</v>
      </c>
    </row>
    <row r="22" spans="1:9" s="145" customFormat="1" x14ac:dyDescent="0.2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9" s="145" customFormat="1" x14ac:dyDescent="0.2">
      <c r="A23" s="886" t="s">
        <v>100</v>
      </c>
      <c r="B23" s="886"/>
      <c r="C23" s="886"/>
      <c r="D23" s="886"/>
      <c r="E23" s="886"/>
      <c r="F23" s="886"/>
      <c r="G23" s="886"/>
      <c r="H23" s="886"/>
      <c r="I23" s="886"/>
    </row>
    <row r="24" spans="1:9" s="145" customFormat="1" ht="78" customHeight="1" x14ac:dyDescent="0.2">
      <c r="A24" s="887" t="s">
        <v>120</v>
      </c>
      <c r="B24" s="888"/>
      <c r="C24" s="888"/>
      <c r="D24" s="888"/>
      <c r="E24" s="889"/>
      <c r="F24" s="157" t="s">
        <v>392</v>
      </c>
      <c r="G24" s="157" t="s">
        <v>393</v>
      </c>
      <c r="H24" s="146" t="s">
        <v>121</v>
      </c>
      <c r="I24" s="146" t="s">
        <v>122</v>
      </c>
    </row>
    <row r="25" spans="1:9" s="145" customFormat="1" x14ac:dyDescent="0.2">
      <c r="A25" s="890"/>
      <c r="B25" s="891"/>
      <c r="C25" s="891"/>
      <c r="D25" s="891"/>
      <c r="E25" s="892"/>
      <c r="F25" s="158"/>
      <c r="G25" s="159"/>
      <c r="H25" s="160"/>
      <c r="I25" s="161"/>
    </row>
    <row r="26" spans="1:9" s="145" customFormat="1" x14ac:dyDescent="0.2">
      <c r="A26" s="870" t="s">
        <v>404</v>
      </c>
      <c r="B26" s="871"/>
      <c r="C26" s="871"/>
      <c r="D26" s="871"/>
      <c r="E26" s="872"/>
      <c r="F26" s="162">
        <v>199</v>
      </c>
      <c r="G26" s="163">
        <v>199</v>
      </c>
      <c r="H26" s="164">
        <f>IF(G26="","введите данные ФГОС",IF(F26="","введите рекомендации УМУ",IF('Титульный лист'!BN29=0,"заполняйте титульный лист",SUM('Титульный лист'!BN25:BN28))))</f>
        <v>199</v>
      </c>
      <c r="I26" s="165" t="str">
        <f t="shared" ref="I26:I35" si="0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145" customFormat="1" x14ac:dyDescent="0.2">
      <c r="A27" s="873" t="s">
        <v>279</v>
      </c>
      <c r="B27" s="871"/>
      <c r="C27" s="871"/>
      <c r="D27" s="871"/>
      <c r="E27" s="872"/>
      <c r="F27" s="162">
        <v>104</v>
      </c>
      <c r="G27" s="163">
        <v>104</v>
      </c>
      <c r="H27" s="164">
        <f>IF(G27="","введите данные ФГОС",IF(F27="","введите рекомендации УМУ",IF('Титульный лист'!BN29=0,"заполняйте титульный лист",SUM('Титульный лист'!BD25:BD28))))</f>
        <v>104</v>
      </c>
      <c r="I27" s="165" t="str">
        <f t="shared" si="0"/>
        <v>норма</v>
      </c>
    </row>
    <row r="28" spans="1:9" s="145" customFormat="1" x14ac:dyDescent="0.2">
      <c r="A28" s="873" t="s">
        <v>280</v>
      </c>
      <c r="B28" s="871"/>
      <c r="C28" s="871"/>
      <c r="D28" s="871"/>
      <c r="E28" s="872"/>
      <c r="F28" s="162">
        <v>55</v>
      </c>
      <c r="G28" s="163">
        <v>55</v>
      </c>
      <c r="H28" s="164">
        <f>IF(G28="","введите данные ФГОС",IF(F28="","введите рекомендации УМУ",IF('Титульный лист'!BN29=0,"заполняйте титульный лист",SUM('Титульный лист'!BH24:BI28))))</f>
        <v>55</v>
      </c>
      <c r="I28" s="165" t="str">
        <f t="shared" si="0"/>
        <v>норма</v>
      </c>
    </row>
    <row r="29" spans="1:9" s="145" customFormat="1" x14ac:dyDescent="0.2">
      <c r="A29" s="873" t="s">
        <v>281</v>
      </c>
      <c r="B29" s="871"/>
      <c r="C29" s="871"/>
      <c r="D29" s="871"/>
      <c r="E29" s="872"/>
      <c r="F29" s="162">
        <v>7</v>
      </c>
      <c r="G29" s="163">
        <v>7</v>
      </c>
      <c r="H29" s="164">
        <f>IF(G29="","введите данные ФГОС",IF(F29="","введите рекомендации УМУ",IF('Титульный лист'!BN29=0,"заполняйте титульный лист",SUM('Титульный лист'!BG25:BG28))))</f>
        <v>7</v>
      </c>
      <c r="I29" s="165" t="str">
        <f t="shared" si="0"/>
        <v>норма</v>
      </c>
    </row>
    <row r="30" spans="1:9" s="145" customFormat="1" x14ac:dyDescent="0.2">
      <c r="A30" s="870" t="s">
        <v>612</v>
      </c>
      <c r="B30" s="871"/>
      <c r="C30" s="871"/>
      <c r="D30" s="871"/>
      <c r="E30" s="872"/>
      <c r="F30" s="162">
        <v>4</v>
      </c>
      <c r="G30" s="163">
        <v>4</v>
      </c>
      <c r="H30" s="164">
        <f>IF(G30="","введите данные ФГОС",IF(F30="","введите рекомендации УМУ",IF('Титульный лист'!BN29=0,"заполняйте титульный лист",SUM('Титульный лист'!BJ24:BL28))))</f>
        <v>4</v>
      </c>
      <c r="I30" s="165" t="str">
        <f t="shared" si="0"/>
        <v>норма</v>
      </c>
    </row>
    <row r="31" spans="1:9" s="145" customFormat="1" x14ac:dyDescent="0.2">
      <c r="A31" s="873" t="s">
        <v>282</v>
      </c>
      <c r="B31" s="871"/>
      <c r="C31" s="871"/>
      <c r="D31" s="871"/>
      <c r="E31" s="872"/>
      <c r="F31" s="162">
        <v>29</v>
      </c>
      <c r="G31" s="163">
        <v>29</v>
      </c>
      <c r="H31" s="164">
        <f>IF(G31="","введите данные ФГОС",IF(F31="","введите рекомендации УМУ",IF('Титульный лист'!BN29=0,"заполняйте титульный лист",SUM('Титульный лист'!BM25:BM28))))</f>
        <v>29</v>
      </c>
      <c r="I31" s="165" t="str">
        <f t="shared" si="0"/>
        <v>норма</v>
      </c>
    </row>
    <row r="32" spans="1:9" s="145" customFormat="1" ht="12.75" customHeight="1" x14ac:dyDescent="0.2">
      <c r="A32" s="870" t="s">
        <v>405</v>
      </c>
      <c r="B32" s="871"/>
      <c r="C32" s="871"/>
      <c r="D32" s="871"/>
      <c r="E32" s="872"/>
      <c r="F32" s="162">
        <v>52</v>
      </c>
      <c r="G32" s="163">
        <v>52</v>
      </c>
      <c r="H32" s="164">
        <f>IF(G32="","введите данные ФГОС",IF(F32="","введите рекомендации УМУ",IF('Титульный лист'!BN29=0,"заполняйте титульный лист",'Титульный лист'!BN24)))</f>
        <v>52</v>
      </c>
      <c r="I32" s="165" t="str">
        <f t="shared" si="0"/>
        <v>норма</v>
      </c>
    </row>
    <row r="33" spans="1:9" s="145" customFormat="1" ht="12.75" customHeight="1" x14ac:dyDescent="0.2">
      <c r="A33" s="870" t="s">
        <v>406</v>
      </c>
      <c r="B33" s="871"/>
      <c r="C33" s="871"/>
      <c r="D33" s="871"/>
      <c r="E33" s="872"/>
      <c r="F33" s="162">
        <v>39</v>
      </c>
      <c r="G33" s="163">
        <v>39</v>
      </c>
      <c r="H33" s="164">
        <f>IF(G33="","введите данные ФГОС",IF(F33="","введите рекомендации УМУ",IF('Титульный лист'!BN29=0,"заполняйте титульный лист",'Титульный лист'!BD24)))</f>
        <v>39</v>
      </c>
      <c r="I33" s="165" t="str">
        <f t="shared" si="0"/>
        <v>норма</v>
      </c>
    </row>
    <row r="34" spans="1:9" s="145" customFormat="1" ht="12.75" customHeight="1" x14ac:dyDescent="0.2">
      <c r="A34" s="870" t="s">
        <v>407</v>
      </c>
      <c r="B34" s="871"/>
      <c r="C34" s="871"/>
      <c r="D34" s="871"/>
      <c r="E34" s="872"/>
      <c r="F34" s="162">
        <v>2</v>
      </c>
      <c r="G34" s="163">
        <v>2</v>
      </c>
      <c r="H34" s="164">
        <f>IF(G34="","введите данные ФГОС",IF(F34="","введите рекомендации УМУ",IF('Титульный лист'!BN29=0,"заполняйте титульный лист",'Титульный лист'!BG24)))</f>
        <v>2</v>
      </c>
      <c r="I34" s="165" t="str">
        <f t="shared" si="0"/>
        <v>норма</v>
      </c>
    </row>
    <row r="35" spans="1:9" s="145" customFormat="1" ht="12.75" customHeight="1" x14ac:dyDescent="0.2">
      <c r="A35" s="870" t="s">
        <v>408</v>
      </c>
      <c r="B35" s="871"/>
      <c r="C35" s="871"/>
      <c r="D35" s="871"/>
      <c r="E35" s="872"/>
      <c r="F35" s="162">
        <v>11</v>
      </c>
      <c r="G35" s="163">
        <v>11</v>
      </c>
      <c r="H35" s="164">
        <f>IF(G35="","введите данные ФГОС",IF(F35="","введите рекомендации УМУ",IF('Титульный лист'!BN29=0,"заполняйте титульный лист",'Титульный лист'!BM24)))</f>
        <v>11</v>
      </c>
      <c r="I35" s="165" t="str">
        <f t="shared" si="0"/>
        <v>норма</v>
      </c>
    </row>
    <row r="36" spans="1:9" s="145" customFormat="1" x14ac:dyDescent="0.2">
      <c r="A36" s="890"/>
      <c r="B36" s="891"/>
      <c r="C36" s="891"/>
      <c r="D36" s="891"/>
      <c r="E36" s="892"/>
      <c r="F36" s="158"/>
      <c r="G36" s="159"/>
      <c r="H36" s="160"/>
      <c r="I36" s="161"/>
    </row>
    <row r="37" spans="1:9" s="145" customFormat="1" ht="12.75" customHeight="1" x14ac:dyDescent="0.2">
      <c r="A37" s="873" t="s">
        <v>283</v>
      </c>
      <c r="B37" s="871"/>
      <c r="C37" s="871"/>
      <c r="D37" s="871"/>
      <c r="E37" s="872"/>
      <c r="F37" s="166">
        <v>54</v>
      </c>
      <c r="G37" s="167">
        <v>54</v>
      </c>
      <c r="H37" s="168">
        <f>IF(G37="","введите данные ФГОС",IF(F37="","введите рекомендации УМУ",IF('Учебный план'!K114=0,"заполняйте учебный план",'Учебный план'!K117)))</f>
        <v>54</v>
      </c>
      <c r="I37" s="165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145" customFormat="1" ht="12.75" customHeight="1" x14ac:dyDescent="0.2">
      <c r="A38" s="873" t="s">
        <v>284</v>
      </c>
      <c r="B38" s="871"/>
      <c r="C38" s="871"/>
      <c r="D38" s="871"/>
      <c r="E38" s="872"/>
      <c r="F38" s="166">
        <v>36</v>
      </c>
      <c r="G38" s="167">
        <v>36</v>
      </c>
      <c r="H38" s="168">
        <f>IF(G38="","введите данные ФГОС",IF(F38="","введите рекомендации УМУ",IF('Учебный план'!K114=0,"заполняйте учебный план",'Учебный план'!K118)))</f>
        <v>36</v>
      </c>
      <c r="I38" s="165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70" customFormat="1" ht="12.75" customHeight="1" x14ac:dyDescent="0.2">
      <c r="A39" s="873" t="s">
        <v>124</v>
      </c>
      <c r="B39" s="871"/>
      <c r="C39" s="871"/>
      <c r="D39" s="871"/>
      <c r="E39" s="872"/>
      <c r="F39" s="162">
        <v>11</v>
      </c>
      <c r="G39" s="163">
        <v>11</v>
      </c>
      <c r="H39" s="164">
        <f>IF(G39="","введите данные ФГОС",IF(F39="","введите рекомендации УМУ",IF('Титульный лист'!BN29=0,"заполняйте титульный лист",DMAX('Титульный лист'!BM20:BN28,1,F60:G61))))</f>
        <v>11</v>
      </c>
      <c r="I39" s="169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170" customFormat="1" ht="12.75" customHeight="1" x14ac:dyDescent="0.2">
      <c r="A40" s="873" t="s">
        <v>123</v>
      </c>
      <c r="B40" s="871"/>
      <c r="C40" s="871"/>
      <c r="D40" s="871"/>
      <c r="E40" s="872"/>
      <c r="F40" s="162">
        <v>5</v>
      </c>
      <c r="G40" s="163">
        <v>5</v>
      </c>
      <c r="H40" s="164">
        <f>IF(G40="","введите данные ФГОС",IF(F40="","введите рекомендации УМУ",IF('Титульный лист'!BN29=0,"заполняйте титульный лист",DMIN('Титульный лист'!BM20:BN28,1,F62:G63))))</f>
        <v>5</v>
      </c>
      <c r="I40" s="169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170" customFormat="1" ht="12.75" customHeight="1" x14ac:dyDescent="0.2">
      <c r="A41" s="873" t="s">
        <v>285</v>
      </c>
      <c r="B41" s="871"/>
      <c r="C41" s="871"/>
      <c r="D41" s="871"/>
      <c r="E41" s="872"/>
      <c r="F41" s="154">
        <v>2</v>
      </c>
      <c r="G41" s="171">
        <v>2</v>
      </c>
      <c r="H41" s="172">
        <v>2</v>
      </c>
      <c r="I41" s="165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170" customFormat="1" ht="12.75" customHeight="1" x14ac:dyDescent="0.2">
      <c r="A42" s="873" t="s">
        <v>286</v>
      </c>
      <c r="B42" s="871"/>
      <c r="C42" s="871"/>
      <c r="D42" s="871"/>
      <c r="E42" s="872"/>
      <c r="F42" s="154">
        <v>2</v>
      </c>
      <c r="G42" s="171">
        <v>2</v>
      </c>
      <c r="H42" s="172">
        <f>IF(G42="","введите данные ФГОС",IF(F42="","введите рекомендации УМУ",IF('Учебный план'!K114=0,"заполняйте учебный план",IF(F67&lt;&gt;G42,F67,IF(G67&lt;&gt;G42,G67,G42)))))</f>
        <v>2</v>
      </c>
      <c r="I42" s="165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70" customFormat="1" ht="12.75" hidden="1" customHeight="1" x14ac:dyDescent="0.2">
      <c r="A43" s="873" t="s">
        <v>319</v>
      </c>
      <c r="B43" s="871"/>
      <c r="C43" s="871"/>
      <c r="D43" s="871"/>
      <c r="E43" s="872"/>
      <c r="F43" s="154">
        <v>0</v>
      </c>
      <c r="G43" s="171">
        <v>0</v>
      </c>
      <c r="H43" s="172" t="e">
        <f>IF(G43="","введите данные ФГОС",IF(F43="","введите рекомендации УМУ",IF('Титульный лист'!BN29=0,"заполняйте титульный лист",IF('Учебный план'!K114=0,"заполняйте учебный план",MAX(IF('Титульный лист'!BN24&gt;0,'Учебный план'!R106+'Учебный план'!X106,0),IF('Титульный лист'!BN25&gt;0,'Учебный план'!AD106+'Учебный план'!AJ106,0),IF('Титульный лист'!BN26&gt;0,'Учебный план'!AP106+'Учебный план'!AV106,0),IF('Титульный лист'!BN27&gt;0,'Учебный план'!BB106+'Учебный план'!BH106,0),IF('Титульный лист'!BN28&gt;0,'Учебный план'!BN106+'Учебный план'!BT106,0))))))</f>
        <v>#REF!</v>
      </c>
      <c r="I43" s="165" t="e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#REF!</v>
      </c>
    </row>
    <row r="44" spans="1:9" s="170" customFormat="1" ht="12.75" customHeight="1" x14ac:dyDescent="0.2">
      <c r="A44" s="873" t="s">
        <v>311</v>
      </c>
      <c r="B44" s="871"/>
      <c r="C44" s="871"/>
      <c r="D44" s="871"/>
      <c r="E44" s="872"/>
      <c r="F44" s="162">
        <v>8</v>
      </c>
      <c r="G44" s="163">
        <v>8</v>
      </c>
      <c r="H44" s="164">
        <f>IF(G44="","введите данные ФГОС",IF(F44="","введите рекомендации УМУ",IF('Учебный план'!K114=0,"заполняйте учебный план",MAX('Учебный план'!V119+'Учебный план'!AB119,'Учебный план'!AH119+'Учебный план'!AN119,'Учебный план'!AT119+'Учебный план'!AZ119,'Учебный план'!BF119+'Учебный план'!BL119,'Учебный план'!BR119+'Учебный план'!BX119))))</f>
        <v>4</v>
      </c>
      <c r="I44" s="165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170" customFormat="1" ht="12.75" customHeight="1" x14ac:dyDescent="0.2">
      <c r="A45" s="873" t="s">
        <v>312</v>
      </c>
      <c r="B45" s="871"/>
      <c r="C45" s="871"/>
      <c r="D45" s="871"/>
      <c r="E45" s="872"/>
      <c r="F45" s="162">
        <v>10</v>
      </c>
      <c r="G45" s="163">
        <v>10</v>
      </c>
      <c r="H45" s="164">
        <f>IF(G45="","введите данные ФГОС",IF(F45="","введите рекомендации УМУ",IF('Учебный план'!K114=0,"заполняйте учебный план",MAX('Учебный план'!V120+'Учебный план'!AB120,'Учебный план'!AH120+'Учебный план'!AN120,'Учебный план'!AT120+'Учебный план'!AZ120,'Учебный план'!BF120+'Учебный план'!BL120,'Учебный план'!BR120+'Учебный план'!BX120))))</f>
        <v>10</v>
      </c>
      <c r="I45" s="165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70" customFormat="1" ht="12.75" customHeight="1" x14ac:dyDescent="0.2">
      <c r="A46" s="873" t="s">
        <v>287</v>
      </c>
      <c r="B46" s="871"/>
      <c r="C46" s="871"/>
      <c r="D46" s="871"/>
      <c r="E46" s="872"/>
      <c r="F46" s="162">
        <v>3</v>
      </c>
      <c r="G46" s="163">
        <v>3</v>
      </c>
      <c r="H46" s="164">
        <f>IF(G46="","введите данные ФГОС",IF(F46="","введите рекомендации УМУ",IF('Учебный план'!K114=0,"заполняйте учебный план",'Учебный план'!K121)))</f>
        <v>3</v>
      </c>
      <c r="I46" s="169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170" customFormat="1" ht="12.75" customHeight="1" x14ac:dyDescent="0.2">
      <c r="A47" s="873" t="s">
        <v>288</v>
      </c>
      <c r="B47" s="871"/>
      <c r="C47" s="871"/>
      <c r="D47" s="871"/>
      <c r="E47" s="872"/>
      <c r="F47" s="154" t="s">
        <v>156</v>
      </c>
      <c r="G47" s="171" t="s">
        <v>156</v>
      </c>
      <c r="H47" s="164" t="s">
        <v>156</v>
      </c>
      <c r="I47" s="169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70" customFormat="1" ht="12.75" customHeight="1" x14ac:dyDescent="0.2">
      <c r="A48" s="873" t="s">
        <v>147</v>
      </c>
      <c r="B48" s="871"/>
      <c r="C48" s="871"/>
      <c r="D48" s="871"/>
      <c r="E48" s="872"/>
      <c r="F48" s="154" t="s">
        <v>156</v>
      </c>
      <c r="G48" s="171" t="s">
        <v>156</v>
      </c>
      <c r="H48" s="164" t="s">
        <v>156</v>
      </c>
      <c r="I48" s="169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145" customFormat="1" x14ac:dyDescent="0.2">
      <c r="A49" s="156"/>
      <c r="B49" s="156"/>
      <c r="C49" s="156"/>
      <c r="D49" s="156"/>
      <c r="E49" s="156"/>
      <c r="F49" s="156"/>
      <c r="G49" s="156"/>
      <c r="H49" s="156"/>
      <c r="I49" s="156"/>
    </row>
    <row r="50" spans="1:9" s="145" customFormat="1" x14ac:dyDescent="0.2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9" s="145" customFormat="1" x14ac:dyDescent="0.2">
      <c r="A51" s="886" t="s">
        <v>102</v>
      </c>
      <c r="B51" s="886"/>
      <c r="C51" s="886"/>
      <c r="D51" s="886"/>
      <c r="E51" s="886"/>
      <c r="F51" s="886"/>
      <c r="G51" s="886"/>
      <c r="H51" s="886"/>
      <c r="I51" s="886"/>
    </row>
    <row r="52" spans="1:9" s="145" customFormat="1" x14ac:dyDescent="0.2">
      <c r="A52" s="904" t="s">
        <v>289</v>
      </c>
      <c r="B52" s="905"/>
      <c r="C52" s="905"/>
      <c r="D52" s="905"/>
      <c r="E52" s="905"/>
      <c r="F52" s="898" t="s">
        <v>567</v>
      </c>
      <c r="G52" s="899"/>
      <c r="H52" s="899"/>
      <c r="I52" s="900"/>
    </row>
    <row r="53" spans="1:9" s="145" customFormat="1" x14ac:dyDescent="0.2">
      <c r="A53" s="901"/>
      <c r="B53" s="902"/>
      <c r="C53" s="902"/>
      <c r="D53" s="902"/>
      <c r="E53" s="902"/>
      <c r="F53" s="903" t="s">
        <v>290</v>
      </c>
      <c r="G53" s="903"/>
      <c r="H53" s="903"/>
      <c r="I53" s="903"/>
    </row>
    <row r="54" spans="1:9" s="145" customFormat="1" x14ac:dyDescent="0.2">
      <c r="A54" s="911">
        <f>A5</f>
        <v>0</v>
      </c>
      <c r="B54" s="912"/>
      <c r="C54" s="912"/>
      <c r="D54" s="912"/>
      <c r="E54" s="912"/>
      <c r="F54" s="923" t="s">
        <v>533</v>
      </c>
      <c r="G54" s="923"/>
      <c r="H54" s="923"/>
      <c r="I54" s="923"/>
    </row>
    <row r="55" spans="1:9" s="145" customFormat="1" x14ac:dyDescent="0.2">
      <c r="A55" s="156"/>
      <c r="B55" s="156"/>
      <c r="C55" s="156"/>
      <c r="D55" s="156"/>
      <c r="E55" s="156"/>
      <c r="F55" s="156"/>
      <c r="G55" s="156"/>
      <c r="H55" s="156"/>
      <c r="I55" s="156"/>
    </row>
    <row r="56" spans="1:9" s="145" customFormat="1" x14ac:dyDescent="0.2">
      <c r="A56" s="922" t="s">
        <v>103</v>
      </c>
      <c r="B56" s="922"/>
      <c r="C56" s="922"/>
      <c r="D56" s="922"/>
      <c r="E56" s="922"/>
      <c r="F56" s="922"/>
      <c r="G56" s="922"/>
      <c r="H56" s="922"/>
      <c r="I56" s="156"/>
    </row>
    <row r="57" spans="1:9" s="145" customFormat="1" x14ac:dyDescent="0.2">
      <c r="A57" s="909" t="s">
        <v>606</v>
      </c>
      <c r="B57" s="905"/>
      <c r="C57" s="905"/>
      <c r="D57" s="905"/>
      <c r="E57" s="910"/>
      <c r="F57" s="913" t="str">
        <f>'Титульный лист'!BC13</f>
        <v>07.05.2014 № 441</v>
      </c>
      <c r="G57" s="914"/>
      <c r="H57" s="915"/>
      <c r="I57" s="156"/>
    </row>
    <row r="58" spans="1:9" s="145" customFormat="1" x14ac:dyDescent="0.2">
      <c r="A58" s="904" t="s">
        <v>104</v>
      </c>
      <c r="B58" s="905"/>
      <c r="C58" s="905"/>
      <c r="D58" s="905"/>
      <c r="E58" s="910"/>
      <c r="F58" s="906">
        <v>42614</v>
      </c>
      <c r="G58" s="907"/>
      <c r="H58" s="908"/>
      <c r="I58" s="156"/>
    </row>
    <row r="60" spans="1:9" s="174" customFormat="1" ht="12" hidden="1" customHeight="1" x14ac:dyDescent="0.2">
      <c r="A60" s="173"/>
      <c r="B60" s="173"/>
      <c r="C60" s="173"/>
      <c r="D60" s="173"/>
      <c r="F60" s="175" t="s">
        <v>24</v>
      </c>
      <c r="G60" s="175" t="s">
        <v>5</v>
      </c>
    </row>
    <row r="61" spans="1:9" s="174" customFormat="1" ht="11.25" hidden="1" customHeight="1" x14ac:dyDescent="0.2">
      <c r="A61" s="173"/>
      <c r="B61" s="173"/>
      <c r="C61" s="173"/>
      <c r="D61" s="173"/>
      <c r="F61" s="175"/>
      <c r="G61" s="175" t="s">
        <v>155</v>
      </c>
      <c r="I61" s="176"/>
    </row>
    <row r="62" spans="1:9" s="174" customFormat="1" ht="11.25" hidden="1" customHeight="1" x14ac:dyDescent="0.2">
      <c r="A62" s="173"/>
      <c r="B62" s="173"/>
      <c r="C62" s="173"/>
      <c r="D62" s="173"/>
      <c r="F62" s="175" t="s">
        <v>24</v>
      </c>
      <c r="G62" s="175" t="s">
        <v>5</v>
      </c>
    </row>
    <row r="63" spans="1:9" s="174" customFormat="1" ht="11.25" hidden="1" customHeight="1" x14ac:dyDescent="0.2">
      <c r="A63" s="173"/>
      <c r="B63" s="173"/>
      <c r="C63" s="173"/>
      <c r="D63" s="173"/>
      <c r="F63" s="175" t="s">
        <v>296</v>
      </c>
      <c r="G63" s="175" t="s">
        <v>155</v>
      </c>
    </row>
    <row r="64" spans="1:9" s="174" customFormat="1" ht="11.25" hidden="1" customHeight="1" x14ac:dyDescent="0.2">
      <c r="A64" s="173"/>
      <c r="B64" s="173"/>
      <c r="C64" s="173"/>
      <c r="D64" s="173"/>
    </row>
    <row r="65" spans="1:10" s="174" customFormat="1" ht="11.25" hidden="1" customHeight="1" x14ac:dyDescent="0.2">
      <c r="A65" s="173"/>
      <c r="B65" s="173"/>
      <c r="C65" s="173"/>
      <c r="D65" s="918" t="s">
        <v>323</v>
      </c>
      <c r="E65" s="919"/>
      <c r="F65" s="916" t="s">
        <v>324</v>
      </c>
      <c r="G65" s="917"/>
    </row>
    <row r="66" spans="1:10" s="174" customFormat="1" ht="11.25" hidden="1" customHeight="1" x14ac:dyDescent="0.2">
      <c r="A66" s="177" t="s">
        <v>154</v>
      </c>
      <c r="D66" s="178" t="s">
        <v>321</v>
      </c>
      <c r="E66" s="178" t="s">
        <v>322</v>
      </c>
      <c r="F66" s="178" t="s">
        <v>321</v>
      </c>
      <c r="G66" s="178" t="s">
        <v>322</v>
      </c>
    </row>
    <row r="67" spans="1:10" s="174" customFormat="1" ht="11.25" hidden="1" customHeight="1" x14ac:dyDescent="0.2">
      <c r="A67" s="179" t="s">
        <v>567</v>
      </c>
      <c r="D67" s="180" t="e">
        <f>MAX(IF('Титульный лист'!BB24=0,0,DSUM('Учебный план'!A10:BY93,"23",D68:E69)/'Титульный лист'!BB24),IF('Титульный лист'!BC24=0,0,DSUM('Учебный план'!A10:BY93,"32",D70:E71)/'Титульный лист'!BC24),IF('Титульный лист'!BB25=0,0,DSUM('Учебный план'!A10:BY93,"41",D72:E73)/'Титульный лист'!BB25),IF('Титульный лист'!BC25=0,0,DSUM('Учебный план'!A10:BY93,"50",D74:E75)/'Титульный лист'!BC25),IF('Титульный лист'!BB26=0,0,DSUM('Учебный план'!A10:BY93,"59",D76:E77)/'Титульный лист'!BB26),IF('Титульный лист'!BC26=0,0,DSUM('Учебный план'!A10:BY93,"68",D78:E79)/'Титульный лист'!BC26),IF('Титульный лист'!BB27=0,0,DSUM('Учебный план'!A10:BY93,"77",D80:E81)/'Титульный лист'!BB27),IF('Титульный лист'!BC27=0,0,DSUM('Учебный план'!A10:BY93,"86",D82:E83)/'Титульный лист'!BC27),IF('Титульный лист'!BB28=0,0,DSUM('Учебный план'!A10:BY93,"95",D84:E85)/'Титульный лист'!BB28),IF('Титульный лист'!BC28=0,0,DSUM('Учебный план'!A10:BY93,"104",D86:E87)/'Титульный лист'!BC28))</f>
        <v>#VALUE!</v>
      </c>
      <c r="E67" s="180" t="e">
        <f>MIN(IF('Титульный лист'!BB24=0,100,DSUM('Учебный план'!A10:BY93,"23",D68:E69)/'Титульный лист'!BB24),IF('Титульный лист'!BC24=0,100,DSUM('Учебный план'!A10:BY93,"32",D70:E71)/'Титульный лист'!BC24),IF('Титульный лист'!BB25=0,100,DSUM('Учебный план'!A10:BY93,"41",D72:E73)/'Титульный лист'!BB25),IF('Титульный лист'!BC25=0,100,DSUM('Учебный план'!A10:BY93,"50",D74:E75)/'Титульный лист'!BC25),IF('Титульный лист'!BB26=0,100,DSUM('Учебный план'!A10:BY93,"59",D76:E77)/'Титульный лист'!BB26),IF('Титульный лист'!BC26=0,100,DSUM('Учебный план'!A10:BY93,"68",D78:E79)/'Титульный лист'!BC26),IF('Титульный лист'!BB27=0,100,DSUM('Учебный план'!A10:BY93,"77",D80:E81)/'Титульный лист'!BB27),IF('Титульный лист'!BC27=0,100,DSUM('Учебный план'!A10:BY93,"86",D82:E83)/'Титульный лист'!BC27),IF('Титульный лист'!BB28=0,100,DSUM('Учебный план'!A10:BY93,"95",D84:E85)/'Титульный лист'!BB28),IF('Титульный лист'!BC28=0,100,DSUM('Учебный план'!A10:BY93,"104",D86:E87)/'Титульный лист'!BC28))</f>
        <v>#VALUE!</v>
      </c>
      <c r="F67" s="180">
        <v>2</v>
      </c>
      <c r="G67" s="180">
        <v>2</v>
      </c>
      <c r="H67" s="181"/>
    </row>
    <row r="68" spans="1:10" s="174" customFormat="1" ht="11.25" hidden="1" customHeight="1" x14ac:dyDescent="0.2">
      <c r="A68" s="179" t="e">
        <f>#REF!</f>
        <v>#REF!</v>
      </c>
      <c r="D68" s="182">
        <v>2</v>
      </c>
      <c r="E68" s="182">
        <v>23</v>
      </c>
      <c r="F68" s="182">
        <v>2</v>
      </c>
      <c r="G68" s="182">
        <v>28</v>
      </c>
    </row>
    <row r="69" spans="1:10" s="174" customFormat="1" ht="22.5" hidden="1" customHeight="1" x14ac:dyDescent="0.2">
      <c r="A69" s="179" t="e">
        <f>#REF!</f>
        <v>#REF!</v>
      </c>
      <c r="D69" s="182" t="s">
        <v>7</v>
      </c>
      <c r="E69" s="182" t="s">
        <v>155</v>
      </c>
      <c r="F69" s="182" t="s">
        <v>7</v>
      </c>
      <c r="G69" s="182" t="s">
        <v>155</v>
      </c>
    </row>
    <row r="70" spans="1:10" s="174" customFormat="1" ht="11.25" hidden="1" customHeight="1" x14ac:dyDescent="0.2">
      <c r="A70" s="179" t="e">
        <f>#REF!</f>
        <v>#REF!</v>
      </c>
      <c r="D70" s="182">
        <v>2</v>
      </c>
      <c r="E70" s="182">
        <v>32</v>
      </c>
      <c r="F70" s="182">
        <v>2</v>
      </c>
      <c r="G70" s="182">
        <v>37</v>
      </c>
    </row>
    <row r="71" spans="1:10" s="174" customFormat="1" ht="22.5" hidden="1" customHeight="1" x14ac:dyDescent="0.2">
      <c r="A71" s="179" t="e">
        <f>#REF!</f>
        <v>#REF!</v>
      </c>
      <c r="D71" s="182" t="s">
        <v>7</v>
      </c>
      <c r="E71" s="182" t="s">
        <v>155</v>
      </c>
      <c r="F71" s="182" t="s">
        <v>7</v>
      </c>
      <c r="G71" s="182" t="s">
        <v>155</v>
      </c>
      <c r="H71" s="181"/>
      <c r="I71" s="181"/>
      <c r="J71" s="181"/>
    </row>
    <row r="72" spans="1:10" s="174" customFormat="1" ht="11.25" hidden="1" customHeight="1" x14ac:dyDescent="0.2">
      <c r="A72" s="179" t="e">
        <f>#REF!</f>
        <v>#REF!</v>
      </c>
      <c r="D72" s="182">
        <v>2</v>
      </c>
      <c r="E72" s="182">
        <v>41</v>
      </c>
      <c r="F72" s="182">
        <v>2</v>
      </c>
      <c r="G72" s="182">
        <v>46</v>
      </c>
    </row>
    <row r="73" spans="1:10" s="174" customFormat="1" ht="22.5" hidden="1" customHeight="1" x14ac:dyDescent="0.2">
      <c r="A73" s="179" t="e">
        <f>#REF!</f>
        <v>#REF!</v>
      </c>
      <c r="D73" s="182" t="s">
        <v>7</v>
      </c>
      <c r="E73" s="182" t="s">
        <v>155</v>
      </c>
      <c r="F73" s="182" t="s">
        <v>7</v>
      </c>
      <c r="G73" s="182" t="s">
        <v>155</v>
      </c>
    </row>
    <row r="74" spans="1:10" s="174" customFormat="1" ht="11.25" hidden="1" customHeight="1" x14ac:dyDescent="0.2">
      <c r="A74" s="179" t="e">
        <f>#REF!</f>
        <v>#REF!</v>
      </c>
      <c r="D74" s="182">
        <v>2</v>
      </c>
      <c r="E74" s="182">
        <v>50</v>
      </c>
      <c r="F74" s="182">
        <v>2</v>
      </c>
      <c r="G74" s="182">
        <v>55</v>
      </c>
    </row>
    <row r="75" spans="1:10" s="174" customFormat="1" ht="22.5" hidden="1" customHeight="1" x14ac:dyDescent="0.2">
      <c r="A75" s="179" t="e">
        <f>#REF!</f>
        <v>#REF!</v>
      </c>
      <c r="D75" s="182" t="s">
        <v>7</v>
      </c>
      <c r="E75" s="182" t="s">
        <v>155</v>
      </c>
      <c r="F75" s="182" t="s">
        <v>7</v>
      </c>
      <c r="G75" s="182" t="s">
        <v>155</v>
      </c>
    </row>
    <row r="76" spans="1:10" s="174" customFormat="1" ht="11.25" hidden="1" customHeight="1" x14ac:dyDescent="0.2">
      <c r="A76" s="179" t="e">
        <f>#REF!</f>
        <v>#REF!</v>
      </c>
      <c r="D76" s="182">
        <v>2</v>
      </c>
      <c r="E76" s="182">
        <v>59</v>
      </c>
      <c r="F76" s="182">
        <v>2</v>
      </c>
      <c r="G76" s="182">
        <v>64</v>
      </c>
    </row>
    <row r="77" spans="1:10" s="174" customFormat="1" ht="22.5" hidden="1" customHeight="1" x14ac:dyDescent="0.2">
      <c r="D77" s="182" t="s">
        <v>7</v>
      </c>
      <c r="E77" s="182" t="s">
        <v>155</v>
      </c>
      <c r="F77" s="182" t="s">
        <v>7</v>
      </c>
      <c r="G77" s="182" t="s">
        <v>155</v>
      </c>
    </row>
    <row r="78" spans="1:10" s="174" customFormat="1" ht="11.25" hidden="1" customHeight="1" x14ac:dyDescent="0.2">
      <c r="A78" s="896" t="s">
        <v>318</v>
      </c>
      <c r="B78" s="897"/>
      <c r="D78" s="182">
        <v>2</v>
      </c>
      <c r="E78" s="182">
        <v>68</v>
      </c>
      <c r="F78" s="182">
        <v>2</v>
      </c>
      <c r="G78" s="182">
        <v>73</v>
      </c>
    </row>
    <row r="79" spans="1:10" s="174" customFormat="1" ht="22.5" hidden="1" customHeight="1" x14ac:dyDescent="0.2">
      <c r="A79" s="344" t="s">
        <v>527</v>
      </c>
      <c r="B79" s="345" t="s">
        <v>528</v>
      </c>
      <c r="D79" s="182" t="s">
        <v>7</v>
      </c>
      <c r="E79" s="182" t="s">
        <v>155</v>
      </c>
      <c r="F79" s="182" t="s">
        <v>7</v>
      </c>
      <c r="G79" s="182" t="s">
        <v>155</v>
      </c>
    </row>
    <row r="80" spans="1:10" s="174" customFormat="1" ht="11.25" hidden="1" customHeight="1" x14ac:dyDescent="0.2">
      <c r="A80" s="344" t="s">
        <v>529</v>
      </c>
      <c r="B80" s="345" t="s">
        <v>530</v>
      </c>
      <c r="D80" s="182">
        <v>2</v>
      </c>
      <c r="E80" s="182">
        <v>77</v>
      </c>
      <c r="F80" s="182">
        <v>2</v>
      </c>
      <c r="G80" s="182">
        <v>82</v>
      </c>
    </row>
    <row r="81" spans="1:7" s="174" customFormat="1" ht="22.5" hidden="1" customHeight="1" x14ac:dyDescent="0.2">
      <c r="A81" s="344" t="s">
        <v>531</v>
      </c>
      <c r="B81" s="345" t="s">
        <v>532</v>
      </c>
      <c r="D81" s="182" t="s">
        <v>7</v>
      </c>
      <c r="E81" s="182" t="s">
        <v>155</v>
      </c>
      <c r="F81" s="182" t="s">
        <v>7</v>
      </c>
      <c r="G81" s="182" t="s">
        <v>155</v>
      </c>
    </row>
    <row r="82" spans="1:7" s="174" customFormat="1" ht="11.25" hidden="1" customHeight="1" x14ac:dyDescent="0.2">
      <c r="A82" s="344" t="s">
        <v>533</v>
      </c>
      <c r="B82" s="345" t="s">
        <v>534</v>
      </c>
      <c r="D82" s="182">
        <v>2</v>
      </c>
      <c r="E82" s="182">
        <v>86</v>
      </c>
      <c r="F82" s="182">
        <v>2</v>
      </c>
      <c r="G82" s="182">
        <v>91</v>
      </c>
    </row>
    <row r="83" spans="1:7" s="174" customFormat="1" ht="22.5" hidden="1" customHeight="1" x14ac:dyDescent="0.2">
      <c r="A83" s="344" t="s">
        <v>535</v>
      </c>
      <c r="B83" s="345" t="s">
        <v>536</v>
      </c>
      <c r="D83" s="182" t="s">
        <v>7</v>
      </c>
      <c r="E83" s="182" t="s">
        <v>155</v>
      </c>
      <c r="F83" s="182" t="s">
        <v>7</v>
      </c>
      <c r="G83" s="182" t="s">
        <v>155</v>
      </c>
    </row>
    <row r="84" spans="1:7" s="174" customFormat="1" ht="11.25" hidden="1" customHeight="1" x14ac:dyDescent="0.2">
      <c r="A84" s="344" t="s">
        <v>537</v>
      </c>
      <c r="B84" s="345" t="s">
        <v>538</v>
      </c>
      <c r="D84" s="182">
        <v>2</v>
      </c>
      <c r="E84" s="182">
        <v>95</v>
      </c>
      <c r="F84" s="182">
        <v>2</v>
      </c>
      <c r="G84" s="182">
        <v>100</v>
      </c>
    </row>
    <row r="85" spans="1:7" s="174" customFormat="1" ht="22.5" hidden="1" customHeight="1" x14ac:dyDescent="0.2">
      <c r="A85" s="344" t="s">
        <v>539</v>
      </c>
      <c r="B85" s="345" t="s">
        <v>540</v>
      </c>
      <c r="D85" s="182" t="s">
        <v>7</v>
      </c>
      <c r="E85" s="182" t="s">
        <v>155</v>
      </c>
      <c r="F85" s="182" t="s">
        <v>7</v>
      </c>
      <c r="G85" s="182" t="s">
        <v>155</v>
      </c>
    </row>
    <row r="86" spans="1:7" s="174" customFormat="1" ht="11.25" hidden="1" customHeight="1" x14ac:dyDescent="0.2">
      <c r="A86" s="344" t="s">
        <v>541</v>
      </c>
      <c r="B86" s="345" t="s">
        <v>542</v>
      </c>
      <c r="D86" s="182">
        <v>2</v>
      </c>
      <c r="E86" s="182">
        <v>104</v>
      </c>
      <c r="F86" s="182">
        <v>2</v>
      </c>
      <c r="G86" s="182">
        <v>109</v>
      </c>
    </row>
    <row r="87" spans="1:7" s="174" customFormat="1" ht="22.5" hidden="1" customHeight="1" x14ac:dyDescent="0.2">
      <c r="A87" s="344" t="s">
        <v>543</v>
      </c>
      <c r="B87" s="345" t="s">
        <v>544</v>
      </c>
      <c r="D87" s="182" t="s">
        <v>7</v>
      </c>
      <c r="E87" s="182" t="s">
        <v>155</v>
      </c>
      <c r="F87" s="182" t="s">
        <v>7</v>
      </c>
      <c r="G87" s="182" t="s">
        <v>155</v>
      </c>
    </row>
    <row r="88" spans="1:7" s="174" customFormat="1" ht="11.25" hidden="1" customHeight="1" x14ac:dyDescent="0.2">
      <c r="A88" s="346" t="s">
        <v>545</v>
      </c>
      <c r="B88" s="187">
        <v>31</v>
      </c>
    </row>
    <row r="89" spans="1:7" s="174" customFormat="1" ht="11.25" hidden="1" customHeight="1" x14ac:dyDescent="0.2">
      <c r="A89" s="344" t="s">
        <v>546</v>
      </c>
      <c r="B89" s="347">
        <v>33</v>
      </c>
    </row>
    <row r="90" spans="1:7" s="174" customFormat="1" ht="11.25" hidden="1" customHeight="1" x14ac:dyDescent="0.2">
      <c r="A90" s="179" t="e">
        <f>#REF!</f>
        <v>#REF!</v>
      </c>
      <c r="B90" s="183" t="e">
        <f>#REF!</f>
        <v>#REF!</v>
      </c>
    </row>
    <row r="91" spans="1:7" s="174" customFormat="1" ht="11.25" hidden="1" customHeight="1" x14ac:dyDescent="0.2">
      <c r="A91" s="179" t="e">
        <f>#REF!</f>
        <v>#REF!</v>
      </c>
      <c r="B91" s="183" t="e">
        <f>#REF!</f>
        <v>#REF!</v>
      </c>
    </row>
    <row r="92" spans="1:7" s="174" customFormat="1" ht="11.25" hidden="1" customHeight="1" x14ac:dyDescent="0.2">
      <c r="A92" s="179" t="e">
        <f>#REF!</f>
        <v>#REF!</v>
      </c>
      <c r="B92" s="183" t="e">
        <f>#REF!</f>
        <v>#REF!</v>
      </c>
    </row>
    <row r="93" spans="1:7" s="174" customFormat="1" ht="11.25" hidden="1" customHeight="1" x14ac:dyDescent="0.2">
      <c r="A93" s="179" t="e">
        <f>#REF!</f>
        <v>#REF!</v>
      </c>
      <c r="B93" s="183" t="e">
        <f>#REF!</f>
        <v>#REF!</v>
      </c>
    </row>
    <row r="94" spans="1:7" s="174" customFormat="1" ht="11.25" hidden="1" customHeight="1" x14ac:dyDescent="0.2">
      <c r="A94" s="179" t="e">
        <f>#REF!</f>
        <v>#REF!</v>
      </c>
      <c r="B94" s="183" t="e">
        <f>#REF!</f>
        <v>#REF!</v>
      </c>
    </row>
    <row r="95" spans="1:7" s="174" customFormat="1" ht="11.25" hidden="1" customHeight="1" x14ac:dyDescent="0.2">
      <c r="A95" s="179" t="e">
        <f>#REF!</f>
        <v>#REF!</v>
      </c>
      <c r="B95" s="183" t="e">
        <f>#REF!</f>
        <v>#REF!</v>
      </c>
    </row>
    <row r="96" spans="1:7" s="174" customFormat="1" ht="12.75" hidden="1" customHeight="1" x14ac:dyDescent="0.2">
      <c r="A96" s="179" t="e">
        <f>#REF!</f>
        <v>#REF!</v>
      </c>
      <c r="B96" s="183" t="e">
        <f>#REF!</f>
        <v>#REF!</v>
      </c>
      <c r="D96" s="184"/>
      <c r="E96" s="184"/>
      <c r="F96" s="184"/>
      <c r="G96" s="184"/>
    </row>
    <row r="97" spans="1:7" s="174" customFormat="1" ht="12.75" hidden="1" customHeight="1" x14ac:dyDescent="0.2">
      <c r="A97" s="179" t="e">
        <f>#REF!</f>
        <v>#REF!</v>
      </c>
      <c r="B97" s="183" t="e">
        <f>#REF!</f>
        <v>#REF!</v>
      </c>
      <c r="D97" s="184"/>
      <c r="E97" s="184"/>
      <c r="F97" s="184"/>
      <c r="G97" s="184"/>
    </row>
    <row r="98" spans="1:7" s="174" customFormat="1" ht="12.75" hidden="1" customHeight="1" x14ac:dyDescent="0.2">
      <c r="A98" s="179" t="e">
        <f>#REF!</f>
        <v>#REF!</v>
      </c>
      <c r="B98" s="183" t="e">
        <f>#REF!</f>
        <v>#REF!</v>
      </c>
      <c r="D98" s="184"/>
      <c r="E98" s="184"/>
      <c r="F98" s="184"/>
      <c r="G98" s="184"/>
    </row>
  </sheetData>
  <sheetProtection password="CF70" sheet="1" objects="1" scenarios="1" selectLockedCells="1" selectUnlockedCells="1"/>
  <mergeCells count="62">
    <mergeCell ref="A1:I1"/>
    <mergeCell ref="F2:G2"/>
    <mergeCell ref="D2:E2"/>
    <mergeCell ref="A56:H56"/>
    <mergeCell ref="F54:I54"/>
    <mergeCell ref="A26:E26"/>
    <mergeCell ref="A47:E47"/>
    <mergeCell ref="A45:E45"/>
    <mergeCell ref="A32:E32"/>
    <mergeCell ref="A30:E30"/>
    <mergeCell ref="A39:E39"/>
    <mergeCell ref="A10:C10"/>
    <mergeCell ref="A11:C11"/>
    <mergeCell ref="A31:E31"/>
    <mergeCell ref="A36:E36"/>
    <mergeCell ref="A37:E37"/>
    <mergeCell ref="A78:B78"/>
    <mergeCell ref="F52:I52"/>
    <mergeCell ref="A53:E53"/>
    <mergeCell ref="F53:I53"/>
    <mergeCell ref="A51:I51"/>
    <mergeCell ref="A52:E52"/>
    <mergeCell ref="F58:H58"/>
    <mergeCell ref="A57:E57"/>
    <mergeCell ref="A58:E58"/>
    <mergeCell ref="A54:E54"/>
    <mergeCell ref="F57:H57"/>
    <mergeCell ref="F65:G65"/>
    <mergeCell ref="D65:E65"/>
    <mergeCell ref="A23:I23"/>
    <mergeCell ref="A24:E24"/>
    <mergeCell ref="A25:E25"/>
    <mergeCell ref="A17:C17"/>
    <mergeCell ref="A18:C18"/>
    <mergeCell ref="A20:C20"/>
    <mergeCell ref="A21:C21"/>
    <mergeCell ref="A33:E33"/>
    <mergeCell ref="A34:E34"/>
    <mergeCell ref="A27:E27"/>
    <mergeCell ref="A28:E28"/>
    <mergeCell ref="A29:E29"/>
    <mergeCell ref="A9:C9"/>
    <mergeCell ref="A12:C12"/>
    <mergeCell ref="A13:C13"/>
    <mergeCell ref="A14:C14"/>
    <mergeCell ref="A19:C19"/>
    <mergeCell ref="A15:C15"/>
    <mergeCell ref="A16:C16"/>
    <mergeCell ref="H2:I2"/>
    <mergeCell ref="A2:C3"/>
    <mergeCell ref="A6:C6"/>
    <mergeCell ref="A7:C7"/>
    <mergeCell ref="A8:C8"/>
    <mergeCell ref="A35:E35"/>
    <mergeCell ref="A40:E40"/>
    <mergeCell ref="A38:E38"/>
    <mergeCell ref="A48:E48"/>
    <mergeCell ref="A41:E41"/>
    <mergeCell ref="A42:E42"/>
    <mergeCell ref="A43:E43"/>
    <mergeCell ref="A46:E46"/>
    <mergeCell ref="A44:E44"/>
  </mergeCells>
  <phoneticPr fontId="9" type="noConversion"/>
  <conditionalFormatting sqref="I25:I48 H6:I21">
    <cfRule type="cellIs" dxfId="1" priority="2" stopIfTrue="1" operator="equal">
      <formula>"норма"</formula>
    </cfRule>
  </conditionalFormatting>
  <conditionalFormatting sqref="I41">
    <cfRule type="cellIs" dxfId="0" priority="1" stopIfTrue="1" operator="equal">
      <formula>"норма"</formula>
    </cfRule>
  </conditionalFormatting>
  <dataValidations disablePrompts="1"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1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28"/>
  <sheetViews>
    <sheetView zoomScale="90" zoomScaleNormal="90" workbookViewId="0">
      <selection activeCell="E15" sqref="E15:E17"/>
    </sheetView>
  </sheetViews>
  <sheetFormatPr defaultRowHeight="12.75" x14ac:dyDescent="0.2"/>
  <cols>
    <col min="1" max="1" width="9.33203125" style="79"/>
    <col min="2" max="2" width="100.83203125" style="79" customWidth="1"/>
    <col min="3" max="4" width="9.33203125" style="79"/>
    <col min="5" max="5" width="100.83203125" style="79" customWidth="1"/>
    <col min="6" max="16384" width="9.33203125" style="79"/>
  </cols>
  <sheetData>
    <row r="1" spans="1:5" x14ac:dyDescent="0.2">
      <c r="A1" s="924" t="s">
        <v>157</v>
      </c>
      <c r="B1" s="924"/>
      <c r="D1" s="924" t="s">
        <v>0</v>
      </c>
      <c r="E1" s="924"/>
    </row>
    <row r="2" spans="1:5" ht="25.5" x14ac:dyDescent="0.2">
      <c r="A2" s="81" t="s">
        <v>89</v>
      </c>
      <c r="B2" s="82" t="s">
        <v>427</v>
      </c>
      <c r="D2" s="85" t="s">
        <v>330</v>
      </c>
      <c r="E2" s="82" t="s">
        <v>435</v>
      </c>
    </row>
    <row r="3" spans="1:5" ht="25.5" x14ac:dyDescent="0.2">
      <c r="A3" s="81" t="s">
        <v>90</v>
      </c>
      <c r="B3" s="82" t="s">
        <v>428</v>
      </c>
      <c r="D3" s="85" t="s">
        <v>331</v>
      </c>
      <c r="E3" s="82" t="s">
        <v>436</v>
      </c>
    </row>
    <row r="4" spans="1:5" x14ac:dyDescent="0.2">
      <c r="A4" s="81" t="s">
        <v>91</v>
      </c>
      <c r="B4" s="82" t="s">
        <v>426</v>
      </c>
      <c r="D4" s="85" t="s">
        <v>332</v>
      </c>
      <c r="E4" s="82" t="s">
        <v>437</v>
      </c>
    </row>
    <row r="5" spans="1:5" ht="25.5" x14ac:dyDescent="0.2">
      <c r="A5" s="81" t="s">
        <v>92</v>
      </c>
      <c r="B5" s="82" t="s">
        <v>429</v>
      </c>
      <c r="C5" s="86" t="s">
        <v>26</v>
      </c>
      <c r="D5" s="85" t="s">
        <v>439</v>
      </c>
      <c r="E5" s="82" t="s">
        <v>438</v>
      </c>
    </row>
    <row r="6" spans="1:5" ht="25.5" x14ac:dyDescent="0.2">
      <c r="A6" s="81" t="s">
        <v>93</v>
      </c>
      <c r="B6" s="82" t="s">
        <v>430</v>
      </c>
      <c r="D6" s="85" t="s">
        <v>333</v>
      </c>
      <c r="E6" s="82" t="s">
        <v>440</v>
      </c>
    </row>
    <row r="7" spans="1:5" ht="25.5" x14ac:dyDescent="0.2">
      <c r="A7" s="81" t="s">
        <v>94</v>
      </c>
      <c r="B7" s="82" t="s">
        <v>431</v>
      </c>
      <c r="D7" s="85" t="s">
        <v>334</v>
      </c>
      <c r="E7" s="82" t="s">
        <v>441</v>
      </c>
    </row>
    <row r="8" spans="1:5" ht="25.5" x14ac:dyDescent="0.2">
      <c r="A8" s="81" t="s">
        <v>95</v>
      </c>
      <c r="B8" s="82" t="s">
        <v>432</v>
      </c>
      <c r="D8" s="85" t="s">
        <v>335</v>
      </c>
      <c r="E8" s="82" t="s">
        <v>341</v>
      </c>
    </row>
    <row r="9" spans="1:5" ht="25.5" x14ac:dyDescent="0.2">
      <c r="A9" s="81" t="s">
        <v>96</v>
      </c>
      <c r="B9" s="82" t="s">
        <v>433</v>
      </c>
      <c r="D9" s="85" t="s">
        <v>442</v>
      </c>
      <c r="E9" s="82" t="s">
        <v>443</v>
      </c>
    </row>
    <row r="10" spans="1:5" x14ac:dyDescent="0.2">
      <c r="A10" s="81" t="s">
        <v>97</v>
      </c>
      <c r="B10" s="82" t="s">
        <v>329</v>
      </c>
      <c r="D10" s="85" t="s">
        <v>336</v>
      </c>
      <c r="E10" s="82" t="s">
        <v>444</v>
      </c>
    </row>
    <row r="11" spans="1:5" ht="25.5" x14ac:dyDescent="0.2">
      <c r="A11" s="81" t="s">
        <v>98</v>
      </c>
      <c r="B11" s="82" t="s">
        <v>434</v>
      </c>
      <c r="D11" s="85" t="s">
        <v>337</v>
      </c>
      <c r="E11" s="82" t="s">
        <v>445</v>
      </c>
    </row>
    <row r="12" spans="1:5" ht="25.5" x14ac:dyDescent="0.2">
      <c r="A12" s="80"/>
      <c r="B12" s="77"/>
      <c r="D12" s="85" t="s">
        <v>338</v>
      </c>
      <c r="E12" s="82" t="s">
        <v>342</v>
      </c>
    </row>
    <row r="13" spans="1:5" ht="25.5" x14ac:dyDescent="0.2">
      <c r="A13" s="80"/>
      <c r="B13" s="77"/>
      <c r="D13" s="85" t="s">
        <v>339</v>
      </c>
      <c r="E13" s="82" t="s">
        <v>343</v>
      </c>
    </row>
    <row r="14" spans="1:5" ht="25.5" x14ac:dyDescent="0.2">
      <c r="A14" s="80"/>
      <c r="B14" s="77"/>
      <c r="D14" s="85" t="s">
        <v>340</v>
      </c>
      <c r="E14" s="82" t="s">
        <v>344</v>
      </c>
    </row>
    <row r="15" spans="1:5" ht="13.5" x14ac:dyDescent="0.2">
      <c r="A15" s="78"/>
      <c r="B15" s="78"/>
      <c r="D15" s="85" t="s">
        <v>446</v>
      </c>
      <c r="E15" s="82" t="s">
        <v>447</v>
      </c>
    </row>
    <row r="16" spans="1:5" ht="25.5" x14ac:dyDescent="0.2">
      <c r="A16" s="80"/>
      <c r="B16" s="77"/>
      <c r="D16" s="85" t="s">
        <v>448</v>
      </c>
      <c r="E16" s="82" t="s">
        <v>449</v>
      </c>
    </row>
    <row r="17" spans="1:5" ht="25.5" x14ac:dyDescent="0.2">
      <c r="A17" s="80"/>
      <c r="B17" s="77"/>
      <c r="D17" s="85" t="s">
        <v>450</v>
      </c>
      <c r="E17" s="82" t="s">
        <v>451</v>
      </c>
    </row>
    <row r="18" spans="1:5" x14ac:dyDescent="0.2">
      <c r="A18" s="80"/>
      <c r="B18" s="77"/>
    </row>
    <row r="19" spans="1:5" x14ac:dyDescent="0.2">
      <c r="A19" s="80"/>
      <c r="B19" s="77"/>
    </row>
    <row r="20" spans="1:5" x14ac:dyDescent="0.2">
      <c r="A20" s="80"/>
      <c r="B20" s="77"/>
    </row>
    <row r="21" spans="1:5" ht="13.5" x14ac:dyDescent="0.2">
      <c r="A21" s="78"/>
      <c r="B21" s="78"/>
    </row>
    <row r="22" spans="1:5" x14ac:dyDescent="0.2">
      <c r="A22" s="80"/>
      <c r="B22" s="77"/>
    </row>
    <row r="23" spans="1:5" x14ac:dyDescent="0.2">
      <c r="A23" s="80"/>
      <c r="B23" s="77"/>
    </row>
    <row r="24" spans="1:5" x14ac:dyDescent="0.2">
      <c r="A24" s="80"/>
      <c r="B24" s="77"/>
    </row>
    <row r="25" spans="1:5" x14ac:dyDescent="0.2">
      <c r="A25" s="80"/>
      <c r="B25" s="77"/>
    </row>
    <row r="26" spans="1:5" x14ac:dyDescent="0.2">
      <c r="A26" s="77"/>
      <c r="B26" s="77"/>
    </row>
    <row r="27" spans="1:5" x14ac:dyDescent="0.2">
      <c r="A27" s="80"/>
      <c r="B27" s="77"/>
    </row>
    <row r="28" spans="1:5" x14ac:dyDescent="0.2">
      <c r="A28" s="80"/>
      <c r="B28" s="77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opLeftCell="A13" workbookViewId="0">
      <selection activeCell="E15" sqref="E15"/>
    </sheetView>
  </sheetViews>
  <sheetFormatPr defaultColWidth="36" defaultRowHeight="12.75" x14ac:dyDescent="0.2"/>
  <cols>
    <col min="1" max="1" width="4.5" style="79" customWidth="1"/>
    <col min="2" max="2" width="32.1640625" style="79" customWidth="1"/>
    <col min="3" max="3" width="92.33203125" style="79" customWidth="1"/>
    <col min="4" max="16384" width="36" style="79"/>
  </cols>
  <sheetData>
    <row r="1" spans="1:3" x14ac:dyDescent="0.2">
      <c r="A1" s="925" t="s">
        <v>158</v>
      </c>
      <c r="B1" s="925"/>
      <c r="C1" s="925"/>
    </row>
    <row r="2" spans="1:3" x14ac:dyDescent="0.2">
      <c r="A2" s="83" t="s">
        <v>35</v>
      </c>
      <c r="B2" s="83" t="s">
        <v>159</v>
      </c>
      <c r="C2" s="84" t="s">
        <v>9</v>
      </c>
    </row>
    <row r="3" spans="1:3" s="141" customFormat="1" x14ac:dyDescent="0.2">
      <c r="A3" s="379">
        <v>1</v>
      </c>
      <c r="B3" s="380" t="s">
        <v>234</v>
      </c>
      <c r="C3" s="381" t="s">
        <v>573</v>
      </c>
    </row>
    <row r="4" spans="1:3" s="141" customFormat="1" x14ac:dyDescent="0.2">
      <c r="A4" s="196">
        <v>2</v>
      </c>
      <c r="B4" s="197" t="s">
        <v>234</v>
      </c>
      <c r="C4" s="198" t="s">
        <v>235</v>
      </c>
    </row>
    <row r="5" spans="1:3" s="141" customFormat="1" x14ac:dyDescent="0.2">
      <c r="A5" s="379">
        <v>3</v>
      </c>
      <c r="B5" s="197" t="s">
        <v>234</v>
      </c>
      <c r="C5" s="198" t="s">
        <v>574</v>
      </c>
    </row>
    <row r="6" spans="1:3" s="141" customFormat="1" x14ac:dyDescent="0.2">
      <c r="A6" s="196">
        <v>4</v>
      </c>
      <c r="B6" s="197" t="s">
        <v>234</v>
      </c>
      <c r="C6" s="198" t="s">
        <v>236</v>
      </c>
    </row>
    <row r="7" spans="1:3" s="141" customFormat="1" x14ac:dyDescent="0.2">
      <c r="A7" s="379">
        <v>5</v>
      </c>
      <c r="B7" s="197" t="s">
        <v>234</v>
      </c>
      <c r="C7" s="198" t="s">
        <v>237</v>
      </c>
    </row>
    <row r="8" spans="1:3" s="141" customFormat="1" x14ac:dyDescent="0.2">
      <c r="A8" s="196">
        <v>6</v>
      </c>
      <c r="B8" s="197" t="s">
        <v>234</v>
      </c>
      <c r="C8" s="198" t="s">
        <v>238</v>
      </c>
    </row>
    <row r="9" spans="1:3" s="141" customFormat="1" x14ac:dyDescent="0.2">
      <c r="A9" s="379">
        <v>7</v>
      </c>
      <c r="B9" s="197" t="s">
        <v>234</v>
      </c>
      <c r="C9" s="198" t="s">
        <v>239</v>
      </c>
    </row>
    <row r="10" spans="1:3" s="141" customFormat="1" x14ac:dyDescent="0.2">
      <c r="A10" s="196">
        <v>8</v>
      </c>
      <c r="B10" s="197" t="s">
        <v>234</v>
      </c>
      <c r="C10" s="198" t="s">
        <v>240</v>
      </c>
    </row>
    <row r="11" spans="1:3" s="141" customFormat="1" x14ac:dyDescent="0.2">
      <c r="A11" s="379">
        <v>9</v>
      </c>
      <c r="B11" s="197" t="s">
        <v>234</v>
      </c>
      <c r="C11" s="198" t="s">
        <v>241</v>
      </c>
    </row>
    <row r="12" spans="1:3" s="141" customFormat="1" x14ac:dyDescent="0.2">
      <c r="A12" s="196">
        <v>10</v>
      </c>
      <c r="B12" s="197" t="s">
        <v>234</v>
      </c>
      <c r="C12" s="198" t="s">
        <v>242</v>
      </c>
    </row>
    <row r="13" spans="1:3" s="141" customFormat="1" x14ac:dyDescent="0.2">
      <c r="A13" s="379">
        <v>11</v>
      </c>
      <c r="B13" s="197" t="s">
        <v>234</v>
      </c>
      <c r="C13" s="198" t="s">
        <v>243</v>
      </c>
    </row>
    <row r="14" spans="1:3" s="141" customFormat="1" x14ac:dyDescent="0.2">
      <c r="A14" s="196">
        <v>12</v>
      </c>
      <c r="B14" s="197" t="s">
        <v>234</v>
      </c>
      <c r="C14" s="198" t="s">
        <v>244</v>
      </c>
    </row>
    <row r="15" spans="1:3" s="141" customFormat="1" x14ac:dyDescent="0.2">
      <c r="A15" s="379">
        <v>13</v>
      </c>
      <c r="B15" s="197" t="s">
        <v>234</v>
      </c>
      <c r="C15" s="198" t="s">
        <v>245</v>
      </c>
    </row>
    <row r="16" spans="1:3" s="141" customFormat="1" x14ac:dyDescent="0.2">
      <c r="A16" s="196">
        <v>14</v>
      </c>
      <c r="B16" s="197" t="s">
        <v>246</v>
      </c>
      <c r="C16" s="198" t="s">
        <v>247</v>
      </c>
    </row>
    <row r="17" spans="1:3" s="141" customFormat="1" x14ac:dyDescent="0.2">
      <c r="A17" s="379">
        <v>15</v>
      </c>
      <c r="B17" s="197" t="s">
        <v>246</v>
      </c>
      <c r="C17" s="198" t="s">
        <v>248</v>
      </c>
    </row>
    <row r="18" spans="1:3" s="141" customFormat="1" x14ac:dyDescent="0.2">
      <c r="A18" s="196">
        <v>16</v>
      </c>
      <c r="B18" s="197" t="s">
        <v>246</v>
      </c>
      <c r="C18" s="198" t="s">
        <v>249</v>
      </c>
    </row>
    <row r="19" spans="1:3" s="141" customFormat="1" x14ac:dyDescent="0.2">
      <c r="A19" s="379">
        <v>17</v>
      </c>
      <c r="B19" s="197" t="s">
        <v>246</v>
      </c>
      <c r="C19" s="198" t="s">
        <v>250</v>
      </c>
    </row>
    <row r="20" spans="1:3" s="141" customFormat="1" x14ac:dyDescent="0.2">
      <c r="A20" s="196">
        <v>18</v>
      </c>
      <c r="B20" s="197" t="s">
        <v>246</v>
      </c>
      <c r="C20" s="198" t="s">
        <v>251</v>
      </c>
    </row>
    <row r="21" spans="1:3" s="141" customFormat="1" ht="25.5" x14ac:dyDescent="0.2">
      <c r="A21" s="379">
        <v>19</v>
      </c>
      <c r="B21" s="197" t="s">
        <v>246</v>
      </c>
      <c r="C21" s="198" t="s">
        <v>252</v>
      </c>
    </row>
    <row r="22" spans="1:3" s="141" customFormat="1" x14ac:dyDescent="0.2">
      <c r="A22" s="196">
        <v>20</v>
      </c>
      <c r="B22" s="197" t="s">
        <v>246</v>
      </c>
      <c r="C22" s="198" t="s">
        <v>253</v>
      </c>
    </row>
    <row r="23" spans="1:3" s="141" customFormat="1" x14ac:dyDescent="0.2">
      <c r="A23" s="379">
        <v>21</v>
      </c>
      <c r="B23" s="197" t="s">
        <v>254</v>
      </c>
      <c r="C23" s="198" t="s">
        <v>255</v>
      </c>
    </row>
    <row r="24" spans="1:3" s="141" customFormat="1" x14ac:dyDescent="0.2">
      <c r="A24" s="196">
        <v>22</v>
      </c>
      <c r="B24" s="197" t="s">
        <v>254</v>
      </c>
      <c r="C24" s="198" t="s">
        <v>256</v>
      </c>
    </row>
    <row r="25" spans="1:3" s="141" customFormat="1" x14ac:dyDescent="0.2">
      <c r="A25" s="379">
        <v>23</v>
      </c>
      <c r="B25" s="199" t="s">
        <v>257</v>
      </c>
      <c r="C25" s="198" t="s">
        <v>260</v>
      </c>
    </row>
    <row r="26" spans="1:3" s="141" customFormat="1" x14ac:dyDescent="0.2">
      <c r="A26" s="196">
        <v>24</v>
      </c>
      <c r="B26" s="199" t="s">
        <v>257</v>
      </c>
      <c r="C26" s="198" t="s">
        <v>258</v>
      </c>
    </row>
    <row r="27" spans="1:3" s="141" customFormat="1" x14ac:dyDescent="0.2">
      <c r="A27" s="379">
        <v>25</v>
      </c>
      <c r="B27" s="199" t="s">
        <v>257</v>
      </c>
      <c r="C27" s="198" t="s">
        <v>259</v>
      </c>
    </row>
    <row r="28" spans="1:3" s="141" customFormat="1" x14ac:dyDescent="0.2">
      <c r="A28" s="196">
        <v>26</v>
      </c>
      <c r="B28" s="198" t="s">
        <v>261</v>
      </c>
      <c r="C28" s="198" t="s">
        <v>264</v>
      </c>
    </row>
    <row r="29" spans="1:3" s="141" customFormat="1" x14ac:dyDescent="0.2">
      <c r="A29" s="379">
        <v>27</v>
      </c>
      <c r="B29" s="198" t="s">
        <v>261</v>
      </c>
      <c r="C29" s="198" t="s">
        <v>265</v>
      </c>
    </row>
    <row r="30" spans="1:3" s="141" customFormat="1" x14ac:dyDescent="0.2">
      <c r="A30" s="196">
        <v>28</v>
      </c>
      <c r="B30" s="198" t="s">
        <v>261</v>
      </c>
      <c r="C30" s="198" t="s">
        <v>266</v>
      </c>
    </row>
    <row r="31" spans="1:3" s="141" customFormat="1" x14ac:dyDescent="0.2">
      <c r="A31" s="379">
        <v>29</v>
      </c>
      <c r="B31" s="199" t="s">
        <v>262</v>
      </c>
      <c r="C31" s="198" t="s">
        <v>267</v>
      </c>
    </row>
    <row r="32" spans="1:3" s="141" customFormat="1" x14ac:dyDescent="0.2">
      <c r="A32" s="196">
        <v>30</v>
      </c>
      <c r="B32" s="199" t="s">
        <v>262</v>
      </c>
      <c r="C32" s="198" t="s">
        <v>263</v>
      </c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opLeftCell="A8" workbookViewId="0">
      <selection activeCell="H51" sqref="H51"/>
    </sheetView>
  </sheetViews>
  <sheetFormatPr defaultRowHeight="12.75" x14ac:dyDescent="0.2"/>
  <cols>
    <col min="1" max="1" width="5.1640625" style="137" customWidth="1"/>
    <col min="2" max="2" width="93.5" style="137" customWidth="1"/>
    <col min="3" max="3" width="50.83203125" style="137" customWidth="1"/>
    <col min="4" max="16384" width="9.33203125" style="137"/>
  </cols>
  <sheetData>
    <row r="1" spans="1:3" x14ac:dyDescent="0.2">
      <c r="A1" s="928" t="s">
        <v>160</v>
      </c>
      <c r="B1" s="928"/>
      <c r="C1" s="928"/>
    </row>
    <row r="2" spans="1:3" x14ac:dyDescent="0.2">
      <c r="A2" s="138" t="s">
        <v>35</v>
      </c>
      <c r="B2" s="138" t="s">
        <v>161</v>
      </c>
      <c r="C2" s="138" t="s">
        <v>36</v>
      </c>
    </row>
    <row r="3" spans="1:3" x14ac:dyDescent="0.2">
      <c r="A3" s="191">
        <v>1</v>
      </c>
      <c r="B3" s="344" t="s">
        <v>527</v>
      </c>
      <c r="C3" s="345" t="s">
        <v>528</v>
      </c>
    </row>
    <row r="4" spans="1:3" x14ac:dyDescent="0.2">
      <c r="A4" s="191">
        <v>2</v>
      </c>
      <c r="B4" s="344" t="s">
        <v>529</v>
      </c>
      <c r="C4" s="345" t="s">
        <v>530</v>
      </c>
    </row>
    <row r="5" spans="1:3" x14ac:dyDescent="0.2">
      <c r="A5" s="191">
        <v>3</v>
      </c>
      <c r="B5" s="344" t="s">
        <v>531</v>
      </c>
      <c r="C5" s="345" t="s">
        <v>532</v>
      </c>
    </row>
    <row r="6" spans="1:3" x14ac:dyDescent="0.2">
      <c r="A6" s="191">
        <v>4</v>
      </c>
      <c r="B6" s="344" t="s">
        <v>533</v>
      </c>
      <c r="C6" s="345" t="s">
        <v>534</v>
      </c>
    </row>
    <row r="7" spans="1:3" x14ac:dyDescent="0.2">
      <c r="A7" s="191">
        <v>5</v>
      </c>
      <c r="B7" s="344" t="s">
        <v>535</v>
      </c>
      <c r="C7" s="345" t="s">
        <v>536</v>
      </c>
    </row>
    <row r="8" spans="1:3" ht="25.5" x14ac:dyDescent="0.2">
      <c r="A8" s="191">
        <v>6</v>
      </c>
      <c r="B8" s="344" t="s">
        <v>537</v>
      </c>
      <c r="C8" s="345" t="s">
        <v>538</v>
      </c>
    </row>
    <row r="9" spans="1:3" x14ac:dyDescent="0.2">
      <c r="A9" s="191">
        <v>7</v>
      </c>
      <c r="B9" s="344" t="s">
        <v>539</v>
      </c>
      <c r="C9" s="345" t="s">
        <v>540</v>
      </c>
    </row>
    <row r="10" spans="1:3" x14ac:dyDescent="0.2">
      <c r="A10" s="191">
        <v>8</v>
      </c>
      <c r="B10" s="344" t="s">
        <v>541</v>
      </c>
      <c r="C10" s="345" t="s">
        <v>542</v>
      </c>
    </row>
    <row r="11" spans="1:3" ht="25.5" x14ac:dyDescent="0.2">
      <c r="A11" s="191">
        <v>9</v>
      </c>
      <c r="B11" s="344" t="s">
        <v>543</v>
      </c>
      <c r="C11" s="345" t="s">
        <v>544</v>
      </c>
    </row>
    <row r="12" spans="1:3" x14ac:dyDescent="0.2">
      <c r="A12" s="191">
        <v>10</v>
      </c>
      <c r="B12" s="346" t="s">
        <v>545</v>
      </c>
      <c r="C12" s="187">
        <v>31</v>
      </c>
    </row>
    <row r="13" spans="1:3" x14ac:dyDescent="0.2">
      <c r="A13" s="191">
        <v>11</v>
      </c>
      <c r="B13" s="344" t="s">
        <v>546</v>
      </c>
      <c r="C13" s="347">
        <v>33</v>
      </c>
    </row>
    <row r="14" spans="1:3" ht="12.75" customHeight="1" x14ac:dyDescent="0.2">
      <c r="A14" s="928" t="s">
        <v>153</v>
      </c>
      <c r="B14" s="928"/>
      <c r="C14" s="928"/>
    </row>
    <row r="15" spans="1:3" x14ac:dyDescent="0.2">
      <c r="A15" s="138" t="s">
        <v>35</v>
      </c>
      <c r="B15" s="138" t="s">
        <v>162</v>
      </c>
      <c r="C15" s="138" t="s">
        <v>36</v>
      </c>
    </row>
    <row r="16" spans="1:3" x14ac:dyDescent="0.2">
      <c r="A16" s="191">
        <v>1</v>
      </c>
      <c r="B16" s="139" t="s">
        <v>547</v>
      </c>
      <c r="C16" s="140">
        <v>64</v>
      </c>
    </row>
    <row r="17" spans="1:3" x14ac:dyDescent="0.2">
      <c r="A17" s="191">
        <v>2</v>
      </c>
      <c r="B17" s="346" t="s">
        <v>548</v>
      </c>
      <c r="C17" s="187">
        <v>5</v>
      </c>
    </row>
    <row r="18" spans="1:3" hidden="1" x14ac:dyDescent="0.2">
      <c r="A18" s="194">
        <v>3</v>
      </c>
      <c r="B18" s="139"/>
      <c r="C18" s="140"/>
    </row>
    <row r="19" spans="1:3" hidden="1" x14ac:dyDescent="0.2">
      <c r="A19" s="194">
        <v>4</v>
      </c>
      <c r="B19" s="139"/>
      <c r="C19" s="140"/>
    </row>
    <row r="20" spans="1:3" hidden="1" x14ac:dyDescent="0.2">
      <c r="A20" s="194">
        <v>5</v>
      </c>
      <c r="B20" s="139"/>
      <c r="C20" s="140"/>
    </row>
    <row r="21" spans="1:3" x14ac:dyDescent="0.2">
      <c r="A21" s="141"/>
      <c r="B21" s="141"/>
      <c r="C21" s="141"/>
    </row>
    <row r="22" spans="1:3" x14ac:dyDescent="0.2">
      <c r="A22" s="928" t="s">
        <v>108</v>
      </c>
      <c r="B22" s="928"/>
      <c r="C22" s="928"/>
    </row>
    <row r="23" spans="1:3" x14ac:dyDescent="0.2">
      <c r="A23" s="138" t="s">
        <v>35</v>
      </c>
      <c r="B23" s="138" t="s">
        <v>9</v>
      </c>
      <c r="C23" s="138" t="s">
        <v>109</v>
      </c>
    </row>
    <row r="24" spans="1:3" x14ac:dyDescent="0.2">
      <c r="A24" s="194">
        <v>1</v>
      </c>
      <c r="B24" s="192" t="s">
        <v>110</v>
      </c>
      <c r="C24" s="191" t="s">
        <v>111</v>
      </c>
    </row>
    <row r="25" spans="1:3" x14ac:dyDescent="0.2">
      <c r="A25" s="194">
        <v>2</v>
      </c>
      <c r="B25" s="192" t="s">
        <v>112</v>
      </c>
      <c r="C25" s="191" t="s">
        <v>114</v>
      </c>
    </row>
    <row r="26" spans="1:3" x14ac:dyDescent="0.2">
      <c r="A26" s="194">
        <v>3</v>
      </c>
      <c r="B26" s="192" t="s">
        <v>113</v>
      </c>
      <c r="C26" s="191" t="s">
        <v>115</v>
      </c>
    </row>
    <row r="27" spans="1:3" x14ac:dyDescent="0.2">
      <c r="A27" s="194">
        <v>4</v>
      </c>
      <c r="B27" s="193" t="s">
        <v>231</v>
      </c>
      <c r="C27" s="191" t="s">
        <v>230</v>
      </c>
    </row>
    <row r="28" spans="1:3" x14ac:dyDescent="0.2">
      <c r="A28" s="141"/>
      <c r="B28" s="141"/>
      <c r="C28" s="141"/>
    </row>
    <row r="29" spans="1:3" hidden="1" x14ac:dyDescent="0.2">
      <c r="A29" s="927" t="s">
        <v>353</v>
      </c>
      <c r="B29" s="927"/>
      <c r="C29" s="927"/>
    </row>
    <row r="30" spans="1:3" hidden="1" x14ac:dyDescent="0.2">
      <c r="A30" s="142" t="s">
        <v>35</v>
      </c>
      <c r="B30" s="142" t="s">
        <v>354</v>
      </c>
      <c r="C30" s="142" t="s">
        <v>355</v>
      </c>
    </row>
    <row r="31" spans="1:3" hidden="1" x14ac:dyDescent="0.2">
      <c r="A31" s="142">
        <v>1</v>
      </c>
      <c r="B31" s="139" t="s">
        <v>391</v>
      </c>
      <c r="C31" s="140" t="s">
        <v>205</v>
      </c>
    </row>
    <row r="32" spans="1:3" hidden="1" x14ac:dyDescent="0.2">
      <c r="A32" s="142">
        <v>2</v>
      </c>
      <c r="B32" s="139" t="s">
        <v>207</v>
      </c>
      <c r="C32" s="140" t="s">
        <v>206</v>
      </c>
    </row>
    <row r="33" spans="1:3" hidden="1" x14ac:dyDescent="0.2">
      <c r="A33" s="142">
        <v>3</v>
      </c>
      <c r="B33" s="139" t="s">
        <v>210</v>
      </c>
      <c r="C33" s="140" t="s">
        <v>209</v>
      </c>
    </row>
    <row r="34" spans="1:3" hidden="1" x14ac:dyDescent="0.2">
      <c r="A34" s="142">
        <v>4</v>
      </c>
      <c r="B34" s="139" t="s">
        <v>212</v>
      </c>
      <c r="C34" s="358" t="s">
        <v>211</v>
      </c>
    </row>
    <row r="35" spans="1:3" hidden="1" x14ac:dyDescent="0.2">
      <c r="A35" s="142">
        <v>5</v>
      </c>
      <c r="B35" s="376"/>
      <c r="C35" s="377"/>
    </row>
    <row r="36" spans="1:3" hidden="1" x14ac:dyDescent="0.2">
      <c r="A36" s="141"/>
      <c r="B36" s="141"/>
      <c r="C36" s="141"/>
    </row>
    <row r="37" spans="1:3" x14ac:dyDescent="0.2">
      <c r="A37" s="927" t="s">
        <v>356</v>
      </c>
      <c r="B37" s="927"/>
      <c r="C37" s="927"/>
    </row>
    <row r="38" spans="1:3" s="374" customFormat="1" x14ac:dyDescent="0.2">
      <c r="A38" s="373" t="s">
        <v>35</v>
      </c>
      <c r="B38" s="373" t="s">
        <v>357</v>
      </c>
      <c r="C38" s="373" t="s">
        <v>355</v>
      </c>
    </row>
    <row r="39" spans="1:3" s="374" customFormat="1" x14ac:dyDescent="0.2">
      <c r="A39" s="373">
        <v>1</v>
      </c>
      <c r="B39" s="139" t="s">
        <v>559</v>
      </c>
      <c r="C39" s="139" t="s">
        <v>560</v>
      </c>
    </row>
    <row r="40" spans="1:3" s="374" customFormat="1" x14ac:dyDescent="0.2">
      <c r="A40" s="373">
        <v>2</v>
      </c>
      <c r="B40" s="139" t="s">
        <v>561</v>
      </c>
      <c r="C40" s="375" t="s">
        <v>359</v>
      </c>
    </row>
    <row r="41" spans="1:3" s="374" customFormat="1" x14ac:dyDescent="0.2">
      <c r="A41" s="373">
        <v>3</v>
      </c>
      <c r="B41" s="139" t="s">
        <v>562</v>
      </c>
      <c r="C41" s="139" t="s">
        <v>563</v>
      </c>
    </row>
    <row r="42" spans="1:3" s="374" customFormat="1" x14ac:dyDescent="0.2">
      <c r="A42" s="373">
        <v>4</v>
      </c>
      <c r="B42" s="139" t="s">
        <v>565</v>
      </c>
      <c r="C42" s="375" t="s">
        <v>358</v>
      </c>
    </row>
    <row r="43" spans="1:3" s="374" customFormat="1" x14ac:dyDescent="0.2">
      <c r="A43" s="373">
        <v>5</v>
      </c>
      <c r="B43" s="139" t="s">
        <v>564</v>
      </c>
      <c r="C43" s="375" t="s">
        <v>424</v>
      </c>
    </row>
    <row r="44" spans="1:3" x14ac:dyDescent="0.2">
      <c r="A44" s="141"/>
      <c r="B44" s="141"/>
      <c r="C44" s="141"/>
    </row>
    <row r="45" spans="1:3" x14ac:dyDescent="0.2">
      <c r="A45" s="927" t="s">
        <v>394</v>
      </c>
      <c r="B45" s="927"/>
      <c r="C45" s="927"/>
    </row>
    <row r="46" spans="1:3" x14ac:dyDescent="0.2">
      <c r="A46" s="142" t="s">
        <v>35</v>
      </c>
      <c r="B46" s="142" t="s">
        <v>354</v>
      </c>
      <c r="C46" s="188" t="s">
        <v>395</v>
      </c>
    </row>
    <row r="47" spans="1:3" x14ac:dyDescent="0.2">
      <c r="A47" s="142">
        <v>1</v>
      </c>
      <c r="B47" s="189" t="s">
        <v>396</v>
      </c>
      <c r="C47" s="190" t="s">
        <v>400</v>
      </c>
    </row>
    <row r="48" spans="1:3" x14ac:dyDescent="0.2">
      <c r="A48" s="142">
        <v>2</v>
      </c>
      <c r="B48" s="98" t="s">
        <v>397</v>
      </c>
      <c r="C48" s="139" t="s">
        <v>401</v>
      </c>
    </row>
    <row r="49" spans="1:3" x14ac:dyDescent="0.2">
      <c r="A49" s="142">
        <v>3</v>
      </c>
      <c r="B49" s="98" t="s">
        <v>398</v>
      </c>
      <c r="C49" s="139" t="s">
        <v>402</v>
      </c>
    </row>
    <row r="50" spans="1:3" x14ac:dyDescent="0.2">
      <c r="A50" s="142">
        <v>4</v>
      </c>
      <c r="B50" s="349" t="s">
        <v>568</v>
      </c>
      <c r="C50" s="139" t="s">
        <v>551</v>
      </c>
    </row>
    <row r="51" spans="1:3" x14ac:dyDescent="0.2">
      <c r="A51" s="142">
        <v>5</v>
      </c>
      <c r="B51" s="349" t="s">
        <v>569</v>
      </c>
      <c r="C51" s="139" t="s">
        <v>619</v>
      </c>
    </row>
    <row r="52" spans="1:3" x14ac:dyDescent="0.2">
      <c r="A52" s="142">
        <v>6</v>
      </c>
      <c r="B52" s="378" t="s">
        <v>570</v>
      </c>
      <c r="C52" s="210" t="s">
        <v>620</v>
      </c>
    </row>
    <row r="54" spans="1:3" ht="51" customHeight="1" x14ac:dyDescent="0.2">
      <c r="B54" s="926" t="s">
        <v>403</v>
      </c>
      <c r="C54" s="926"/>
    </row>
  </sheetData>
  <sheetProtection formatCells="0" formatColumns="0" formatRows="0" insertColumns="0" insertRows="0" insertHyperlinks="0" deleteColumns="0" deleteRows="0" sort="0" autoFilter="0" pivotTables="0"/>
  <mergeCells count="7">
    <mergeCell ref="B54:C54"/>
    <mergeCell ref="A45:C45"/>
    <mergeCell ref="A1:C1"/>
    <mergeCell ref="A14:C14"/>
    <mergeCell ref="A22:C22"/>
    <mergeCell ref="A29:C29"/>
    <mergeCell ref="A37:C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</vt:lpstr>
      <vt:lpstr>Учебный план</vt:lpstr>
      <vt:lpstr>Титул заочное обучение</vt:lpstr>
      <vt:lpstr>УП заочное обучение</vt:lpstr>
      <vt:lpstr>ПРОВЕРКА</vt:lpstr>
      <vt:lpstr>Нормы</vt:lpstr>
      <vt:lpstr>Компетенции</vt:lpstr>
      <vt:lpstr>Материально-техническая база</vt:lpstr>
      <vt:lpstr>Примечание</vt:lpstr>
      <vt:lpstr>'Учебный план'!Print_Area</vt:lpstr>
      <vt:lpstr>'Учебный план'!Print_Titles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В. Колыванов</dc:creator>
  <cp:lastModifiedBy>sys-123</cp:lastModifiedBy>
  <cp:lastPrinted>2017-11-15T06:06:04Z</cp:lastPrinted>
  <dcterms:created xsi:type="dcterms:W3CDTF">2001-03-30T05:31:47Z</dcterms:created>
  <dcterms:modified xsi:type="dcterms:W3CDTF">2019-11-25T21:02:01Z</dcterms:modified>
</cp:coreProperties>
</file>